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TL_sridhar.s\Downloads\study mat\"/>
    </mc:Choice>
  </mc:AlternateContent>
  <xr:revisionPtr revIDLastSave="0" documentId="8_{47FDAF86-B6D8-40A9-A35D-BCAD300F3456}" xr6:coauthVersionLast="36" xr6:coauthVersionMax="36" xr10:uidLastSave="{00000000-0000-0000-0000-000000000000}"/>
  <bookViews>
    <workbookView xWindow="0" yWindow="0" windowWidth="23040" windowHeight="10530" tabRatio="917" activeTab="16" xr2:uid="{00000000-000D-0000-FFFF-FFFF00000000}"/>
  </bookViews>
  <sheets>
    <sheet name="Summary" sheetId="40" r:id="rId1"/>
    <sheet name="BOM" sheetId="11" r:id="rId2"/>
    <sheet name="Assy_Cost" sheetId="12" r:id="rId3"/>
    <sheet name="Machining_Process" sheetId="59" r:id="rId4"/>
    <sheet name="SM_Material" sheetId="19" r:id="rId5"/>
    <sheet name="SM_Process" sheetId="20" r:id="rId6"/>
    <sheet name="GDC_PDC_Material" sheetId="30" state="veryHidden" r:id="rId7"/>
    <sheet name="GDC_PDC_Process" sheetId="31" state="veryHidden" r:id="rId8"/>
    <sheet name="BM_Material" sheetId="36" state="veryHidden" r:id="rId9"/>
    <sheet name="BM_Process" sheetId="39" state="veryHidden" r:id="rId10"/>
    <sheet name="Hose_Material" sheetId="43" state="veryHidden" r:id="rId11"/>
    <sheet name="Hose_Process" sheetId="44" state="veryHidden" r:id="rId12"/>
    <sheet name="Casting_Material" sheetId="29" state="veryHidden" r:id="rId13"/>
    <sheet name="Casting_Process" sheetId="33" state="veryHidden" r:id="rId14"/>
    <sheet name="Forging_Material" sheetId="27" state="veryHidden" r:id="rId15"/>
    <sheet name="Forging_Process" sheetId="28" state="veryHidden" r:id="rId16"/>
    <sheet name="Norms - Format" sheetId="60" r:id="rId17"/>
    <sheet name="IM_Material" sheetId="45" r:id="rId18"/>
    <sheet name="IM_Process" sheetId="47" r:id="rId19"/>
    <sheet name="IM_TC" sheetId="48" r:id="rId20"/>
    <sheet name="IM_Machinery" sheetId="50" r:id="rId21"/>
    <sheet name="IM_Raw_Material" sheetId="51" r:id="rId22"/>
    <sheet name="CM_Material" sheetId="52" state="veryHidden" r:id="rId23"/>
    <sheet name="CM_Cavity" sheetId="53" state="veryHidden" r:id="rId24"/>
    <sheet name="EP_Material" sheetId="54" state="veryHidden" r:id="rId25"/>
    <sheet name="EP_Process" sheetId="55" state="veryHidden" r:id="rId26"/>
    <sheet name="EP_RM_List" sheetId="56" state="veryHidden" r:id="rId27"/>
    <sheet name="RM Base" sheetId="22" r:id="rId28"/>
    <sheet name="Process Base" sheetId="23" r:id="rId29"/>
    <sheet name="OH,Profit &amp; Other Base" sheetId="6" r:id="rId30"/>
    <sheet name="Calc" sheetId="24" state="hidden" r:id="rId31"/>
    <sheet name="DATA_SHEET" sheetId="49" state="hidden" r:id="rId32"/>
    <sheet name="Group" sheetId="32" state="hidden" r:id="rId33"/>
    <sheet name="Backend" sheetId="1" state="hidden" r:id="rId34"/>
    <sheet name="RM &amp; Process Sheet" sheetId="35" state="hidden" r:id="rId35"/>
    <sheet name="HiddenSheet" sheetId="25" state="veryHidden" r:id="rId36"/>
  </sheets>
  <functionGroups builtInGroupCount="19"/>
  <externalReferences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</externalReferences>
  <definedNames>
    <definedName name="___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aaa5" localSheetId="9" hidden="1">1/EUReXToNLG</definedName>
    <definedName name="_____aaa5" localSheetId="1" hidden="1">1/EUReXToNLG</definedName>
    <definedName name="_____aaa5" localSheetId="26" hidden="1">1/EUReXToNLG</definedName>
    <definedName name="_____aaa5" localSheetId="21" hidden="1">1/EUReXToNLG</definedName>
    <definedName name="_____aaa5" localSheetId="3" hidden="1">1/EUReXToNLG</definedName>
    <definedName name="_____aaa5" localSheetId="28" hidden="1">1/EUReXToNLG</definedName>
    <definedName name="_____aaa5" localSheetId="27" hidden="1">1/EUReXToNLG</definedName>
    <definedName name="_____aaa5" localSheetId="0" hidden="1">1/EUReXToNLG</definedName>
    <definedName name="_____aaa5" hidden="1">1/EUReXToNLG</definedName>
    <definedName name="_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aaa5" localSheetId="9" hidden="1">1/EUReXToNLG</definedName>
    <definedName name="____aaa5" localSheetId="1" hidden="1">1/EUReXToNLG</definedName>
    <definedName name="____aaa5" localSheetId="26" hidden="1">1/EUReXToNLG</definedName>
    <definedName name="____aaa5" localSheetId="21" hidden="1">1/EUReXToNLG</definedName>
    <definedName name="____aaa5" localSheetId="3" hidden="1">1/EUReXToNLG</definedName>
    <definedName name="____aaa5" localSheetId="28" hidden="1">1/EUReXToNLG</definedName>
    <definedName name="____aaa5" localSheetId="27" hidden="1">1/EUReXToNLG</definedName>
    <definedName name="____aaa5" localSheetId="0" hidden="1">1/EUReXToNLG</definedName>
    <definedName name="____aaa5" hidden="1">1/EUReXToNLG</definedName>
    <definedName name="_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aaa5" localSheetId="9" hidden="1">1/EUReXToNLG</definedName>
    <definedName name="___aaa5" localSheetId="1" hidden="1">1/EUReXToNLG</definedName>
    <definedName name="___aaa5" localSheetId="26" hidden="1">1/EUReXToNLG</definedName>
    <definedName name="___aaa5" localSheetId="21" hidden="1">1/EUReXToNLG</definedName>
    <definedName name="___aaa5" localSheetId="3" hidden="1">1/EUReXToNLG</definedName>
    <definedName name="___aaa5" localSheetId="28" hidden="1">1/EUReXToNLG</definedName>
    <definedName name="___aaa5" localSheetId="27" hidden="1">1/EUReXToNLG</definedName>
    <definedName name="___aaa5" localSheetId="0" hidden="1">1/EUReXToNLG</definedName>
    <definedName name="___aaa5" hidden="1">1/EUReXToNLG</definedName>
    <definedName name="_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_wrn2" localSheetId="26" hidden="1">{#N/A,#N/A,TRUE,"Summary";#N/A,#N/A,TRUE,"Balance Sheet";#N/A,#N/A,TRUE,"P &amp; L";#N/A,#N/A,TRUE,"Fixed Assets";#N/A,#N/A,TRUE,"Cash Flows"}</definedName>
    <definedName name="___wrn2" localSheetId="21" hidden="1">{#N/A,#N/A,TRUE,"Summary";#N/A,#N/A,TRUE,"Balance Sheet";#N/A,#N/A,TRUE,"P &amp; L";#N/A,#N/A,TRUE,"Fixed Assets";#N/A,#N/A,TRUE,"Cash Flows"}</definedName>
    <definedName name="___wrn2" localSheetId="3" hidden="1">{#N/A,#N/A,TRUE,"Summary";#N/A,#N/A,TRUE,"Balance Sheet";#N/A,#N/A,TRUE,"P &amp; L";#N/A,#N/A,TRUE,"Fixed Assets";#N/A,#N/A,TRUE,"Cash Flows"}</definedName>
    <definedName name="___wrn2" localSheetId="27" hidden="1">{#N/A,#N/A,TRUE,"Summary";#N/A,#N/A,TRUE,"Balance Sheet";#N/A,#N/A,TRUE,"P &amp; L";#N/A,#N/A,TRUE,"Fixed Assets";#N/A,#N/A,TRUE,"Cash Flows"}</definedName>
    <definedName name="___wrn2" localSheetId="0" hidden="1">{#N/A,#N/A,TRUE,"Summary";#N/A,#N/A,TRUE,"Balance Sheet";#N/A,#N/A,TRUE,"P &amp; L";#N/A,#N/A,TRUE,"Fixed Assets";#N/A,#N/A,TRUE,"Cash Flows"}</definedName>
    <definedName name="___wrn2" hidden="1">{#N/A,#N/A,TRUE,"Summary";#N/A,#N/A,TRUE,"Balance Sheet";#N/A,#N/A,TRUE,"P &amp; L";#N/A,#N/A,TRUE,"Fixed Assets";#N/A,#N/A,TRUE,"Cash Flows"}</definedName>
    <definedName name="__123Graph_A" localSheetId="9" hidden="1">[1]MOTO!#REF!</definedName>
    <definedName name="__123Graph_A" localSheetId="1" hidden="1">[1]MOTO!#REF!</definedName>
    <definedName name="__123Graph_A" localSheetId="23" hidden="1">[1]MOTO!#REF!</definedName>
    <definedName name="__123Graph_A" localSheetId="22" hidden="1">[1]MOTO!#REF!</definedName>
    <definedName name="__123Graph_A" localSheetId="26" hidden="1">[2]MOTO!#REF!</definedName>
    <definedName name="__123Graph_A" localSheetId="14" hidden="1">[1]MOTO!#REF!</definedName>
    <definedName name="__123Graph_A" localSheetId="21" hidden="1">[2]MOTO!#REF!</definedName>
    <definedName name="__123Graph_A" localSheetId="3" hidden="1">[2]MOTO!#REF!</definedName>
    <definedName name="__123Graph_A" localSheetId="29" hidden="1">[1]MOTO!#REF!</definedName>
    <definedName name="__123Graph_A" localSheetId="28" hidden="1">[2]MOTO!#REF!</definedName>
    <definedName name="__123Graph_A" localSheetId="27" hidden="1">[2]MOTO!#REF!</definedName>
    <definedName name="__123Graph_A" localSheetId="0" hidden="1">[2]MOTO!#REF!</definedName>
    <definedName name="__123Graph_A" hidden="1">[1]MOTO!#REF!</definedName>
    <definedName name="__123Graph_AChart1" hidden="1">[3]TOOLS!$BA$279:$BA$284</definedName>
    <definedName name="__123Graph_AChart2" hidden="1">[3]TOOLS!$BA$281:$BA$286</definedName>
    <definedName name="__123Graph_AChart3" hidden="1">[3]TOOLS!$BA$284:$BA$289</definedName>
    <definedName name="__123Graph_ACurrent" hidden="1">[3]TOOLS!$BA$279:$BA$284</definedName>
    <definedName name="__123Graph_A利益単価" localSheetId="9" hidden="1">[4]生涯利益計画ｼｰﾄ!#REF!</definedName>
    <definedName name="__123Graph_A利益単価" localSheetId="1" hidden="1">[4]生涯利益計画ｼｰﾄ!#REF!</definedName>
    <definedName name="__123Graph_A利益単価" localSheetId="26" hidden="1">[4]生涯利益計画ｼｰﾄ!#REF!</definedName>
    <definedName name="__123Graph_A利益単価" localSheetId="21" hidden="1">[4]生涯利益計画ｼｰﾄ!#REF!</definedName>
    <definedName name="__123Graph_A利益単価" localSheetId="3" hidden="1">[4]生涯利益計画ｼｰﾄ!#REF!</definedName>
    <definedName name="__123Graph_A利益単価" localSheetId="27" hidden="1">[4]生涯利益計画ｼｰﾄ!#REF!</definedName>
    <definedName name="__123Graph_A利益単価" localSheetId="0" hidden="1">[4]生涯利益計画ｼｰﾄ!#REF!</definedName>
    <definedName name="__123Graph_A利益単価" hidden="1">[4]生涯利益計画ｼｰﾄ!#REF!</definedName>
    <definedName name="__123Graph_A利益面積" localSheetId="9" hidden="1">[4]生涯利益計画ｼｰﾄ!#REF!</definedName>
    <definedName name="__123Graph_A利益面積" localSheetId="1" hidden="1">[4]生涯利益計画ｼｰﾄ!#REF!</definedName>
    <definedName name="__123Graph_A利益面積" localSheetId="26" hidden="1">[4]生涯利益計画ｼｰﾄ!#REF!</definedName>
    <definedName name="__123Graph_A利益面積" localSheetId="21" hidden="1">[4]生涯利益計画ｼｰﾄ!#REF!</definedName>
    <definedName name="__123Graph_A利益面積" localSheetId="3" hidden="1">[4]生涯利益計画ｼｰﾄ!#REF!</definedName>
    <definedName name="__123Graph_A利益面積" localSheetId="27" hidden="1">[4]生涯利益計画ｼｰﾄ!#REF!</definedName>
    <definedName name="__123Graph_A利益面積" localSheetId="0" hidden="1">[4]生涯利益計画ｼｰﾄ!#REF!</definedName>
    <definedName name="__123Graph_A利益面積" hidden="1">[4]生涯利益計画ｼｰﾄ!#REF!</definedName>
    <definedName name="__123Graph_B" localSheetId="9" hidden="1">[5]TOOLS!#REF!</definedName>
    <definedName name="__123Graph_B" localSheetId="1" hidden="1">[5]TOOLS!#REF!</definedName>
    <definedName name="__123Graph_B" localSheetId="23" hidden="1">[5]TOOLS!#REF!</definedName>
    <definedName name="__123Graph_B" localSheetId="22" hidden="1">[5]TOOLS!#REF!</definedName>
    <definedName name="__123Graph_B" localSheetId="26" hidden="1">[4]生涯利益計画ｼｰﾄ!#REF!</definedName>
    <definedName name="__123Graph_B" localSheetId="14" hidden="1">[5]TOOLS!#REF!</definedName>
    <definedName name="__123Graph_B" localSheetId="21" hidden="1">[4]生涯利益計画ｼｰﾄ!#REF!</definedName>
    <definedName name="__123Graph_B" localSheetId="3" hidden="1">[4]生涯利益計画ｼｰﾄ!#REF!</definedName>
    <definedName name="__123Graph_B" localSheetId="29" hidden="1">[5]TOOLS!#REF!</definedName>
    <definedName name="__123Graph_B" localSheetId="27" hidden="1">[4]生涯利益計画ｼｰﾄ!#REF!</definedName>
    <definedName name="__123Graph_B" localSheetId="0" hidden="1">[4]生涯利益計画ｼｰﾄ!#REF!</definedName>
    <definedName name="__123Graph_B" hidden="1">[5]TOOLS!#REF!</definedName>
    <definedName name="__123Graph_BChart1" hidden="1">[3]TOOLS!$BB$279:$BB$284</definedName>
    <definedName name="__123Graph_BChart2" hidden="1">[3]TOOLS!$BB$281:$BB$286</definedName>
    <definedName name="__123Graph_BChart3" hidden="1">[3]TOOLS!$BB$284:$BB$289</definedName>
    <definedName name="__123Graph_BCurrent" hidden="1">[3]TOOLS!$BB$279:$BB$284</definedName>
    <definedName name="__123Graph_B利益単価" localSheetId="9" hidden="1">[4]生涯利益計画ｼｰﾄ!#REF!</definedName>
    <definedName name="__123Graph_B利益単価" localSheetId="1" hidden="1">[4]生涯利益計画ｼｰﾄ!#REF!</definedName>
    <definedName name="__123Graph_B利益単価" localSheetId="26" hidden="1">[4]生涯利益計画ｼｰﾄ!#REF!</definedName>
    <definedName name="__123Graph_B利益単価" localSheetId="21" hidden="1">[4]生涯利益計画ｼｰﾄ!#REF!</definedName>
    <definedName name="__123Graph_B利益単価" localSheetId="3" hidden="1">[4]生涯利益計画ｼｰﾄ!#REF!</definedName>
    <definedName name="__123Graph_B利益単価" localSheetId="27" hidden="1">[4]生涯利益計画ｼｰﾄ!#REF!</definedName>
    <definedName name="__123Graph_B利益単価" localSheetId="0" hidden="1">[4]生涯利益計画ｼｰﾄ!#REF!</definedName>
    <definedName name="__123Graph_B利益単価" hidden="1">[4]生涯利益計画ｼｰﾄ!#REF!</definedName>
    <definedName name="__123Graph_B利益面積" localSheetId="9" hidden="1">[4]生涯利益計画ｼｰﾄ!#REF!</definedName>
    <definedName name="__123Graph_B利益面積" localSheetId="1" hidden="1">[4]生涯利益計画ｼｰﾄ!#REF!</definedName>
    <definedName name="__123Graph_B利益面積" localSheetId="26" hidden="1">[4]生涯利益計画ｼｰﾄ!#REF!</definedName>
    <definedName name="__123Graph_B利益面積" localSheetId="21" hidden="1">[4]生涯利益計画ｼｰﾄ!#REF!</definedName>
    <definedName name="__123Graph_B利益面積" localSheetId="3" hidden="1">[4]生涯利益計画ｼｰﾄ!#REF!</definedName>
    <definedName name="__123Graph_B利益面積" localSheetId="27" hidden="1">[4]生涯利益計画ｼｰﾄ!#REF!</definedName>
    <definedName name="__123Graph_B利益面積" localSheetId="0" hidden="1">[4]生涯利益計画ｼｰﾄ!#REF!</definedName>
    <definedName name="__123Graph_B利益面積" hidden="1">[4]生涯利益計画ｼｰﾄ!#REF!</definedName>
    <definedName name="__123Graph_C" localSheetId="9" hidden="1">[4]生涯利益計画ｼｰﾄ!#REF!</definedName>
    <definedName name="__123Graph_C" localSheetId="1" hidden="1">[4]生涯利益計画ｼｰﾄ!#REF!</definedName>
    <definedName name="__123Graph_C" localSheetId="26" hidden="1">[4]生涯利益計画ｼｰﾄ!#REF!</definedName>
    <definedName name="__123Graph_C" localSheetId="21" hidden="1">[4]生涯利益計画ｼｰﾄ!#REF!</definedName>
    <definedName name="__123Graph_C" localSheetId="3" hidden="1">[4]生涯利益計画ｼｰﾄ!#REF!</definedName>
    <definedName name="__123Graph_C" localSheetId="27" hidden="1">[4]生涯利益計画ｼｰﾄ!#REF!</definedName>
    <definedName name="__123Graph_C" localSheetId="0" hidden="1">[4]生涯利益計画ｼｰﾄ!#REF!</definedName>
    <definedName name="__123Graph_C" hidden="1">[4]生涯利益計画ｼｰﾄ!#REF!</definedName>
    <definedName name="__123Graph_C利益単価" localSheetId="9" hidden="1">[4]生涯利益計画ｼｰﾄ!#REF!</definedName>
    <definedName name="__123Graph_C利益単価" localSheetId="1" hidden="1">[4]生涯利益計画ｼｰﾄ!#REF!</definedName>
    <definedName name="__123Graph_C利益単価" localSheetId="26" hidden="1">[4]生涯利益計画ｼｰﾄ!#REF!</definedName>
    <definedName name="__123Graph_C利益単価" localSheetId="21" hidden="1">[4]生涯利益計画ｼｰﾄ!#REF!</definedName>
    <definedName name="__123Graph_C利益単価" localSheetId="3" hidden="1">[4]生涯利益計画ｼｰﾄ!#REF!</definedName>
    <definedName name="__123Graph_C利益単価" localSheetId="27" hidden="1">[4]生涯利益計画ｼｰﾄ!#REF!</definedName>
    <definedName name="__123Graph_C利益単価" localSheetId="0" hidden="1">[4]生涯利益計画ｼｰﾄ!#REF!</definedName>
    <definedName name="__123Graph_C利益単価" hidden="1">[4]生涯利益計画ｼｰﾄ!#REF!</definedName>
    <definedName name="__123Graph_C利益面積" localSheetId="9" hidden="1">[4]生涯利益計画ｼｰﾄ!#REF!</definedName>
    <definedName name="__123Graph_C利益面積" localSheetId="1" hidden="1">[4]生涯利益計画ｼｰﾄ!#REF!</definedName>
    <definedName name="__123Graph_C利益面積" localSheetId="26" hidden="1">[4]生涯利益計画ｼｰﾄ!#REF!</definedName>
    <definedName name="__123Graph_C利益面積" localSheetId="21" hidden="1">[4]生涯利益計画ｼｰﾄ!#REF!</definedName>
    <definedName name="__123Graph_C利益面積" localSheetId="3" hidden="1">[4]生涯利益計画ｼｰﾄ!#REF!</definedName>
    <definedName name="__123Graph_C利益面積" localSheetId="27" hidden="1">[4]生涯利益計画ｼｰﾄ!#REF!</definedName>
    <definedName name="__123Graph_C利益面積" localSheetId="0" hidden="1">[4]生涯利益計画ｼｰﾄ!#REF!</definedName>
    <definedName name="__123Graph_C利益面積" hidden="1">[4]生涯利益計画ｼｰﾄ!#REF!</definedName>
    <definedName name="__123Graph_D" localSheetId="9" hidden="1">[4]生涯利益計画ｼｰﾄ!#REF!</definedName>
    <definedName name="__123Graph_D" localSheetId="1" hidden="1">[4]生涯利益計画ｼｰﾄ!#REF!</definedName>
    <definedName name="__123Graph_D" localSheetId="26" hidden="1">[4]生涯利益計画ｼｰﾄ!#REF!</definedName>
    <definedName name="__123Graph_D" localSheetId="21" hidden="1">[4]生涯利益計画ｼｰﾄ!#REF!</definedName>
    <definedName name="__123Graph_D" localSheetId="3" hidden="1">[4]生涯利益計画ｼｰﾄ!#REF!</definedName>
    <definedName name="__123Graph_D" localSheetId="27" hidden="1">[4]生涯利益計画ｼｰﾄ!#REF!</definedName>
    <definedName name="__123Graph_D" localSheetId="0" hidden="1">[4]生涯利益計画ｼｰﾄ!#REF!</definedName>
    <definedName name="__123Graph_D" hidden="1">[4]生涯利益計画ｼｰﾄ!#REF!</definedName>
    <definedName name="__123Graph_D利益単価" localSheetId="9" hidden="1">[4]生涯利益計画ｼｰﾄ!#REF!</definedName>
    <definedName name="__123Graph_D利益単価" localSheetId="1" hidden="1">[4]生涯利益計画ｼｰﾄ!#REF!</definedName>
    <definedName name="__123Graph_D利益単価" localSheetId="26" hidden="1">[4]生涯利益計画ｼｰﾄ!#REF!</definedName>
    <definedName name="__123Graph_D利益単価" localSheetId="21" hidden="1">[4]生涯利益計画ｼｰﾄ!#REF!</definedName>
    <definedName name="__123Graph_D利益単価" localSheetId="3" hidden="1">[4]生涯利益計画ｼｰﾄ!#REF!</definedName>
    <definedName name="__123Graph_D利益単価" localSheetId="27" hidden="1">[4]生涯利益計画ｼｰﾄ!#REF!</definedName>
    <definedName name="__123Graph_D利益単価" localSheetId="0" hidden="1">[4]生涯利益計画ｼｰﾄ!#REF!</definedName>
    <definedName name="__123Graph_D利益単価" hidden="1">[4]生涯利益計画ｼｰﾄ!#REF!</definedName>
    <definedName name="__123Graph_D利益面積" localSheetId="9" hidden="1">[4]生涯利益計画ｼｰﾄ!#REF!</definedName>
    <definedName name="__123Graph_D利益面積" localSheetId="1" hidden="1">[4]生涯利益計画ｼｰﾄ!#REF!</definedName>
    <definedName name="__123Graph_D利益面積" localSheetId="26" hidden="1">[4]生涯利益計画ｼｰﾄ!#REF!</definedName>
    <definedName name="__123Graph_D利益面積" localSheetId="21" hidden="1">[4]生涯利益計画ｼｰﾄ!#REF!</definedName>
    <definedName name="__123Graph_D利益面積" localSheetId="3" hidden="1">[4]生涯利益計画ｼｰﾄ!#REF!</definedName>
    <definedName name="__123Graph_D利益面積" localSheetId="27" hidden="1">[4]生涯利益計画ｼｰﾄ!#REF!</definedName>
    <definedName name="__123Graph_D利益面積" localSheetId="0" hidden="1">[4]生涯利益計画ｼｰﾄ!#REF!</definedName>
    <definedName name="__123Graph_D利益面積" hidden="1">[4]生涯利益計画ｼｰﾄ!#REF!</definedName>
    <definedName name="__123Graph_E" localSheetId="9" hidden="1">[4]生涯利益計画ｼｰﾄ!#REF!</definedName>
    <definedName name="__123Graph_E" localSheetId="1" hidden="1">[4]生涯利益計画ｼｰﾄ!#REF!</definedName>
    <definedName name="__123Graph_E" localSheetId="26" hidden="1">[4]生涯利益計画ｼｰﾄ!#REF!</definedName>
    <definedName name="__123Graph_E" localSheetId="21" hidden="1">[4]生涯利益計画ｼｰﾄ!#REF!</definedName>
    <definedName name="__123Graph_E" localSheetId="3" hidden="1">[4]生涯利益計画ｼｰﾄ!#REF!</definedName>
    <definedName name="__123Graph_E" localSheetId="27" hidden="1">[4]生涯利益計画ｼｰﾄ!#REF!</definedName>
    <definedName name="__123Graph_E" localSheetId="0" hidden="1">[4]生涯利益計画ｼｰﾄ!#REF!</definedName>
    <definedName name="__123Graph_E" hidden="1">[4]生涯利益計画ｼｰﾄ!#REF!</definedName>
    <definedName name="__123Graph_E利益面積" localSheetId="9" hidden="1">[4]生涯利益計画ｼｰﾄ!#REF!</definedName>
    <definedName name="__123Graph_E利益面積" localSheetId="1" hidden="1">[4]生涯利益計画ｼｰﾄ!#REF!</definedName>
    <definedName name="__123Graph_E利益面積" localSheetId="26" hidden="1">[4]生涯利益計画ｼｰﾄ!#REF!</definedName>
    <definedName name="__123Graph_E利益面積" localSheetId="21" hidden="1">[4]生涯利益計画ｼｰﾄ!#REF!</definedName>
    <definedName name="__123Graph_E利益面積" localSheetId="3" hidden="1">[4]生涯利益計画ｼｰﾄ!#REF!</definedName>
    <definedName name="__123Graph_E利益面積" localSheetId="27" hidden="1">[4]生涯利益計画ｼｰﾄ!#REF!</definedName>
    <definedName name="__123Graph_E利益面積" localSheetId="0" hidden="1">[4]生涯利益計画ｼｰﾄ!#REF!</definedName>
    <definedName name="__123Graph_E利益面積" hidden="1">[4]生涯利益計画ｼｰﾄ!#REF!</definedName>
    <definedName name="__123Graph_X" localSheetId="9" hidden="1">[1]MOTO!#REF!</definedName>
    <definedName name="__123Graph_X" localSheetId="1" hidden="1">[1]MOTO!#REF!</definedName>
    <definedName name="__123Graph_X" localSheetId="23" hidden="1">[1]MOTO!#REF!</definedName>
    <definedName name="__123Graph_X" localSheetId="22" hidden="1">[1]MOTO!#REF!</definedName>
    <definedName name="__123Graph_X" localSheetId="26" hidden="1">[2]MOTO!#REF!</definedName>
    <definedName name="__123Graph_X" localSheetId="14" hidden="1">[1]MOTO!#REF!</definedName>
    <definedName name="__123Graph_X" localSheetId="21" hidden="1">[2]MOTO!#REF!</definedName>
    <definedName name="__123Graph_X" localSheetId="3" hidden="1">[2]MOTO!#REF!</definedName>
    <definedName name="__123Graph_X" localSheetId="29" hidden="1">[1]MOTO!#REF!</definedName>
    <definedName name="__123Graph_X" localSheetId="28" hidden="1">[2]MOTO!#REF!</definedName>
    <definedName name="__123Graph_X" localSheetId="27" hidden="1">[2]MOTO!#REF!</definedName>
    <definedName name="__123Graph_X" localSheetId="0" hidden="1">[2]MOTO!#REF!</definedName>
    <definedName name="__123Graph_X" hidden="1">[1]MOTO!#REF!</definedName>
    <definedName name="__123Graph_XChart1" hidden="1">[3]TOOLS!$BA$279:$BA$284</definedName>
    <definedName name="__123Graph_XChart2" hidden="1">[3]TOOLS!$BA$281:$BA$286</definedName>
    <definedName name="__123Graph_XChart3" hidden="1">[3]TOOLS!$BA$284:$BA$289</definedName>
    <definedName name="__123Graph_XCurrent" hidden="1">[3]TOOLS!$BA$279:$BA$284</definedName>
    <definedName name="__aaa5" localSheetId="9" hidden="1">1/EUReXToNLG</definedName>
    <definedName name="__aaa5" localSheetId="1" hidden="1">1/EUReXToNLG</definedName>
    <definedName name="__aaa5" localSheetId="26" hidden="1">1/EUReXToNLG</definedName>
    <definedName name="__aaa5" localSheetId="21" hidden="1">1/EUReXToNLG</definedName>
    <definedName name="__aaa5" localSheetId="3" hidden="1">1/EUReXToNLG</definedName>
    <definedName name="__aaa5" localSheetId="28" hidden="1">1/EUReXToNLG</definedName>
    <definedName name="__aaa5" localSheetId="27" hidden="1">1/EUReXToNLG</definedName>
    <definedName name="__aaa5" localSheetId="0" hidden="1">1/EUReXToNLG</definedName>
    <definedName name="__aaa5" hidden="1">1/EUReXToNLG</definedName>
    <definedName name="_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_wrn2" localSheetId="26" hidden="1">{#N/A,#N/A,TRUE,"Summary";#N/A,#N/A,TRUE,"Balance Sheet";#N/A,#N/A,TRUE,"P &amp; L";#N/A,#N/A,TRUE,"Fixed Assets";#N/A,#N/A,TRUE,"Cash Flows"}</definedName>
    <definedName name="__wrn2" localSheetId="21" hidden="1">{#N/A,#N/A,TRUE,"Summary";#N/A,#N/A,TRUE,"Balance Sheet";#N/A,#N/A,TRUE,"P &amp; L";#N/A,#N/A,TRUE,"Fixed Assets";#N/A,#N/A,TRUE,"Cash Flows"}</definedName>
    <definedName name="__wrn2" localSheetId="3" hidden="1">{#N/A,#N/A,TRUE,"Summary";#N/A,#N/A,TRUE,"Balance Sheet";#N/A,#N/A,TRUE,"P &amp; L";#N/A,#N/A,TRUE,"Fixed Assets";#N/A,#N/A,TRUE,"Cash Flows"}</definedName>
    <definedName name="__wrn2" localSheetId="27" hidden="1">{#N/A,#N/A,TRUE,"Summary";#N/A,#N/A,TRUE,"Balance Sheet";#N/A,#N/A,TRUE,"P &amp; L";#N/A,#N/A,TRUE,"Fixed Assets";#N/A,#N/A,TRUE,"Cash Flows"}</definedName>
    <definedName name="__wrn2" localSheetId="0" hidden="1">{#N/A,#N/A,TRUE,"Summary";#N/A,#N/A,TRUE,"Balance Sheet";#N/A,#N/A,TRUE,"P &amp; L";#N/A,#N/A,TRUE,"Fixed Assets";#N/A,#N/A,TRUE,"Cash Flows"}</definedName>
    <definedName name="__wrn2" hidden="1">{#N/A,#N/A,TRUE,"Summary";#N/A,#N/A,TRUE,"Balance Sheet";#N/A,#N/A,TRUE,"P &amp; L";#N/A,#N/A,TRUE,"Fixed Assets";#N/A,#N/A,TRUE,"Cash Flows"}</definedName>
    <definedName name="_10__123Graph_AC04C_FF_L" localSheetId="9" hidden="1">[1]MOTO!#REF!</definedName>
    <definedName name="_10__123Graph_AC04C_FF_L" localSheetId="1" hidden="1">[1]MOTO!#REF!</definedName>
    <definedName name="_10__123Graph_AC04C_FF_L" localSheetId="23" hidden="1">[1]MOTO!#REF!</definedName>
    <definedName name="_10__123Graph_AC04C_FF_L" localSheetId="22" hidden="1">[1]MOTO!#REF!</definedName>
    <definedName name="_10__123Graph_AC04C_FF_L" localSheetId="26" hidden="1">[2]MOTO!#REF!</definedName>
    <definedName name="_10__123Graph_AC04C_FF_L" localSheetId="14" hidden="1">[1]MOTO!#REF!</definedName>
    <definedName name="_10__123Graph_AC04C_FF_L" localSheetId="21" hidden="1">[2]MOTO!#REF!</definedName>
    <definedName name="_10__123Graph_AC04C_FF_L" localSheetId="3" hidden="1">[2]MOTO!#REF!</definedName>
    <definedName name="_10__123Graph_AC04C_FF_L" localSheetId="29" hidden="1">[1]MOTO!#REF!</definedName>
    <definedName name="_10__123Graph_AC04C_FF_L" localSheetId="28" hidden="1">[2]MOTO!#REF!</definedName>
    <definedName name="_10__123Graph_AC04C_FF_L" localSheetId="27" hidden="1">[2]MOTO!#REF!</definedName>
    <definedName name="_10__123Graph_AC04C_FF_L" localSheetId="0" hidden="1">[2]MOTO!#REF!</definedName>
    <definedName name="_10__123Graph_AC04C_FF_L" hidden="1">[1]MOTO!#REF!</definedName>
    <definedName name="_12__123Graph_AC04C_FF_T" localSheetId="9" hidden="1">[1]MOTO!#REF!</definedName>
    <definedName name="_12__123Graph_AC04C_FF_T" localSheetId="1" hidden="1">[1]MOTO!#REF!</definedName>
    <definedName name="_12__123Graph_AC04C_FF_T" localSheetId="23" hidden="1">[1]MOTO!#REF!</definedName>
    <definedName name="_12__123Graph_AC04C_FF_T" localSheetId="22" hidden="1">[1]MOTO!#REF!</definedName>
    <definedName name="_12__123Graph_AC04C_FF_T" localSheetId="26" hidden="1">[2]MOTO!#REF!</definedName>
    <definedName name="_12__123Graph_AC04C_FF_T" localSheetId="14" hidden="1">[1]MOTO!#REF!</definedName>
    <definedName name="_12__123Graph_AC04C_FF_T" localSheetId="21" hidden="1">[2]MOTO!#REF!</definedName>
    <definedName name="_12__123Graph_AC04C_FF_T" localSheetId="3" hidden="1">[2]MOTO!#REF!</definedName>
    <definedName name="_12__123Graph_AC04C_FF_T" localSheetId="29" hidden="1">[1]MOTO!#REF!</definedName>
    <definedName name="_12__123Graph_AC04C_FF_T" localSheetId="28" hidden="1">[2]MOTO!#REF!</definedName>
    <definedName name="_12__123Graph_AC04C_FF_T" localSheetId="27" hidden="1">[2]MOTO!#REF!</definedName>
    <definedName name="_12__123Graph_AC04C_FF_T" localSheetId="0" hidden="1">[2]MOTO!#REF!</definedName>
    <definedName name="_12__123Graph_AC04C_FF_T" hidden="1">[1]MOTO!#REF!</definedName>
    <definedName name="_14__123Graph_AC04C_FR_L1" localSheetId="9" hidden="1">[1]MOTO!#REF!</definedName>
    <definedName name="_14__123Graph_AC04C_FR_L1" localSheetId="1" hidden="1">[1]MOTO!#REF!</definedName>
    <definedName name="_14__123Graph_AC04C_FR_L1" localSheetId="23" hidden="1">[1]MOTO!#REF!</definedName>
    <definedName name="_14__123Graph_AC04C_FR_L1" localSheetId="22" hidden="1">[1]MOTO!#REF!</definedName>
    <definedName name="_14__123Graph_AC04C_FR_L1" localSheetId="26" hidden="1">[2]MOTO!#REF!</definedName>
    <definedName name="_14__123Graph_AC04C_FR_L1" localSheetId="14" hidden="1">[1]MOTO!#REF!</definedName>
    <definedName name="_14__123Graph_AC04C_FR_L1" localSheetId="21" hidden="1">[2]MOTO!#REF!</definedName>
    <definedName name="_14__123Graph_AC04C_FR_L1" localSheetId="3" hidden="1">[2]MOTO!#REF!</definedName>
    <definedName name="_14__123Graph_AC04C_FR_L1" localSheetId="29" hidden="1">[1]MOTO!#REF!</definedName>
    <definedName name="_14__123Graph_AC04C_FR_L1" localSheetId="28" hidden="1">[2]MOTO!#REF!</definedName>
    <definedName name="_14__123Graph_AC04C_FR_L1" localSheetId="27" hidden="1">[2]MOTO!#REF!</definedName>
    <definedName name="_14__123Graph_AC04C_FR_L1" localSheetId="0" hidden="1">[2]MOTO!#REF!</definedName>
    <definedName name="_14__123Graph_AC04C_FR_L1" hidden="1">[1]MOTO!#REF!</definedName>
    <definedName name="_16__123Graph_AC04C_FR_L2" localSheetId="9" hidden="1">[1]MOTO!#REF!</definedName>
    <definedName name="_16__123Graph_AC04C_FR_L2" localSheetId="1" hidden="1">[1]MOTO!#REF!</definedName>
    <definedName name="_16__123Graph_AC04C_FR_L2" localSheetId="23" hidden="1">[1]MOTO!#REF!</definedName>
    <definedName name="_16__123Graph_AC04C_FR_L2" localSheetId="22" hidden="1">[1]MOTO!#REF!</definedName>
    <definedName name="_16__123Graph_AC04C_FR_L2" localSheetId="26" hidden="1">[2]MOTO!#REF!</definedName>
    <definedName name="_16__123Graph_AC04C_FR_L2" localSheetId="14" hidden="1">[1]MOTO!#REF!</definedName>
    <definedName name="_16__123Graph_AC04C_FR_L2" localSheetId="21" hidden="1">[2]MOTO!#REF!</definedName>
    <definedName name="_16__123Graph_AC04C_FR_L2" localSheetId="3" hidden="1">[2]MOTO!#REF!</definedName>
    <definedName name="_16__123Graph_AC04C_FR_L2" localSheetId="29" hidden="1">[1]MOTO!#REF!</definedName>
    <definedName name="_16__123Graph_AC04C_FR_L2" localSheetId="28" hidden="1">[2]MOTO!#REF!</definedName>
    <definedName name="_16__123Graph_AC04C_FR_L2" localSheetId="27" hidden="1">[2]MOTO!#REF!</definedName>
    <definedName name="_16__123Graph_AC04C_FR_L2" localSheetId="0" hidden="1">[2]MOTO!#REF!</definedName>
    <definedName name="_16__123Graph_AC04C_FR_L2" hidden="1">[1]MOTO!#REF!</definedName>
    <definedName name="_18__123Graph_AC04C_FR_T1" localSheetId="9" hidden="1">[1]MOTO!#REF!</definedName>
    <definedName name="_18__123Graph_AC04C_FR_T1" localSheetId="1" hidden="1">[1]MOTO!#REF!</definedName>
    <definedName name="_18__123Graph_AC04C_FR_T1" localSheetId="23" hidden="1">[1]MOTO!#REF!</definedName>
    <definedName name="_18__123Graph_AC04C_FR_T1" localSheetId="22" hidden="1">[1]MOTO!#REF!</definedName>
    <definedName name="_18__123Graph_AC04C_FR_T1" localSheetId="26" hidden="1">[2]MOTO!#REF!</definedName>
    <definedName name="_18__123Graph_AC04C_FR_T1" localSheetId="14" hidden="1">[1]MOTO!#REF!</definedName>
    <definedName name="_18__123Graph_AC04C_FR_T1" localSheetId="21" hidden="1">[2]MOTO!#REF!</definedName>
    <definedName name="_18__123Graph_AC04C_FR_T1" localSheetId="3" hidden="1">[2]MOTO!#REF!</definedName>
    <definedName name="_18__123Graph_AC04C_FR_T1" localSheetId="29" hidden="1">[1]MOTO!#REF!</definedName>
    <definedName name="_18__123Graph_AC04C_FR_T1" localSheetId="28" hidden="1">[2]MOTO!#REF!</definedName>
    <definedName name="_18__123Graph_AC04C_FR_T1" localSheetId="27" hidden="1">[2]MOTO!#REF!</definedName>
    <definedName name="_18__123Graph_AC04C_FR_T1" localSheetId="0" hidden="1">[2]MOTO!#REF!</definedName>
    <definedName name="_18__123Graph_AC04C_FR_T1" hidden="1">[1]MOTO!#REF!</definedName>
    <definedName name="_2__123Graph_AC04C_ALL_L1" localSheetId="9" hidden="1">[1]MOTO!#REF!</definedName>
    <definedName name="_2__123Graph_AC04C_ALL_L1" localSheetId="1" hidden="1">[1]MOTO!#REF!</definedName>
    <definedName name="_2__123Graph_AC04C_ALL_L1" localSheetId="23" hidden="1">[1]MOTO!#REF!</definedName>
    <definedName name="_2__123Graph_AC04C_ALL_L1" localSheetId="22" hidden="1">[1]MOTO!#REF!</definedName>
    <definedName name="_2__123Graph_AC04C_ALL_L1" localSheetId="26" hidden="1">[2]MOTO!#REF!</definedName>
    <definedName name="_2__123Graph_AC04C_ALL_L1" localSheetId="14" hidden="1">[1]MOTO!#REF!</definedName>
    <definedName name="_2__123Graph_AC04C_ALL_L1" localSheetId="21" hidden="1">[2]MOTO!#REF!</definedName>
    <definedName name="_2__123Graph_AC04C_ALL_L1" localSheetId="3" hidden="1">[2]MOTO!#REF!</definedName>
    <definedName name="_2__123Graph_AC04C_ALL_L1" localSheetId="29" hidden="1">[1]MOTO!#REF!</definedName>
    <definedName name="_2__123Graph_AC04C_ALL_L1" localSheetId="28" hidden="1">[2]MOTO!#REF!</definedName>
    <definedName name="_2__123Graph_AC04C_ALL_L1" localSheetId="27" hidden="1">[2]MOTO!#REF!</definedName>
    <definedName name="_2__123Graph_AC04C_ALL_L1" localSheetId="0" hidden="1">[2]MOTO!#REF!</definedName>
    <definedName name="_2__123Graph_AC04C_ALL_L1" hidden="1">[1]MOTO!#REF!</definedName>
    <definedName name="_20__123Graph_AC04C_FR_T2" localSheetId="9" hidden="1">[1]MOTO!#REF!</definedName>
    <definedName name="_20__123Graph_AC04C_FR_T2" localSheetId="1" hidden="1">[1]MOTO!#REF!</definedName>
    <definedName name="_20__123Graph_AC04C_FR_T2" localSheetId="23" hidden="1">[1]MOTO!#REF!</definedName>
    <definedName name="_20__123Graph_AC04C_FR_T2" localSheetId="22" hidden="1">[1]MOTO!#REF!</definedName>
    <definedName name="_20__123Graph_AC04C_FR_T2" localSheetId="26" hidden="1">[2]MOTO!#REF!</definedName>
    <definedName name="_20__123Graph_AC04C_FR_T2" localSheetId="14" hidden="1">[1]MOTO!#REF!</definedName>
    <definedName name="_20__123Graph_AC04C_FR_T2" localSheetId="21" hidden="1">[2]MOTO!#REF!</definedName>
    <definedName name="_20__123Graph_AC04C_FR_T2" localSheetId="3" hidden="1">[2]MOTO!#REF!</definedName>
    <definedName name="_20__123Graph_AC04C_FR_T2" localSheetId="29" hidden="1">[1]MOTO!#REF!</definedName>
    <definedName name="_20__123Graph_AC04C_FR_T2" localSheetId="28" hidden="1">[2]MOTO!#REF!</definedName>
    <definedName name="_20__123Graph_AC04C_FR_T2" localSheetId="27" hidden="1">[2]MOTO!#REF!</definedName>
    <definedName name="_20__123Graph_AC04C_FR_T2" localSheetId="0" hidden="1">[2]MOTO!#REF!</definedName>
    <definedName name="_20__123Graph_AC04C_FR_T2" hidden="1">[1]MOTO!#REF!</definedName>
    <definedName name="_22__123Graph_LBL_AC04C_FF_L" localSheetId="9" hidden="1">[1]MOTO!#REF!</definedName>
    <definedName name="_22__123Graph_LBL_AC04C_FF_L" localSheetId="1" hidden="1">[1]MOTO!#REF!</definedName>
    <definedName name="_22__123Graph_LBL_AC04C_FF_L" localSheetId="23" hidden="1">[1]MOTO!#REF!</definedName>
    <definedName name="_22__123Graph_LBL_AC04C_FF_L" localSheetId="22" hidden="1">[1]MOTO!#REF!</definedName>
    <definedName name="_22__123Graph_LBL_AC04C_FF_L" localSheetId="26" hidden="1">[2]MOTO!#REF!</definedName>
    <definedName name="_22__123Graph_LBL_AC04C_FF_L" localSheetId="14" hidden="1">[1]MOTO!#REF!</definedName>
    <definedName name="_22__123Graph_LBL_AC04C_FF_L" localSheetId="21" hidden="1">[2]MOTO!#REF!</definedName>
    <definedName name="_22__123Graph_LBL_AC04C_FF_L" localSheetId="3" hidden="1">[2]MOTO!#REF!</definedName>
    <definedName name="_22__123Graph_LBL_AC04C_FF_L" localSheetId="29" hidden="1">[1]MOTO!#REF!</definedName>
    <definedName name="_22__123Graph_LBL_AC04C_FF_L" localSheetId="28" hidden="1">[2]MOTO!#REF!</definedName>
    <definedName name="_22__123Graph_LBL_AC04C_FF_L" localSheetId="27" hidden="1">[2]MOTO!#REF!</definedName>
    <definedName name="_22__123Graph_LBL_AC04C_FF_L" localSheetId="0" hidden="1">[2]MOTO!#REF!</definedName>
    <definedName name="_22__123Graph_LBL_AC04C_FF_L" hidden="1">[1]MOTO!#REF!</definedName>
    <definedName name="_24__123Graph_LBL_AC04C_FF_T" localSheetId="9" hidden="1">[1]MOTO!#REF!</definedName>
    <definedName name="_24__123Graph_LBL_AC04C_FF_T" localSheetId="1" hidden="1">[1]MOTO!#REF!</definedName>
    <definedName name="_24__123Graph_LBL_AC04C_FF_T" localSheetId="23" hidden="1">[1]MOTO!#REF!</definedName>
    <definedName name="_24__123Graph_LBL_AC04C_FF_T" localSheetId="22" hidden="1">[1]MOTO!#REF!</definedName>
    <definedName name="_24__123Graph_LBL_AC04C_FF_T" localSheetId="26" hidden="1">[2]MOTO!#REF!</definedName>
    <definedName name="_24__123Graph_LBL_AC04C_FF_T" localSheetId="14" hidden="1">[1]MOTO!#REF!</definedName>
    <definedName name="_24__123Graph_LBL_AC04C_FF_T" localSheetId="21" hidden="1">[2]MOTO!#REF!</definedName>
    <definedName name="_24__123Graph_LBL_AC04C_FF_T" localSheetId="3" hidden="1">[2]MOTO!#REF!</definedName>
    <definedName name="_24__123Graph_LBL_AC04C_FF_T" localSheetId="29" hidden="1">[1]MOTO!#REF!</definedName>
    <definedName name="_24__123Graph_LBL_AC04C_FF_T" localSheetId="28" hidden="1">[2]MOTO!#REF!</definedName>
    <definedName name="_24__123Graph_LBL_AC04C_FF_T" localSheetId="27" hidden="1">[2]MOTO!#REF!</definedName>
    <definedName name="_24__123Graph_LBL_AC04C_FF_T" localSheetId="0" hidden="1">[2]MOTO!#REF!</definedName>
    <definedName name="_24__123Graph_LBL_AC04C_FF_T" hidden="1">[1]MOTO!#REF!</definedName>
    <definedName name="_26__123Graph_LBL_AC04C_FR_L1" localSheetId="9" hidden="1">[1]MOTO!#REF!</definedName>
    <definedName name="_26__123Graph_LBL_AC04C_FR_L1" localSheetId="1" hidden="1">[1]MOTO!#REF!</definedName>
    <definedName name="_26__123Graph_LBL_AC04C_FR_L1" localSheetId="23" hidden="1">[1]MOTO!#REF!</definedName>
    <definedName name="_26__123Graph_LBL_AC04C_FR_L1" localSheetId="22" hidden="1">[1]MOTO!#REF!</definedName>
    <definedName name="_26__123Graph_LBL_AC04C_FR_L1" localSheetId="26" hidden="1">[2]MOTO!#REF!</definedName>
    <definedName name="_26__123Graph_LBL_AC04C_FR_L1" localSheetId="14" hidden="1">[1]MOTO!#REF!</definedName>
    <definedName name="_26__123Graph_LBL_AC04C_FR_L1" localSheetId="21" hidden="1">[2]MOTO!#REF!</definedName>
    <definedName name="_26__123Graph_LBL_AC04C_FR_L1" localSheetId="3" hidden="1">[2]MOTO!#REF!</definedName>
    <definedName name="_26__123Graph_LBL_AC04C_FR_L1" localSheetId="29" hidden="1">[1]MOTO!#REF!</definedName>
    <definedName name="_26__123Graph_LBL_AC04C_FR_L1" localSheetId="28" hidden="1">[2]MOTO!#REF!</definedName>
    <definedName name="_26__123Graph_LBL_AC04C_FR_L1" localSheetId="27" hidden="1">[2]MOTO!#REF!</definedName>
    <definedName name="_26__123Graph_LBL_AC04C_FR_L1" localSheetId="0" hidden="1">[2]MOTO!#REF!</definedName>
    <definedName name="_26__123Graph_LBL_AC04C_FR_L1" hidden="1">[1]MOTO!#REF!</definedName>
    <definedName name="_28__123Graph_LBL_AC04C_FR_L2" localSheetId="9" hidden="1">[1]MOTO!#REF!</definedName>
    <definedName name="_28__123Graph_LBL_AC04C_FR_L2" localSheetId="1" hidden="1">[1]MOTO!#REF!</definedName>
    <definedName name="_28__123Graph_LBL_AC04C_FR_L2" localSheetId="23" hidden="1">[1]MOTO!#REF!</definedName>
    <definedName name="_28__123Graph_LBL_AC04C_FR_L2" localSheetId="22" hidden="1">[1]MOTO!#REF!</definedName>
    <definedName name="_28__123Graph_LBL_AC04C_FR_L2" localSheetId="26" hidden="1">[2]MOTO!#REF!</definedName>
    <definedName name="_28__123Graph_LBL_AC04C_FR_L2" localSheetId="14" hidden="1">[1]MOTO!#REF!</definedName>
    <definedName name="_28__123Graph_LBL_AC04C_FR_L2" localSheetId="21" hidden="1">[2]MOTO!#REF!</definedName>
    <definedName name="_28__123Graph_LBL_AC04C_FR_L2" localSheetId="3" hidden="1">[2]MOTO!#REF!</definedName>
    <definedName name="_28__123Graph_LBL_AC04C_FR_L2" localSheetId="29" hidden="1">[1]MOTO!#REF!</definedName>
    <definedName name="_28__123Graph_LBL_AC04C_FR_L2" localSheetId="28" hidden="1">[2]MOTO!#REF!</definedName>
    <definedName name="_28__123Graph_LBL_AC04C_FR_L2" localSheetId="27" hidden="1">[2]MOTO!#REF!</definedName>
    <definedName name="_28__123Graph_LBL_AC04C_FR_L2" localSheetId="0" hidden="1">[2]MOTO!#REF!</definedName>
    <definedName name="_28__123Graph_LBL_AC04C_FR_L2" hidden="1">[1]MOTO!#REF!</definedName>
    <definedName name="_30__123Graph_LBL_AC04C_FR_T1" localSheetId="9" hidden="1">[1]MOTO!#REF!</definedName>
    <definedName name="_30__123Graph_LBL_AC04C_FR_T1" localSheetId="1" hidden="1">[1]MOTO!#REF!</definedName>
    <definedName name="_30__123Graph_LBL_AC04C_FR_T1" localSheetId="23" hidden="1">[1]MOTO!#REF!</definedName>
    <definedName name="_30__123Graph_LBL_AC04C_FR_T1" localSheetId="22" hidden="1">[1]MOTO!#REF!</definedName>
    <definedName name="_30__123Graph_LBL_AC04C_FR_T1" localSheetId="26" hidden="1">[2]MOTO!#REF!</definedName>
    <definedName name="_30__123Graph_LBL_AC04C_FR_T1" localSheetId="14" hidden="1">[1]MOTO!#REF!</definedName>
    <definedName name="_30__123Graph_LBL_AC04C_FR_T1" localSheetId="21" hidden="1">[2]MOTO!#REF!</definedName>
    <definedName name="_30__123Graph_LBL_AC04C_FR_T1" localSheetId="3" hidden="1">[2]MOTO!#REF!</definedName>
    <definedName name="_30__123Graph_LBL_AC04C_FR_T1" localSheetId="29" hidden="1">[1]MOTO!#REF!</definedName>
    <definedName name="_30__123Graph_LBL_AC04C_FR_T1" localSheetId="28" hidden="1">[2]MOTO!#REF!</definedName>
    <definedName name="_30__123Graph_LBL_AC04C_FR_T1" localSheetId="27" hidden="1">[2]MOTO!#REF!</definedName>
    <definedName name="_30__123Graph_LBL_AC04C_FR_T1" localSheetId="0" hidden="1">[2]MOTO!#REF!</definedName>
    <definedName name="_30__123Graph_LBL_AC04C_FR_T1" hidden="1">[1]MOTO!#REF!</definedName>
    <definedName name="_32__123Graph_LBL_AC04C_FR_T2" localSheetId="9" hidden="1">[1]MOTO!#REF!</definedName>
    <definedName name="_32__123Graph_LBL_AC04C_FR_T2" localSheetId="1" hidden="1">[1]MOTO!#REF!</definedName>
    <definedName name="_32__123Graph_LBL_AC04C_FR_T2" localSheetId="23" hidden="1">[1]MOTO!#REF!</definedName>
    <definedName name="_32__123Graph_LBL_AC04C_FR_T2" localSheetId="22" hidden="1">[1]MOTO!#REF!</definedName>
    <definedName name="_32__123Graph_LBL_AC04C_FR_T2" localSheetId="26" hidden="1">[2]MOTO!#REF!</definedName>
    <definedName name="_32__123Graph_LBL_AC04C_FR_T2" localSheetId="14" hidden="1">[1]MOTO!#REF!</definedName>
    <definedName name="_32__123Graph_LBL_AC04C_FR_T2" localSheetId="21" hidden="1">[2]MOTO!#REF!</definedName>
    <definedName name="_32__123Graph_LBL_AC04C_FR_T2" localSheetId="3" hidden="1">[2]MOTO!#REF!</definedName>
    <definedName name="_32__123Graph_LBL_AC04C_FR_T2" localSheetId="29" hidden="1">[1]MOTO!#REF!</definedName>
    <definedName name="_32__123Graph_LBL_AC04C_FR_T2" localSheetId="28" hidden="1">[2]MOTO!#REF!</definedName>
    <definedName name="_32__123Graph_LBL_AC04C_FR_T2" localSheetId="27" hidden="1">[2]MOTO!#REF!</definedName>
    <definedName name="_32__123Graph_LBL_AC04C_FR_T2" localSheetId="0" hidden="1">[2]MOTO!#REF!</definedName>
    <definedName name="_32__123Graph_LBL_AC04C_FR_T2" hidden="1">[1]MOTO!#REF!</definedName>
    <definedName name="_34__123Graph_XC04C_ALL_T1" localSheetId="9" hidden="1">[1]MOTO!#REF!</definedName>
    <definedName name="_34__123Graph_XC04C_ALL_T1" localSheetId="1" hidden="1">[1]MOTO!#REF!</definedName>
    <definedName name="_34__123Graph_XC04C_ALL_T1" localSheetId="23" hidden="1">[1]MOTO!#REF!</definedName>
    <definedName name="_34__123Graph_XC04C_ALL_T1" localSheetId="22" hidden="1">[1]MOTO!#REF!</definedName>
    <definedName name="_34__123Graph_XC04C_ALL_T1" localSheetId="26" hidden="1">[2]MOTO!#REF!</definedName>
    <definedName name="_34__123Graph_XC04C_ALL_T1" localSheetId="14" hidden="1">[1]MOTO!#REF!</definedName>
    <definedName name="_34__123Graph_XC04C_ALL_T1" localSheetId="21" hidden="1">[2]MOTO!#REF!</definedName>
    <definedName name="_34__123Graph_XC04C_ALL_T1" localSheetId="3" hidden="1">[2]MOTO!#REF!</definedName>
    <definedName name="_34__123Graph_XC04C_ALL_T1" localSheetId="29" hidden="1">[1]MOTO!#REF!</definedName>
    <definedName name="_34__123Graph_XC04C_ALL_T1" localSheetId="28" hidden="1">[2]MOTO!#REF!</definedName>
    <definedName name="_34__123Graph_XC04C_ALL_T1" localSheetId="27" hidden="1">[2]MOTO!#REF!</definedName>
    <definedName name="_34__123Graph_XC04C_ALL_T1" localSheetId="0" hidden="1">[2]MOTO!#REF!</definedName>
    <definedName name="_34__123Graph_XC04C_ALL_T1" hidden="1">[1]MOTO!#REF!</definedName>
    <definedName name="_36__123Graph_XC04C_ALL_T2" localSheetId="9" hidden="1">[1]MOTO!#REF!</definedName>
    <definedName name="_36__123Graph_XC04C_ALL_T2" localSheetId="1" hidden="1">[1]MOTO!#REF!</definedName>
    <definedName name="_36__123Graph_XC04C_ALL_T2" localSheetId="23" hidden="1">[1]MOTO!#REF!</definedName>
    <definedName name="_36__123Graph_XC04C_ALL_T2" localSheetId="22" hidden="1">[1]MOTO!#REF!</definedName>
    <definedName name="_36__123Graph_XC04C_ALL_T2" localSheetId="26" hidden="1">[2]MOTO!#REF!</definedName>
    <definedName name="_36__123Graph_XC04C_ALL_T2" localSheetId="14" hidden="1">[1]MOTO!#REF!</definedName>
    <definedName name="_36__123Graph_XC04C_ALL_T2" localSheetId="21" hidden="1">[2]MOTO!#REF!</definedName>
    <definedName name="_36__123Graph_XC04C_ALL_T2" localSheetId="3" hidden="1">[2]MOTO!#REF!</definedName>
    <definedName name="_36__123Graph_XC04C_ALL_T2" localSheetId="29" hidden="1">[1]MOTO!#REF!</definedName>
    <definedName name="_36__123Graph_XC04C_ALL_T2" localSheetId="28" hidden="1">[2]MOTO!#REF!</definedName>
    <definedName name="_36__123Graph_XC04C_ALL_T2" localSheetId="27" hidden="1">[2]MOTO!#REF!</definedName>
    <definedName name="_36__123Graph_XC04C_ALL_T2" localSheetId="0" hidden="1">[2]MOTO!#REF!</definedName>
    <definedName name="_36__123Graph_XC04C_ALL_T2" hidden="1">[1]MOTO!#REF!</definedName>
    <definedName name="_38__123Graph_XC04C_FF_L" localSheetId="9" hidden="1">[1]MOTO!#REF!</definedName>
    <definedName name="_38__123Graph_XC04C_FF_L" localSheetId="1" hidden="1">[1]MOTO!#REF!</definedName>
    <definedName name="_38__123Graph_XC04C_FF_L" localSheetId="23" hidden="1">[1]MOTO!#REF!</definedName>
    <definedName name="_38__123Graph_XC04C_FF_L" localSheetId="22" hidden="1">[1]MOTO!#REF!</definedName>
    <definedName name="_38__123Graph_XC04C_FF_L" localSheetId="26" hidden="1">[2]MOTO!#REF!</definedName>
    <definedName name="_38__123Graph_XC04C_FF_L" localSheetId="14" hidden="1">[1]MOTO!#REF!</definedName>
    <definedName name="_38__123Graph_XC04C_FF_L" localSheetId="21" hidden="1">[2]MOTO!#REF!</definedName>
    <definedName name="_38__123Graph_XC04C_FF_L" localSheetId="3" hidden="1">[2]MOTO!#REF!</definedName>
    <definedName name="_38__123Graph_XC04C_FF_L" localSheetId="29" hidden="1">[1]MOTO!#REF!</definedName>
    <definedName name="_38__123Graph_XC04C_FF_L" localSheetId="28" hidden="1">[2]MOTO!#REF!</definedName>
    <definedName name="_38__123Graph_XC04C_FF_L" localSheetId="27" hidden="1">[2]MOTO!#REF!</definedName>
    <definedName name="_38__123Graph_XC04C_FF_L" localSheetId="0" hidden="1">[2]MOTO!#REF!</definedName>
    <definedName name="_38__123Graph_XC04C_FF_L" hidden="1">[1]MOTO!#REF!</definedName>
    <definedName name="_4__123Graph_AC04C_ALL_L2" localSheetId="9" hidden="1">[1]MOTO!#REF!</definedName>
    <definedName name="_4__123Graph_AC04C_ALL_L2" localSheetId="1" hidden="1">[1]MOTO!#REF!</definedName>
    <definedName name="_4__123Graph_AC04C_ALL_L2" localSheetId="23" hidden="1">[1]MOTO!#REF!</definedName>
    <definedName name="_4__123Graph_AC04C_ALL_L2" localSheetId="22" hidden="1">[1]MOTO!#REF!</definedName>
    <definedName name="_4__123Graph_AC04C_ALL_L2" localSheetId="26" hidden="1">[2]MOTO!#REF!</definedName>
    <definedName name="_4__123Graph_AC04C_ALL_L2" localSheetId="14" hidden="1">[1]MOTO!#REF!</definedName>
    <definedName name="_4__123Graph_AC04C_ALL_L2" localSheetId="21" hidden="1">[2]MOTO!#REF!</definedName>
    <definedName name="_4__123Graph_AC04C_ALL_L2" localSheetId="3" hidden="1">[2]MOTO!#REF!</definedName>
    <definedName name="_4__123Graph_AC04C_ALL_L2" localSheetId="29" hidden="1">[1]MOTO!#REF!</definedName>
    <definedName name="_4__123Graph_AC04C_ALL_L2" localSheetId="28" hidden="1">[2]MOTO!#REF!</definedName>
    <definedName name="_4__123Graph_AC04C_ALL_L2" localSheetId="27" hidden="1">[2]MOTO!#REF!</definedName>
    <definedName name="_4__123Graph_AC04C_ALL_L2" localSheetId="0" hidden="1">[2]MOTO!#REF!</definedName>
    <definedName name="_4__123Graph_AC04C_ALL_L2" hidden="1">[1]MOTO!#REF!</definedName>
    <definedName name="_40__123Graph_XC04C_FF_T" localSheetId="9" hidden="1">[1]MOTO!#REF!</definedName>
    <definedName name="_40__123Graph_XC04C_FF_T" localSheetId="1" hidden="1">[1]MOTO!#REF!</definedName>
    <definedName name="_40__123Graph_XC04C_FF_T" localSheetId="23" hidden="1">[1]MOTO!#REF!</definedName>
    <definedName name="_40__123Graph_XC04C_FF_T" localSheetId="22" hidden="1">[1]MOTO!#REF!</definedName>
    <definedName name="_40__123Graph_XC04C_FF_T" localSheetId="26" hidden="1">[2]MOTO!#REF!</definedName>
    <definedName name="_40__123Graph_XC04C_FF_T" localSheetId="14" hidden="1">[1]MOTO!#REF!</definedName>
    <definedName name="_40__123Graph_XC04C_FF_T" localSheetId="21" hidden="1">[2]MOTO!#REF!</definedName>
    <definedName name="_40__123Graph_XC04C_FF_T" localSheetId="3" hidden="1">[2]MOTO!#REF!</definedName>
    <definedName name="_40__123Graph_XC04C_FF_T" localSheetId="29" hidden="1">[1]MOTO!#REF!</definedName>
    <definedName name="_40__123Graph_XC04C_FF_T" localSheetId="28" hidden="1">[2]MOTO!#REF!</definedName>
    <definedName name="_40__123Graph_XC04C_FF_T" localSheetId="27" hidden="1">[2]MOTO!#REF!</definedName>
    <definedName name="_40__123Graph_XC04C_FF_T" localSheetId="0" hidden="1">[2]MOTO!#REF!</definedName>
    <definedName name="_40__123Graph_XC04C_FF_T" hidden="1">[1]MOTO!#REF!</definedName>
    <definedName name="_42__123Graph_XC04C_FR_L1" localSheetId="9" hidden="1">[1]MOTO!#REF!</definedName>
    <definedName name="_42__123Graph_XC04C_FR_L1" localSheetId="1" hidden="1">[1]MOTO!#REF!</definedName>
    <definedName name="_42__123Graph_XC04C_FR_L1" localSheetId="23" hidden="1">[1]MOTO!#REF!</definedName>
    <definedName name="_42__123Graph_XC04C_FR_L1" localSheetId="22" hidden="1">[1]MOTO!#REF!</definedName>
    <definedName name="_42__123Graph_XC04C_FR_L1" localSheetId="26" hidden="1">[2]MOTO!#REF!</definedName>
    <definedName name="_42__123Graph_XC04C_FR_L1" localSheetId="14" hidden="1">[1]MOTO!#REF!</definedName>
    <definedName name="_42__123Graph_XC04C_FR_L1" localSheetId="21" hidden="1">[2]MOTO!#REF!</definedName>
    <definedName name="_42__123Graph_XC04C_FR_L1" localSheetId="3" hidden="1">[2]MOTO!#REF!</definedName>
    <definedName name="_42__123Graph_XC04C_FR_L1" localSheetId="29" hidden="1">[1]MOTO!#REF!</definedName>
    <definedName name="_42__123Graph_XC04C_FR_L1" localSheetId="28" hidden="1">[2]MOTO!#REF!</definedName>
    <definedName name="_42__123Graph_XC04C_FR_L1" localSheetId="27" hidden="1">[2]MOTO!#REF!</definedName>
    <definedName name="_42__123Graph_XC04C_FR_L1" localSheetId="0" hidden="1">[2]MOTO!#REF!</definedName>
    <definedName name="_42__123Graph_XC04C_FR_L1" hidden="1">[1]MOTO!#REF!</definedName>
    <definedName name="_44__123Graph_XC04C_FR_L2" localSheetId="9" hidden="1">[1]MOTO!#REF!</definedName>
    <definedName name="_44__123Graph_XC04C_FR_L2" localSheetId="1" hidden="1">[1]MOTO!#REF!</definedName>
    <definedName name="_44__123Graph_XC04C_FR_L2" localSheetId="23" hidden="1">[1]MOTO!#REF!</definedName>
    <definedName name="_44__123Graph_XC04C_FR_L2" localSheetId="22" hidden="1">[1]MOTO!#REF!</definedName>
    <definedName name="_44__123Graph_XC04C_FR_L2" localSheetId="26" hidden="1">[2]MOTO!#REF!</definedName>
    <definedName name="_44__123Graph_XC04C_FR_L2" localSheetId="14" hidden="1">[1]MOTO!#REF!</definedName>
    <definedName name="_44__123Graph_XC04C_FR_L2" localSheetId="21" hidden="1">[2]MOTO!#REF!</definedName>
    <definedName name="_44__123Graph_XC04C_FR_L2" localSheetId="3" hidden="1">[2]MOTO!#REF!</definedName>
    <definedName name="_44__123Graph_XC04C_FR_L2" localSheetId="29" hidden="1">[1]MOTO!#REF!</definedName>
    <definedName name="_44__123Graph_XC04C_FR_L2" localSheetId="28" hidden="1">[2]MOTO!#REF!</definedName>
    <definedName name="_44__123Graph_XC04C_FR_L2" localSheetId="27" hidden="1">[2]MOTO!#REF!</definedName>
    <definedName name="_44__123Graph_XC04C_FR_L2" localSheetId="0" hidden="1">[2]MOTO!#REF!</definedName>
    <definedName name="_44__123Graph_XC04C_FR_L2" hidden="1">[1]MOTO!#REF!</definedName>
    <definedName name="_46__123Graph_XC04C_FR_T1" localSheetId="9" hidden="1">[1]MOTO!#REF!</definedName>
    <definedName name="_46__123Graph_XC04C_FR_T1" localSheetId="1" hidden="1">[1]MOTO!#REF!</definedName>
    <definedName name="_46__123Graph_XC04C_FR_T1" localSheetId="23" hidden="1">[1]MOTO!#REF!</definedName>
    <definedName name="_46__123Graph_XC04C_FR_T1" localSheetId="22" hidden="1">[1]MOTO!#REF!</definedName>
    <definedName name="_46__123Graph_XC04C_FR_T1" localSheetId="26" hidden="1">[2]MOTO!#REF!</definedName>
    <definedName name="_46__123Graph_XC04C_FR_T1" localSheetId="14" hidden="1">[1]MOTO!#REF!</definedName>
    <definedName name="_46__123Graph_XC04C_FR_T1" localSheetId="21" hidden="1">[2]MOTO!#REF!</definedName>
    <definedName name="_46__123Graph_XC04C_FR_T1" localSheetId="3" hidden="1">[2]MOTO!#REF!</definedName>
    <definedName name="_46__123Graph_XC04C_FR_T1" localSheetId="29" hidden="1">[1]MOTO!#REF!</definedName>
    <definedName name="_46__123Graph_XC04C_FR_T1" localSheetId="28" hidden="1">[2]MOTO!#REF!</definedName>
    <definedName name="_46__123Graph_XC04C_FR_T1" localSheetId="27" hidden="1">[2]MOTO!#REF!</definedName>
    <definedName name="_46__123Graph_XC04C_FR_T1" localSheetId="0" hidden="1">[2]MOTO!#REF!</definedName>
    <definedName name="_46__123Graph_XC04C_FR_T1" hidden="1">[1]MOTO!#REF!</definedName>
    <definedName name="_48__123Graph_XC04C_FR_T2" localSheetId="9" hidden="1">[1]MOTO!#REF!</definedName>
    <definedName name="_48__123Graph_XC04C_FR_T2" localSheetId="1" hidden="1">[1]MOTO!#REF!</definedName>
    <definedName name="_48__123Graph_XC04C_FR_T2" localSheetId="23" hidden="1">[1]MOTO!#REF!</definedName>
    <definedName name="_48__123Graph_XC04C_FR_T2" localSheetId="22" hidden="1">[1]MOTO!#REF!</definedName>
    <definedName name="_48__123Graph_XC04C_FR_T2" localSheetId="26" hidden="1">[2]MOTO!#REF!</definedName>
    <definedName name="_48__123Graph_XC04C_FR_T2" localSheetId="14" hidden="1">[1]MOTO!#REF!</definedName>
    <definedName name="_48__123Graph_XC04C_FR_T2" localSheetId="21" hidden="1">[2]MOTO!#REF!</definedName>
    <definedName name="_48__123Graph_XC04C_FR_T2" localSheetId="3" hidden="1">[2]MOTO!#REF!</definedName>
    <definedName name="_48__123Graph_XC04C_FR_T2" localSheetId="29" hidden="1">[1]MOTO!#REF!</definedName>
    <definedName name="_48__123Graph_XC04C_FR_T2" localSheetId="28" hidden="1">[2]MOTO!#REF!</definedName>
    <definedName name="_48__123Graph_XC04C_FR_T2" localSheetId="27" hidden="1">[2]MOTO!#REF!</definedName>
    <definedName name="_48__123Graph_XC04C_FR_T2" localSheetId="0" hidden="1">[2]MOTO!#REF!</definedName>
    <definedName name="_48__123Graph_XC04C_FR_T2" hidden="1">[1]MOTO!#REF!</definedName>
    <definedName name="_6__123Graph_AC04C_ALL_T1" localSheetId="9" hidden="1">[1]MOTO!#REF!</definedName>
    <definedName name="_6__123Graph_AC04C_ALL_T1" localSheetId="1" hidden="1">[1]MOTO!#REF!</definedName>
    <definedName name="_6__123Graph_AC04C_ALL_T1" localSheetId="23" hidden="1">[1]MOTO!#REF!</definedName>
    <definedName name="_6__123Graph_AC04C_ALL_T1" localSheetId="22" hidden="1">[1]MOTO!#REF!</definedName>
    <definedName name="_6__123Graph_AC04C_ALL_T1" localSheetId="26" hidden="1">[2]MOTO!#REF!</definedName>
    <definedName name="_6__123Graph_AC04C_ALL_T1" localSheetId="14" hidden="1">[1]MOTO!#REF!</definedName>
    <definedName name="_6__123Graph_AC04C_ALL_T1" localSheetId="21" hidden="1">[2]MOTO!#REF!</definedName>
    <definedName name="_6__123Graph_AC04C_ALL_T1" localSheetId="3" hidden="1">[2]MOTO!#REF!</definedName>
    <definedName name="_6__123Graph_AC04C_ALL_T1" localSheetId="29" hidden="1">[1]MOTO!#REF!</definedName>
    <definedName name="_6__123Graph_AC04C_ALL_T1" localSheetId="28" hidden="1">[2]MOTO!#REF!</definedName>
    <definedName name="_6__123Graph_AC04C_ALL_T1" localSheetId="27" hidden="1">[2]MOTO!#REF!</definedName>
    <definedName name="_6__123Graph_AC04C_ALL_T1" localSheetId="0" hidden="1">[2]MOTO!#REF!</definedName>
    <definedName name="_6__123Graph_AC04C_ALL_T1" hidden="1">[1]MOTO!#REF!</definedName>
    <definedName name="_8__123Graph_AC04C_ALL_T2" localSheetId="9" hidden="1">[1]MOTO!#REF!</definedName>
    <definedName name="_8__123Graph_AC04C_ALL_T2" localSheetId="1" hidden="1">[1]MOTO!#REF!</definedName>
    <definedName name="_8__123Graph_AC04C_ALL_T2" localSheetId="23" hidden="1">[1]MOTO!#REF!</definedName>
    <definedName name="_8__123Graph_AC04C_ALL_T2" localSheetId="22" hidden="1">[1]MOTO!#REF!</definedName>
    <definedName name="_8__123Graph_AC04C_ALL_T2" localSheetId="26" hidden="1">[2]MOTO!#REF!</definedName>
    <definedName name="_8__123Graph_AC04C_ALL_T2" localSheetId="14" hidden="1">[1]MOTO!#REF!</definedName>
    <definedName name="_8__123Graph_AC04C_ALL_T2" localSheetId="21" hidden="1">[2]MOTO!#REF!</definedName>
    <definedName name="_8__123Graph_AC04C_ALL_T2" localSheetId="3" hidden="1">[2]MOTO!#REF!</definedName>
    <definedName name="_8__123Graph_AC04C_ALL_T2" localSheetId="29" hidden="1">[1]MOTO!#REF!</definedName>
    <definedName name="_8__123Graph_AC04C_ALL_T2" localSheetId="28" hidden="1">[2]MOTO!#REF!</definedName>
    <definedName name="_8__123Graph_AC04C_ALL_T2" localSheetId="27" hidden="1">[2]MOTO!#REF!</definedName>
    <definedName name="_8__123Graph_AC04C_ALL_T2" localSheetId="0" hidden="1">[2]MOTO!#REF!</definedName>
    <definedName name="_8__123Graph_AC04C_ALL_T2" hidden="1">[1]MOTO!#REF!</definedName>
    <definedName name="_aaa5" localSheetId="9" hidden="1">1/EUReXToNLG</definedName>
    <definedName name="_aaa5" localSheetId="1" hidden="1">1/EUReXToNLG</definedName>
    <definedName name="_aaa5" localSheetId="26" hidden="1">1/EUReXToNLG</definedName>
    <definedName name="_aaa5" localSheetId="21" hidden="1">1/EUReXToNLG</definedName>
    <definedName name="_aaa5" localSheetId="3" hidden="1">1/EUReXToNLG</definedName>
    <definedName name="_aaa5" localSheetId="28" hidden="1">1/EUReXToNLG</definedName>
    <definedName name="_aaa5" localSheetId="27" hidden="1">1/EUReXToNLG</definedName>
    <definedName name="_aaa5" localSheetId="0" hidden="1">1/EUReXToNLG</definedName>
    <definedName name="_aaa5" hidden="1">1/EUReXToNLG</definedName>
    <definedName name="_bdm.3AF8F80B4A344499A1B1244952F43145.edm" localSheetId="9" hidden="1">#REF!</definedName>
    <definedName name="_bdm.3AF8F80B4A344499A1B1244952F43145.edm" localSheetId="1" hidden="1">#REF!</definedName>
    <definedName name="_bdm.3AF8F80B4A344499A1B1244952F43145.edm" localSheetId="26" hidden="1">#REF!</definedName>
    <definedName name="_bdm.3AF8F80B4A344499A1B1244952F43145.edm" localSheetId="21" hidden="1">#REF!</definedName>
    <definedName name="_bdm.3AF8F80B4A344499A1B1244952F43145.edm" localSheetId="3" hidden="1">#REF!</definedName>
    <definedName name="_bdm.3AF8F80B4A344499A1B1244952F43145.edm" localSheetId="28" hidden="1">#REF!</definedName>
    <definedName name="_bdm.3AF8F80B4A344499A1B1244952F43145.edm" localSheetId="27" hidden="1">#REF!</definedName>
    <definedName name="_bdm.3AF8F80B4A344499A1B1244952F43145.edm" localSheetId="0" hidden="1">#REF!</definedName>
    <definedName name="_bdm.3AF8F80B4A344499A1B1244952F43145.edm" hidden="1">#REF!</definedName>
    <definedName name="_bdm.D09A318443534D4CBDE6809DB3E5FD56.edm" localSheetId="9" hidden="1">#REF!</definedName>
    <definedName name="_bdm.D09A318443534D4CBDE6809DB3E5FD56.edm" localSheetId="1" hidden="1">#REF!</definedName>
    <definedName name="_bdm.D09A318443534D4CBDE6809DB3E5FD56.edm" localSheetId="26" hidden="1">#REF!</definedName>
    <definedName name="_bdm.D09A318443534D4CBDE6809DB3E5FD56.edm" localSheetId="21" hidden="1">#REF!</definedName>
    <definedName name="_bdm.D09A318443534D4CBDE6809DB3E5FD56.edm" localSheetId="3" hidden="1">#REF!</definedName>
    <definedName name="_bdm.D09A318443534D4CBDE6809DB3E5FD56.edm" localSheetId="28" hidden="1">#REF!</definedName>
    <definedName name="_bdm.D09A318443534D4CBDE6809DB3E5FD56.edm" localSheetId="27" hidden="1">#REF!</definedName>
    <definedName name="_bdm.D09A318443534D4CBDE6809DB3E5FD56.edm" localSheetId="0" hidden="1">#REF!</definedName>
    <definedName name="_bdm.D09A318443534D4CBDE6809DB3E5FD56.edm" hidden="1">#REF!</definedName>
    <definedName name="_Fill" localSheetId="9" hidden="1">#REF!</definedName>
    <definedName name="_Fill" localSheetId="1" hidden="1">#REF!</definedName>
    <definedName name="_Fill" localSheetId="23" hidden="1">#REF!</definedName>
    <definedName name="_Fill" localSheetId="22" hidden="1">#REF!</definedName>
    <definedName name="_Fill" localSheetId="26" hidden="1">'[6]EEA Steel 4 Cyl Standard Time.'!$A$9:$A$25</definedName>
    <definedName name="_Fill" localSheetId="14" hidden="1">#REF!</definedName>
    <definedName name="_Fill" localSheetId="3" hidden="1">'[6]EEA Steel 4 Cyl Standard Time.'!$A$9:$A$25</definedName>
    <definedName name="_Fill" localSheetId="29" hidden="1">#REF!</definedName>
    <definedName name="_Fill" localSheetId="0" hidden="1">'[6]EEA Steel 4 Cyl Standard Time.'!$A$9:$A$25</definedName>
    <definedName name="_Fill" hidden="1">#REF!</definedName>
    <definedName name="_xlnm._FilterDatabase" localSheetId="33" hidden="1">Backend!$A$7:$S$57</definedName>
    <definedName name="_xlnm._FilterDatabase" localSheetId="8" hidden="1">BM_Material!$L$13:$L$33</definedName>
    <definedName name="_xlnm._FilterDatabase" localSheetId="1" hidden="1">BOM!$A$2:$V$52</definedName>
    <definedName name="_xlnm._FilterDatabase" localSheetId="23" hidden="1">CM_Cavity!$B$1:$X$1</definedName>
    <definedName name="_xlnm._FilterDatabase" localSheetId="6" hidden="1">GDC_PDC_Material!$C$4:$Y$4</definedName>
    <definedName name="_xlnm._FilterDatabase" localSheetId="10" hidden="1">Hose_Material!$A$12:$AI$35</definedName>
    <definedName name="_xlnm._FilterDatabase" localSheetId="19" hidden="1">DATA_SHEET!$AN$1:$AP$24</definedName>
    <definedName name="_xlnm._FilterDatabase" localSheetId="3" hidden="1">Machining_Process!$B$24:$EW$28</definedName>
    <definedName name="_xlnm._FilterDatabase" localSheetId="28" hidden="1">'Process Base'!$A$2:$K$2</definedName>
    <definedName name="_xlnm._FilterDatabase" localSheetId="27" hidden="1">'RM Base'!$A$2:$L$2</definedName>
    <definedName name="_xlnm._FilterDatabase" localSheetId="4" hidden="1">SM_Material!$L$13:$L$32</definedName>
    <definedName name="_xlnm._FilterDatabase" localSheetId="5" hidden="1">SM_Process!$A$3:$Q$12</definedName>
    <definedName name="_xlnm._FilterDatabase" hidden="1">'[7]Vehicle Parts List'!$V$1:$V$748</definedName>
    <definedName name="_h3" localSheetId="22" hidden="1">{#N/A,#N/A,FALSE,"196126-0690";#N/A,#N/A,FALSE,"196126-0690";#N/A,#N/A,FALSE,"1961165-0201"}</definedName>
    <definedName name="_h3" localSheetId="26" hidden="1">{#N/A,#N/A,FALSE,"196126-0690";#N/A,#N/A,FALSE,"196126-0690";#N/A,#N/A,FALSE,"1961165-0201"}</definedName>
    <definedName name="_h3" localSheetId="14" hidden="1">{#N/A,#N/A,FALSE,"196126-0690";#N/A,#N/A,FALSE,"196126-0690";#N/A,#N/A,FALSE,"1961165-0201"}</definedName>
    <definedName name="_h3" localSheetId="21" hidden="1">{#N/A,#N/A,FALSE,"196126-0690";#N/A,#N/A,FALSE,"196126-0690";#N/A,#N/A,FALSE,"1961165-0201"}</definedName>
    <definedName name="_h3" localSheetId="3" hidden="1">{#N/A,#N/A,FALSE,"196126-0690";#N/A,#N/A,FALSE,"196126-0690";#N/A,#N/A,FALSE,"1961165-0201"}</definedName>
    <definedName name="_h3" localSheetId="29" hidden="1">{#N/A,#N/A,FALSE,"196126-0690";#N/A,#N/A,FALSE,"196126-0690";#N/A,#N/A,FALSE,"1961165-0201"}</definedName>
    <definedName name="_h3" localSheetId="27" hidden="1">{#N/A,#N/A,FALSE,"196126-0690";#N/A,#N/A,FALSE,"196126-0690";#N/A,#N/A,FALSE,"1961165-0201"}</definedName>
    <definedName name="_h3" localSheetId="0" hidden="1">{#N/A,#N/A,FALSE,"196126-0690";#N/A,#N/A,FALSE,"196126-0690";#N/A,#N/A,FALSE,"1961165-0201"}</definedName>
    <definedName name="_h3" hidden="1">{#N/A,#N/A,FALSE,"196126-0690";#N/A,#N/A,FALSE,"196126-0690";#N/A,#N/A,FALSE,"1961165-0201"}</definedName>
    <definedName name="_hav3" localSheetId="22" hidden="1">{#N/A,#N/A,FALSE,"196126-0690";#N/A,#N/A,FALSE,"196126-0690";#N/A,#N/A,FALSE,"1961165-0201"}</definedName>
    <definedName name="_hav3" localSheetId="26" hidden="1">{#N/A,#N/A,FALSE,"196126-0690";#N/A,#N/A,FALSE,"196126-0690";#N/A,#N/A,FALSE,"1961165-0201"}</definedName>
    <definedName name="_hav3" localSheetId="14" hidden="1">{#N/A,#N/A,FALSE,"196126-0690";#N/A,#N/A,FALSE,"196126-0690";#N/A,#N/A,FALSE,"1961165-0201"}</definedName>
    <definedName name="_hav3" localSheetId="21" hidden="1">{#N/A,#N/A,FALSE,"196126-0690";#N/A,#N/A,FALSE,"196126-0690";#N/A,#N/A,FALSE,"1961165-0201"}</definedName>
    <definedName name="_hav3" localSheetId="3" hidden="1">{#N/A,#N/A,FALSE,"196126-0690";#N/A,#N/A,FALSE,"196126-0690";#N/A,#N/A,FALSE,"1961165-0201"}</definedName>
    <definedName name="_hav3" localSheetId="29" hidden="1">{#N/A,#N/A,FALSE,"196126-0690";#N/A,#N/A,FALSE,"196126-0690";#N/A,#N/A,FALSE,"1961165-0201"}</definedName>
    <definedName name="_hav3" localSheetId="27" hidden="1">{#N/A,#N/A,FALSE,"196126-0690";#N/A,#N/A,FALSE,"196126-0690";#N/A,#N/A,FALSE,"1961165-0201"}</definedName>
    <definedName name="_hav3" localSheetId="0" hidden="1">{#N/A,#N/A,FALSE,"196126-0690";#N/A,#N/A,FALSE,"196126-0690";#N/A,#N/A,FALSE,"1961165-0201"}</definedName>
    <definedName name="_hav3" hidden="1">{#N/A,#N/A,FALSE,"196126-0690";#N/A,#N/A,FALSE,"196126-0690";#N/A,#N/A,FALSE,"1961165-0201"}</definedName>
    <definedName name="_Key1" localSheetId="9" hidden="1">#REF!</definedName>
    <definedName name="_Key1" localSheetId="1" hidden="1">#REF!</definedName>
    <definedName name="_Key1" localSheetId="23" hidden="1">#REF!</definedName>
    <definedName name="_Key1" localSheetId="22" hidden="1">#REF!</definedName>
    <definedName name="_Key1" localSheetId="26" hidden="1">[8]MISforgeforging!$L$5:$L$29</definedName>
    <definedName name="_Key1" localSheetId="14" hidden="1">#REF!</definedName>
    <definedName name="_Key1" localSheetId="3" hidden="1">[8]MISforgeforging!$L$5:$L$29</definedName>
    <definedName name="_Key1" localSheetId="29" hidden="1">#REF!</definedName>
    <definedName name="_Key1" localSheetId="0" hidden="1">[8]MISforgeforging!$L$5:$L$29</definedName>
    <definedName name="_Key1" hidden="1">#REF!</definedName>
    <definedName name="_LPS2" localSheetId="26" hidden="1">{#N/A,#N/A,FALSE,"단축1";#N/A,#N/A,FALSE,"단축2";#N/A,#N/A,FALSE,"단축3";#N/A,#N/A,FALSE,"장축";#N/A,#N/A,FALSE,"4WD"}</definedName>
    <definedName name="_LPS2" localSheetId="0" hidden="1">{#N/A,#N/A,FALSE,"단축1";#N/A,#N/A,FALSE,"단축2";#N/A,#N/A,FALSE,"단축3";#N/A,#N/A,FALSE,"장축";#N/A,#N/A,FALSE,"4WD"}</definedName>
    <definedName name="_LPS2" hidden="1">{#N/A,#N/A,FALSE,"단축1";#N/A,#N/A,FALSE,"단축2";#N/A,#N/A,FALSE,"단축3";#N/A,#N/A,FALSE,"장축";#N/A,#N/A,FALSE,"4WD"}</definedName>
    <definedName name="_Order1" hidden="1">255</definedName>
    <definedName name="_Order2" hidden="1">255</definedName>
    <definedName name="_Regression_Int" hidden="1">1</definedName>
    <definedName name="_Regression_Out" localSheetId="9" hidden="1">'[9]#REF'!#REF!</definedName>
    <definedName name="_Regression_Out" localSheetId="1" hidden="1">'[9]#REF'!#REF!</definedName>
    <definedName name="_Regression_Out" localSheetId="26" hidden="1">'[9]#REF'!#REF!</definedName>
    <definedName name="_Regression_Out" localSheetId="21" hidden="1">'[9]#REF'!#REF!</definedName>
    <definedName name="_Regression_Out" localSheetId="3" hidden="1">'[9]#REF'!#REF!</definedName>
    <definedName name="_Regression_Out" localSheetId="27" hidden="1">'[9]#REF'!#REF!</definedName>
    <definedName name="_Regression_Out" localSheetId="0" hidden="1">'[9]#REF'!#REF!</definedName>
    <definedName name="_Regression_Out" hidden="1">'[9]#REF'!#REF!</definedName>
    <definedName name="_Regression_X" localSheetId="9" hidden="1">'[9]#REF'!#REF!</definedName>
    <definedName name="_Regression_X" localSheetId="1" hidden="1">'[9]#REF'!#REF!</definedName>
    <definedName name="_Regression_X" localSheetId="26" hidden="1">'[9]#REF'!#REF!</definedName>
    <definedName name="_Regression_X" localSheetId="21" hidden="1">'[9]#REF'!#REF!</definedName>
    <definedName name="_Regression_X" localSheetId="3" hidden="1">'[9]#REF'!#REF!</definedName>
    <definedName name="_Regression_X" localSheetId="27" hidden="1">'[9]#REF'!#REF!</definedName>
    <definedName name="_Regression_X" localSheetId="0" hidden="1">'[9]#REF'!#REF!</definedName>
    <definedName name="_Regression_X" hidden="1">'[9]#REF'!#REF!</definedName>
    <definedName name="_Regression_Y" localSheetId="9" hidden="1">'[9]#REF'!#REF!</definedName>
    <definedName name="_Regression_Y" localSheetId="1" hidden="1">'[9]#REF'!#REF!</definedName>
    <definedName name="_Regression_Y" localSheetId="26" hidden="1">'[9]#REF'!#REF!</definedName>
    <definedName name="_Regression_Y" localSheetId="21" hidden="1">'[9]#REF'!#REF!</definedName>
    <definedName name="_Regression_Y" localSheetId="3" hidden="1">'[9]#REF'!#REF!</definedName>
    <definedName name="_Regression_Y" localSheetId="27" hidden="1">'[9]#REF'!#REF!</definedName>
    <definedName name="_Regression_Y" localSheetId="0" hidden="1">'[9]#REF'!#REF!</definedName>
    <definedName name="_Regression_Y" hidden="1">'[9]#REF'!#REF!</definedName>
    <definedName name="_Sort" localSheetId="9" hidden="1">#REF!</definedName>
    <definedName name="_Sort" localSheetId="1" hidden="1">#REF!</definedName>
    <definedName name="_Sort" localSheetId="23" hidden="1">#REF!</definedName>
    <definedName name="_Sort" localSheetId="22" hidden="1">#REF!</definedName>
    <definedName name="_Sort" localSheetId="26" hidden="1">'[10]OVERHEAD %'!$C$18:$C$31</definedName>
    <definedName name="_Sort" localSheetId="14" hidden="1">#REF!</definedName>
    <definedName name="_Sort" localSheetId="3" hidden="1">'[10]OVERHEAD %'!$C$18:$C$31</definedName>
    <definedName name="_Sort" localSheetId="29" hidden="1">#REF!</definedName>
    <definedName name="_Sort" localSheetId="0" hidden="1">'[10]OVERHEAD %'!$C$18:$C$31</definedName>
    <definedName name="_Sort" hidden="1">#REF!</definedName>
    <definedName name="_Table1_In1" localSheetId="9" hidden="1">'[11]094_APP別'!#REF!</definedName>
    <definedName name="_Table1_In1" localSheetId="1" hidden="1">'[11]094_APP別'!#REF!</definedName>
    <definedName name="_Table1_In1" localSheetId="26" hidden="1">'[11]094_APP別'!#REF!</definedName>
    <definedName name="_Table1_In1" localSheetId="21" hidden="1">'[11]094_APP別'!#REF!</definedName>
    <definedName name="_Table1_In1" localSheetId="3" hidden="1">'[11]094_APP別'!#REF!</definedName>
    <definedName name="_Table1_In1" localSheetId="27" hidden="1">'[11]094_APP別'!#REF!</definedName>
    <definedName name="_Table1_In1" localSheetId="0" hidden="1">'[11]094_APP別'!#REF!</definedName>
    <definedName name="_Table1_In1" hidden="1">'[11]094_APP別'!#REF!</definedName>
    <definedName name="_TOM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TOM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TOM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TOM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TOM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TOM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TOM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_wrn2" localSheetId="26" hidden="1">{#N/A,#N/A,TRUE,"Summary";#N/A,#N/A,TRUE,"Balance Sheet";#N/A,#N/A,TRUE,"P &amp; L";#N/A,#N/A,TRUE,"Fixed Assets";#N/A,#N/A,TRUE,"Cash Flows"}</definedName>
    <definedName name="_wrn2" localSheetId="21" hidden="1">{#N/A,#N/A,TRUE,"Summary";#N/A,#N/A,TRUE,"Balance Sheet";#N/A,#N/A,TRUE,"P &amp; L";#N/A,#N/A,TRUE,"Fixed Assets";#N/A,#N/A,TRUE,"Cash Flows"}</definedName>
    <definedName name="_wrn2" localSheetId="3" hidden="1">{#N/A,#N/A,TRUE,"Summary";#N/A,#N/A,TRUE,"Balance Sheet";#N/A,#N/A,TRUE,"P &amp; L";#N/A,#N/A,TRUE,"Fixed Assets";#N/A,#N/A,TRUE,"Cash Flows"}</definedName>
    <definedName name="_wrn2" localSheetId="27" hidden="1">{#N/A,#N/A,TRUE,"Summary";#N/A,#N/A,TRUE,"Balance Sheet";#N/A,#N/A,TRUE,"P &amp; L";#N/A,#N/A,TRUE,"Fixed Assets";#N/A,#N/A,TRUE,"Cash Flows"}</definedName>
    <definedName name="_wrn2" localSheetId="0" hidden="1">{#N/A,#N/A,TRUE,"Summary";#N/A,#N/A,TRUE,"Balance Sheet";#N/A,#N/A,TRUE,"P &amp; L";#N/A,#N/A,TRUE,"Fixed Assets";#N/A,#N/A,TRUE,"Cash Flows"}</definedName>
    <definedName name="_wrn2" hidden="1">{#N/A,#N/A,TRUE,"Summary";#N/A,#N/A,TRUE,"Balance Sheet";#N/A,#N/A,TRUE,"P &amp; L";#N/A,#N/A,TRUE,"Fixed Assets";#N/A,#N/A,TRUE,"Cash Flows"}</definedName>
    <definedName name="a" localSheetId="9" hidden="1">[12]MOTO!#REF!</definedName>
    <definedName name="a" localSheetId="1" hidden="1">[12]MOTO!#REF!</definedName>
    <definedName name="a" localSheetId="23" hidden="1">[12]MOTO!#REF!</definedName>
    <definedName name="a" localSheetId="22" hidden="1">[12]MOTO!#REF!</definedName>
    <definedName name="a" localSheetId="26" hidden="1">[12]MOTO!#REF!</definedName>
    <definedName name="a" localSheetId="14" hidden="1">[12]MOTO!#REF!</definedName>
    <definedName name="a" localSheetId="21" hidden="1">[12]MOTO!#REF!</definedName>
    <definedName name="a" localSheetId="3" hidden="1">[12]MOTO!#REF!</definedName>
    <definedName name="a" localSheetId="29" hidden="1">[12]MOTO!#REF!</definedName>
    <definedName name="a" localSheetId="27" hidden="1">[12]MOTO!#REF!</definedName>
    <definedName name="a" localSheetId="0" hidden="1">[12]MOTO!#REF!</definedName>
    <definedName name="a" hidden="1">[12]MOTO!#REF!</definedName>
    <definedName name="A1_00근거" localSheetId="26" hidden="1">{#N/A,#N/A,FALSE,"단축1";#N/A,#N/A,FALSE,"단축2";#N/A,#N/A,FALSE,"단축3";#N/A,#N/A,FALSE,"장축";#N/A,#N/A,FALSE,"4WD"}</definedName>
    <definedName name="A1_00근거" localSheetId="0" hidden="1">{#N/A,#N/A,FALSE,"단축1";#N/A,#N/A,FALSE,"단축2";#N/A,#N/A,FALSE,"단축3";#N/A,#N/A,FALSE,"장축";#N/A,#N/A,FALSE,"4WD"}</definedName>
    <definedName name="A1_00근거" hidden="1">{#N/A,#N/A,FALSE,"단축1";#N/A,#N/A,FALSE,"단축2";#N/A,#N/A,FALSE,"단축3";#N/A,#N/A,FALSE,"장축";#N/A,#N/A,FALSE,"4WD"}</definedName>
    <definedName name="A1_00근거_1" localSheetId="26" hidden="1">{#N/A,#N/A,FALSE,"단축1";#N/A,#N/A,FALSE,"단축2";#N/A,#N/A,FALSE,"단축3";#N/A,#N/A,FALSE,"장축";#N/A,#N/A,FALSE,"4WD"}</definedName>
    <definedName name="A1_00근거_1" localSheetId="0" hidden="1">{#N/A,#N/A,FALSE,"단축1";#N/A,#N/A,FALSE,"단축2";#N/A,#N/A,FALSE,"단축3";#N/A,#N/A,FALSE,"장축";#N/A,#N/A,FALSE,"4WD"}</definedName>
    <definedName name="A1_00근거_1" hidden="1">{#N/A,#N/A,FALSE,"단축1";#N/A,#N/A,FALSE,"단축2";#N/A,#N/A,FALSE,"단축3";#N/A,#N/A,FALSE,"장축";#N/A,#N/A,FALSE,"4WD"}</definedName>
    <definedName name="A1_00근거_1_1" localSheetId="26" hidden="1">{#N/A,#N/A,FALSE,"단축1";#N/A,#N/A,FALSE,"단축2";#N/A,#N/A,FALSE,"단축3";#N/A,#N/A,FALSE,"장축";#N/A,#N/A,FALSE,"4WD"}</definedName>
    <definedName name="A1_00근거_1_1" localSheetId="0" hidden="1">{#N/A,#N/A,FALSE,"단축1";#N/A,#N/A,FALSE,"단축2";#N/A,#N/A,FALSE,"단축3";#N/A,#N/A,FALSE,"장축";#N/A,#N/A,FALSE,"4WD"}</definedName>
    <definedName name="A1_00근거_1_1" hidden="1">{#N/A,#N/A,FALSE,"단축1";#N/A,#N/A,FALSE,"단축2";#N/A,#N/A,FALSE,"단축3";#N/A,#N/A,FALSE,"장축";#N/A,#N/A,FALSE,"4WD"}</definedName>
    <definedName name="A1_00근거_1_2" localSheetId="26" hidden="1">{#N/A,#N/A,FALSE,"단축1";#N/A,#N/A,FALSE,"단축2";#N/A,#N/A,FALSE,"단축3";#N/A,#N/A,FALSE,"장축";#N/A,#N/A,FALSE,"4WD"}</definedName>
    <definedName name="A1_00근거_1_2" localSheetId="0" hidden="1">{#N/A,#N/A,FALSE,"단축1";#N/A,#N/A,FALSE,"단축2";#N/A,#N/A,FALSE,"단축3";#N/A,#N/A,FALSE,"장축";#N/A,#N/A,FALSE,"4WD"}</definedName>
    <definedName name="A1_00근거_1_2" hidden="1">{#N/A,#N/A,FALSE,"단축1";#N/A,#N/A,FALSE,"단축2";#N/A,#N/A,FALSE,"단축3";#N/A,#N/A,FALSE,"장축";#N/A,#N/A,FALSE,"4WD"}</definedName>
    <definedName name="A1_00근거_1_3" localSheetId="26" hidden="1">{#N/A,#N/A,FALSE,"단축1";#N/A,#N/A,FALSE,"단축2";#N/A,#N/A,FALSE,"단축3";#N/A,#N/A,FALSE,"장축";#N/A,#N/A,FALSE,"4WD"}</definedName>
    <definedName name="A1_00근거_1_3" localSheetId="0" hidden="1">{#N/A,#N/A,FALSE,"단축1";#N/A,#N/A,FALSE,"단축2";#N/A,#N/A,FALSE,"단축3";#N/A,#N/A,FALSE,"장축";#N/A,#N/A,FALSE,"4WD"}</definedName>
    <definedName name="A1_00근거_1_3" hidden="1">{#N/A,#N/A,FALSE,"단축1";#N/A,#N/A,FALSE,"단축2";#N/A,#N/A,FALSE,"단축3";#N/A,#N/A,FALSE,"장축";#N/A,#N/A,FALSE,"4WD"}</definedName>
    <definedName name="A1_00근거_2" localSheetId="26" hidden="1">{#N/A,#N/A,FALSE,"단축1";#N/A,#N/A,FALSE,"단축2";#N/A,#N/A,FALSE,"단축3";#N/A,#N/A,FALSE,"장축";#N/A,#N/A,FALSE,"4WD"}</definedName>
    <definedName name="A1_00근거_2" localSheetId="0" hidden="1">{#N/A,#N/A,FALSE,"단축1";#N/A,#N/A,FALSE,"단축2";#N/A,#N/A,FALSE,"단축3";#N/A,#N/A,FALSE,"장축";#N/A,#N/A,FALSE,"4WD"}</definedName>
    <definedName name="A1_00근거_2" hidden="1">{#N/A,#N/A,FALSE,"단축1";#N/A,#N/A,FALSE,"단축2";#N/A,#N/A,FALSE,"단축3";#N/A,#N/A,FALSE,"장축";#N/A,#N/A,FALSE,"4WD"}</definedName>
    <definedName name="A1_00근거_2_1" localSheetId="26" hidden="1">{#N/A,#N/A,FALSE,"단축1";#N/A,#N/A,FALSE,"단축2";#N/A,#N/A,FALSE,"단축3";#N/A,#N/A,FALSE,"장축";#N/A,#N/A,FALSE,"4WD"}</definedName>
    <definedName name="A1_00근거_2_1" localSheetId="0" hidden="1">{#N/A,#N/A,FALSE,"단축1";#N/A,#N/A,FALSE,"단축2";#N/A,#N/A,FALSE,"단축3";#N/A,#N/A,FALSE,"장축";#N/A,#N/A,FALSE,"4WD"}</definedName>
    <definedName name="A1_00근거_2_1" hidden="1">{#N/A,#N/A,FALSE,"단축1";#N/A,#N/A,FALSE,"단축2";#N/A,#N/A,FALSE,"단축3";#N/A,#N/A,FALSE,"장축";#N/A,#N/A,FALSE,"4WD"}</definedName>
    <definedName name="A1_00근거_2_2" localSheetId="26" hidden="1">{#N/A,#N/A,FALSE,"단축1";#N/A,#N/A,FALSE,"단축2";#N/A,#N/A,FALSE,"단축3";#N/A,#N/A,FALSE,"장축";#N/A,#N/A,FALSE,"4WD"}</definedName>
    <definedName name="A1_00근거_2_2" localSheetId="0" hidden="1">{#N/A,#N/A,FALSE,"단축1";#N/A,#N/A,FALSE,"단축2";#N/A,#N/A,FALSE,"단축3";#N/A,#N/A,FALSE,"장축";#N/A,#N/A,FALSE,"4WD"}</definedName>
    <definedName name="A1_00근거_2_2" hidden="1">{#N/A,#N/A,FALSE,"단축1";#N/A,#N/A,FALSE,"단축2";#N/A,#N/A,FALSE,"단축3";#N/A,#N/A,FALSE,"장축";#N/A,#N/A,FALSE,"4WD"}</definedName>
    <definedName name="A1_00근거_3" localSheetId="26" hidden="1">{#N/A,#N/A,FALSE,"단축1";#N/A,#N/A,FALSE,"단축2";#N/A,#N/A,FALSE,"단축3";#N/A,#N/A,FALSE,"장축";#N/A,#N/A,FALSE,"4WD"}</definedName>
    <definedName name="A1_00근거_3" localSheetId="0" hidden="1">{#N/A,#N/A,FALSE,"단축1";#N/A,#N/A,FALSE,"단축2";#N/A,#N/A,FALSE,"단축3";#N/A,#N/A,FALSE,"장축";#N/A,#N/A,FALSE,"4WD"}</definedName>
    <definedName name="A1_00근거_3" hidden="1">{#N/A,#N/A,FALSE,"단축1";#N/A,#N/A,FALSE,"단축2";#N/A,#N/A,FALSE,"단축3";#N/A,#N/A,FALSE,"장축";#N/A,#N/A,FALSE,"4WD"}</definedName>
    <definedName name="A1_00근거_4" localSheetId="26" hidden="1">{#N/A,#N/A,FALSE,"단축1";#N/A,#N/A,FALSE,"단축2";#N/A,#N/A,FALSE,"단축3";#N/A,#N/A,FALSE,"장축";#N/A,#N/A,FALSE,"4WD"}</definedName>
    <definedName name="A1_00근거_4" localSheetId="0" hidden="1">{#N/A,#N/A,FALSE,"단축1";#N/A,#N/A,FALSE,"단축2";#N/A,#N/A,FALSE,"단축3";#N/A,#N/A,FALSE,"장축";#N/A,#N/A,FALSE,"4WD"}</definedName>
    <definedName name="A1_00근거_4" hidden="1">{#N/A,#N/A,FALSE,"단축1";#N/A,#N/A,FALSE,"단축2";#N/A,#N/A,FALSE,"단축3";#N/A,#N/A,FALSE,"장축";#N/A,#N/A,FALSE,"4WD"}</definedName>
    <definedName name="A1_00근거_5" localSheetId="26" hidden="1">{#N/A,#N/A,FALSE,"단축1";#N/A,#N/A,FALSE,"단축2";#N/A,#N/A,FALSE,"단축3";#N/A,#N/A,FALSE,"장축";#N/A,#N/A,FALSE,"4WD"}</definedName>
    <definedName name="A1_00근거_5" localSheetId="0" hidden="1">{#N/A,#N/A,FALSE,"단축1";#N/A,#N/A,FALSE,"단축2";#N/A,#N/A,FALSE,"단축3";#N/A,#N/A,FALSE,"장축";#N/A,#N/A,FALSE,"4WD"}</definedName>
    <definedName name="A1_00근거_5" hidden="1">{#N/A,#N/A,FALSE,"단축1";#N/A,#N/A,FALSE,"단축2";#N/A,#N/A,FALSE,"단축3";#N/A,#N/A,FALSE,"장축";#N/A,#N/A,FALSE,"4WD"}</definedName>
    <definedName name="aa" localSheetId="22" hidden="1">{#N/A,#N/A,FALSE,"196126-0690";#N/A,#N/A,FALSE,"196126-0690";#N/A,#N/A,FALSE,"1961165-0201"}</definedName>
    <definedName name="aa" localSheetId="26" hidden="1">[13]MOTO!#REF!</definedName>
    <definedName name="aa" localSheetId="14" hidden="1">{#N/A,#N/A,FALSE,"196126-0690";#N/A,#N/A,FALSE,"196126-0690";#N/A,#N/A,FALSE,"1961165-0201"}</definedName>
    <definedName name="aa" localSheetId="21" hidden="1">[13]MOTO!#REF!</definedName>
    <definedName name="aa" localSheetId="3" hidden="1">[13]MOTO!#REF!</definedName>
    <definedName name="aa" localSheetId="29" hidden="1">{#N/A,#N/A,FALSE,"196126-0690";#N/A,#N/A,FALSE,"196126-0690";#N/A,#N/A,FALSE,"1961165-0201"}</definedName>
    <definedName name="aa" localSheetId="28" hidden="1">[13]MOTO!#REF!</definedName>
    <definedName name="aa" localSheetId="27" hidden="1">[13]MOTO!#REF!</definedName>
    <definedName name="aa" localSheetId="0" hidden="1">[13]MOTO!#REF!</definedName>
    <definedName name="aa" hidden="1">{#N/A,#N/A,FALSE,"196126-0690";#N/A,#N/A,FALSE,"196126-0690";#N/A,#N/A,FALSE,"1961165-0201"}</definedName>
    <definedName name="aaaa1" localSheetId="9" hidden="1">1/EUReXToIEP</definedName>
    <definedName name="aaaa1" localSheetId="1" hidden="1">1/EUReXToIEP</definedName>
    <definedName name="aaaa1" localSheetId="26" hidden="1">1/EUReXToIEP</definedName>
    <definedName name="aaaa1" localSheetId="21" hidden="1">1/EUReXToIEP</definedName>
    <definedName name="aaaa1" localSheetId="3" hidden="1">1/EUReXToIEP</definedName>
    <definedName name="aaaa1" localSheetId="28" hidden="1">1/EUReXToIEP</definedName>
    <definedName name="aaaa1" localSheetId="27" hidden="1">1/EUReXToIEP</definedName>
    <definedName name="aaaa1" localSheetId="0" hidden="1">1/EUReXToIEP</definedName>
    <definedName name="aaaa1" hidden="1">1/EUReXToIEP</definedName>
    <definedName name="aaaa2" localSheetId="9" hidden="1">1/EUReXToITL</definedName>
    <definedName name="aaaa2" localSheetId="1" hidden="1">1/EUReXToITL</definedName>
    <definedName name="aaaa2" localSheetId="26" hidden="1">1/EUReXToITL</definedName>
    <definedName name="aaaa2" localSheetId="21" hidden="1">1/EUReXToITL</definedName>
    <definedName name="aaaa2" localSheetId="3" hidden="1">1/EUReXToITL</definedName>
    <definedName name="aaaa2" localSheetId="28" hidden="1">1/EUReXToITL</definedName>
    <definedName name="aaaa2" localSheetId="27" hidden="1">1/EUReXToITL</definedName>
    <definedName name="aaaa2" localSheetId="0" hidden="1">1/EUReXToITL</definedName>
    <definedName name="aaaa2" hidden="1">1/EUReXToITL</definedName>
    <definedName name="aaaa3" localSheetId="9" hidden="1">1/EUReXToLUF</definedName>
    <definedName name="aaaa3" localSheetId="1" hidden="1">1/EUReXToLUF</definedName>
    <definedName name="aaaa3" localSheetId="26" hidden="1">1/EUReXToLUF</definedName>
    <definedName name="aaaa3" localSheetId="21" hidden="1">1/EUReXToLUF</definedName>
    <definedName name="aaaa3" localSheetId="3" hidden="1">1/EUReXToLUF</definedName>
    <definedName name="aaaa3" localSheetId="28" hidden="1">1/EUReXToLUF</definedName>
    <definedName name="aaaa3" localSheetId="27" hidden="1">1/EUReXToLUF</definedName>
    <definedName name="aaaa3" localSheetId="0" hidden="1">1/EUReXToLUF</definedName>
    <definedName name="aaaa3" hidden="1">1/EUReXToLUF</definedName>
    <definedName name="aaaa4" localSheetId="9" hidden="1">1/EUReXToNLG</definedName>
    <definedName name="aaaa4" localSheetId="1" hidden="1">1/EUReXToNLG</definedName>
    <definedName name="aaaa4" localSheetId="26" hidden="1">1/EUReXToNLG</definedName>
    <definedName name="aaaa4" localSheetId="21" hidden="1">1/EUReXToNLG</definedName>
    <definedName name="aaaa4" localSheetId="3" hidden="1">1/EUReXToNLG</definedName>
    <definedName name="aaaa4" localSheetId="28" hidden="1">1/EUReXToNLG</definedName>
    <definedName name="aaaa4" localSheetId="27" hidden="1">1/EUReXToNLG</definedName>
    <definedName name="aaaa4" localSheetId="0" hidden="1">1/EUReXToNLG</definedName>
    <definedName name="aaaa4" hidden="1">1/EUReXToNLG</definedName>
    <definedName name="aaaa5" localSheetId="9" hidden="1">1/EUReXToPTE</definedName>
    <definedName name="aaaa5" localSheetId="1" hidden="1">1/EUReXToPTE</definedName>
    <definedName name="aaaa5" localSheetId="26" hidden="1">1/EUReXToPTE</definedName>
    <definedName name="aaaa5" localSheetId="21" hidden="1">1/EUReXToPTE</definedName>
    <definedName name="aaaa5" localSheetId="3" hidden="1">1/EUReXToPTE</definedName>
    <definedName name="aaaa5" localSheetId="28" hidden="1">1/EUReXToPTE</definedName>
    <definedName name="aaaa5" localSheetId="27" hidden="1">1/EUReXToPTE</definedName>
    <definedName name="aaaa5" localSheetId="0" hidden="1">1/EUReXToPTE</definedName>
    <definedName name="aaaa5" hidden="1">1/EUReXToPTE</definedName>
    <definedName name="aaaa6" localSheetId="9" hidden="1">1/EUReXToATS</definedName>
    <definedName name="aaaa6" localSheetId="1" hidden="1">1/EUReXToATS</definedName>
    <definedName name="aaaa6" localSheetId="26" hidden="1">1/EUReXToATS</definedName>
    <definedName name="aaaa6" localSheetId="21" hidden="1">1/EUReXToATS</definedName>
    <definedName name="aaaa6" localSheetId="3" hidden="1">1/EUReXToATS</definedName>
    <definedName name="aaaa6" localSheetId="28" hidden="1">1/EUReXToATS</definedName>
    <definedName name="aaaa6" localSheetId="27" hidden="1">1/EUReXToATS</definedName>
    <definedName name="aaaa6" localSheetId="0" hidden="1">1/EUReXToATS</definedName>
    <definedName name="aaaa6" hidden="1">1/EUReXToATS</definedName>
    <definedName name="aaaaa" localSheetId="9" hidden="1">1/EUReXToATS</definedName>
    <definedName name="aaaaa" localSheetId="1" hidden="1">1/EUReXToATS</definedName>
    <definedName name="aaaaa" localSheetId="26" hidden="1">1/EUReXToATS</definedName>
    <definedName name="aaaaa" localSheetId="21" hidden="1">1/EUReXToATS</definedName>
    <definedName name="aaaaa" localSheetId="3" hidden="1">1/EUReXToATS</definedName>
    <definedName name="aaaaa" localSheetId="28" hidden="1">1/EUReXToATS</definedName>
    <definedName name="aaaaa" localSheetId="27" hidden="1">1/EUReXToATS</definedName>
    <definedName name="aaaaa" localSheetId="0" hidden="1">1/EUReXToATS</definedName>
    <definedName name="aaaaa" hidden="1">1/EUReXToATS</definedName>
    <definedName name="aaaaa1" localSheetId="9" hidden="1">1/EUReXToIEP</definedName>
    <definedName name="aaaaa1" localSheetId="1" hidden="1">1/EUReXToIEP</definedName>
    <definedName name="aaaaa1" localSheetId="26" hidden="1">1/EUReXToIEP</definedName>
    <definedName name="aaaaa1" localSheetId="21" hidden="1">1/EUReXToIEP</definedName>
    <definedName name="aaaaa1" localSheetId="3" hidden="1">1/EUReXToIEP</definedName>
    <definedName name="aaaaa1" localSheetId="28" hidden="1">1/EUReXToIEP</definedName>
    <definedName name="aaaaa1" localSheetId="27" hidden="1">1/EUReXToIEP</definedName>
    <definedName name="aaaaa1" localSheetId="0" hidden="1">1/EUReXToIEP</definedName>
    <definedName name="aaaaa1" hidden="1">1/EUReXToIEP</definedName>
    <definedName name="aaaab" localSheetId="9" hidden="1">1/EUReXToDEM</definedName>
    <definedName name="aaaab" localSheetId="1" hidden="1">1/EUReXToDEM</definedName>
    <definedName name="aaaab" localSheetId="26" hidden="1">1/EUReXToDEM</definedName>
    <definedName name="aaaab" localSheetId="21" hidden="1">1/EUReXToDEM</definedName>
    <definedName name="aaaab" localSheetId="3" hidden="1">1/EUReXToDEM</definedName>
    <definedName name="aaaab" localSheetId="28" hidden="1">1/EUReXToDEM</definedName>
    <definedName name="aaaab" localSheetId="27" hidden="1">1/EUReXToDEM</definedName>
    <definedName name="aaaab" localSheetId="0" hidden="1">1/EUReXToDEM</definedName>
    <definedName name="aaaab" hidden="1">1/EUReXToDEM</definedName>
    <definedName name="aaaac" localSheetId="9" hidden="1">1/EUReXToESP</definedName>
    <definedName name="aaaac" localSheetId="1" hidden="1">1/EUReXToESP</definedName>
    <definedName name="aaaac" localSheetId="26" hidden="1">1/EUReXToESP</definedName>
    <definedName name="aaaac" localSheetId="21" hidden="1">1/EUReXToESP</definedName>
    <definedName name="aaaac" localSheetId="3" hidden="1">1/EUReXToESP</definedName>
    <definedName name="aaaac" localSheetId="28" hidden="1">1/EUReXToESP</definedName>
    <definedName name="aaaac" localSheetId="27" hidden="1">1/EUReXToESP</definedName>
    <definedName name="aaaac" localSheetId="0" hidden="1">1/EUReXToESP</definedName>
    <definedName name="aaaac" hidden="1">1/EUReXToESP</definedName>
    <definedName name="aaaad" localSheetId="9" hidden="1">1/EUReXToFIM</definedName>
    <definedName name="aaaad" localSheetId="1" hidden="1">1/EUReXToFIM</definedName>
    <definedName name="aaaad" localSheetId="26" hidden="1">1/EUReXToFIM</definedName>
    <definedName name="aaaad" localSheetId="21" hidden="1">1/EUReXToFIM</definedName>
    <definedName name="aaaad" localSheetId="3" hidden="1">1/EUReXToFIM</definedName>
    <definedName name="aaaad" localSheetId="28" hidden="1">1/EUReXToFIM</definedName>
    <definedName name="aaaad" localSheetId="27" hidden="1">1/EUReXToFIM</definedName>
    <definedName name="aaaad" localSheetId="0" hidden="1">1/EUReXToFIM</definedName>
    <definedName name="aaaad" hidden="1">1/EUReXToFIM</definedName>
    <definedName name="aaaae" localSheetId="9" hidden="1">1/EUReXToFRF</definedName>
    <definedName name="aaaae" localSheetId="1" hidden="1">1/EUReXToFRF</definedName>
    <definedName name="aaaae" localSheetId="26" hidden="1">1/EUReXToFRF</definedName>
    <definedName name="aaaae" localSheetId="21" hidden="1">1/EUReXToFRF</definedName>
    <definedName name="aaaae" localSheetId="3" hidden="1">1/EUReXToFRF</definedName>
    <definedName name="aaaae" localSheetId="28" hidden="1">1/EUReXToFRF</definedName>
    <definedName name="aaaae" localSheetId="27" hidden="1">1/EUReXToFRF</definedName>
    <definedName name="aaaae" localSheetId="0" hidden="1">1/EUReXToFRF</definedName>
    <definedName name="aaaae" hidden="1">1/EUReXToFRF</definedName>
    <definedName name="Aas" localSheetId="26" hidden="1">{#N/A,#N/A,FALSE,"을지 (4)";#N/A,#N/A,FALSE,"을지 (5)";#N/A,#N/A,FALSE,"을지 (6)"}</definedName>
    <definedName name="Aas" localSheetId="0" hidden="1">{#N/A,#N/A,FALSE,"을지 (4)";#N/A,#N/A,FALSE,"을지 (5)";#N/A,#N/A,FALSE,"을지 (6)"}</definedName>
    <definedName name="Aas" hidden="1">{#N/A,#N/A,FALSE,"을지 (4)";#N/A,#N/A,FALSE,"을지 (5)";#N/A,#N/A,FALSE,"을지 (6)"}</definedName>
    <definedName name="Aas_1" localSheetId="26" hidden="1">{#N/A,#N/A,FALSE,"을지 (4)";#N/A,#N/A,FALSE,"을지 (5)";#N/A,#N/A,FALSE,"을지 (6)"}</definedName>
    <definedName name="Aas_1" localSheetId="0" hidden="1">{#N/A,#N/A,FALSE,"을지 (4)";#N/A,#N/A,FALSE,"을지 (5)";#N/A,#N/A,FALSE,"을지 (6)"}</definedName>
    <definedName name="Aas_1" hidden="1">{#N/A,#N/A,FALSE,"을지 (4)";#N/A,#N/A,FALSE,"을지 (5)";#N/A,#N/A,FALSE,"을지 (6)"}</definedName>
    <definedName name="Aas_1_1" localSheetId="26" hidden="1">{#N/A,#N/A,FALSE,"을지 (4)";#N/A,#N/A,FALSE,"을지 (5)";#N/A,#N/A,FALSE,"을지 (6)"}</definedName>
    <definedName name="Aas_1_1" localSheetId="0" hidden="1">{#N/A,#N/A,FALSE,"을지 (4)";#N/A,#N/A,FALSE,"을지 (5)";#N/A,#N/A,FALSE,"을지 (6)"}</definedName>
    <definedName name="Aas_1_1" hidden="1">{#N/A,#N/A,FALSE,"을지 (4)";#N/A,#N/A,FALSE,"을지 (5)";#N/A,#N/A,FALSE,"을지 (6)"}</definedName>
    <definedName name="Aas_1_2" localSheetId="26" hidden="1">{#N/A,#N/A,FALSE,"을지 (4)";#N/A,#N/A,FALSE,"을지 (5)";#N/A,#N/A,FALSE,"을지 (6)"}</definedName>
    <definedName name="Aas_1_2" localSheetId="0" hidden="1">{#N/A,#N/A,FALSE,"을지 (4)";#N/A,#N/A,FALSE,"을지 (5)";#N/A,#N/A,FALSE,"을지 (6)"}</definedName>
    <definedName name="Aas_1_2" hidden="1">{#N/A,#N/A,FALSE,"을지 (4)";#N/A,#N/A,FALSE,"을지 (5)";#N/A,#N/A,FALSE,"을지 (6)"}</definedName>
    <definedName name="Aas_1_3" localSheetId="26" hidden="1">{#N/A,#N/A,FALSE,"을지 (4)";#N/A,#N/A,FALSE,"을지 (5)";#N/A,#N/A,FALSE,"을지 (6)"}</definedName>
    <definedName name="Aas_1_3" localSheetId="0" hidden="1">{#N/A,#N/A,FALSE,"을지 (4)";#N/A,#N/A,FALSE,"을지 (5)";#N/A,#N/A,FALSE,"을지 (6)"}</definedName>
    <definedName name="Aas_1_3" hidden="1">{#N/A,#N/A,FALSE,"을지 (4)";#N/A,#N/A,FALSE,"을지 (5)";#N/A,#N/A,FALSE,"을지 (6)"}</definedName>
    <definedName name="Aas_2" localSheetId="26" hidden="1">{#N/A,#N/A,FALSE,"을지 (4)";#N/A,#N/A,FALSE,"을지 (5)";#N/A,#N/A,FALSE,"을지 (6)"}</definedName>
    <definedName name="Aas_2" localSheetId="0" hidden="1">{#N/A,#N/A,FALSE,"을지 (4)";#N/A,#N/A,FALSE,"을지 (5)";#N/A,#N/A,FALSE,"을지 (6)"}</definedName>
    <definedName name="Aas_2" hidden="1">{#N/A,#N/A,FALSE,"을지 (4)";#N/A,#N/A,FALSE,"을지 (5)";#N/A,#N/A,FALSE,"을지 (6)"}</definedName>
    <definedName name="Aas_2_1" localSheetId="26" hidden="1">{#N/A,#N/A,FALSE,"을지 (4)";#N/A,#N/A,FALSE,"을지 (5)";#N/A,#N/A,FALSE,"을지 (6)"}</definedName>
    <definedName name="Aas_2_1" localSheetId="0" hidden="1">{#N/A,#N/A,FALSE,"을지 (4)";#N/A,#N/A,FALSE,"을지 (5)";#N/A,#N/A,FALSE,"을지 (6)"}</definedName>
    <definedName name="Aas_2_1" hidden="1">{#N/A,#N/A,FALSE,"을지 (4)";#N/A,#N/A,FALSE,"을지 (5)";#N/A,#N/A,FALSE,"을지 (6)"}</definedName>
    <definedName name="Aas_2_2" localSheetId="26" hidden="1">{#N/A,#N/A,FALSE,"을지 (4)";#N/A,#N/A,FALSE,"을지 (5)";#N/A,#N/A,FALSE,"을지 (6)"}</definedName>
    <definedName name="Aas_2_2" localSheetId="0" hidden="1">{#N/A,#N/A,FALSE,"을지 (4)";#N/A,#N/A,FALSE,"을지 (5)";#N/A,#N/A,FALSE,"을지 (6)"}</definedName>
    <definedName name="Aas_2_2" hidden="1">{#N/A,#N/A,FALSE,"을지 (4)";#N/A,#N/A,FALSE,"을지 (5)";#N/A,#N/A,FALSE,"을지 (6)"}</definedName>
    <definedName name="Aas_3" localSheetId="26" hidden="1">{#N/A,#N/A,FALSE,"을지 (4)";#N/A,#N/A,FALSE,"을지 (5)";#N/A,#N/A,FALSE,"을지 (6)"}</definedName>
    <definedName name="Aas_3" localSheetId="0" hidden="1">{#N/A,#N/A,FALSE,"을지 (4)";#N/A,#N/A,FALSE,"을지 (5)";#N/A,#N/A,FALSE,"을지 (6)"}</definedName>
    <definedName name="Aas_3" hidden="1">{#N/A,#N/A,FALSE,"을지 (4)";#N/A,#N/A,FALSE,"을지 (5)";#N/A,#N/A,FALSE,"을지 (6)"}</definedName>
    <definedName name="Aas_4" localSheetId="26" hidden="1">{#N/A,#N/A,FALSE,"을지 (4)";#N/A,#N/A,FALSE,"을지 (5)";#N/A,#N/A,FALSE,"을지 (6)"}</definedName>
    <definedName name="Aas_4" localSheetId="0" hidden="1">{#N/A,#N/A,FALSE,"을지 (4)";#N/A,#N/A,FALSE,"을지 (5)";#N/A,#N/A,FALSE,"을지 (6)"}</definedName>
    <definedName name="Aas_4" hidden="1">{#N/A,#N/A,FALSE,"을지 (4)";#N/A,#N/A,FALSE,"을지 (5)";#N/A,#N/A,FALSE,"을지 (6)"}</definedName>
    <definedName name="Aas_5" localSheetId="26" hidden="1">{#N/A,#N/A,FALSE,"을지 (4)";#N/A,#N/A,FALSE,"을지 (5)";#N/A,#N/A,FALSE,"을지 (6)"}</definedName>
    <definedName name="Aas_5" localSheetId="0" hidden="1">{#N/A,#N/A,FALSE,"을지 (4)";#N/A,#N/A,FALSE,"을지 (5)";#N/A,#N/A,FALSE,"을지 (6)"}</definedName>
    <definedName name="Aas_5" hidden="1">{#N/A,#N/A,FALSE,"을지 (4)";#N/A,#N/A,FALSE,"을지 (5)";#N/A,#N/A,FALSE,"을지 (6)"}</definedName>
    <definedName name="ABDD" localSheetId="26" hidden="1">{#N/A,#N/A,FALSE,"단축1";#N/A,#N/A,FALSE,"단축2";#N/A,#N/A,FALSE,"단축3";#N/A,#N/A,FALSE,"장축";#N/A,#N/A,FALSE,"4WD"}</definedName>
    <definedName name="ABDD" localSheetId="0" hidden="1">{#N/A,#N/A,FALSE,"단축1";#N/A,#N/A,FALSE,"단축2";#N/A,#N/A,FALSE,"단축3";#N/A,#N/A,FALSE,"장축";#N/A,#N/A,FALSE,"4WD"}</definedName>
    <definedName name="ABDD" hidden="1">{#N/A,#N/A,FALSE,"단축1";#N/A,#N/A,FALSE,"단축2";#N/A,#N/A,FALSE,"단축3";#N/A,#N/A,FALSE,"장축";#N/A,#N/A,FALSE,"4WD"}</definedName>
    <definedName name="ABDD_1" localSheetId="26" hidden="1">{#N/A,#N/A,FALSE,"단축1";#N/A,#N/A,FALSE,"단축2";#N/A,#N/A,FALSE,"단축3";#N/A,#N/A,FALSE,"장축";#N/A,#N/A,FALSE,"4WD"}</definedName>
    <definedName name="ABDD_1" localSheetId="0" hidden="1">{#N/A,#N/A,FALSE,"단축1";#N/A,#N/A,FALSE,"단축2";#N/A,#N/A,FALSE,"단축3";#N/A,#N/A,FALSE,"장축";#N/A,#N/A,FALSE,"4WD"}</definedName>
    <definedName name="ABDD_1" hidden="1">{#N/A,#N/A,FALSE,"단축1";#N/A,#N/A,FALSE,"단축2";#N/A,#N/A,FALSE,"단축3";#N/A,#N/A,FALSE,"장축";#N/A,#N/A,FALSE,"4WD"}</definedName>
    <definedName name="ABDD_1_1" localSheetId="26" hidden="1">{#N/A,#N/A,FALSE,"단축1";#N/A,#N/A,FALSE,"단축2";#N/A,#N/A,FALSE,"단축3";#N/A,#N/A,FALSE,"장축";#N/A,#N/A,FALSE,"4WD"}</definedName>
    <definedName name="ABDD_1_1" localSheetId="0" hidden="1">{#N/A,#N/A,FALSE,"단축1";#N/A,#N/A,FALSE,"단축2";#N/A,#N/A,FALSE,"단축3";#N/A,#N/A,FALSE,"장축";#N/A,#N/A,FALSE,"4WD"}</definedName>
    <definedName name="ABDD_1_1" hidden="1">{#N/A,#N/A,FALSE,"단축1";#N/A,#N/A,FALSE,"단축2";#N/A,#N/A,FALSE,"단축3";#N/A,#N/A,FALSE,"장축";#N/A,#N/A,FALSE,"4WD"}</definedName>
    <definedName name="ABDD_1_2" localSheetId="26" hidden="1">{#N/A,#N/A,FALSE,"단축1";#N/A,#N/A,FALSE,"단축2";#N/A,#N/A,FALSE,"단축3";#N/A,#N/A,FALSE,"장축";#N/A,#N/A,FALSE,"4WD"}</definedName>
    <definedName name="ABDD_1_2" localSheetId="0" hidden="1">{#N/A,#N/A,FALSE,"단축1";#N/A,#N/A,FALSE,"단축2";#N/A,#N/A,FALSE,"단축3";#N/A,#N/A,FALSE,"장축";#N/A,#N/A,FALSE,"4WD"}</definedName>
    <definedName name="ABDD_1_2" hidden="1">{#N/A,#N/A,FALSE,"단축1";#N/A,#N/A,FALSE,"단축2";#N/A,#N/A,FALSE,"단축3";#N/A,#N/A,FALSE,"장축";#N/A,#N/A,FALSE,"4WD"}</definedName>
    <definedName name="ABDD_1_3" localSheetId="26" hidden="1">{#N/A,#N/A,FALSE,"단축1";#N/A,#N/A,FALSE,"단축2";#N/A,#N/A,FALSE,"단축3";#N/A,#N/A,FALSE,"장축";#N/A,#N/A,FALSE,"4WD"}</definedName>
    <definedName name="ABDD_1_3" localSheetId="0" hidden="1">{#N/A,#N/A,FALSE,"단축1";#N/A,#N/A,FALSE,"단축2";#N/A,#N/A,FALSE,"단축3";#N/A,#N/A,FALSE,"장축";#N/A,#N/A,FALSE,"4WD"}</definedName>
    <definedName name="ABDD_1_3" hidden="1">{#N/A,#N/A,FALSE,"단축1";#N/A,#N/A,FALSE,"단축2";#N/A,#N/A,FALSE,"단축3";#N/A,#N/A,FALSE,"장축";#N/A,#N/A,FALSE,"4WD"}</definedName>
    <definedName name="ABDD_2" localSheetId="26" hidden="1">{#N/A,#N/A,FALSE,"단축1";#N/A,#N/A,FALSE,"단축2";#N/A,#N/A,FALSE,"단축3";#N/A,#N/A,FALSE,"장축";#N/A,#N/A,FALSE,"4WD"}</definedName>
    <definedName name="ABDD_2" localSheetId="0" hidden="1">{#N/A,#N/A,FALSE,"단축1";#N/A,#N/A,FALSE,"단축2";#N/A,#N/A,FALSE,"단축3";#N/A,#N/A,FALSE,"장축";#N/A,#N/A,FALSE,"4WD"}</definedName>
    <definedName name="ABDD_2" hidden="1">{#N/A,#N/A,FALSE,"단축1";#N/A,#N/A,FALSE,"단축2";#N/A,#N/A,FALSE,"단축3";#N/A,#N/A,FALSE,"장축";#N/A,#N/A,FALSE,"4WD"}</definedName>
    <definedName name="ABDD_2_1" localSheetId="26" hidden="1">{#N/A,#N/A,FALSE,"단축1";#N/A,#N/A,FALSE,"단축2";#N/A,#N/A,FALSE,"단축3";#N/A,#N/A,FALSE,"장축";#N/A,#N/A,FALSE,"4WD"}</definedName>
    <definedName name="ABDD_2_1" localSheetId="0" hidden="1">{#N/A,#N/A,FALSE,"단축1";#N/A,#N/A,FALSE,"단축2";#N/A,#N/A,FALSE,"단축3";#N/A,#N/A,FALSE,"장축";#N/A,#N/A,FALSE,"4WD"}</definedName>
    <definedName name="ABDD_2_1" hidden="1">{#N/A,#N/A,FALSE,"단축1";#N/A,#N/A,FALSE,"단축2";#N/A,#N/A,FALSE,"단축3";#N/A,#N/A,FALSE,"장축";#N/A,#N/A,FALSE,"4WD"}</definedName>
    <definedName name="ABDD_2_2" localSheetId="26" hidden="1">{#N/A,#N/A,FALSE,"단축1";#N/A,#N/A,FALSE,"단축2";#N/A,#N/A,FALSE,"단축3";#N/A,#N/A,FALSE,"장축";#N/A,#N/A,FALSE,"4WD"}</definedName>
    <definedName name="ABDD_2_2" localSheetId="0" hidden="1">{#N/A,#N/A,FALSE,"단축1";#N/A,#N/A,FALSE,"단축2";#N/A,#N/A,FALSE,"단축3";#N/A,#N/A,FALSE,"장축";#N/A,#N/A,FALSE,"4WD"}</definedName>
    <definedName name="ABDD_2_2" hidden="1">{#N/A,#N/A,FALSE,"단축1";#N/A,#N/A,FALSE,"단축2";#N/A,#N/A,FALSE,"단축3";#N/A,#N/A,FALSE,"장축";#N/A,#N/A,FALSE,"4WD"}</definedName>
    <definedName name="ABDD_3" localSheetId="26" hidden="1">{#N/A,#N/A,FALSE,"단축1";#N/A,#N/A,FALSE,"단축2";#N/A,#N/A,FALSE,"단축3";#N/A,#N/A,FALSE,"장축";#N/A,#N/A,FALSE,"4WD"}</definedName>
    <definedName name="ABDD_3" localSheetId="0" hidden="1">{#N/A,#N/A,FALSE,"단축1";#N/A,#N/A,FALSE,"단축2";#N/A,#N/A,FALSE,"단축3";#N/A,#N/A,FALSE,"장축";#N/A,#N/A,FALSE,"4WD"}</definedName>
    <definedName name="ABDD_3" hidden="1">{#N/A,#N/A,FALSE,"단축1";#N/A,#N/A,FALSE,"단축2";#N/A,#N/A,FALSE,"단축3";#N/A,#N/A,FALSE,"장축";#N/A,#N/A,FALSE,"4WD"}</definedName>
    <definedName name="ABDD_4" localSheetId="26" hidden="1">{#N/A,#N/A,FALSE,"단축1";#N/A,#N/A,FALSE,"단축2";#N/A,#N/A,FALSE,"단축3";#N/A,#N/A,FALSE,"장축";#N/A,#N/A,FALSE,"4WD"}</definedName>
    <definedName name="ABDD_4" localSheetId="0" hidden="1">{#N/A,#N/A,FALSE,"단축1";#N/A,#N/A,FALSE,"단축2";#N/A,#N/A,FALSE,"단축3";#N/A,#N/A,FALSE,"장축";#N/A,#N/A,FALSE,"4WD"}</definedName>
    <definedName name="ABDD_4" hidden="1">{#N/A,#N/A,FALSE,"단축1";#N/A,#N/A,FALSE,"단축2";#N/A,#N/A,FALSE,"단축3";#N/A,#N/A,FALSE,"장축";#N/A,#N/A,FALSE,"4WD"}</definedName>
    <definedName name="ABDD_5" localSheetId="26" hidden="1">{#N/A,#N/A,FALSE,"단축1";#N/A,#N/A,FALSE,"단축2";#N/A,#N/A,FALSE,"단축3";#N/A,#N/A,FALSE,"장축";#N/A,#N/A,FALSE,"4WD"}</definedName>
    <definedName name="ABDD_5" localSheetId="0" hidden="1">{#N/A,#N/A,FALSE,"단축1";#N/A,#N/A,FALSE,"단축2";#N/A,#N/A,FALSE,"단축3";#N/A,#N/A,FALSE,"장축";#N/A,#N/A,FALSE,"4WD"}</definedName>
    <definedName name="ABDD_5" hidden="1">{#N/A,#N/A,FALSE,"단축1";#N/A,#N/A,FALSE,"단축2";#N/A,#N/A,FALSE,"단축3";#N/A,#N/A,FALSE,"장축";#N/A,#N/A,FALSE,"4WD"}</definedName>
    <definedName name="Access_Button" hidden="1">"MINUTES_M20__2__List"</definedName>
    <definedName name="Access_Button1" hidden="1">"업체현황_카드발송_List"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"C:\SAMEER\MGMTR\MINUTES.mdb"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ADDAS" localSheetId="26" hidden="1">{#N/A,#N/A,FALSE,"Cash Flows";#N/A,#N/A,FALSE,"Fixed Assets";#N/A,#N/A,FALSE,"Balance Sheet";#N/A,#N/A,FALSE,"P &amp; L"}</definedName>
    <definedName name="ADDAS" localSheetId="0" hidden="1">{#N/A,#N/A,FALSE,"Cash Flows";#N/A,#N/A,FALSE,"Fixed Assets";#N/A,#N/A,FALSE,"Balance Sheet";#N/A,#N/A,FALSE,"P &amp; L"}</definedName>
    <definedName name="ADDAS" hidden="1">{#N/A,#N/A,FALSE,"Cash Flows";#N/A,#N/A,FALSE,"Fixed Assets";#N/A,#N/A,FALSE,"Balance Sheet";#N/A,#N/A,FALSE,"P &amp; L"}</definedName>
    <definedName name="ADDAS_1" localSheetId="26" hidden="1">{#N/A,#N/A,FALSE,"Cash Flows";#N/A,#N/A,FALSE,"Fixed Assets";#N/A,#N/A,FALSE,"Balance Sheet";#N/A,#N/A,FALSE,"P &amp; L"}</definedName>
    <definedName name="ADDAS_1" localSheetId="0" hidden="1">{#N/A,#N/A,FALSE,"Cash Flows";#N/A,#N/A,FALSE,"Fixed Assets";#N/A,#N/A,FALSE,"Balance Sheet";#N/A,#N/A,FALSE,"P &amp; L"}</definedName>
    <definedName name="ADDAS_1" hidden="1">{#N/A,#N/A,FALSE,"Cash Flows";#N/A,#N/A,FALSE,"Fixed Assets";#N/A,#N/A,FALSE,"Balance Sheet";#N/A,#N/A,FALSE,"P &amp; L"}</definedName>
    <definedName name="ADDAS_1_1" localSheetId="26" hidden="1">{#N/A,#N/A,FALSE,"Cash Flows";#N/A,#N/A,FALSE,"Fixed Assets";#N/A,#N/A,FALSE,"Balance Sheet";#N/A,#N/A,FALSE,"P &amp; L"}</definedName>
    <definedName name="ADDAS_1_1" localSheetId="0" hidden="1">{#N/A,#N/A,FALSE,"Cash Flows";#N/A,#N/A,FALSE,"Fixed Assets";#N/A,#N/A,FALSE,"Balance Sheet";#N/A,#N/A,FALSE,"P &amp; L"}</definedName>
    <definedName name="ADDAS_1_1" hidden="1">{#N/A,#N/A,FALSE,"Cash Flows";#N/A,#N/A,FALSE,"Fixed Assets";#N/A,#N/A,FALSE,"Balance Sheet";#N/A,#N/A,FALSE,"P &amp; L"}</definedName>
    <definedName name="ADDAS_1_2" localSheetId="26" hidden="1">{#N/A,#N/A,FALSE,"Cash Flows";#N/A,#N/A,FALSE,"Fixed Assets";#N/A,#N/A,FALSE,"Balance Sheet";#N/A,#N/A,FALSE,"P &amp; L"}</definedName>
    <definedName name="ADDAS_1_2" localSheetId="0" hidden="1">{#N/A,#N/A,FALSE,"Cash Flows";#N/A,#N/A,FALSE,"Fixed Assets";#N/A,#N/A,FALSE,"Balance Sheet";#N/A,#N/A,FALSE,"P &amp; L"}</definedName>
    <definedName name="ADDAS_1_2" hidden="1">{#N/A,#N/A,FALSE,"Cash Flows";#N/A,#N/A,FALSE,"Fixed Assets";#N/A,#N/A,FALSE,"Balance Sheet";#N/A,#N/A,FALSE,"P &amp; L"}</definedName>
    <definedName name="ADDAS_1_3" localSheetId="26" hidden="1">{#N/A,#N/A,FALSE,"Cash Flows";#N/A,#N/A,FALSE,"Fixed Assets";#N/A,#N/A,FALSE,"Balance Sheet";#N/A,#N/A,FALSE,"P &amp; L"}</definedName>
    <definedName name="ADDAS_1_3" localSheetId="0" hidden="1">{#N/A,#N/A,FALSE,"Cash Flows";#N/A,#N/A,FALSE,"Fixed Assets";#N/A,#N/A,FALSE,"Balance Sheet";#N/A,#N/A,FALSE,"P &amp; L"}</definedName>
    <definedName name="ADDAS_1_3" hidden="1">{#N/A,#N/A,FALSE,"Cash Flows";#N/A,#N/A,FALSE,"Fixed Assets";#N/A,#N/A,FALSE,"Balance Sheet";#N/A,#N/A,FALSE,"P &amp; L"}</definedName>
    <definedName name="ADDAS_2" localSheetId="26" hidden="1">{#N/A,#N/A,FALSE,"Cash Flows";#N/A,#N/A,FALSE,"Fixed Assets";#N/A,#N/A,FALSE,"Balance Sheet";#N/A,#N/A,FALSE,"P &amp; L"}</definedName>
    <definedName name="ADDAS_2" localSheetId="0" hidden="1">{#N/A,#N/A,FALSE,"Cash Flows";#N/A,#N/A,FALSE,"Fixed Assets";#N/A,#N/A,FALSE,"Balance Sheet";#N/A,#N/A,FALSE,"P &amp; L"}</definedName>
    <definedName name="ADDAS_2" hidden="1">{#N/A,#N/A,FALSE,"Cash Flows";#N/A,#N/A,FALSE,"Fixed Assets";#N/A,#N/A,FALSE,"Balance Sheet";#N/A,#N/A,FALSE,"P &amp; L"}</definedName>
    <definedName name="ADDAS_2_1" localSheetId="26" hidden="1">{#N/A,#N/A,FALSE,"Cash Flows";#N/A,#N/A,FALSE,"Fixed Assets";#N/A,#N/A,FALSE,"Balance Sheet";#N/A,#N/A,FALSE,"P &amp; L"}</definedName>
    <definedName name="ADDAS_2_1" localSheetId="0" hidden="1">{#N/A,#N/A,FALSE,"Cash Flows";#N/A,#N/A,FALSE,"Fixed Assets";#N/A,#N/A,FALSE,"Balance Sheet";#N/A,#N/A,FALSE,"P &amp; L"}</definedName>
    <definedName name="ADDAS_2_1" hidden="1">{#N/A,#N/A,FALSE,"Cash Flows";#N/A,#N/A,FALSE,"Fixed Assets";#N/A,#N/A,FALSE,"Balance Sheet";#N/A,#N/A,FALSE,"P &amp; L"}</definedName>
    <definedName name="ADDAS_2_2" localSheetId="26" hidden="1">{#N/A,#N/A,FALSE,"Cash Flows";#N/A,#N/A,FALSE,"Fixed Assets";#N/A,#N/A,FALSE,"Balance Sheet";#N/A,#N/A,FALSE,"P &amp; L"}</definedName>
    <definedName name="ADDAS_2_2" localSheetId="0" hidden="1">{#N/A,#N/A,FALSE,"Cash Flows";#N/A,#N/A,FALSE,"Fixed Assets";#N/A,#N/A,FALSE,"Balance Sheet";#N/A,#N/A,FALSE,"P &amp; L"}</definedName>
    <definedName name="ADDAS_2_2" hidden="1">{#N/A,#N/A,FALSE,"Cash Flows";#N/A,#N/A,FALSE,"Fixed Assets";#N/A,#N/A,FALSE,"Balance Sheet";#N/A,#N/A,FALSE,"P &amp; L"}</definedName>
    <definedName name="ADDAS_3" localSheetId="26" hidden="1">{#N/A,#N/A,FALSE,"Cash Flows";#N/A,#N/A,FALSE,"Fixed Assets";#N/A,#N/A,FALSE,"Balance Sheet";#N/A,#N/A,FALSE,"P &amp; L"}</definedName>
    <definedName name="ADDAS_3" localSheetId="0" hidden="1">{#N/A,#N/A,FALSE,"Cash Flows";#N/A,#N/A,FALSE,"Fixed Assets";#N/A,#N/A,FALSE,"Balance Sheet";#N/A,#N/A,FALSE,"P &amp; L"}</definedName>
    <definedName name="ADDAS_3" hidden="1">{#N/A,#N/A,FALSE,"Cash Flows";#N/A,#N/A,FALSE,"Fixed Assets";#N/A,#N/A,FALSE,"Balance Sheet";#N/A,#N/A,FALSE,"P &amp; L"}</definedName>
    <definedName name="ADDAS_4" localSheetId="26" hidden="1">{#N/A,#N/A,FALSE,"Cash Flows";#N/A,#N/A,FALSE,"Fixed Assets";#N/A,#N/A,FALSE,"Balance Sheet";#N/A,#N/A,FALSE,"P &amp; L"}</definedName>
    <definedName name="ADDAS_4" localSheetId="0" hidden="1">{#N/A,#N/A,FALSE,"Cash Flows";#N/A,#N/A,FALSE,"Fixed Assets";#N/A,#N/A,FALSE,"Balance Sheet";#N/A,#N/A,FALSE,"P &amp; L"}</definedName>
    <definedName name="ADDAS_4" hidden="1">{#N/A,#N/A,FALSE,"Cash Flows";#N/A,#N/A,FALSE,"Fixed Assets";#N/A,#N/A,FALSE,"Balance Sheet";#N/A,#N/A,FALSE,"P &amp; L"}</definedName>
    <definedName name="ADDAS_5" localSheetId="26" hidden="1">{#N/A,#N/A,FALSE,"Cash Flows";#N/A,#N/A,FALSE,"Fixed Assets";#N/A,#N/A,FALSE,"Balance Sheet";#N/A,#N/A,FALSE,"P &amp; L"}</definedName>
    <definedName name="ADDAS_5" localSheetId="0" hidden="1">{#N/A,#N/A,FALSE,"Cash Flows";#N/A,#N/A,FALSE,"Fixed Assets";#N/A,#N/A,FALSE,"Balance Sheet";#N/A,#N/A,FALSE,"P &amp; L"}</definedName>
    <definedName name="ADDAS_5" hidden="1">{#N/A,#N/A,FALSE,"Cash Flows";#N/A,#N/A,FALSE,"Fixed Assets";#N/A,#N/A,FALSE,"Balance Sheet";#N/A,#N/A,FALSE,"P &amp; L"}</definedName>
    <definedName name="adfds" localSheetId="26" hidden="1">{#N/A,#N/A,FALSE,"단축1";#N/A,#N/A,FALSE,"단축2";#N/A,#N/A,FALSE,"단축3";#N/A,#N/A,FALSE,"장축";#N/A,#N/A,FALSE,"4WD"}</definedName>
    <definedName name="adfds" localSheetId="0" hidden="1">{#N/A,#N/A,FALSE,"단축1";#N/A,#N/A,FALSE,"단축2";#N/A,#N/A,FALSE,"단축3";#N/A,#N/A,FALSE,"장축";#N/A,#N/A,FALSE,"4WD"}</definedName>
    <definedName name="adfds" hidden="1">{#N/A,#N/A,FALSE,"단축1";#N/A,#N/A,FALSE,"단축2";#N/A,#N/A,FALSE,"단축3";#N/A,#N/A,FALSE,"장축";#N/A,#N/A,FALSE,"4WD"}</definedName>
    <definedName name="adfds_1" localSheetId="26" hidden="1">{#N/A,#N/A,FALSE,"단축1";#N/A,#N/A,FALSE,"단축2";#N/A,#N/A,FALSE,"단축3";#N/A,#N/A,FALSE,"장축";#N/A,#N/A,FALSE,"4WD"}</definedName>
    <definedName name="adfds_1" localSheetId="0" hidden="1">{#N/A,#N/A,FALSE,"단축1";#N/A,#N/A,FALSE,"단축2";#N/A,#N/A,FALSE,"단축3";#N/A,#N/A,FALSE,"장축";#N/A,#N/A,FALSE,"4WD"}</definedName>
    <definedName name="adfds_1" hidden="1">{#N/A,#N/A,FALSE,"단축1";#N/A,#N/A,FALSE,"단축2";#N/A,#N/A,FALSE,"단축3";#N/A,#N/A,FALSE,"장축";#N/A,#N/A,FALSE,"4WD"}</definedName>
    <definedName name="adfds_1_1" localSheetId="26" hidden="1">{#N/A,#N/A,FALSE,"단축1";#N/A,#N/A,FALSE,"단축2";#N/A,#N/A,FALSE,"단축3";#N/A,#N/A,FALSE,"장축";#N/A,#N/A,FALSE,"4WD"}</definedName>
    <definedName name="adfds_1_1" localSheetId="0" hidden="1">{#N/A,#N/A,FALSE,"단축1";#N/A,#N/A,FALSE,"단축2";#N/A,#N/A,FALSE,"단축3";#N/A,#N/A,FALSE,"장축";#N/A,#N/A,FALSE,"4WD"}</definedName>
    <definedName name="adfds_1_1" hidden="1">{#N/A,#N/A,FALSE,"단축1";#N/A,#N/A,FALSE,"단축2";#N/A,#N/A,FALSE,"단축3";#N/A,#N/A,FALSE,"장축";#N/A,#N/A,FALSE,"4WD"}</definedName>
    <definedName name="adfds_1_2" localSheetId="26" hidden="1">{#N/A,#N/A,FALSE,"단축1";#N/A,#N/A,FALSE,"단축2";#N/A,#N/A,FALSE,"단축3";#N/A,#N/A,FALSE,"장축";#N/A,#N/A,FALSE,"4WD"}</definedName>
    <definedName name="adfds_1_2" localSheetId="0" hidden="1">{#N/A,#N/A,FALSE,"단축1";#N/A,#N/A,FALSE,"단축2";#N/A,#N/A,FALSE,"단축3";#N/A,#N/A,FALSE,"장축";#N/A,#N/A,FALSE,"4WD"}</definedName>
    <definedName name="adfds_1_2" hidden="1">{#N/A,#N/A,FALSE,"단축1";#N/A,#N/A,FALSE,"단축2";#N/A,#N/A,FALSE,"단축3";#N/A,#N/A,FALSE,"장축";#N/A,#N/A,FALSE,"4WD"}</definedName>
    <definedName name="adfds_1_3" localSheetId="26" hidden="1">{#N/A,#N/A,FALSE,"단축1";#N/A,#N/A,FALSE,"단축2";#N/A,#N/A,FALSE,"단축3";#N/A,#N/A,FALSE,"장축";#N/A,#N/A,FALSE,"4WD"}</definedName>
    <definedName name="adfds_1_3" localSheetId="0" hidden="1">{#N/A,#N/A,FALSE,"단축1";#N/A,#N/A,FALSE,"단축2";#N/A,#N/A,FALSE,"단축3";#N/A,#N/A,FALSE,"장축";#N/A,#N/A,FALSE,"4WD"}</definedName>
    <definedName name="adfds_1_3" hidden="1">{#N/A,#N/A,FALSE,"단축1";#N/A,#N/A,FALSE,"단축2";#N/A,#N/A,FALSE,"단축3";#N/A,#N/A,FALSE,"장축";#N/A,#N/A,FALSE,"4WD"}</definedName>
    <definedName name="adfds_2" localSheetId="26" hidden="1">{#N/A,#N/A,FALSE,"단축1";#N/A,#N/A,FALSE,"단축2";#N/A,#N/A,FALSE,"단축3";#N/A,#N/A,FALSE,"장축";#N/A,#N/A,FALSE,"4WD"}</definedName>
    <definedName name="adfds_2" localSheetId="0" hidden="1">{#N/A,#N/A,FALSE,"단축1";#N/A,#N/A,FALSE,"단축2";#N/A,#N/A,FALSE,"단축3";#N/A,#N/A,FALSE,"장축";#N/A,#N/A,FALSE,"4WD"}</definedName>
    <definedName name="adfds_2" hidden="1">{#N/A,#N/A,FALSE,"단축1";#N/A,#N/A,FALSE,"단축2";#N/A,#N/A,FALSE,"단축3";#N/A,#N/A,FALSE,"장축";#N/A,#N/A,FALSE,"4WD"}</definedName>
    <definedName name="adfds_2_1" localSheetId="26" hidden="1">{#N/A,#N/A,FALSE,"단축1";#N/A,#N/A,FALSE,"단축2";#N/A,#N/A,FALSE,"단축3";#N/A,#N/A,FALSE,"장축";#N/A,#N/A,FALSE,"4WD"}</definedName>
    <definedName name="adfds_2_1" localSheetId="0" hidden="1">{#N/A,#N/A,FALSE,"단축1";#N/A,#N/A,FALSE,"단축2";#N/A,#N/A,FALSE,"단축3";#N/A,#N/A,FALSE,"장축";#N/A,#N/A,FALSE,"4WD"}</definedName>
    <definedName name="adfds_2_1" hidden="1">{#N/A,#N/A,FALSE,"단축1";#N/A,#N/A,FALSE,"단축2";#N/A,#N/A,FALSE,"단축3";#N/A,#N/A,FALSE,"장축";#N/A,#N/A,FALSE,"4WD"}</definedName>
    <definedName name="adfds_2_2" localSheetId="26" hidden="1">{#N/A,#N/A,FALSE,"단축1";#N/A,#N/A,FALSE,"단축2";#N/A,#N/A,FALSE,"단축3";#N/A,#N/A,FALSE,"장축";#N/A,#N/A,FALSE,"4WD"}</definedName>
    <definedName name="adfds_2_2" localSheetId="0" hidden="1">{#N/A,#N/A,FALSE,"단축1";#N/A,#N/A,FALSE,"단축2";#N/A,#N/A,FALSE,"단축3";#N/A,#N/A,FALSE,"장축";#N/A,#N/A,FALSE,"4WD"}</definedName>
    <definedName name="adfds_2_2" hidden="1">{#N/A,#N/A,FALSE,"단축1";#N/A,#N/A,FALSE,"단축2";#N/A,#N/A,FALSE,"단축3";#N/A,#N/A,FALSE,"장축";#N/A,#N/A,FALSE,"4WD"}</definedName>
    <definedName name="adfds_3" localSheetId="26" hidden="1">{#N/A,#N/A,FALSE,"단축1";#N/A,#N/A,FALSE,"단축2";#N/A,#N/A,FALSE,"단축3";#N/A,#N/A,FALSE,"장축";#N/A,#N/A,FALSE,"4WD"}</definedName>
    <definedName name="adfds_3" localSheetId="0" hidden="1">{#N/A,#N/A,FALSE,"단축1";#N/A,#N/A,FALSE,"단축2";#N/A,#N/A,FALSE,"단축3";#N/A,#N/A,FALSE,"장축";#N/A,#N/A,FALSE,"4WD"}</definedName>
    <definedName name="adfds_3" hidden="1">{#N/A,#N/A,FALSE,"단축1";#N/A,#N/A,FALSE,"단축2";#N/A,#N/A,FALSE,"단축3";#N/A,#N/A,FALSE,"장축";#N/A,#N/A,FALSE,"4WD"}</definedName>
    <definedName name="adfds_4" localSheetId="26" hidden="1">{#N/A,#N/A,FALSE,"단축1";#N/A,#N/A,FALSE,"단축2";#N/A,#N/A,FALSE,"단축3";#N/A,#N/A,FALSE,"장축";#N/A,#N/A,FALSE,"4WD"}</definedName>
    <definedName name="adfds_4" localSheetId="0" hidden="1">{#N/A,#N/A,FALSE,"단축1";#N/A,#N/A,FALSE,"단축2";#N/A,#N/A,FALSE,"단축3";#N/A,#N/A,FALSE,"장축";#N/A,#N/A,FALSE,"4WD"}</definedName>
    <definedName name="adfds_4" hidden="1">{#N/A,#N/A,FALSE,"단축1";#N/A,#N/A,FALSE,"단축2";#N/A,#N/A,FALSE,"단축3";#N/A,#N/A,FALSE,"장축";#N/A,#N/A,FALSE,"4WD"}</definedName>
    <definedName name="adfds_5" localSheetId="26" hidden="1">{#N/A,#N/A,FALSE,"단축1";#N/A,#N/A,FALSE,"단축2";#N/A,#N/A,FALSE,"단축3";#N/A,#N/A,FALSE,"장축";#N/A,#N/A,FALSE,"4WD"}</definedName>
    <definedName name="adfds_5" localSheetId="0" hidden="1">{#N/A,#N/A,FALSE,"단축1";#N/A,#N/A,FALSE,"단축2";#N/A,#N/A,FALSE,"단축3";#N/A,#N/A,FALSE,"장축";#N/A,#N/A,FALSE,"4WD"}</definedName>
    <definedName name="adfds_5" hidden="1">{#N/A,#N/A,FALSE,"단축1";#N/A,#N/A,FALSE,"단축2";#N/A,#N/A,FALSE,"단축3";#N/A,#N/A,FALSE,"장축";#N/A,#N/A,FALSE,"4WD"}</definedName>
    <definedName name="afjan" localSheetId="26" hidden="1">{#N/A,#N/A,FALSE,"196126-0690";#N/A,#N/A,FALSE,"196126-0690";#N/A,#N/A,FALSE,"1961165-0201"}</definedName>
    <definedName name="afjan" localSheetId="0" hidden="1">{#N/A,#N/A,FALSE,"196126-0690";#N/A,#N/A,FALSE,"196126-0690";#N/A,#N/A,FALSE,"1961165-0201"}</definedName>
    <definedName name="afjan" hidden="1">{#N/A,#N/A,FALSE,"196126-0690";#N/A,#N/A,FALSE,"196126-0690";#N/A,#N/A,FALSE,"1961165-0201"}</definedName>
    <definedName name="afjan_1" localSheetId="26" hidden="1">{#N/A,#N/A,FALSE,"196126-0690";#N/A,#N/A,FALSE,"196126-0690";#N/A,#N/A,FALSE,"1961165-0201"}</definedName>
    <definedName name="afjan_1" localSheetId="0" hidden="1">{#N/A,#N/A,FALSE,"196126-0690";#N/A,#N/A,FALSE,"196126-0690";#N/A,#N/A,FALSE,"1961165-0201"}</definedName>
    <definedName name="afjan_1" hidden="1">{#N/A,#N/A,FALSE,"196126-0690";#N/A,#N/A,FALSE,"196126-0690";#N/A,#N/A,FALSE,"1961165-0201"}</definedName>
    <definedName name="afjan_1_1" localSheetId="26" hidden="1">{#N/A,#N/A,FALSE,"196126-0690";#N/A,#N/A,FALSE,"196126-0690";#N/A,#N/A,FALSE,"1961165-0201"}</definedName>
    <definedName name="afjan_1_1" localSheetId="0" hidden="1">{#N/A,#N/A,FALSE,"196126-0690";#N/A,#N/A,FALSE,"196126-0690";#N/A,#N/A,FALSE,"1961165-0201"}</definedName>
    <definedName name="afjan_1_1" hidden="1">{#N/A,#N/A,FALSE,"196126-0690";#N/A,#N/A,FALSE,"196126-0690";#N/A,#N/A,FALSE,"1961165-0201"}</definedName>
    <definedName name="afjan_1_2" localSheetId="26" hidden="1">{#N/A,#N/A,FALSE,"196126-0690";#N/A,#N/A,FALSE,"196126-0690";#N/A,#N/A,FALSE,"1961165-0201"}</definedName>
    <definedName name="afjan_1_2" localSheetId="0" hidden="1">{#N/A,#N/A,FALSE,"196126-0690";#N/A,#N/A,FALSE,"196126-0690";#N/A,#N/A,FALSE,"1961165-0201"}</definedName>
    <definedName name="afjan_1_2" hidden="1">{#N/A,#N/A,FALSE,"196126-0690";#N/A,#N/A,FALSE,"196126-0690";#N/A,#N/A,FALSE,"1961165-0201"}</definedName>
    <definedName name="afjan_1_3" localSheetId="26" hidden="1">{#N/A,#N/A,FALSE,"196126-0690";#N/A,#N/A,FALSE,"196126-0690";#N/A,#N/A,FALSE,"1961165-0201"}</definedName>
    <definedName name="afjan_1_3" localSheetId="0" hidden="1">{#N/A,#N/A,FALSE,"196126-0690";#N/A,#N/A,FALSE,"196126-0690";#N/A,#N/A,FALSE,"1961165-0201"}</definedName>
    <definedName name="afjan_1_3" hidden="1">{#N/A,#N/A,FALSE,"196126-0690";#N/A,#N/A,FALSE,"196126-0690";#N/A,#N/A,FALSE,"1961165-0201"}</definedName>
    <definedName name="afjan_2" localSheetId="26" hidden="1">{#N/A,#N/A,FALSE,"196126-0690";#N/A,#N/A,FALSE,"196126-0690";#N/A,#N/A,FALSE,"1961165-0201"}</definedName>
    <definedName name="afjan_2" localSheetId="0" hidden="1">{#N/A,#N/A,FALSE,"196126-0690";#N/A,#N/A,FALSE,"196126-0690";#N/A,#N/A,FALSE,"1961165-0201"}</definedName>
    <definedName name="afjan_2" hidden="1">{#N/A,#N/A,FALSE,"196126-0690";#N/A,#N/A,FALSE,"196126-0690";#N/A,#N/A,FALSE,"1961165-0201"}</definedName>
    <definedName name="afjan_2_1" localSheetId="26" hidden="1">{#N/A,#N/A,FALSE,"196126-0690";#N/A,#N/A,FALSE,"196126-0690";#N/A,#N/A,FALSE,"1961165-0201"}</definedName>
    <definedName name="afjan_2_1" localSheetId="0" hidden="1">{#N/A,#N/A,FALSE,"196126-0690";#N/A,#N/A,FALSE,"196126-0690";#N/A,#N/A,FALSE,"1961165-0201"}</definedName>
    <definedName name="afjan_2_1" hidden="1">{#N/A,#N/A,FALSE,"196126-0690";#N/A,#N/A,FALSE,"196126-0690";#N/A,#N/A,FALSE,"1961165-0201"}</definedName>
    <definedName name="afjan_2_2" localSheetId="26" hidden="1">{#N/A,#N/A,FALSE,"196126-0690";#N/A,#N/A,FALSE,"196126-0690";#N/A,#N/A,FALSE,"1961165-0201"}</definedName>
    <definedName name="afjan_2_2" localSheetId="0" hidden="1">{#N/A,#N/A,FALSE,"196126-0690";#N/A,#N/A,FALSE,"196126-0690";#N/A,#N/A,FALSE,"1961165-0201"}</definedName>
    <definedName name="afjan_2_2" hidden="1">{#N/A,#N/A,FALSE,"196126-0690";#N/A,#N/A,FALSE,"196126-0690";#N/A,#N/A,FALSE,"1961165-0201"}</definedName>
    <definedName name="afjan_3" localSheetId="26" hidden="1">{#N/A,#N/A,FALSE,"196126-0690";#N/A,#N/A,FALSE,"196126-0690";#N/A,#N/A,FALSE,"1961165-0201"}</definedName>
    <definedName name="afjan_3" localSheetId="0" hidden="1">{#N/A,#N/A,FALSE,"196126-0690";#N/A,#N/A,FALSE,"196126-0690";#N/A,#N/A,FALSE,"1961165-0201"}</definedName>
    <definedName name="afjan_3" hidden="1">{#N/A,#N/A,FALSE,"196126-0690";#N/A,#N/A,FALSE,"196126-0690";#N/A,#N/A,FALSE,"1961165-0201"}</definedName>
    <definedName name="afjan_4" localSheetId="26" hidden="1">{#N/A,#N/A,FALSE,"196126-0690";#N/A,#N/A,FALSE,"196126-0690";#N/A,#N/A,FALSE,"1961165-0201"}</definedName>
    <definedName name="afjan_4" localSheetId="0" hidden="1">{#N/A,#N/A,FALSE,"196126-0690";#N/A,#N/A,FALSE,"196126-0690";#N/A,#N/A,FALSE,"1961165-0201"}</definedName>
    <definedName name="afjan_4" hidden="1">{#N/A,#N/A,FALSE,"196126-0690";#N/A,#N/A,FALSE,"196126-0690";#N/A,#N/A,FALSE,"1961165-0201"}</definedName>
    <definedName name="afjan_5" localSheetId="26" hidden="1">{#N/A,#N/A,FALSE,"196126-0690";#N/A,#N/A,FALSE,"196126-0690";#N/A,#N/A,FALSE,"1961165-0201"}</definedName>
    <definedName name="afjan_5" localSheetId="0" hidden="1">{#N/A,#N/A,FALSE,"196126-0690";#N/A,#N/A,FALSE,"196126-0690";#N/A,#N/A,FALSE,"1961165-0201"}</definedName>
    <definedName name="afjan_5" hidden="1">{#N/A,#N/A,FALSE,"196126-0690";#N/A,#N/A,FALSE,"196126-0690";#N/A,#N/A,FALSE,"1961165-0201"}</definedName>
    <definedName name="AL_offer" localSheetId="9" hidden="1">[13]MOTO!#REF!</definedName>
    <definedName name="AL_offer" localSheetId="1" hidden="1">[13]MOTO!#REF!</definedName>
    <definedName name="AL_offer" localSheetId="26" hidden="1">[13]MOTO!#REF!</definedName>
    <definedName name="AL_offer" localSheetId="21" hidden="1">[13]MOTO!#REF!</definedName>
    <definedName name="AL_offer" localSheetId="3" hidden="1">[13]MOTO!#REF!</definedName>
    <definedName name="AL_offer" localSheetId="28" hidden="1">[13]MOTO!#REF!</definedName>
    <definedName name="AL_offer" localSheetId="27" hidden="1">[13]MOTO!#REF!</definedName>
    <definedName name="AL_offer" localSheetId="0" hidden="1">[13]MOTO!#REF!</definedName>
    <definedName name="AL_offer" hidden="1">[13]MOTO!#REF!</definedName>
    <definedName name="anscount" hidden="1">1</definedName>
    <definedName name="asd" localSheetId="26" hidden="1">{#N/A,#N/A,FALSE,"Cash Flows";#N/A,#N/A,FALSE,"Fixed Assets";#N/A,#N/A,FALSE,"Balance Sheet";#N/A,#N/A,FALSE,"P &amp; L"}</definedName>
    <definedName name="asd" localSheetId="21" hidden="1">{#N/A,#N/A,FALSE,"Cash Flows";#N/A,#N/A,FALSE,"Fixed Assets";#N/A,#N/A,FALSE,"Balance Sheet";#N/A,#N/A,FALSE,"P &amp; L"}</definedName>
    <definedName name="asd" localSheetId="3" hidden="1">{#N/A,#N/A,FALSE,"Cash Flows";#N/A,#N/A,FALSE,"Fixed Assets";#N/A,#N/A,FALSE,"Balance Sheet";#N/A,#N/A,FALSE,"P &amp; L"}</definedName>
    <definedName name="asd" localSheetId="27" hidden="1">{#N/A,#N/A,FALSE,"Cash Flows";#N/A,#N/A,FALSE,"Fixed Assets";#N/A,#N/A,FALSE,"Balance Sheet";#N/A,#N/A,FALSE,"P &amp; L"}</definedName>
    <definedName name="asd" localSheetId="0" hidden="1">{#N/A,#N/A,FALSE,"Cash Flows";#N/A,#N/A,FALSE,"Fixed Assets";#N/A,#N/A,FALSE,"Balance Sheet";#N/A,#N/A,FALSE,"P &amp; L"}</definedName>
    <definedName name="asd" hidden="1">{#N/A,#N/A,FALSE,"Cash Flows";#N/A,#N/A,FALSE,"Fixed Assets";#N/A,#N/A,FALSE,"Balance Sheet";#N/A,#N/A,FALSE,"P &amp; L"}</definedName>
    <definedName name="asd\" localSheetId="26" hidden="1">{#N/A,#N/A,FALSE,"Cash Flows";#N/A,#N/A,FALSE,"Fixed Assets";#N/A,#N/A,FALSE,"Balance Sheet";#N/A,#N/A,FALSE,"P &amp; L"}</definedName>
    <definedName name="asd\" localSheetId="0" hidden="1">{#N/A,#N/A,FALSE,"Cash Flows";#N/A,#N/A,FALSE,"Fixed Assets";#N/A,#N/A,FALSE,"Balance Sheet";#N/A,#N/A,FALSE,"P &amp; L"}</definedName>
    <definedName name="asd\" hidden="1">{#N/A,#N/A,FALSE,"Cash Flows";#N/A,#N/A,FALSE,"Fixed Assets";#N/A,#N/A,FALSE,"Balance Sheet";#N/A,#N/A,FALSE,"P &amp; L"}</definedName>
    <definedName name="asd\_1" localSheetId="26" hidden="1">{#N/A,#N/A,FALSE,"Cash Flows";#N/A,#N/A,FALSE,"Fixed Assets";#N/A,#N/A,FALSE,"Balance Sheet";#N/A,#N/A,FALSE,"P &amp; L"}</definedName>
    <definedName name="asd\_1" localSheetId="0" hidden="1">{#N/A,#N/A,FALSE,"Cash Flows";#N/A,#N/A,FALSE,"Fixed Assets";#N/A,#N/A,FALSE,"Balance Sheet";#N/A,#N/A,FALSE,"P &amp; L"}</definedName>
    <definedName name="asd\_1" hidden="1">{#N/A,#N/A,FALSE,"Cash Flows";#N/A,#N/A,FALSE,"Fixed Assets";#N/A,#N/A,FALSE,"Balance Sheet";#N/A,#N/A,FALSE,"P &amp; L"}</definedName>
    <definedName name="asd\_1_1" localSheetId="26" hidden="1">{#N/A,#N/A,FALSE,"Cash Flows";#N/A,#N/A,FALSE,"Fixed Assets";#N/A,#N/A,FALSE,"Balance Sheet";#N/A,#N/A,FALSE,"P &amp; L"}</definedName>
    <definedName name="asd\_1_1" localSheetId="0" hidden="1">{#N/A,#N/A,FALSE,"Cash Flows";#N/A,#N/A,FALSE,"Fixed Assets";#N/A,#N/A,FALSE,"Balance Sheet";#N/A,#N/A,FALSE,"P &amp; L"}</definedName>
    <definedName name="asd\_1_1" hidden="1">{#N/A,#N/A,FALSE,"Cash Flows";#N/A,#N/A,FALSE,"Fixed Assets";#N/A,#N/A,FALSE,"Balance Sheet";#N/A,#N/A,FALSE,"P &amp; L"}</definedName>
    <definedName name="asd\_1_2" localSheetId="26" hidden="1">{#N/A,#N/A,FALSE,"Cash Flows";#N/A,#N/A,FALSE,"Fixed Assets";#N/A,#N/A,FALSE,"Balance Sheet";#N/A,#N/A,FALSE,"P &amp; L"}</definedName>
    <definedName name="asd\_1_2" localSheetId="0" hidden="1">{#N/A,#N/A,FALSE,"Cash Flows";#N/A,#N/A,FALSE,"Fixed Assets";#N/A,#N/A,FALSE,"Balance Sheet";#N/A,#N/A,FALSE,"P &amp; L"}</definedName>
    <definedName name="asd\_1_2" hidden="1">{#N/A,#N/A,FALSE,"Cash Flows";#N/A,#N/A,FALSE,"Fixed Assets";#N/A,#N/A,FALSE,"Balance Sheet";#N/A,#N/A,FALSE,"P &amp; L"}</definedName>
    <definedName name="asd\_1_3" localSheetId="26" hidden="1">{#N/A,#N/A,FALSE,"Cash Flows";#N/A,#N/A,FALSE,"Fixed Assets";#N/A,#N/A,FALSE,"Balance Sheet";#N/A,#N/A,FALSE,"P &amp; L"}</definedName>
    <definedName name="asd\_1_3" localSheetId="0" hidden="1">{#N/A,#N/A,FALSE,"Cash Flows";#N/A,#N/A,FALSE,"Fixed Assets";#N/A,#N/A,FALSE,"Balance Sheet";#N/A,#N/A,FALSE,"P &amp; L"}</definedName>
    <definedName name="asd\_1_3" hidden="1">{#N/A,#N/A,FALSE,"Cash Flows";#N/A,#N/A,FALSE,"Fixed Assets";#N/A,#N/A,FALSE,"Balance Sheet";#N/A,#N/A,FALSE,"P &amp; L"}</definedName>
    <definedName name="asd\_2" localSheetId="26" hidden="1">{#N/A,#N/A,FALSE,"Cash Flows";#N/A,#N/A,FALSE,"Fixed Assets";#N/A,#N/A,FALSE,"Balance Sheet";#N/A,#N/A,FALSE,"P &amp; L"}</definedName>
    <definedName name="asd\_2" localSheetId="0" hidden="1">{#N/A,#N/A,FALSE,"Cash Flows";#N/A,#N/A,FALSE,"Fixed Assets";#N/A,#N/A,FALSE,"Balance Sheet";#N/A,#N/A,FALSE,"P &amp; L"}</definedName>
    <definedName name="asd\_2" hidden="1">{#N/A,#N/A,FALSE,"Cash Flows";#N/A,#N/A,FALSE,"Fixed Assets";#N/A,#N/A,FALSE,"Balance Sheet";#N/A,#N/A,FALSE,"P &amp; L"}</definedName>
    <definedName name="asd\_2_1" localSheetId="26" hidden="1">{#N/A,#N/A,FALSE,"Cash Flows";#N/A,#N/A,FALSE,"Fixed Assets";#N/A,#N/A,FALSE,"Balance Sheet";#N/A,#N/A,FALSE,"P &amp; L"}</definedName>
    <definedName name="asd\_2_1" localSheetId="0" hidden="1">{#N/A,#N/A,FALSE,"Cash Flows";#N/A,#N/A,FALSE,"Fixed Assets";#N/A,#N/A,FALSE,"Balance Sheet";#N/A,#N/A,FALSE,"P &amp; L"}</definedName>
    <definedName name="asd\_2_1" hidden="1">{#N/A,#N/A,FALSE,"Cash Flows";#N/A,#N/A,FALSE,"Fixed Assets";#N/A,#N/A,FALSE,"Balance Sheet";#N/A,#N/A,FALSE,"P &amp; L"}</definedName>
    <definedName name="asd\_2_2" localSheetId="26" hidden="1">{#N/A,#N/A,FALSE,"Cash Flows";#N/A,#N/A,FALSE,"Fixed Assets";#N/A,#N/A,FALSE,"Balance Sheet";#N/A,#N/A,FALSE,"P &amp; L"}</definedName>
    <definedName name="asd\_2_2" localSheetId="0" hidden="1">{#N/A,#N/A,FALSE,"Cash Flows";#N/A,#N/A,FALSE,"Fixed Assets";#N/A,#N/A,FALSE,"Balance Sheet";#N/A,#N/A,FALSE,"P &amp; L"}</definedName>
    <definedName name="asd\_2_2" hidden="1">{#N/A,#N/A,FALSE,"Cash Flows";#N/A,#N/A,FALSE,"Fixed Assets";#N/A,#N/A,FALSE,"Balance Sheet";#N/A,#N/A,FALSE,"P &amp; L"}</definedName>
    <definedName name="asd\_3" localSheetId="26" hidden="1">{#N/A,#N/A,FALSE,"Cash Flows";#N/A,#N/A,FALSE,"Fixed Assets";#N/A,#N/A,FALSE,"Balance Sheet";#N/A,#N/A,FALSE,"P &amp; L"}</definedName>
    <definedName name="asd\_3" localSheetId="0" hidden="1">{#N/A,#N/A,FALSE,"Cash Flows";#N/A,#N/A,FALSE,"Fixed Assets";#N/A,#N/A,FALSE,"Balance Sheet";#N/A,#N/A,FALSE,"P &amp; L"}</definedName>
    <definedName name="asd\_3" hidden="1">{#N/A,#N/A,FALSE,"Cash Flows";#N/A,#N/A,FALSE,"Fixed Assets";#N/A,#N/A,FALSE,"Balance Sheet";#N/A,#N/A,FALSE,"P &amp; L"}</definedName>
    <definedName name="asd\_4" localSheetId="26" hidden="1">{#N/A,#N/A,FALSE,"Cash Flows";#N/A,#N/A,FALSE,"Fixed Assets";#N/A,#N/A,FALSE,"Balance Sheet";#N/A,#N/A,FALSE,"P &amp; L"}</definedName>
    <definedName name="asd\_4" localSheetId="0" hidden="1">{#N/A,#N/A,FALSE,"Cash Flows";#N/A,#N/A,FALSE,"Fixed Assets";#N/A,#N/A,FALSE,"Balance Sheet";#N/A,#N/A,FALSE,"P &amp; L"}</definedName>
    <definedName name="asd\_4" hidden="1">{#N/A,#N/A,FALSE,"Cash Flows";#N/A,#N/A,FALSE,"Fixed Assets";#N/A,#N/A,FALSE,"Balance Sheet";#N/A,#N/A,FALSE,"P &amp; L"}</definedName>
    <definedName name="asd\_5" localSheetId="26" hidden="1">{#N/A,#N/A,FALSE,"Cash Flows";#N/A,#N/A,FALSE,"Fixed Assets";#N/A,#N/A,FALSE,"Balance Sheet";#N/A,#N/A,FALSE,"P &amp; L"}</definedName>
    <definedName name="asd\_5" localSheetId="0" hidden="1">{#N/A,#N/A,FALSE,"Cash Flows";#N/A,#N/A,FALSE,"Fixed Assets";#N/A,#N/A,FALSE,"Balance Sheet";#N/A,#N/A,FALSE,"P &amp; L"}</definedName>
    <definedName name="asd\_5" hidden="1">{#N/A,#N/A,FALSE,"Cash Flows";#N/A,#N/A,FALSE,"Fixed Assets";#N/A,#N/A,FALSE,"Balance Sheet";#N/A,#N/A,FALSE,"P &amp; L"}</definedName>
    <definedName name="asda" localSheetId="22" hidden="1">{#N/A,#N/A,FALSE,"Cash Flows";#N/A,#N/A,FALSE,"Fixed Assets";#N/A,#N/A,FALSE,"Balance Sheet";#N/A,#N/A,FALSE,"P &amp; L"}</definedName>
    <definedName name="asda" localSheetId="26" hidden="1">{#N/A,#N/A,FALSE,"Cash Flows";#N/A,#N/A,FALSE,"Fixed Assets";#N/A,#N/A,FALSE,"Balance Sheet";#N/A,#N/A,FALSE,"P &amp; L"}</definedName>
    <definedName name="asda" localSheetId="14" hidden="1">{#N/A,#N/A,FALSE,"Cash Flows";#N/A,#N/A,FALSE,"Fixed Assets";#N/A,#N/A,FALSE,"Balance Sheet";#N/A,#N/A,FALSE,"P &amp; L"}</definedName>
    <definedName name="asda" localSheetId="21" hidden="1">{#N/A,#N/A,FALSE,"Cash Flows";#N/A,#N/A,FALSE,"Fixed Assets";#N/A,#N/A,FALSE,"Balance Sheet";#N/A,#N/A,FALSE,"P &amp; L"}</definedName>
    <definedName name="asda" localSheetId="3" hidden="1">{#N/A,#N/A,FALSE,"Cash Flows";#N/A,#N/A,FALSE,"Fixed Assets";#N/A,#N/A,FALSE,"Balance Sheet";#N/A,#N/A,FALSE,"P &amp; L"}</definedName>
    <definedName name="asda" localSheetId="29" hidden="1">{#N/A,#N/A,FALSE,"Cash Flows";#N/A,#N/A,FALSE,"Fixed Assets";#N/A,#N/A,FALSE,"Balance Sheet";#N/A,#N/A,FALSE,"P &amp; L"}</definedName>
    <definedName name="asda" localSheetId="28" hidden="1">{#N/A,#N/A,FALSE,"Cash Flows";#N/A,#N/A,FALSE,"Fixed Assets";#N/A,#N/A,FALSE,"Balance Sheet";#N/A,#N/A,FALSE,"P &amp; L"}</definedName>
    <definedName name="asda" localSheetId="27" hidden="1">{#N/A,#N/A,FALSE,"Cash Flows";#N/A,#N/A,FALSE,"Fixed Assets";#N/A,#N/A,FALSE,"Balance Sheet";#N/A,#N/A,FALSE,"P &amp; L"}</definedName>
    <definedName name="asda" localSheetId="0" hidden="1">{#N/A,#N/A,FALSE,"Cash Flows";#N/A,#N/A,FALSE,"Fixed Assets";#N/A,#N/A,FALSE,"Balance Sheet";#N/A,#N/A,FALSE,"P &amp; L"}</definedName>
    <definedName name="asda" hidden="1">{#N/A,#N/A,FALSE,"Cash Flows";#N/A,#N/A,FALSE,"Fixed Assets";#N/A,#N/A,FALSE,"Balance Sheet";#N/A,#N/A,FALSE,"P &amp; L"}</definedName>
    <definedName name="asda_1" localSheetId="26" hidden="1">{#N/A,#N/A,FALSE,"Cash Flows";#N/A,#N/A,FALSE,"Fixed Assets";#N/A,#N/A,FALSE,"Balance Sheet";#N/A,#N/A,FALSE,"P &amp; L"}</definedName>
    <definedName name="asda_1" localSheetId="0" hidden="1">{#N/A,#N/A,FALSE,"Cash Flows";#N/A,#N/A,FALSE,"Fixed Assets";#N/A,#N/A,FALSE,"Balance Sheet";#N/A,#N/A,FALSE,"P &amp; L"}</definedName>
    <definedName name="asda_1" hidden="1">{#N/A,#N/A,FALSE,"Cash Flows";#N/A,#N/A,FALSE,"Fixed Assets";#N/A,#N/A,FALSE,"Balance Sheet";#N/A,#N/A,FALSE,"P &amp; L"}</definedName>
    <definedName name="asda_1_1" localSheetId="26" hidden="1">{#N/A,#N/A,FALSE,"Cash Flows";#N/A,#N/A,FALSE,"Fixed Assets";#N/A,#N/A,FALSE,"Balance Sheet";#N/A,#N/A,FALSE,"P &amp; L"}</definedName>
    <definedName name="asda_1_1" localSheetId="0" hidden="1">{#N/A,#N/A,FALSE,"Cash Flows";#N/A,#N/A,FALSE,"Fixed Assets";#N/A,#N/A,FALSE,"Balance Sheet";#N/A,#N/A,FALSE,"P &amp; L"}</definedName>
    <definedName name="asda_1_1" hidden="1">{#N/A,#N/A,FALSE,"Cash Flows";#N/A,#N/A,FALSE,"Fixed Assets";#N/A,#N/A,FALSE,"Balance Sheet";#N/A,#N/A,FALSE,"P &amp; L"}</definedName>
    <definedName name="asda_1_2" localSheetId="26" hidden="1">{#N/A,#N/A,FALSE,"Cash Flows";#N/A,#N/A,FALSE,"Fixed Assets";#N/A,#N/A,FALSE,"Balance Sheet";#N/A,#N/A,FALSE,"P &amp; L"}</definedName>
    <definedName name="asda_1_2" localSheetId="0" hidden="1">{#N/A,#N/A,FALSE,"Cash Flows";#N/A,#N/A,FALSE,"Fixed Assets";#N/A,#N/A,FALSE,"Balance Sheet";#N/A,#N/A,FALSE,"P &amp; L"}</definedName>
    <definedName name="asda_1_2" hidden="1">{#N/A,#N/A,FALSE,"Cash Flows";#N/A,#N/A,FALSE,"Fixed Assets";#N/A,#N/A,FALSE,"Balance Sheet";#N/A,#N/A,FALSE,"P &amp; L"}</definedName>
    <definedName name="asda_1_3" localSheetId="26" hidden="1">{#N/A,#N/A,FALSE,"Cash Flows";#N/A,#N/A,FALSE,"Fixed Assets";#N/A,#N/A,FALSE,"Balance Sheet";#N/A,#N/A,FALSE,"P &amp; L"}</definedName>
    <definedName name="asda_1_3" localSheetId="0" hidden="1">{#N/A,#N/A,FALSE,"Cash Flows";#N/A,#N/A,FALSE,"Fixed Assets";#N/A,#N/A,FALSE,"Balance Sheet";#N/A,#N/A,FALSE,"P &amp; L"}</definedName>
    <definedName name="asda_1_3" hidden="1">{#N/A,#N/A,FALSE,"Cash Flows";#N/A,#N/A,FALSE,"Fixed Assets";#N/A,#N/A,FALSE,"Balance Sheet";#N/A,#N/A,FALSE,"P &amp; L"}</definedName>
    <definedName name="asda_2" localSheetId="26" hidden="1">{#N/A,#N/A,FALSE,"Cash Flows";#N/A,#N/A,FALSE,"Fixed Assets";#N/A,#N/A,FALSE,"Balance Sheet";#N/A,#N/A,FALSE,"P &amp; L"}</definedName>
    <definedName name="asda_2" localSheetId="0" hidden="1">{#N/A,#N/A,FALSE,"Cash Flows";#N/A,#N/A,FALSE,"Fixed Assets";#N/A,#N/A,FALSE,"Balance Sheet";#N/A,#N/A,FALSE,"P &amp; L"}</definedName>
    <definedName name="asda_2" hidden="1">{#N/A,#N/A,FALSE,"Cash Flows";#N/A,#N/A,FALSE,"Fixed Assets";#N/A,#N/A,FALSE,"Balance Sheet";#N/A,#N/A,FALSE,"P &amp; L"}</definedName>
    <definedName name="asda_2_1" localSheetId="26" hidden="1">{#N/A,#N/A,FALSE,"Cash Flows";#N/A,#N/A,FALSE,"Fixed Assets";#N/A,#N/A,FALSE,"Balance Sheet";#N/A,#N/A,FALSE,"P &amp; L"}</definedName>
    <definedName name="asda_2_1" localSheetId="0" hidden="1">{#N/A,#N/A,FALSE,"Cash Flows";#N/A,#N/A,FALSE,"Fixed Assets";#N/A,#N/A,FALSE,"Balance Sheet";#N/A,#N/A,FALSE,"P &amp; L"}</definedName>
    <definedName name="asda_2_1" hidden="1">{#N/A,#N/A,FALSE,"Cash Flows";#N/A,#N/A,FALSE,"Fixed Assets";#N/A,#N/A,FALSE,"Balance Sheet";#N/A,#N/A,FALSE,"P &amp; L"}</definedName>
    <definedName name="asda_2_2" localSheetId="26" hidden="1">{#N/A,#N/A,FALSE,"Cash Flows";#N/A,#N/A,FALSE,"Fixed Assets";#N/A,#N/A,FALSE,"Balance Sheet";#N/A,#N/A,FALSE,"P &amp; L"}</definedName>
    <definedName name="asda_2_2" localSheetId="0" hidden="1">{#N/A,#N/A,FALSE,"Cash Flows";#N/A,#N/A,FALSE,"Fixed Assets";#N/A,#N/A,FALSE,"Balance Sheet";#N/A,#N/A,FALSE,"P &amp; L"}</definedName>
    <definedName name="asda_2_2" hidden="1">{#N/A,#N/A,FALSE,"Cash Flows";#N/A,#N/A,FALSE,"Fixed Assets";#N/A,#N/A,FALSE,"Balance Sheet";#N/A,#N/A,FALSE,"P &amp; L"}</definedName>
    <definedName name="asda_3" localSheetId="26" hidden="1">{#N/A,#N/A,FALSE,"Cash Flows";#N/A,#N/A,FALSE,"Fixed Assets";#N/A,#N/A,FALSE,"Balance Sheet";#N/A,#N/A,FALSE,"P &amp; L"}</definedName>
    <definedName name="asda_3" localSheetId="0" hidden="1">{#N/A,#N/A,FALSE,"Cash Flows";#N/A,#N/A,FALSE,"Fixed Assets";#N/A,#N/A,FALSE,"Balance Sheet";#N/A,#N/A,FALSE,"P &amp; L"}</definedName>
    <definedName name="asda_3" hidden="1">{#N/A,#N/A,FALSE,"Cash Flows";#N/A,#N/A,FALSE,"Fixed Assets";#N/A,#N/A,FALSE,"Balance Sheet";#N/A,#N/A,FALSE,"P &amp; L"}</definedName>
    <definedName name="asda_4" localSheetId="26" hidden="1">{#N/A,#N/A,FALSE,"Cash Flows";#N/A,#N/A,FALSE,"Fixed Assets";#N/A,#N/A,FALSE,"Balance Sheet";#N/A,#N/A,FALSE,"P &amp; L"}</definedName>
    <definedName name="asda_4" localSheetId="0" hidden="1">{#N/A,#N/A,FALSE,"Cash Flows";#N/A,#N/A,FALSE,"Fixed Assets";#N/A,#N/A,FALSE,"Balance Sheet";#N/A,#N/A,FALSE,"P &amp; L"}</definedName>
    <definedName name="asda_4" hidden="1">{#N/A,#N/A,FALSE,"Cash Flows";#N/A,#N/A,FALSE,"Fixed Assets";#N/A,#N/A,FALSE,"Balance Sheet";#N/A,#N/A,FALSE,"P &amp; L"}</definedName>
    <definedName name="asda_5" localSheetId="26" hidden="1">{#N/A,#N/A,FALSE,"Cash Flows";#N/A,#N/A,FALSE,"Fixed Assets";#N/A,#N/A,FALSE,"Balance Sheet";#N/A,#N/A,FALSE,"P &amp; L"}</definedName>
    <definedName name="asda_5" localSheetId="0" hidden="1">{#N/A,#N/A,FALSE,"Cash Flows";#N/A,#N/A,FALSE,"Fixed Assets";#N/A,#N/A,FALSE,"Balance Sheet";#N/A,#N/A,FALSE,"P &amp; L"}</definedName>
    <definedName name="asda_5" hidden="1">{#N/A,#N/A,FALSE,"Cash Flows";#N/A,#N/A,FALSE,"Fixed Assets";#N/A,#N/A,FALSE,"Balance Sheet";#N/A,#N/A,FALSE,"P &amp; L"}</definedName>
    <definedName name="asda1" localSheetId="26" hidden="1">{#N/A,#N/A,FALSE,"Cash Flows";#N/A,#N/A,FALSE,"Fixed Assets";#N/A,#N/A,FALSE,"Balance Sheet";#N/A,#N/A,FALSE,"P &amp; L"}</definedName>
    <definedName name="asda1" localSheetId="21" hidden="1">{#N/A,#N/A,FALSE,"Cash Flows";#N/A,#N/A,FALSE,"Fixed Assets";#N/A,#N/A,FALSE,"Balance Sheet";#N/A,#N/A,FALSE,"P &amp; L"}</definedName>
    <definedName name="asda1" localSheetId="3" hidden="1">{#N/A,#N/A,FALSE,"Cash Flows";#N/A,#N/A,FALSE,"Fixed Assets";#N/A,#N/A,FALSE,"Balance Sheet";#N/A,#N/A,FALSE,"P &amp; L"}</definedName>
    <definedName name="asda1" localSheetId="27" hidden="1">{#N/A,#N/A,FALSE,"Cash Flows";#N/A,#N/A,FALSE,"Fixed Assets";#N/A,#N/A,FALSE,"Balance Sheet";#N/A,#N/A,FALSE,"P &amp; L"}</definedName>
    <definedName name="asda1" localSheetId="0" hidden="1">{#N/A,#N/A,FALSE,"Cash Flows";#N/A,#N/A,FALSE,"Fixed Assets";#N/A,#N/A,FALSE,"Balance Sheet";#N/A,#N/A,FALSE,"P &amp; L"}</definedName>
    <definedName name="asda1" hidden="1">{#N/A,#N/A,FALSE,"Cash Flows";#N/A,#N/A,FALSE,"Fixed Assets";#N/A,#N/A,FALSE,"Balance Sheet";#N/A,#N/A,FALSE,"P &amp; L"}</definedName>
    <definedName name="asda1_1" localSheetId="26" hidden="1">{#N/A,#N/A,FALSE,"Cash Flows";#N/A,#N/A,FALSE,"Fixed Assets";#N/A,#N/A,FALSE,"Balance Sheet";#N/A,#N/A,FALSE,"P &amp; L"}</definedName>
    <definedName name="asda1_1" localSheetId="0" hidden="1">{#N/A,#N/A,FALSE,"Cash Flows";#N/A,#N/A,FALSE,"Fixed Assets";#N/A,#N/A,FALSE,"Balance Sheet";#N/A,#N/A,FALSE,"P &amp; L"}</definedName>
    <definedName name="asda1_1" hidden="1">{#N/A,#N/A,FALSE,"Cash Flows";#N/A,#N/A,FALSE,"Fixed Assets";#N/A,#N/A,FALSE,"Balance Sheet";#N/A,#N/A,FALSE,"P &amp; L"}</definedName>
    <definedName name="asda1_1_1" localSheetId="26" hidden="1">{#N/A,#N/A,FALSE,"Cash Flows";#N/A,#N/A,FALSE,"Fixed Assets";#N/A,#N/A,FALSE,"Balance Sheet";#N/A,#N/A,FALSE,"P &amp; L"}</definedName>
    <definedName name="asda1_1_1" localSheetId="0" hidden="1">{#N/A,#N/A,FALSE,"Cash Flows";#N/A,#N/A,FALSE,"Fixed Assets";#N/A,#N/A,FALSE,"Balance Sheet";#N/A,#N/A,FALSE,"P &amp; L"}</definedName>
    <definedName name="asda1_1_1" hidden="1">{#N/A,#N/A,FALSE,"Cash Flows";#N/A,#N/A,FALSE,"Fixed Assets";#N/A,#N/A,FALSE,"Balance Sheet";#N/A,#N/A,FALSE,"P &amp; L"}</definedName>
    <definedName name="asda1_1_2" localSheetId="26" hidden="1">{#N/A,#N/A,FALSE,"Cash Flows";#N/A,#N/A,FALSE,"Fixed Assets";#N/A,#N/A,FALSE,"Balance Sheet";#N/A,#N/A,FALSE,"P &amp; L"}</definedName>
    <definedName name="asda1_1_2" localSheetId="0" hidden="1">{#N/A,#N/A,FALSE,"Cash Flows";#N/A,#N/A,FALSE,"Fixed Assets";#N/A,#N/A,FALSE,"Balance Sheet";#N/A,#N/A,FALSE,"P &amp; L"}</definedName>
    <definedName name="asda1_1_2" hidden="1">{#N/A,#N/A,FALSE,"Cash Flows";#N/A,#N/A,FALSE,"Fixed Assets";#N/A,#N/A,FALSE,"Balance Sheet";#N/A,#N/A,FALSE,"P &amp; L"}</definedName>
    <definedName name="asda1_1_3" localSheetId="26" hidden="1">{#N/A,#N/A,FALSE,"Cash Flows";#N/A,#N/A,FALSE,"Fixed Assets";#N/A,#N/A,FALSE,"Balance Sheet";#N/A,#N/A,FALSE,"P &amp; L"}</definedName>
    <definedName name="asda1_1_3" localSheetId="0" hidden="1">{#N/A,#N/A,FALSE,"Cash Flows";#N/A,#N/A,FALSE,"Fixed Assets";#N/A,#N/A,FALSE,"Balance Sheet";#N/A,#N/A,FALSE,"P &amp; L"}</definedName>
    <definedName name="asda1_1_3" hidden="1">{#N/A,#N/A,FALSE,"Cash Flows";#N/A,#N/A,FALSE,"Fixed Assets";#N/A,#N/A,FALSE,"Balance Sheet";#N/A,#N/A,FALSE,"P &amp; L"}</definedName>
    <definedName name="asda1_2" localSheetId="26" hidden="1">{#N/A,#N/A,FALSE,"Cash Flows";#N/A,#N/A,FALSE,"Fixed Assets";#N/A,#N/A,FALSE,"Balance Sheet";#N/A,#N/A,FALSE,"P &amp; L"}</definedName>
    <definedName name="asda1_2" localSheetId="0" hidden="1">{#N/A,#N/A,FALSE,"Cash Flows";#N/A,#N/A,FALSE,"Fixed Assets";#N/A,#N/A,FALSE,"Balance Sheet";#N/A,#N/A,FALSE,"P &amp; L"}</definedName>
    <definedName name="asda1_2" hidden="1">{#N/A,#N/A,FALSE,"Cash Flows";#N/A,#N/A,FALSE,"Fixed Assets";#N/A,#N/A,FALSE,"Balance Sheet";#N/A,#N/A,FALSE,"P &amp; L"}</definedName>
    <definedName name="asda1_2_1" localSheetId="26" hidden="1">{#N/A,#N/A,FALSE,"Cash Flows";#N/A,#N/A,FALSE,"Fixed Assets";#N/A,#N/A,FALSE,"Balance Sheet";#N/A,#N/A,FALSE,"P &amp; L"}</definedName>
    <definedName name="asda1_2_1" localSheetId="0" hidden="1">{#N/A,#N/A,FALSE,"Cash Flows";#N/A,#N/A,FALSE,"Fixed Assets";#N/A,#N/A,FALSE,"Balance Sheet";#N/A,#N/A,FALSE,"P &amp; L"}</definedName>
    <definedName name="asda1_2_1" hidden="1">{#N/A,#N/A,FALSE,"Cash Flows";#N/A,#N/A,FALSE,"Fixed Assets";#N/A,#N/A,FALSE,"Balance Sheet";#N/A,#N/A,FALSE,"P &amp; L"}</definedName>
    <definedName name="asda1_2_2" localSheetId="26" hidden="1">{#N/A,#N/A,FALSE,"Cash Flows";#N/A,#N/A,FALSE,"Fixed Assets";#N/A,#N/A,FALSE,"Balance Sheet";#N/A,#N/A,FALSE,"P &amp; L"}</definedName>
    <definedName name="asda1_2_2" localSheetId="0" hidden="1">{#N/A,#N/A,FALSE,"Cash Flows";#N/A,#N/A,FALSE,"Fixed Assets";#N/A,#N/A,FALSE,"Balance Sheet";#N/A,#N/A,FALSE,"P &amp; L"}</definedName>
    <definedName name="asda1_2_2" hidden="1">{#N/A,#N/A,FALSE,"Cash Flows";#N/A,#N/A,FALSE,"Fixed Assets";#N/A,#N/A,FALSE,"Balance Sheet";#N/A,#N/A,FALSE,"P &amp; L"}</definedName>
    <definedName name="asda1_3" localSheetId="26" hidden="1">{#N/A,#N/A,FALSE,"Cash Flows";#N/A,#N/A,FALSE,"Fixed Assets";#N/A,#N/A,FALSE,"Balance Sheet";#N/A,#N/A,FALSE,"P &amp; L"}</definedName>
    <definedName name="asda1_3" localSheetId="0" hidden="1">{#N/A,#N/A,FALSE,"Cash Flows";#N/A,#N/A,FALSE,"Fixed Assets";#N/A,#N/A,FALSE,"Balance Sheet";#N/A,#N/A,FALSE,"P &amp; L"}</definedName>
    <definedName name="asda1_3" hidden="1">{#N/A,#N/A,FALSE,"Cash Flows";#N/A,#N/A,FALSE,"Fixed Assets";#N/A,#N/A,FALSE,"Balance Sheet";#N/A,#N/A,FALSE,"P &amp; L"}</definedName>
    <definedName name="asda1_4" localSheetId="26" hidden="1">{#N/A,#N/A,FALSE,"Cash Flows";#N/A,#N/A,FALSE,"Fixed Assets";#N/A,#N/A,FALSE,"Balance Sheet";#N/A,#N/A,FALSE,"P &amp; L"}</definedName>
    <definedName name="asda1_4" localSheetId="0" hidden="1">{#N/A,#N/A,FALSE,"Cash Flows";#N/A,#N/A,FALSE,"Fixed Assets";#N/A,#N/A,FALSE,"Balance Sheet";#N/A,#N/A,FALSE,"P &amp; L"}</definedName>
    <definedName name="asda1_4" hidden="1">{#N/A,#N/A,FALSE,"Cash Flows";#N/A,#N/A,FALSE,"Fixed Assets";#N/A,#N/A,FALSE,"Balance Sheet";#N/A,#N/A,FALSE,"P &amp; L"}</definedName>
    <definedName name="asda1_5" localSheetId="26" hidden="1">{#N/A,#N/A,FALSE,"Cash Flows";#N/A,#N/A,FALSE,"Fixed Assets";#N/A,#N/A,FALSE,"Balance Sheet";#N/A,#N/A,FALSE,"P &amp; L"}</definedName>
    <definedName name="asda1_5" localSheetId="0" hidden="1">{#N/A,#N/A,FALSE,"Cash Flows";#N/A,#N/A,FALSE,"Fixed Assets";#N/A,#N/A,FALSE,"Balance Sheet";#N/A,#N/A,FALSE,"P &amp; L"}</definedName>
    <definedName name="asda1_5" hidden="1">{#N/A,#N/A,FALSE,"Cash Flows";#N/A,#N/A,FALSE,"Fixed Assets";#N/A,#N/A,FALSE,"Balance Sheet";#N/A,#N/A,FALSE,"P &amp; L"}</definedName>
    <definedName name="asda2" localSheetId="26" hidden="1">{#N/A,#N/A,FALSE,"Cash Flows";#N/A,#N/A,FALSE,"Fixed Assets";#N/A,#N/A,FALSE,"Balance Sheet";#N/A,#N/A,FALSE,"P &amp; L"}</definedName>
    <definedName name="asda2" localSheetId="21" hidden="1">{#N/A,#N/A,FALSE,"Cash Flows";#N/A,#N/A,FALSE,"Fixed Assets";#N/A,#N/A,FALSE,"Balance Sheet";#N/A,#N/A,FALSE,"P &amp; L"}</definedName>
    <definedName name="asda2" localSheetId="3" hidden="1">{#N/A,#N/A,FALSE,"Cash Flows";#N/A,#N/A,FALSE,"Fixed Assets";#N/A,#N/A,FALSE,"Balance Sheet";#N/A,#N/A,FALSE,"P &amp; L"}</definedName>
    <definedName name="asda2" localSheetId="27" hidden="1">{#N/A,#N/A,FALSE,"Cash Flows";#N/A,#N/A,FALSE,"Fixed Assets";#N/A,#N/A,FALSE,"Balance Sheet";#N/A,#N/A,FALSE,"P &amp; L"}</definedName>
    <definedName name="asda2" localSheetId="0" hidden="1">{#N/A,#N/A,FALSE,"Cash Flows";#N/A,#N/A,FALSE,"Fixed Assets";#N/A,#N/A,FALSE,"Balance Sheet";#N/A,#N/A,FALSE,"P &amp; L"}</definedName>
    <definedName name="asda2" hidden="1">{#N/A,#N/A,FALSE,"Cash Flows";#N/A,#N/A,FALSE,"Fixed Assets";#N/A,#N/A,FALSE,"Balance Sheet";#N/A,#N/A,FALSE,"P &amp; L"}</definedName>
    <definedName name="asda2_1" localSheetId="26" hidden="1">{#N/A,#N/A,FALSE,"Cash Flows";#N/A,#N/A,FALSE,"Fixed Assets";#N/A,#N/A,FALSE,"Balance Sheet";#N/A,#N/A,FALSE,"P &amp; L"}</definedName>
    <definedName name="asda2_1" localSheetId="0" hidden="1">{#N/A,#N/A,FALSE,"Cash Flows";#N/A,#N/A,FALSE,"Fixed Assets";#N/A,#N/A,FALSE,"Balance Sheet";#N/A,#N/A,FALSE,"P &amp; L"}</definedName>
    <definedName name="asda2_1" hidden="1">{#N/A,#N/A,FALSE,"Cash Flows";#N/A,#N/A,FALSE,"Fixed Assets";#N/A,#N/A,FALSE,"Balance Sheet";#N/A,#N/A,FALSE,"P &amp; L"}</definedName>
    <definedName name="asda2_1_1" localSheetId="26" hidden="1">{#N/A,#N/A,FALSE,"Cash Flows";#N/A,#N/A,FALSE,"Fixed Assets";#N/A,#N/A,FALSE,"Balance Sheet";#N/A,#N/A,FALSE,"P &amp; L"}</definedName>
    <definedName name="asda2_1_1" localSheetId="0" hidden="1">{#N/A,#N/A,FALSE,"Cash Flows";#N/A,#N/A,FALSE,"Fixed Assets";#N/A,#N/A,FALSE,"Balance Sheet";#N/A,#N/A,FALSE,"P &amp; L"}</definedName>
    <definedName name="asda2_1_1" hidden="1">{#N/A,#N/A,FALSE,"Cash Flows";#N/A,#N/A,FALSE,"Fixed Assets";#N/A,#N/A,FALSE,"Balance Sheet";#N/A,#N/A,FALSE,"P &amp; L"}</definedName>
    <definedName name="asda2_1_2" localSheetId="26" hidden="1">{#N/A,#N/A,FALSE,"Cash Flows";#N/A,#N/A,FALSE,"Fixed Assets";#N/A,#N/A,FALSE,"Balance Sheet";#N/A,#N/A,FALSE,"P &amp; L"}</definedName>
    <definedName name="asda2_1_2" localSheetId="0" hidden="1">{#N/A,#N/A,FALSE,"Cash Flows";#N/A,#N/A,FALSE,"Fixed Assets";#N/A,#N/A,FALSE,"Balance Sheet";#N/A,#N/A,FALSE,"P &amp; L"}</definedName>
    <definedName name="asda2_1_2" hidden="1">{#N/A,#N/A,FALSE,"Cash Flows";#N/A,#N/A,FALSE,"Fixed Assets";#N/A,#N/A,FALSE,"Balance Sheet";#N/A,#N/A,FALSE,"P &amp; L"}</definedName>
    <definedName name="asda2_1_3" localSheetId="26" hidden="1">{#N/A,#N/A,FALSE,"Cash Flows";#N/A,#N/A,FALSE,"Fixed Assets";#N/A,#N/A,FALSE,"Balance Sheet";#N/A,#N/A,FALSE,"P &amp; L"}</definedName>
    <definedName name="asda2_1_3" localSheetId="0" hidden="1">{#N/A,#N/A,FALSE,"Cash Flows";#N/A,#N/A,FALSE,"Fixed Assets";#N/A,#N/A,FALSE,"Balance Sheet";#N/A,#N/A,FALSE,"P &amp; L"}</definedName>
    <definedName name="asda2_1_3" hidden="1">{#N/A,#N/A,FALSE,"Cash Flows";#N/A,#N/A,FALSE,"Fixed Assets";#N/A,#N/A,FALSE,"Balance Sheet";#N/A,#N/A,FALSE,"P &amp; L"}</definedName>
    <definedName name="asda2_2" localSheetId="26" hidden="1">{#N/A,#N/A,FALSE,"Cash Flows";#N/A,#N/A,FALSE,"Fixed Assets";#N/A,#N/A,FALSE,"Balance Sheet";#N/A,#N/A,FALSE,"P &amp; L"}</definedName>
    <definedName name="asda2_2" localSheetId="0" hidden="1">{#N/A,#N/A,FALSE,"Cash Flows";#N/A,#N/A,FALSE,"Fixed Assets";#N/A,#N/A,FALSE,"Balance Sheet";#N/A,#N/A,FALSE,"P &amp; L"}</definedName>
    <definedName name="asda2_2" hidden="1">{#N/A,#N/A,FALSE,"Cash Flows";#N/A,#N/A,FALSE,"Fixed Assets";#N/A,#N/A,FALSE,"Balance Sheet";#N/A,#N/A,FALSE,"P &amp; L"}</definedName>
    <definedName name="asda2_2_1" localSheetId="26" hidden="1">{#N/A,#N/A,FALSE,"Cash Flows";#N/A,#N/A,FALSE,"Fixed Assets";#N/A,#N/A,FALSE,"Balance Sheet";#N/A,#N/A,FALSE,"P &amp; L"}</definedName>
    <definedName name="asda2_2_1" localSheetId="0" hidden="1">{#N/A,#N/A,FALSE,"Cash Flows";#N/A,#N/A,FALSE,"Fixed Assets";#N/A,#N/A,FALSE,"Balance Sheet";#N/A,#N/A,FALSE,"P &amp; L"}</definedName>
    <definedName name="asda2_2_1" hidden="1">{#N/A,#N/A,FALSE,"Cash Flows";#N/A,#N/A,FALSE,"Fixed Assets";#N/A,#N/A,FALSE,"Balance Sheet";#N/A,#N/A,FALSE,"P &amp; L"}</definedName>
    <definedName name="asda2_2_2" localSheetId="26" hidden="1">{#N/A,#N/A,FALSE,"Cash Flows";#N/A,#N/A,FALSE,"Fixed Assets";#N/A,#N/A,FALSE,"Balance Sheet";#N/A,#N/A,FALSE,"P &amp; L"}</definedName>
    <definedName name="asda2_2_2" localSheetId="0" hidden="1">{#N/A,#N/A,FALSE,"Cash Flows";#N/A,#N/A,FALSE,"Fixed Assets";#N/A,#N/A,FALSE,"Balance Sheet";#N/A,#N/A,FALSE,"P &amp; L"}</definedName>
    <definedName name="asda2_2_2" hidden="1">{#N/A,#N/A,FALSE,"Cash Flows";#N/A,#N/A,FALSE,"Fixed Assets";#N/A,#N/A,FALSE,"Balance Sheet";#N/A,#N/A,FALSE,"P &amp; L"}</definedName>
    <definedName name="asda2_3" localSheetId="26" hidden="1">{#N/A,#N/A,FALSE,"Cash Flows";#N/A,#N/A,FALSE,"Fixed Assets";#N/A,#N/A,FALSE,"Balance Sheet";#N/A,#N/A,FALSE,"P &amp; L"}</definedName>
    <definedName name="asda2_3" localSheetId="0" hidden="1">{#N/A,#N/A,FALSE,"Cash Flows";#N/A,#N/A,FALSE,"Fixed Assets";#N/A,#N/A,FALSE,"Balance Sheet";#N/A,#N/A,FALSE,"P &amp; L"}</definedName>
    <definedName name="asda2_3" hidden="1">{#N/A,#N/A,FALSE,"Cash Flows";#N/A,#N/A,FALSE,"Fixed Assets";#N/A,#N/A,FALSE,"Balance Sheet";#N/A,#N/A,FALSE,"P &amp; L"}</definedName>
    <definedName name="asda2_4" localSheetId="26" hidden="1">{#N/A,#N/A,FALSE,"Cash Flows";#N/A,#N/A,FALSE,"Fixed Assets";#N/A,#N/A,FALSE,"Balance Sheet";#N/A,#N/A,FALSE,"P &amp; L"}</definedName>
    <definedName name="asda2_4" localSheetId="0" hidden="1">{#N/A,#N/A,FALSE,"Cash Flows";#N/A,#N/A,FALSE,"Fixed Assets";#N/A,#N/A,FALSE,"Balance Sheet";#N/A,#N/A,FALSE,"P &amp; L"}</definedName>
    <definedName name="asda2_4" hidden="1">{#N/A,#N/A,FALSE,"Cash Flows";#N/A,#N/A,FALSE,"Fixed Assets";#N/A,#N/A,FALSE,"Balance Sheet";#N/A,#N/A,FALSE,"P &amp; L"}</definedName>
    <definedName name="asda2_5" localSheetId="26" hidden="1">{#N/A,#N/A,FALSE,"Cash Flows";#N/A,#N/A,FALSE,"Fixed Assets";#N/A,#N/A,FALSE,"Balance Sheet";#N/A,#N/A,FALSE,"P &amp; L"}</definedName>
    <definedName name="asda2_5" localSheetId="0" hidden="1">{#N/A,#N/A,FALSE,"Cash Flows";#N/A,#N/A,FALSE,"Fixed Assets";#N/A,#N/A,FALSE,"Balance Sheet";#N/A,#N/A,FALSE,"P &amp; L"}</definedName>
    <definedName name="asda2_5" hidden="1">{#N/A,#N/A,FALSE,"Cash Flows";#N/A,#N/A,FALSE,"Fixed Assets";#N/A,#N/A,FALSE,"Balance Sheet";#N/A,#N/A,FALSE,"P &amp; L"}</definedName>
    <definedName name="asdf" localSheetId="26" hidden="1">{#N/A,#N/A,FALSE,"196126-0690";#N/A,#N/A,FALSE,"196126-0690";#N/A,#N/A,FALSE,"1961165-0201"}</definedName>
    <definedName name="asdf" localSheetId="0" hidden="1">{#N/A,#N/A,FALSE,"196126-0690";#N/A,#N/A,FALSE,"196126-0690";#N/A,#N/A,FALSE,"1961165-0201"}</definedName>
    <definedName name="asdf" hidden="1">{#N/A,#N/A,FALSE,"196126-0690";#N/A,#N/A,FALSE,"196126-0690";#N/A,#N/A,FALSE,"1961165-0201"}</definedName>
    <definedName name="asdf_1" localSheetId="26" hidden="1">{#N/A,#N/A,FALSE,"196126-0690";#N/A,#N/A,FALSE,"196126-0690";#N/A,#N/A,FALSE,"1961165-0201"}</definedName>
    <definedName name="asdf_1" localSheetId="0" hidden="1">{#N/A,#N/A,FALSE,"196126-0690";#N/A,#N/A,FALSE,"196126-0690";#N/A,#N/A,FALSE,"1961165-0201"}</definedName>
    <definedName name="asdf_1" hidden="1">{#N/A,#N/A,FALSE,"196126-0690";#N/A,#N/A,FALSE,"196126-0690";#N/A,#N/A,FALSE,"1961165-0201"}</definedName>
    <definedName name="asdf_1_1" localSheetId="26" hidden="1">{#N/A,#N/A,FALSE,"196126-0690";#N/A,#N/A,FALSE,"196126-0690";#N/A,#N/A,FALSE,"1961165-0201"}</definedName>
    <definedName name="asdf_1_1" localSheetId="0" hidden="1">{#N/A,#N/A,FALSE,"196126-0690";#N/A,#N/A,FALSE,"196126-0690";#N/A,#N/A,FALSE,"1961165-0201"}</definedName>
    <definedName name="asdf_1_1" hidden="1">{#N/A,#N/A,FALSE,"196126-0690";#N/A,#N/A,FALSE,"196126-0690";#N/A,#N/A,FALSE,"1961165-0201"}</definedName>
    <definedName name="asdf_1_2" localSheetId="26" hidden="1">{#N/A,#N/A,FALSE,"196126-0690";#N/A,#N/A,FALSE,"196126-0690";#N/A,#N/A,FALSE,"1961165-0201"}</definedName>
    <definedName name="asdf_1_2" localSheetId="0" hidden="1">{#N/A,#N/A,FALSE,"196126-0690";#N/A,#N/A,FALSE,"196126-0690";#N/A,#N/A,FALSE,"1961165-0201"}</definedName>
    <definedName name="asdf_1_2" hidden="1">{#N/A,#N/A,FALSE,"196126-0690";#N/A,#N/A,FALSE,"196126-0690";#N/A,#N/A,FALSE,"1961165-0201"}</definedName>
    <definedName name="asdf_1_3" localSheetId="26" hidden="1">{#N/A,#N/A,FALSE,"196126-0690";#N/A,#N/A,FALSE,"196126-0690";#N/A,#N/A,FALSE,"1961165-0201"}</definedName>
    <definedName name="asdf_1_3" localSheetId="0" hidden="1">{#N/A,#N/A,FALSE,"196126-0690";#N/A,#N/A,FALSE,"196126-0690";#N/A,#N/A,FALSE,"1961165-0201"}</definedName>
    <definedName name="asdf_1_3" hidden="1">{#N/A,#N/A,FALSE,"196126-0690";#N/A,#N/A,FALSE,"196126-0690";#N/A,#N/A,FALSE,"1961165-0201"}</definedName>
    <definedName name="asdf_2" localSheetId="26" hidden="1">{#N/A,#N/A,FALSE,"196126-0690";#N/A,#N/A,FALSE,"196126-0690";#N/A,#N/A,FALSE,"1961165-0201"}</definedName>
    <definedName name="asdf_2" localSheetId="0" hidden="1">{#N/A,#N/A,FALSE,"196126-0690";#N/A,#N/A,FALSE,"196126-0690";#N/A,#N/A,FALSE,"1961165-0201"}</definedName>
    <definedName name="asdf_2" hidden="1">{#N/A,#N/A,FALSE,"196126-0690";#N/A,#N/A,FALSE,"196126-0690";#N/A,#N/A,FALSE,"1961165-0201"}</definedName>
    <definedName name="asdf_2_1" localSheetId="26" hidden="1">{#N/A,#N/A,FALSE,"196126-0690";#N/A,#N/A,FALSE,"196126-0690";#N/A,#N/A,FALSE,"1961165-0201"}</definedName>
    <definedName name="asdf_2_1" localSheetId="0" hidden="1">{#N/A,#N/A,FALSE,"196126-0690";#N/A,#N/A,FALSE,"196126-0690";#N/A,#N/A,FALSE,"1961165-0201"}</definedName>
    <definedName name="asdf_2_1" hidden="1">{#N/A,#N/A,FALSE,"196126-0690";#N/A,#N/A,FALSE,"196126-0690";#N/A,#N/A,FALSE,"1961165-0201"}</definedName>
    <definedName name="asdf_2_2" localSheetId="26" hidden="1">{#N/A,#N/A,FALSE,"196126-0690";#N/A,#N/A,FALSE,"196126-0690";#N/A,#N/A,FALSE,"1961165-0201"}</definedName>
    <definedName name="asdf_2_2" localSheetId="0" hidden="1">{#N/A,#N/A,FALSE,"196126-0690";#N/A,#N/A,FALSE,"196126-0690";#N/A,#N/A,FALSE,"1961165-0201"}</definedName>
    <definedName name="asdf_2_2" hidden="1">{#N/A,#N/A,FALSE,"196126-0690";#N/A,#N/A,FALSE,"196126-0690";#N/A,#N/A,FALSE,"1961165-0201"}</definedName>
    <definedName name="asdf_3" localSheetId="26" hidden="1">{#N/A,#N/A,FALSE,"196126-0690";#N/A,#N/A,FALSE,"196126-0690";#N/A,#N/A,FALSE,"1961165-0201"}</definedName>
    <definedName name="asdf_3" localSheetId="0" hidden="1">{#N/A,#N/A,FALSE,"196126-0690";#N/A,#N/A,FALSE,"196126-0690";#N/A,#N/A,FALSE,"1961165-0201"}</definedName>
    <definedName name="asdf_3" hidden="1">{#N/A,#N/A,FALSE,"196126-0690";#N/A,#N/A,FALSE,"196126-0690";#N/A,#N/A,FALSE,"1961165-0201"}</definedName>
    <definedName name="asdf_4" localSheetId="26" hidden="1">{#N/A,#N/A,FALSE,"196126-0690";#N/A,#N/A,FALSE,"196126-0690";#N/A,#N/A,FALSE,"1961165-0201"}</definedName>
    <definedName name="asdf_4" localSheetId="0" hidden="1">{#N/A,#N/A,FALSE,"196126-0690";#N/A,#N/A,FALSE,"196126-0690";#N/A,#N/A,FALSE,"1961165-0201"}</definedName>
    <definedName name="asdf_4" hidden="1">{#N/A,#N/A,FALSE,"196126-0690";#N/A,#N/A,FALSE,"196126-0690";#N/A,#N/A,FALSE,"1961165-0201"}</definedName>
    <definedName name="asdf_5" localSheetId="26" hidden="1">{#N/A,#N/A,FALSE,"196126-0690";#N/A,#N/A,FALSE,"196126-0690";#N/A,#N/A,FALSE,"1961165-0201"}</definedName>
    <definedName name="asdf_5" localSheetId="0" hidden="1">{#N/A,#N/A,FALSE,"196126-0690";#N/A,#N/A,FALSE,"196126-0690";#N/A,#N/A,FALSE,"1961165-0201"}</definedName>
    <definedName name="asdf_5" hidden="1">{#N/A,#N/A,FALSE,"196126-0690";#N/A,#N/A,FALSE,"196126-0690";#N/A,#N/A,FALSE,"1961165-0201"}</definedName>
    <definedName name="asdfghj" localSheetId="26" hidden="1">{#N/A,#N/A,FALSE,"Cash Flows";#N/A,#N/A,FALSE,"Fixed Assets";#N/A,#N/A,FALSE,"Balance Sheet";#N/A,#N/A,FALSE,"P &amp; L"}</definedName>
    <definedName name="asdfghj" localSheetId="0" hidden="1">{#N/A,#N/A,FALSE,"Cash Flows";#N/A,#N/A,FALSE,"Fixed Assets";#N/A,#N/A,FALSE,"Balance Sheet";#N/A,#N/A,FALSE,"P &amp; L"}</definedName>
    <definedName name="asdfghj" hidden="1">{#N/A,#N/A,FALSE,"Cash Flows";#N/A,#N/A,FALSE,"Fixed Assets";#N/A,#N/A,FALSE,"Balance Sheet";#N/A,#N/A,FALSE,"P &amp; L"}</definedName>
    <definedName name="asdfghj_1" localSheetId="26" hidden="1">{#N/A,#N/A,FALSE,"Cash Flows";#N/A,#N/A,FALSE,"Fixed Assets";#N/A,#N/A,FALSE,"Balance Sheet";#N/A,#N/A,FALSE,"P &amp; L"}</definedName>
    <definedName name="asdfghj_1" localSheetId="0" hidden="1">{#N/A,#N/A,FALSE,"Cash Flows";#N/A,#N/A,FALSE,"Fixed Assets";#N/A,#N/A,FALSE,"Balance Sheet";#N/A,#N/A,FALSE,"P &amp; L"}</definedName>
    <definedName name="asdfghj_1" hidden="1">{#N/A,#N/A,FALSE,"Cash Flows";#N/A,#N/A,FALSE,"Fixed Assets";#N/A,#N/A,FALSE,"Balance Sheet";#N/A,#N/A,FALSE,"P &amp; L"}</definedName>
    <definedName name="asdfghj_1_1" localSheetId="26" hidden="1">{#N/A,#N/A,FALSE,"Cash Flows";#N/A,#N/A,FALSE,"Fixed Assets";#N/A,#N/A,FALSE,"Balance Sheet";#N/A,#N/A,FALSE,"P &amp; L"}</definedName>
    <definedName name="asdfghj_1_1" localSheetId="0" hidden="1">{#N/A,#N/A,FALSE,"Cash Flows";#N/A,#N/A,FALSE,"Fixed Assets";#N/A,#N/A,FALSE,"Balance Sheet";#N/A,#N/A,FALSE,"P &amp; L"}</definedName>
    <definedName name="asdfghj_1_1" hidden="1">{#N/A,#N/A,FALSE,"Cash Flows";#N/A,#N/A,FALSE,"Fixed Assets";#N/A,#N/A,FALSE,"Balance Sheet";#N/A,#N/A,FALSE,"P &amp; L"}</definedName>
    <definedName name="asdfghj_1_2" localSheetId="26" hidden="1">{#N/A,#N/A,FALSE,"Cash Flows";#N/A,#N/A,FALSE,"Fixed Assets";#N/A,#N/A,FALSE,"Balance Sheet";#N/A,#N/A,FALSE,"P &amp; L"}</definedName>
    <definedName name="asdfghj_1_2" localSheetId="0" hidden="1">{#N/A,#N/A,FALSE,"Cash Flows";#N/A,#N/A,FALSE,"Fixed Assets";#N/A,#N/A,FALSE,"Balance Sheet";#N/A,#N/A,FALSE,"P &amp; L"}</definedName>
    <definedName name="asdfghj_1_2" hidden="1">{#N/A,#N/A,FALSE,"Cash Flows";#N/A,#N/A,FALSE,"Fixed Assets";#N/A,#N/A,FALSE,"Balance Sheet";#N/A,#N/A,FALSE,"P &amp; L"}</definedName>
    <definedName name="asdfghj_1_3" localSheetId="26" hidden="1">{#N/A,#N/A,FALSE,"Cash Flows";#N/A,#N/A,FALSE,"Fixed Assets";#N/A,#N/A,FALSE,"Balance Sheet";#N/A,#N/A,FALSE,"P &amp; L"}</definedName>
    <definedName name="asdfghj_1_3" localSheetId="0" hidden="1">{#N/A,#N/A,FALSE,"Cash Flows";#N/A,#N/A,FALSE,"Fixed Assets";#N/A,#N/A,FALSE,"Balance Sheet";#N/A,#N/A,FALSE,"P &amp; L"}</definedName>
    <definedName name="asdfghj_1_3" hidden="1">{#N/A,#N/A,FALSE,"Cash Flows";#N/A,#N/A,FALSE,"Fixed Assets";#N/A,#N/A,FALSE,"Balance Sheet";#N/A,#N/A,FALSE,"P &amp; L"}</definedName>
    <definedName name="asdfghj_2" localSheetId="26" hidden="1">{#N/A,#N/A,FALSE,"Cash Flows";#N/A,#N/A,FALSE,"Fixed Assets";#N/A,#N/A,FALSE,"Balance Sheet";#N/A,#N/A,FALSE,"P &amp; L"}</definedName>
    <definedName name="asdfghj_2" localSheetId="0" hidden="1">{#N/A,#N/A,FALSE,"Cash Flows";#N/A,#N/A,FALSE,"Fixed Assets";#N/A,#N/A,FALSE,"Balance Sheet";#N/A,#N/A,FALSE,"P &amp; L"}</definedName>
    <definedName name="asdfghj_2" hidden="1">{#N/A,#N/A,FALSE,"Cash Flows";#N/A,#N/A,FALSE,"Fixed Assets";#N/A,#N/A,FALSE,"Balance Sheet";#N/A,#N/A,FALSE,"P &amp; L"}</definedName>
    <definedName name="asdfghj_2_1" localSheetId="26" hidden="1">{#N/A,#N/A,FALSE,"Cash Flows";#N/A,#N/A,FALSE,"Fixed Assets";#N/A,#N/A,FALSE,"Balance Sheet";#N/A,#N/A,FALSE,"P &amp; L"}</definedName>
    <definedName name="asdfghj_2_1" localSheetId="0" hidden="1">{#N/A,#N/A,FALSE,"Cash Flows";#N/A,#N/A,FALSE,"Fixed Assets";#N/A,#N/A,FALSE,"Balance Sheet";#N/A,#N/A,FALSE,"P &amp; L"}</definedName>
    <definedName name="asdfghj_2_1" hidden="1">{#N/A,#N/A,FALSE,"Cash Flows";#N/A,#N/A,FALSE,"Fixed Assets";#N/A,#N/A,FALSE,"Balance Sheet";#N/A,#N/A,FALSE,"P &amp; L"}</definedName>
    <definedName name="asdfghj_2_2" localSheetId="26" hidden="1">{#N/A,#N/A,FALSE,"Cash Flows";#N/A,#N/A,FALSE,"Fixed Assets";#N/A,#N/A,FALSE,"Balance Sheet";#N/A,#N/A,FALSE,"P &amp; L"}</definedName>
    <definedName name="asdfghj_2_2" localSheetId="0" hidden="1">{#N/A,#N/A,FALSE,"Cash Flows";#N/A,#N/A,FALSE,"Fixed Assets";#N/A,#N/A,FALSE,"Balance Sheet";#N/A,#N/A,FALSE,"P &amp; L"}</definedName>
    <definedName name="asdfghj_2_2" hidden="1">{#N/A,#N/A,FALSE,"Cash Flows";#N/A,#N/A,FALSE,"Fixed Assets";#N/A,#N/A,FALSE,"Balance Sheet";#N/A,#N/A,FALSE,"P &amp; L"}</definedName>
    <definedName name="asdfghj_3" localSheetId="26" hidden="1">{#N/A,#N/A,FALSE,"Cash Flows";#N/A,#N/A,FALSE,"Fixed Assets";#N/A,#N/A,FALSE,"Balance Sheet";#N/A,#N/A,FALSE,"P &amp; L"}</definedName>
    <definedName name="asdfghj_3" localSheetId="0" hidden="1">{#N/A,#N/A,FALSE,"Cash Flows";#N/A,#N/A,FALSE,"Fixed Assets";#N/A,#N/A,FALSE,"Balance Sheet";#N/A,#N/A,FALSE,"P &amp; L"}</definedName>
    <definedName name="asdfghj_3" hidden="1">{#N/A,#N/A,FALSE,"Cash Flows";#N/A,#N/A,FALSE,"Fixed Assets";#N/A,#N/A,FALSE,"Balance Sheet";#N/A,#N/A,FALSE,"P &amp; L"}</definedName>
    <definedName name="asdfghj_4" localSheetId="26" hidden="1">{#N/A,#N/A,FALSE,"Cash Flows";#N/A,#N/A,FALSE,"Fixed Assets";#N/A,#N/A,FALSE,"Balance Sheet";#N/A,#N/A,FALSE,"P &amp; L"}</definedName>
    <definedName name="asdfghj_4" localSheetId="0" hidden="1">{#N/A,#N/A,FALSE,"Cash Flows";#N/A,#N/A,FALSE,"Fixed Assets";#N/A,#N/A,FALSE,"Balance Sheet";#N/A,#N/A,FALSE,"P &amp; L"}</definedName>
    <definedName name="asdfghj_4" hidden="1">{#N/A,#N/A,FALSE,"Cash Flows";#N/A,#N/A,FALSE,"Fixed Assets";#N/A,#N/A,FALSE,"Balance Sheet";#N/A,#N/A,FALSE,"P &amp; L"}</definedName>
    <definedName name="asdfghj_5" localSheetId="26" hidden="1">{#N/A,#N/A,FALSE,"Cash Flows";#N/A,#N/A,FALSE,"Fixed Assets";#N/A,#N/A,FALSE,"Balance Sheet";#N/A,#N/A,FALSE,"P &amp; L"}</definedName>
    <definedName name="asdfghj_5" localSheetId="0" hidden="1">{#N/A,#N/A,FALSE,"Cash Flows";#N/A,#N/A,FALSE,"Fixed Assets";#N/A,#N/A,FALSE,"Balance Sheet";#N/A,#N/A,FALSE,"P &amp; L"}</definedName>
    <definedName name="asdfghj_5" hidden="1">{#N/A,#N/A,FALSE,"Cash Flows";#N/A,#N/A,FALSE,"Fixed Assets";#N/A,#N/A,FALSE,"Balance Sheet";#N/A,#N/A,FALSE,"P &amp; L"}</definedName>
    <definedName name="asdfr" localSheetId="22" hidden="1">{#N/A,#N/A,FALSE,"Cash Flows";#N/A,#N/A,FALSE,"Fixed Assets";#N/A,#N/A,FALSE,"Balance Sheet";#N/A,#N/A,FALSE,"P &amp; L"}</definedName>
    <definedName name="asdfr" localSheetId="26" hidden="1">{#N/A,#N/A,FALSE,"Cash Flows";#N/A,#N/A,FALSE,"Fixed Assets";#N/A,#N/A,FALSE,"Balance Sheet";#N/A,#N/A,FALSE,"P &amp; L"}</definedName>
    <definedName name="asdfr" localSheetId="14" hidden="1">{#N/A,#N/A,FALSE,"Cash Flows";#N/A,#N/A,FALSE,"Fixed Assets";#N/A,#N/A,FALSE,"Balance Sheet";#N/A,#N/A,FALSE,"P &amp; L"}</definedName>
    <definedName name="asdfr" localSheetId="21" hidden="1">{#N/A,#N/A,FALSE,"Cash Flows";#N/A,#N/A,FALSE,"Fixed Assets";#N/A,#N/A,FALSE,"Balance Sheet";#N/A,#N/A,FALSE,"P &amp; L"}</definedName>
    <definedName name="asdfr" localSheetId="3" hidden="1">{#N/A,#N/A,FALSE,"Cash Flows";#N/A,#N/A,FALSE,"Fixed Assets";#N/A,#N/A,FALSE,"Balance Sheet";#N/A,#N/A,FALSE,"P &amp; L"}</definedName>
    <definedName name="asdfr" localSheetId="29" hidden="1">{#N/A,#N/A,FALSE,"Cash Flows";#N/A,#N/A,FALSE,"Fixed Assets";#N/A,#N/A,FALSE,"Balance Sheet";#N/A,#N/A,FALSE,"P &amp; L"}</definedName>
    <definedName name="asdfr" localSheetId="27" hidden="1">{#N/A,#N/A,FALSE,"Cash Flows";#N/A,#N/A,FALSE,"Fixed Assets";#N/A,#N/A,FALSE,"Balance Sheet";#N/A,#N/A,FALSE,"P &amp; L"}</definedName>
    <definedName name="asdfr" localSheetId="0" hidden="1">{#N/A,#N/A,FALSE,"Cash Flows";#N/A,#N/A,FALSE,"Fixed Assets";#N/A,#N/A,FALSE,"Balance Sheet";#N/A,#N/A,FALSE,"P &amp; L"}</definedName>
    <definedName name="asdfr" hidden="1">{#N/A,#N/A,FALSE,"Cash Flows";#N/A,#N/A,FALSE,"Fixed Assets";#N/A,#N/A,FALSE,"Balance Sheet";#N/A,#N/A,FALSE,"P &amp; L"}</definedName>
    <definedName name="ASE" localSheetId="26" hidden="1">{#N/A,#N/A,FALSE,"초도품";#N/A,#N/A,FALSE,"초도품 (2)";#N/A,#N/A,FALSE,"초도품 (3)";#N/A,#N/A,FALSE,"초도품 (4)";#N/A,#N/A,FALSE,"초도품 (5)";#N/A,#N/A,FALSE,"초도품 (6)"}</definedName>
    <definedName name="ASE" localSheetId="0" hidden="1">{#N/A,#N/A,FALSE,"초도품";#N/A,#N/A,FALSE,"초도품 (2)";#N/A,#N/A,FALSE,"초도품 (3)";#N/A,#N/A,FALSE,"초도품 (4)";#N/A,#N/A,FALSE,"초도품 (5)";#N/A,#N/A,FALSE,"초도품 (6)"}</definedName>
    <definedName name="ASE" hidden="1">{#N/A,#N/A,FALSE,"초도품";#N/A,#N/A,FALSE,"초도품 (2)";#N/A,#N/A,FALSE,"초도품 (3)";#N/A,#N/A,FALSE,"초도품 (4)";#N/A,#N/A,FALSE,"초도품 (5)";#N/A,#N/A,FALSE,"초도품 (6)"}</definedName>
    <definedName name="ASE_1" localSheetId="26" hidden="1">{#N/A,#N/A,FALSE,"초도품";#N/A,#N/A,FALSE,"초도품 (2)";#N/A,#N/A,FALSE,"초도품 (3)";#N/A,#N/A,FALSE,"초도품 (4)";#N/A,#N/A,FALSE,"초도품 (5)";#N/A,#N/A,FALSE,"초도품 (6)"}</definedName>
    <definedName name="ASE_1" localSheetId="0" hidden="1">{#N/A,#N/A,FALSE,"초도품";#N/A,#N/A,FALSE,"초도품 (2)";#N/A,#N/A,FALSE,"초도품 (3)";#N/A,#N/A,FALSE,"초도품 (4)";#N/A,#N/A,FALSE,"초도품 (5)";#N/A,#N/A,FALSE,"초도품 (6)"}</definedName>
    <definedName name="ASE_1" hidden="1">{#N/A,#N/A,FALSE,"초도품";#N/A,#N/A,FALSE,"초도품 (2)";#N/A,#N/A,FALSE,"초도품 (3)";#N/A,#N/A,FALSE,"초도품 (4)";#N/A,#N/A,FALSE,"초도품 (5)";#N/A,#N/A,FALSE,"초도품 (6)"}</definedName>
    <definedName name="ASE_1_1" localSheetId="26" hidden="1">{#N/A,#N/A,FALSE,"초도품";#N/A,#N/A,FALSE,"초도품 (2)";#N/A,#N/A,FALSE,"초도품 (3)";#N/A,#N/A,FALSE,"초도품 (4)";#N/A,#N/A,FALSE,"초도품 (5)";#N/A,#N/A,FALSE,"초도품 (6)"}</definedName>
    <definedName name="ASE_1_1" localSheetId="0" hidden="1">{#N/A,#N/A,FALSE,"초도품";#N/A,#N/A,FALSE,"초도품 (2)";#N/A,#N/A,FALSE,"초도품 (3)";#N/A,#N/A,FALSE,"초도품 (4)";#N/A,#N/A,FALSE,"초도품 (5)";#N/A,#N/A,FALSE,"초도품 (6)"}</definedName>
    <definedName name="ASE_1_1" hidden="1">{#N/A,#N/A,FALSE,"초도품";#N/A,#N/A,FALSE,"초도품 (2)";#N/A,#N/A,FALSE,"초도품 (3)";#N/A,#N/A,FALSE,"초도품 (4)";#N/A,#N/A,FALSE,"초도품 (5)";#N/A,#N/A,FALSE,"초도품 (6)"}</definedName>
    <definedName name="ASE_1_2" localSheetId="26" hidden="1">{#N/A,#N/A,FALSE,"초도품";#N/A,#N/A,FALSE,"초도품 (2)";#N/A,#N/A,FALSE,"초도품 (3)";#N/A,#N/A,FALSE,"초도품 (4)";#N/A,#N/A,FALSE,"초도품 (5)";#N/A,#N/A,FALSE,"초도품 (6)"}</definedName>
    <definedName name="ASE_1_2" localSheetId="0" hidden="1">{#N/A,#N/A,FALSE,"초도품";#N/A,#N/A,FALSE,"초도품 (2)";#N/A,#N/A,FALSE,"초도품 (3)";#N/A,#N/A,FALSE,"초도품 (4)";#N/A,#N/A,FALSE,"초도품 (5)";#N/A,#N/A,FALSE,"초도품 (6)"}</definedName>
    <definedName name="ASE_1_2" hidden="1">{#N/A,#N/A,FALSE,"초도품";#N/A,#N/A,FALSE,"초도품 (2)";#N/A,#N/A,FALSE,"초도품 (3)";#N/A,#N/A,FALSE,"초도품 (4)";#N/A,#N/A,FALSE,"초도품 (5)";#N/A,#N/A,FALSE,"초도품 (6)"}</definedName>
    <definedName name="ASE_1_3" localSheetId="26" hidden="1">{#N/A,#N/A,FALSE,"초도품";#N/A,#N/A,FALSE,"초도품 (2)";#N/A,#N/A,FALSE,"초도품 (3)";#N/A,#N/A,FALSE,"초도품 (4)";#N/A,#N/A,FALSE,"초도품 (5)";#N/A,#N/A,FALSE,"초도품 (6)"}</definedName>
    <definedName name="ASE_1_3" localSheetId="0" hidden="1">{#N/A,#N/A,FALSE,"초도품";#N/A,#N/A,FALSE,"초도품 (2)";#N/A,#N/A,FALSE,"초도품 (3)";#N/A,#N/A,FALSE,"초도품 (4)";#N/A,#N/A,FALSE,"초도품 (5)";#N/A,#N/A,FALSE,"초도품 (6)"}</definedName>
    <definedName name="ASE_1_3" hidden="1">{#N/A,#N/A,FALSE,"초도품";#N/A,#N/A,FALSE,"초도품 (2)";#N/A,#N/A,FALSE,"초도품 (3)";#N/A,#N/A,FALSE,"초도품 (4)";#N/A,#N/A,FALSE,"초도품 (5)";#N/A,#N/A,FALSE,"초도품 (6)"}</definedName>
    <definedName name="ASE_2" localSheetId="26" hidden="1">{#N/A,#N/A,FALSE,"초도품";#N/A,#N/A,FALSE,"초도품 (2)";#N/A,#N/A,FALSE,"초도품 (3)";#N/A,#N/A,FALSE,"초도품 (4)";#N/A,#N/A,FALSE,"초도품 (5)";#N/A,#N/A,FALSE,"초도품 (6)"}</definedName>
    <definedName name="ASE_2" localSheetId="0" hidden="1">{#N/A,#N/A,FALSE,"초도품";#N/A,#N/A,FALSE,"초도품 (2)";#N/A,#N/A,FALSE,"초도품 (3)";#N/A,#N/A,FALSE,"초도품 (4)";#N/A,#N/A,FALSE,"초도품 (5)";#N/A,#N/A,FALSE,"초도품 (6)"}</definedName>
    <definedName name="ASE_2" hidden="1">{#N/A,#N/A,FALSE,"초도품";#N/A,#N/A,FALSE,"초도품 (2)";#N/A,#N/A,FALSE,"초도품 (3)";#N/A,#N/A,FALSE,"초도품 (4)";#N/A,#N/A,FALSE,"초도품 (5)";#N/A,#N/A,FALSE,"초도품 (6)"}</definedName>
    <definedName name="ASE_2_1" localSheetId="26" hidden="1">{#N/A,#N/A,FALSE,"초도품";#N/A,#N/A,FALSE,"초도품 (2)";#N/A,#N/A,FALSE,"초도품 (3)";#N/A,#N/A,FALSE,"초도품 (4)";#N/A,#N/A,FALSE,"초도품 (5)";#N/A,#N/A,FALSE,"초도품 (6)"}</definedName>
    <definedName name="ASE_2_1" localSheetId="0" hidden="1">{#N/A,#N/A,FALSE,"초도품";#N/A,#N/A,FALSE,"초도품 (2)";#N/A,#N/A,FALSE,"초도품 (3)";#N/A,#N/A,FALSE,"초도품 (4)";#N/A,#N/A,FALSE,"초도품 (5)";#N/A,#N/A,FALSE,"초도품 (6)"}</definedName>
    <definedName name="ASE_2_1" hidden="1">{#N/A,#N/A,FALSE,"초도품";#N/A,#N/A,FALSE,"초도품 (2)";#N/A,#N/A,FALSE,"초도품 (3)";#N/A,#N/A,FALSE,"초도품 (4)";#N/A,#N/A,FALSE,"초도품 (5)";#N/A,#N/A,FALSE,"초도품 (6)"}</definedName>
    <definedName name="ASE_2_2" localSheetId="26" hidden="1">{#N/A,#N/A,FALSE,"초도품";#N/A,#N/A,FALSE,"초도품 (2)";#N/A,#N/A,FALSE,"초도품 (3)";#N/A,#N/A,FALSE,"초도품 (4)";#N/A,#N/A,FALSE,"초도품 (5)";#N/A,#N/A,FALSE,"초도품 (6)"}</definedName>
    <definedName name="ASE_2_2" localSheetId="0" hidden="1">{#N/A,#N/A,FALSE,"초도품";#N/A,#N/A,FALSE,"초도품 (2)";#N/A,#N/A,FALSE,"초도품 (3)";#N/A,#N/A,FALSE,"초도품 (4)";#N/A,#N/A,FALSE,"초도품 (5)";#N/A,#N/A,FALSE,"초도품 (6)"}</definedName>
    <definedName name="ASE_2_2" hidden="1">{#N/A,#N/A,FALSE,"초도품";#N/A,#N/A,FALSE,"초도품 (2)";#N/A,#N/A,FALSE,"초도품 (3)";#N/A,#N/A,FALSE,"초도품 (4)";#N/A,#N/A,FALSE,"초도품 (5)";#N/A,#N/A,FALSE,"초도품 (6)"}</definedName>
    <definedName name="ASE_3" localSheetId="26" hidden="1">{#N/A,#N/A,FALSE,"초도품";#N/A,#N/A,FALSE,"초도품 (2)";#N/A,#N/A,FALSE,"초도품 (3)";#N/A,#N/A,FALSE,"초도품 (4)";#N/A,#N/A,FALSE,"초도품 (5)";#N/A,#N/A,FALSE,"초도품 (6)"}</definedName>
    <definedName name="ASE_3" localSheetId="0" hidden="1">{#N/A,#N/A,FALSE,"초도품";#N/A,#N/A,FALSE,"초도품 (2)";#N/A,#N/A,FALSE,"초도품 (3)";#N/A,#N/A,FALSE,"초도품 (4)";#N/A,#N/A,FALSE,"초도품 (5)";#N/A,#N/A,FALSE,"초도품 (6)"}</definedName>
    <definedName name="ASE_3" hidden="1">{#N/A,#N/A,FALSE,"초도품";#N/A,#N/A,FALSE,"초도품 (2)";#N/A,#N/A,FALSE,"초도품 (3)";#N/A,#N/A,FALSE,"초도품 (4)";#N/A,#N/A,FALSE,"초도품 (5)";#N/A,#N/A,FALSE,"초도품 (6)"}</definedName>
    <definedName name="ASE_4" localSheetId="26" hidden="1">{#N/A,#N/A,FALSE,"초도품";#N/A,#N/A,FALSE,"초도품 (2)";#N/A,#N/A,FALSE,"초도품 (3)";#N/A,#N/A,FALSE,"초도품 (4)";#N/A,#N/A,FALSE,"초도품 (5)";#N/A,#N/A,FALSE,"초도품 (6)"}</definedName>
    <definedName name="ASE_4" localSheetId="0" hidden="1">{#N/A,#N/A,FALSE,"초도품";#N/A,#N/A,FALSE,"초도품 (2)";#N/A,#N/A,FALSE,"초도품 (3)";#N/A,#N/A,FALSE,"초도품 (4)";#N/A,#N/A,FALSE,"초도품 (5)";#N/A,#N/A,FALSE,"초도품 (6)"}</definedName>
    <definedName name="ASE_4" hidden="1">{#N/A,#N/A,FALSE,"초도품";#N/A,#N/A,FALSE,"초도품 (2)";#N/A,#N/A,FALSE,"초도품 (3)";#N/A,#N/A,FALSE,"초도품 (4)";#N/A,#N/A,FALSE,"초도품 (5)";#N/A,#N/A,FALSE,"초도품 (6)"}</definedName>
    <definedName name="ASE_5" localSheetId="26" hidden="1">{#N/A,#N/A,FALSE,"초도품";#N/A,#N/A,FALSE,"초도품 (2)";#N/A,#N/A,FALSE,"초도품 (3)";#N/A,#N/A,FALSE,"초도품 (4)";#N/A,#N/A,FALSE,"초도품 (5)";#N/A,#N/A,FALSE,"초도품 (6)"}</definedName>
    <definedName name="ASE_5" localSheetId="0" hidden="1">{#N/A,#N/A,FALSE,"초도품";#N/A,#N/A,FALSE,"초도품 (2)";#N/A,#N/A,FALSE,"초도품 (3)";#N/A,#N/A,FALSE,"초도품 (4)";#N/A,#N/A,FALSE,"초도품 (5)";#N/A,#N/A,FALSE,"초도품 (6)"}</definedName>
    <definedName name="ASE_5" hidden="1">{#N/A,#N/A,FALSE,"초도품";#N/A,#N/A,FALSE,"초도품 (2)";#N/A,#N/A,FALSE,"초도품 (3)";#N/A,#N/A,FALSE,"초도품 (4)";#N/A,#N/A,FALSE,"초도품 (5)";#N/A,#N/A,FALSE,"초도품 (6)"}</definedName>
    <definedName name="ASS" localSheetId="26" hidden="1">{#N/A,#N/A,FALSE,"을지 (4)";#N/A,#N/A,FALSE,"을지 (5)";#N/A,#N/A,FALSE,"을지 (6)"}</definedName>
    <definedName name="ASS" localSheetId="0" hidden="1">{#N/A,#N/A,FALSE,"을지 (4)";#N/A,#N/A,FALSE,"을지 (5)";#N/A,#N/A,FALSE,"을지 (6)"}</definedName>
    <definedName name="ASS" hidden="1">{#N/A,#N/A,FALSE,"을지 (4)";#N/A,#N/A,FALSE,"을지 (5)";#N/A,#N/A,FALSE,"을지 (6)"}</definedName>
    <definedName name="ASS_1" localSheetId="26" hidden="1">{#N/A,#N/A,FALSE,"을지 (4)";#N/A,#N/A,FALSE,"을지 (5)";#N/A,#N/A,FALSE,"을지 (6)"}</definedName>
    <definedName name="ASS_1" localSheetId="0" hidden="1">{#N/A,#N/A,FALSE,"을지 (4)";#N/A,#N/A,FALSE,"을지 (5)";#N/A,#N/A,FALSE,"을지 (6)"}</definedName>
    <definedName name="ASS_1" hidden="1">{#N/A,#N/A,FALSE,"을지 (4)";#N/A,#N/A,FALSE,"을지 (5)";#N/A,#N/A,FALSE,"을지 (6)"}</definedName>
    <definedName name="ASS_1_1" localSheetId="26" hidden="1">{#N/A,#N/A,FALSE,"을지 (4)";#N/A,#N/A,FALSE,"을지 (5)";#N/A,#N/A,FALSE,"을지 (6)"}</definedName>
    <definedName name="ASS_1_1" localSheetId="0" hidden="1">{#N/A,#N/A,FALSE,"을지 (4)";#N/A,#N/A,FALSE,"을지 (5)";#N/A,#N/A,FALSE,"을지 (6)"}</definedName>
    <definedName name="ASS_1_1" hidden="1">{#N/A,#N/A,FALSE,"을지 (4)";#N/A,#N/A,FALSE,"을지 (5)";#N/A,#N/A,FALSE,"을지 (6)"}</definedName>
    <definedName name="ASS_1_2" localSheetId="26" hidden="1">{#N/A,#N/A,FALSE,"을지 (4)";#N/A,#N/A,FALSE,"을지 (5)";#N/A,#N/A,FALSE,"을지 (6)"}</definedName>
    <definedName name="ASS_1_2" localSheetId="0" hidden="1">{#N/A,#N/A,FALSE,"을지 (4)";#N/A,#N/A,FALSE,"을지 (5)";#N/A,#N/A,FALSE,"을지 (6)"}</definedName>
    <definedName name="ASS_1_2" hidden="1">{#N/A,#N/A,FALSE,"을지 (4)";#N/A,#N/A,FALSE,"을지 (5)";#N/A,#N/A,FALSE,"을지 (6)"}</definedName>
    <definedName name="ASS_1_3" localSheetId="26" hidden="1">{#N/A,#N/A,FALSE,"을지 (4)";#N/A,#N/A,FALSE,"을지 (5)";#N/A,#N/A,FALSE,"을지 (6)"}</definedName>
    <definedName name="ASS_1_3" localSheetId="0" hidden="1">{#N/A,#N/A,FALSE,"을지 (4)";#N/A,#N/A,FALSE,"을지 (5)";#N/A,#N/A,FALSE,"을지 (6)"}</definedName>
    <definedName name="ASS_1_3" hidden="1">{#N/A,#N/A,FALSE,"을지 (4)";#N/A,#N/A,FALSE,"을지 (5)";#N/A,#N/A,FALSE,"을지 (6)"}</definedName>
    <definedName name="ASS_2" localSheetId="26" hidden="1">{#N/A,#N/A,FALSE,"을지 (4)";#N/A,#N/A,FALSE,"을지 (5)";#N/A,#N/A,FALSE,"을지 (6)"}</definedName>
    <definedName name="ASS_2" localSheetId="0" hidden="1">{#N/A,#N/A,FALSE,"을지 (4)";#N/A,#N/A,FALSE,"을지 (5)";#N/A,#N/A,FALSE,"을지 (6)"}</definedName>
    <definedName name="ASS_2" hidden="1">{#N/A,#N/A,FALSE,"을지 (4)";#N/A,#N/A,FALSE,"을지 (5)";#N/A,#N/A,FALSE,"을지 (6)"}</definedName>
    <definedName name="ASS_2_1" localSheetId="26" hidden="1">{#N/A,#N/A,FALSE,"을지 (4)";#N/A,#N/A,FALSE,"을지 (5)";#N/A,#N/A,FALSE,"을지 (6)"}</definedName>
    <definedName name="ASS_2_1" localSheetId="0" hidden="1">{#N/A,#N/A,FALSE,"을지 (4)";#N/A,#N/A,FALSE,"을지 (5)";#N/A,#N/A,FALSE,"을지 (6)"}</definedName>
    <definedName name="ASS_2_1" hidden="1">{#N/A,#N/A,FALSE,"을지 (4)";#N/A,#N/A,FALSE,"을지 (5)";#N/A,#N/A,FALSE,"을지 (6)"}</definedName>
    <definedName name="ASS_2_2" localSheetId="26" hidden="1">{#N/A,#N/A,FALSE,"을지 (4)";#N/A,#N/A,FALSE,"을지 (5)";#N/A,#N/A,FALSE,"을지 (6)"}</definedName>
    <definedName name="ASS_2_2" localSheetId="0" hidden="1">{#N/A,#N/A,FALSE,"을지 (4)";#N/A,#N/A,FALSE,"을지 (5)";#N/A,#N/A,FALSE,"을지 (6)"}</definedName>
    <definedName name="ASS_2_2" hidden="1">{#N/A,#N/A,FALSE,"을지 (4)";#N/A,#N/A,FALSE,"을지 (5)";#N/A,#N/A,FALSE,"을지 (6)"}</definedName>
    <definedName name="ASS_3" localSheetId="26" hidden="1">{#N/A,#N/A,FALSE,"을지 (4)";#N/A,#N/A,FALSE,"을지 (5)";#N/A,#N/A,FALSE,"을지 (6)"}</definedName>
    <definedName name="ASS_3" localSheetId="0" hidden="1">{#N/A,#N/A,FALSE,"을지 (4)";#N/A,#N/A,FALSE,"을지 (5)";#N/A,#N/A,FALSE,"을지 (6)"}</definedName>
    <definedName name="ASS_3" hidden="1">{#N/A,#N/A,FALSE,"을지 (4)";#N/A,#N/A,FALSE,"을지 (5)";#N/A,#N/A,FALSE,"을지 (6)"}</definedName>
    <definedName name="ASS_4" localSheetId="26" hidden="1">{#N/A,#N/A,FALSE,"을지 (4)";#N/A,#N/A,FALSE,"을지 (5)";#N/A,#N/A,FALSE,"을지 (6)"}</definedName>
    <definedName name="ASS_4" localSheetId="0" hidden="1">{#N/A,#N/A,FALSE,"을지 (4)";#N/A,#N/A,FALSE,"을지 (5)";#N/A,#N/A,FALSE,"을지 (6)"}</definedName>
    <definedName name="ASS_4" hidden="1">{#N/A,#N/A,FALSE,"을지 (4)";#N/A,#N/A,FALSE,"을지 (5)";#N/A,#N/A,FALSE,"을지 (6)"}</definedName>
    <definedName name="ASS_5" localSheetId="26" hidden="1">{#N/A,#N/A,FALSE,"을지 (4)";#N/A,#N/A,FALSE,"을지 (5)";#N/A,#N/A,FALSE,"을지 (6)"}</definedName>
    <definedName name="ASS_5" localSheetId="0" hidden="1">{#N/A,#N/A,FALSE,"을지 (4)";#N/A,#N/A,FALSE,"을지 (5)";#N/A,#N/A,FALSE,"을지 (6)"}</definedName>
    <definedName name="ASS_5" hidden="1">{#N/A,#N/A,FALSE,"을지 (4)";#N/A,#N/A,FALSE,"을지 (5)";#N/A,#N/A,FALSE,"을지 (6)"}</definedName>
    <definedName name="ATSeXToEUR" localSheetId="9" hidden="1">1/EUReXToATS</definedName>
    <definedName name="ATSeXToEUR" localSheetId="1" hidden="1">1/EUReXToATS</definedName>
    <definedName name="ATSeXToEUR" localSheetId="26" hidden="1">1/EUReXToATS</definedName>
    <definedName name="ATSeXToEUR" localSheetId="21" hidden="1">1/EUReXToATS</definedName>
    <definedName name="ATSeXToEUR" localSheetId="3" hidden="1">1/EUReXToATS</definedName>
    <definedName name="ATSeXToEUR" localSheetId="28" hidden="1">1/EUReXToATS</definedName>
    <definedName name="ATSeXToEUR" localSheetId="27" hidden="1">1/EUReXToATS</definedName>
    <definedName name="ATSeXToEUR" localSheetId="0" hidden="1">1/EUReXToATS</definedName>
    <definedName name="ATSeXToEUR" hidden="1">1/EUReXToATS</definedName>
    <definedName name="Aug" localSheetId="26" hidden="1">{#N/A,#N/A,FALSE,"Cash Flows";#N/A,#N/A,FALSE,"Fixed Assets";#N/A,#N/A,FALSE,"Balance Sheet";#N/A,#N/A,FALSE,"P &amp; L"}</definedName>
    <definedName name="Aug" localSheetId="0" hidden="1">{#N/A,#N/A,FALSE,"Cash Flows";#N/A,#N/A,FALSE,"Fixed Assets";#N/A,#N/A,FALSE,"Balance Sheet";#N/A,#N/A,FALSE,"P &amp; L"}</definedName>
    <definedName name="Aug" hidden="1">{#N/A,#N/A,FALSE,"Cash Flows";#N/A,#N/A,FALSE,"Fixed Assets";#N/A,#N/A,FALSE,"Balance Sheet";#N/A,#N/A,FALSE,"P &amp; L"}</definedName>
    <definedName name="Aug_1" localSheetId="26" hidden="1">{#N/A,#N/A,FALSE,"Cash Flows";#N/A,#N/A,FALSE,"Fixed Assets";#N/A,#N/A,FALSE,"Balance Sheet";#N/A,#N/A,FALSE,"P &amp; L"}</definedName>
    <definedName name="Aug_1" localSheetId="0" hidden="1">{#N/A,#N/A,FALSE,"Cash Flows";#N/A,#N/A,FALSE,"Fixed Assets";#N/A,#N/A,FALSE,"Balance Sheet";#N/A,#N/A,FALSE,"P &amp; L"}</definedName>
    <definedName name="Aug_1" hidden="1">{#N/A,#N/A,FALSE,"Cash Flows";#N/A,#N/A,FALSE,"Fixed Assets";#N/A,#N/A,FALSE,"Balance Sheet";#N/A,#N/A,FALSE,"P &amp; L"}</definedName>
    <definedName name="Aug_1_1" localSheetId="26" hidden="1">{#N/A,#N/A,FALSE,"Cash Flows";#N/A,#N/A,FALSE,"Fixed Assets";#N/A,#N/A,FALSE,"Balance Sheet";#N/A,#N/A,FALSE,"P &amp; L"}</definedName>
    <definedName name="Aug_1_1" localSheetId="0" hidden="1">{#N/A,#N/A,FALSE,"Cash Flows";#N/A,#N/A,FALSE,"Fixed Assets";#N/A,#N/A,FALSE,"Balance Sheet";#N/A,#N/A,FALSE,"P &amp; L"}</definedName>
    <definedName name="Aug_1_1" hidden="1">{#N/A,#N/A,FALSE,"Cash Flows";#N/A,#N/A,FALSE,"Fixed Assets";#N/A,#N/A,FALSE,"Balance Sheet";#N/A,#N/A,FALSE,"P &amp; L"}</definedName>
    <definedName name="Aug_1_2" localSheetId="26" hidden="1">{#N/A,#N/A,FALSE,"Cash Flows";#N/A,#N/A,FALSE,"Fixed Assets";#N/A,#N/A,FALSE,"Balance Sheet";#N/A,#N/A,FALSE,"P &amp; L"}</definedName>
    <definedName name="Aug_1_2" localSheetId="0" hidden="1">{#N/A,#N/A,FALSE,"Cash Flows";#N/A,#N/A,FALSE,"Fixed Assets";#N/A,#N/A,FALSE,"Balance Sheet";#N/A,#N/A,FALSE,"P &amp; L"}</definedName>
    <definedName name="Aug_1_2" hidden="1">{#N/A,#N/A,FALSE,"Cash Flows";#N/A,#N/A,FALSE,"Fixed Assets";#N/A,#N/A,FALSE,"Balance Sheet";#N/A,#N/A,FALSE,"P &amp; L"}</definedName>
    <definedName name="Aug_1_3" localSheetId="26" hidden="1">{#N/A,#N/A,FALSE,"Cash Flows";#N/A,#N/A,FALSE,"Fixed Assets";#N/A,#N/A,FALSE,"Balance Sheet";#N/A,#N/A,FALSE,"P &amp; L"}</definedName>
    <definedName name="Aug_1_3" localSheetId="0" hidden="1">{#N/A,#N/A,FALSE,"Cash Flows";#N/A,#N/A,FALSE,"Fixed Assets";#N/A,#N/A,FALSE,"Balance Sheet";#N/A,#N/A,FALSE,"P &amp; L"}</definedName>
    <definedName name="Aug_1_3" hidden="1">{#N/A,#N/A,FALSE,"Cash Flows";#N/A,#N/A,FALSE,"Fixed Assets";#N/A,#N/A,FALSE,"Balance Sheet";#N/A,#N/A,FALSE,"P &amp; L"}</definedName>
    <definedName name="Aug_2" localSheetId="26" hidden="1">{#N/A,#N/A,FALSE,"Cash Flows";#N/A,#N/A,FALSE,"Fixed Assets";#N/A,#N/A,FALSE,"Balance Sheet";#N/A,#N/A,FALSE,"P &amp; L"}</definedName>
    <definedName name="Aug_2" localSheetId="0" hidden="1">{#N/A,#N/A,FALSE,"Cash Flows";#N/A,#N/A,FALSE,"Fixed Assets";#N/A,#N/A,FALSE,"Balance Sheet";#N/A,#N/A,FALSE,"P &amp; L"}</definedName>
    <definedName name="Aug_2" hidden="1">{#N/A,#N/A,FALSE,"Cash Flows";#N/A,#N/A,FALSE,"Fixed Assets";#N/A,#N/A,FALSE,"Balance Sheet";#N/A,#N/A,FALSE,"P &amp; L"}</definedName>
    <definedName name="Aug_2_1" localSheetId="26" hidden="1">{#N/A,#N/A,FALSE,"Cash Flows";#N/A,#N/A,FALSE,"Fixed Assets";#N/A,#N/A,FALSE,"Balance Sheet";#N/A,#N/A,FALSE,"P &amp; L"}</definedName>
    <definedName name="Aug_2_1" localSheetId="0" hidden="1">{#N/A,#N/A,FALSE,"Cash Flows";#N/A,#N/A,FALSE,"Fixed Assets";#N/A,#N/A,FALSE,"Balance Sheet";#N/A,#N/A,FALSE,"P &amp; L"}</definedName>
    <definedName name="Aug_2_1" hidden="1">{#N/A,#N/A,FALSE,"Cash Flows";#N/A,#N/A,FALSE,"Fixed Assets";#N/A,#N/A,FALSE,"Balance Sheet";#N/A,#N/A,FALSE,"P &amp; L"}</definedName>
    <definedName name="Aug_2_2" localSheetId="26" hidden="1">{#N/A,#N/A,FALSE,"Cash Flows";#N/A,#N/A,FALSE,"Fixed Assets";#N/A,#N/A,FALSE,"Balance Sheet";#N/A,#N/A,FALSE,"P &amp; L"}</definedName>
    <definedName name="Aug_2_2" localSheetId="0" hidden="1">{#N/A,#N/A,FALSE,"Cash Flows";#N/A,#N/A,FALSE,"Fixed Assets";#N/A,#N/A,FALSE,"Balance Sheet";#N/A,#N/A,FALSE,"P &amp; L"}</definedName>
    <definedName name="Aug_2_2" hidden="1">{#N/A,#N/A,FALSE,"Cash Flows";#N/A,#N/A,FALSE,"Fixed Assets";#N/A,#N/A,FALSE,"Balance Sheet";#N/A,#N/A,FALSE,"P &amp; L"}</definedName>
    <definedName name="Aug_3" localSheetId="26" hidden="1">{#N/A,#N/A,FALSE,"Cash Flows";#N/A,#N/A,FALSE,"Fixed Assets";#N/A,#N/A,FALSE,"Balance Sheet";#N/A,#N/A,FALSE,"P &amp; L"}</definedName>
    <definedName name="Aug_3" localSheetId="0" hidden="1">{#N/A,#N/A,FALSE,"Cash Flows";#N/A,#N/A,FALSE,"Fixed Assets";#N/A,#N/A,FALSE,"Balance Sheet";#N/A,#N/A,FALSE,"P &amp; L"}</definedName>
    <definedName name="Aug_3" hidden="1">{#N/A,#N/A,FALSE,"Cash Flows";#N/A,#N/A,FALSE,"Fixed Assets";#N/A,#N/A,FALSE,"Balance Sheet";#N/A,#N/A,FALSE,"P &amp; L"}</definedName>
    <definedName name="Aug_4" localSheetId="26" hidden="1">{#N/A,#N/A,FALSE,"Cash Flows";#N/A,#N/A,FALSE,"Fixed Assets";#N/A,#N/A,FALSE,"Balance Sheet";#N/A,#N/A,FALSE,"P &amp; L"}</definedName>
    <definedName name="Aug_4" localSheetId="0" hidden="1">{#N/A,#N/A,FALSE,"Cash Flows";#N/A,#N/A,FALSE,"Fixed Assets";#N/A,#N/A,FALSE,"Balance Sheet";#N/A,#N/A,FALSE,"P &amp; L"}</definedName>
    <definedName name="Aug_4" hidden="1">{#N/A,#N/A,FALSE,"Cash Flows";#N/A,#N/A,FALSE,"Fixed Assets";#N/A,#N/A,FALSE,"Balance Sheet";#N/A,#N/A,FALSE,"P &amp; L"}</definedName>
    <definedName name="Aug_5" localSheetId="26" hidden="1">{#N/A,#N/A,FALSE,"Cash Flows";#N/A,#N/A,FALSE,"Fixed Assets";#N/A,#N/A,FALSE,"Balance Sheet";#N/A,#N/A,FALSE,"P &amp; L"}</definedName>
    <definedName name="Aug_5" localSheetId="0" hidden="1">{#N/A,#N/A,FALSE,"Cash Flows";#N/A,#N/A,FALSE,"Fixed Assets";#N/A,#N/A,FALSE,"Balance Sheet";#N/A,#N/A,FALSE,"P &amp; L"}</definedName>
    <definedName name="Aug_5" hidden="1">{#N/A,#N/A,FALSE,"Cash Flows";#N/A,#N/A,FALSE,"Fixed Assets";#N/A,#N/A,FALSE,"Balance Sheet";#N/A,#N/A,FALSE,"P &amp; L"}</definedName>
    <definedName name="AWE" localSheetId="26" hidden="1">{#N/A,#N/A,FALSE,"초도품";#N/A,#N/A,FALSE,"초도품 (2)";#N/A,#N/A,FALSE,"초도품 (3)";#N/A,#N/A,FALSE,"초도품 (4)";#N/A,#N/A,FALSE,"초도품 (5)";#N/A,#N/A,FALSE,"초도품 (6)"}</definedName>
    <definedName name="AWE" localSheetId="0" hidden="1">{#N/A,#N/A,FALSE,"초도품";#N/A,#N/A,FALSE,"초도품 (2)";#N/A,#N/A,FALSE,"초도품 (3)";#N/A,#N/A,FALSE,"초도품 (4)";#N/A,#N/A,FALSE,"초도품 (5)";#N/A,#N/A,FALSE,"초도품 (6)"}</definedName>
    <definedName name="AWE" hidden="1">{#N/A,#N/A,FALSE,"초도품";#N/A,#N/A,FALSE,"초도품 (2)";#N/A,#N/A,FALSE,"초도품 (3)";#N/A,#N/A,FALSE,"초도품 (4)";#N/A,#N/A,FALSE,"초도품 (5)";#N/A,#N/A,FALSE,"초도품 (6)"}</definedName>
    <definedName name="AWE_1" localSheetId="26" hidden="1">{#N/A,#N/A,FALSE,"초도품";#N/A,#N/A,FALSE,"초도품 (2)";#N/A,#N/A,FALSE,"초도품 (3)";#N/A,#N/A,FALSE,"초도품 (4)";#N/A,#N/A,FALSE,"초도품 (5)";#N/A,#N/A,FALSE,"초도품 (6)"}</definedName>
    <definedName name="AWE_1" localSheetId="0" hidden="1">{#N/A,#N/A,FALSE,"초도품";#N/A,#N/A,FALSE,"초도품 (2)";#N/A,#N/A,FALSE,"초도품 (3)";#N/A,#N/A,FALSE,"초도품 (4)";#N/A,#N/A,FALSE,"초도품 (5)";#N/A,#N/A,FALSE,"초도품 (6)"}</definedName>
    <definedName name="AWE_1" hidden="1">{#N/A,#N/A,FALSE,"초도품";#N/A,#N/A,FALSE,"초도품 (2)";#N/A,#N/A,FALSE,"초도품 (3)";#N/A,#N/A,FALSE,"초도품 (4)";#N/A,#N/A,FALSE,"초도품 (5)";#N/A,#N/A,FALSE,"초도품 (6)"}</definedName>
    <definedName name="AWE_1_1" localSheetId="26" hidden="1">{#N/A,#N/A,FALSE,"초도품";#N/A,#N/A,FALSE,"초도품 (2)";#N/A,#N/A,FALSE,"초도품 (3)";#N/A,#N/A,FALSE,"초도품 (4)";#N/A,#N/A,FALSE,"초도품 (5)";#N/A,#N/A,FALSE,"초도품 (6)"}</definedName>
    <definedName name="AWE_1_1" localSheetId="0" hidden="1">{#N/A,#N/A,FALSE,"초도품";#N/A,#N/A,FALSE,"초도품 (2)";#N/A,#N/A,FALSE,"초도품 (3)";#N/A,#N/A,FALSE,"초도품 (4)";#N/A,#N/A,FALSE,"초도품 (5)";#N/A,#N/A,FALSE,"초도품 (6)"}</definedName>
    <definedName name="AWE_1_1" hidden="1">{#N/A,#N/A,FALSE,"초도품";#N/A,#N/A,FALSE,"초도품 (2)";#N/A,#N/A,FALSE,"초도품 (3)";#N/A,#N/A,FALSE,"초도품 (4)";#N/A,#N/A,FALSE,"초도품 (5)";#N/A,#N/A,FALSE,"초도품 (6)"}</definedName>
    <definedName name="AWE_1_2" localSheetId="26" hidden="1">{#N/A,#N/A,FALSE,"초도품";#N/A,#N/A,FALSE,"초도품 (2)";#N/A,#N/A,FALSE,"초도품 (3)";#N/A,#N/A,FALSE,"초도품 (4)";#N/A,#N/A,FALSE,"초도품 (5)";#N/A,#N/A,FALSE,"초도품 (6)"}</definedName>
    <definedName name="AWE_1_2" localSheetId="0" hidden="1">{#N/A,#N/A,FALSE,"초도품";#N/A,#N/A,FALSE,"초도품 (2)";#N/A,#N/A,FALSE,"초도품 (3)";#N/A,#N/A,FALSE,"초도품 (4)";#N/A,#N/A,FALSE,"초도품 (5)";#N/A,#N/A,FALSE,"초도품 (6)"}</definedName>
    <definedName name="AWE_1_2" hidden="1">{#N/A,#N/A,FALSE,"초도품";#N/A,#N/A,FALSE,"초도품 (2)";#N/A,#N/A,FALSE,"초도품 (3)";#N/A,#N/A,FALSE,"초도품 (4)";#N/A,#N/A,FALSE,"초도품 (5)";#N/A,#N/A,FALSE,"초도품 (6)"}</definedName>
    <definedName name="AWE_1_3" localSheetId="26" hidden="1">{#N/A,#N/A,FALSE,"초도품";#N/A,#N/A,FALSE,"초도품 (2)";#N/A,#N/A,FALSE,"초도품 (3)";#N/A,#N/A,FALSE,"초도품 (4)";#N/A,#N/A,FALSE,"초도품 (5)";#N/A,#N/A,FALSE,"초도품 (6)"}</definedName>
    <definedName name="AWE_1_3" localSheetId="0" hidden="1">{#N/A,#N/A,FALSE,"초도품";#N/A,#N/A,FALSE,"초도품 (2)";#N/A,#N/A,FALSE,"초도품 (3)";#N/A,#N/A,FALSE,"초도품 (4)";#N/A,#N/A,FALSE,"초도품 (5)";#N/A,#N/A,FALSE,"초도품 (6)"}</definedName>
    <definedName name="AWE_1_3" hidden="1">{#N/A,#N/A,FALSE,"초도품";#N/A,#N/A,FALSE,"초도품 (2)";#N/A,#N/A,FALSE,"초도품 (3)";#N/A,#N/A,FALSE,"초도품 (4)";#N/A,#N/A,FALSE,"초도품 (5)";#N/A,#N/A,FALSE,"초도품 (6)"}</definedName>
    <definedName name="AWE_2" localSheetId="26" hidden="1">{#N/A,#N/A,FALSE,"초도품";#N/A,#N/A,FALSE,"초도품 (2)";#N/A,#N/A,FALSE,"초도품 (3)";#N/A,#N/A,FALSE,"초도품 (4)";#N/A,#N/A,FALSE,"초도품 (5)";#N/A,#N/A,FALSE,"초도품 (6)"}</definedName>
    <definedName name="AWE_2" localSheetId="0" hidden="1">{#N/A,#N/A,FALSE,"초도품";#N/A,#N/A,FALSE,"초도품 (2)";#N/A,#N/A,FALSE,"초도품 (3)";#N/A,#N/A,FALSE,"초도품 (4)";#N/A,#N/A,FALSE,"초도품 (5)";#N/A,#N/A,FALSE,"초도품 (6)"}</definedName>
    <definedName name="AWE_2" hidden="1">{#N/A,#N/A,FALSE,"초도품";#N/A,#N/A,FALSE,"초도품 (2)";#N/A,#N/A,FALSE,"초도품 (3)";#N/A,#N/A,FALSE,"초도품 (4)";#N/A,#N/A,FALSE,"초도품 (5)";#N/A,#N/A,FALSE,"초도품 (6)"}</definedName>
    <definedName name="AWE_2_1" localSheetId="26" hidden="1">{#N/A,#N/A,FALSE,"초도품";#N/A,#N/A,FALSE,"초도품 (2)";#N/A,#N/A,FALSE,"초도품 (3)";#N/A,#N/A,FALSE,"초도품 (4)";#N/A,#N/A,FALSE,"초도품 (5)";#N/A,#N/A,FALSE,"초도품 (6)"}</definedName>
    <definedName name="AWE_2_1" localSheetId="0" hidden="1">{#N/A,#N/A,FALSE,"초도품";#N/A,#N/A,FALSE,"초도품 (2)";#N/A,#N/A,FALSE,"초도품 (3)";#N/A,#N/A,FALSE,"초도품 (4)";#N/A,#N/A,FALSE,"초도품 (5)";#N/A,#N/A,FALSE,"초도품 (6)"}</definedName>
    <definedName name="AWE_2_1" hidden="1">{#N/A,#N/A,FALSE,"초도품";#N/A,#N/A,FALSE,"초도품 (2)";#N/A,#N/A,FALSE,"초도품 (3)";#N/A,#N/A,FALSE,"초도품 (4)";#N/A,#N/A,FALSE,"초도품 (5)";#N/A,#N/A,FALSE,"초도품 (6)"}</definedName>
    <definedName name="AWE_2_2" localSheetId="26" hidden="1">{#N/A,#N/A,FALSE,"초도품";#N/A,#N/A,FALSE,"초도품 (2)";#N/A,#N/A,FALSE,"초도품 (3)";#N/A,#N/A,FALSE,"초도품 (4)";#N/A,#N/A,FALSE,"초도품 (5)";#N/A,#N/A,FALSE,"초도품 (6)"}</definedName>
    <definedName name="AWE_2_2" localSheetId="0" hidden="1">{#N/A,#N/A,FALSE,"초도품";#N/A,#N/A,FALSE,"초도품 (2)";#N/A,#N/A,FALSE,"초도품 (3)";#N/A,#N/A,FALSE,"초도품 (4)";#N/A,#N/A,FALSE,"초도품 (5)";#N/A,#N/A,FALSE,"초도품 (6)"}</definedName>
    <definedName name="AWE_2_2" hidden="1">{#N/A,#N/A,FALSE,"초도품";#N/A,#N/A,FALSE,"초도품 (2)";#N/A,#N/A,FALSE,"초도품 (3)";#N/A,#N/A,FALSE,"초도품 (4)";#N/A,#N/A,FALSE,"초도품 (5)";#N/A,#N/A,FALSE,"초도품 (6)"}</definedName>
    <definedName name="AWE_3" localSheetId="26" hidden="1">{#N/A,#N/A,FALSE,"초도품";#N/A,#N/A,FALSE,"초도품 (2)";#N/A,#N/A,FALSE,"초도품 (3)";#N/A,#N/A,FALSE,"초도품 (4)";#N/A,#N/A,FALSE,"초도품 (5)";#N/A,#N/A,FALSE,"초도품 (6)"}</definedName>
    <definedName name="AWE_3" localSheetId="0" hidden="1">{#N/A,#N/A,FALSE,"초도품";#N/A,#N/A,FALSE,"초도품 (2)";#N/A,#N/A,FALSE,"초도품 (3)";#N/A,#N/A,FALSE,"초도품 (4)";#N/A,#N/A,FALSE,"초도품 (5)";#N/A,#N/A,FALSE,"초도품 (6)"}</definedName>
    <definedName name="AWE_3" hidden="1">{#N/A,#N/A,FALSE,"초도품";#N/A,#N/A,FALSE,"초도품 (2)";#N/A,#N/A,FALSE,"초도품 (3)";#N/A,#N/A,FALSE,"초도품 (4)";#N/A,#N/A,FALSE,"초도품 (5)";#N/A,#N/A,FALSE,"초도품 (6)"}</definedName>
    <definedName name="AWE_4" localSheetId="26" hidden="1">{#N/A,#N/A,FALSE,"초도품";#N/A,#N/A,FALSE,"초도품 (2)";#N/A,#N/A,FALSE,"초도품 (3)";#N/A,#N/A,FALSE,"초도품 (4)";#N/A,#N/A,FALSE,"초도품 (5)";#N/A,#N/A,FALSE,"초도품 (6)"}</definedName>
    <definedName name="AWE_4" localSheetId="0" hidden="1">{#N/A,#N/A,FALSE,"초도품";#N/A,#N/A,FALSE,"초도품 (2)";#N/A,#N/A,FALSE,"초도품 (3)";#N/A,#N/A,FALSE,"초도품 (4)";#N/A,#N/A,FALSE,"초도품 (5)";#N/A,#N/A,FALSE,"초도품 (6)"}</definedName>
    <definedName name="AWE_4" hidden="1">{#N/A,#N/A,FALSE,"초도품";#N/A,#N/A,FALSE,"초도품 (2)";#N/A,#N/A,FALSE,"초도품 (3)";#N/A,#N/A,FALSE,"초도품 (4)";#N/A,#N/A,FALSE,"초도품 (5)";#N/A,#N/A,FALSE,"초도품 (6)"}</definedName>
    <definedName name="AWE_5" localSheetId="26" hidden="1">{#N/A,#N/A,FALSE,"초도품";#N/A,#N/A,FALSE,"초도품 (2)";#N/A,#N/A,FALSE,"초도품 (3)";#N/A,#N/A,FALSE,"초도품 (4)";#N/A,#N/A,FALSE,"초도품 (5)";#N/A,#N/A,FALSE,"초도품 (6)"}</definedName>
    <definedName name="AWE_5" localSheetId="0" hidden="1">{#N/A,#N/A,FALSE,"초도품";#N/A,#N/A,FALSE,"초도품 (2)";#N/A,#N/A,FALSE,"초도품 (3)";#N/A,#N/A,FALSE,"초도품 (4)";#N/A,#N/A,FALSE,"초도품 (5)";#N/A,#N/A,FALSE,"초도품 (6)"}</definedName>
    <definedName name="AWE_5" hidden="1">{#N/A,#N/A,FALSE,"초도품";#N/A,#N/A,FALSE,"초도품 (2)";#N/A,#N/A,FALSE,"초도품 (3)";#N/A,#N/A,FALSE,"초도품 (4)";#N/A,#N/A,FALSE,"초도품 (5)";#N/A,#N/A,FALSE,"초도품 (6)"}</definedName>
    <definedName name="AXD" localSheetId="26" hidden="1">{#N/A,#N/A,FALSE,"초도품";#N/A,#N/A,FALSE,"초도품 (2)";#N/A,#N/A,FALSE,"초도품 (3)";#N/A,#N/A,FALSE,"초도품 (4)";#N/A,#N/A,FALSE,"초도품 (5)";#N/A,#N/A,FALSE,"초도품 (6)"}</definedName>
    <definedName name="AXD" localSheetId="0" hidden="1">{#N/A,#N/A,FALSE,"초도품";#N/A,#N/A,FALSE,"초도품 (2)";#N/A,#N/A,FALSE,"초도품 (3)";#N/A,#N/A,FALSE,"초도품 (4)";#N/A,#N/A,FALSE,"초도품 (5)";#N/A,#N/A,FALSE,"초도품 (6)"}</definedName>
    <definedName name="AXD" hidden="1">{#N/A,#N/A,FALSE,"초도품";#N/A,#N/A,FALSE,"초도품 (2)";#N/A,#N/A,FALSE,"초도품 (3)";#N/A,#N/A,FALSE,"초도품 (4)";#N/A,#N/A,FALSE,"초도품 (5)";#N/A,#N/A,FALSE,"초도품 (6)"}</definedName>
    <definedName name="AXD_1" localSheetId="26" hidden="1">{#N/A,#N/A,FALSE,"초도품";#N/A,#N/A,FALSE,"초도품 (2)";#N/A,#N/A,FALSE,"초도품 (3)";#N/A,#N/A,FALSE,"초도품 (4)";#N/A,#N/A,FALSE,"초도품 (5)";#N/A,#N/A,FALSE,"초도품 (6)"}</definedName>
    <definedName name="AXD_1" localSheetId="0" hidden="1">{#N/A,#N/A,FALSE,"초도품";#N/A,#N/A,FALSE,"초도품 (2)";#N/A,#N/A,FALSE,"초도품 (3)";#N/A,#N/A,FALSE,"초도품 (4)";#N/A,#N/A,FALSE,"초도품 (5)";#N/A,#N/A,FALSE,"초도품 (6)"}</definedName>
    <definedName name="AXD_1" hidden="1">{#N/A,#N/A,FALSE,"초도품";#N/A,#N/A,FALSE,"초도품 (2)";#N/A,#N/A,FALSE,"초도품 (3)";#N/A,#N/A,FALSE,"초도품 (4)";#N/A,#N/A,FALSE,"초도품 (5)";#N/A,#N/A,FALSE,"초도품 (6)"}</definedName>
    <definedName name="AXD_1_1" localSheetId="26" hidden="1">{#N/A,#N/A,FALSE,"초도품";#N/A,#N/A,FALSE,"초도품 (2)";#N/A,#N/A,FALSE,"초도품 (3)";#N/A,#N/A,FALSE,"초도품 (4)";#N/A,#N/A,FALSE,"초도품 (5)";#N/A,#N/A,FALSE,"초도품 (6)"}</definedName>
    <definedName name="AXD_1_1" localSheetId="0" hidden="1">{#N/A,#N/A,FALSE,"초도품";#N/A,#N/A,FALSE,"초도품 (2)";#N/A,#N/A,FALSE,"초도품 (3)";#N/A,#N/A,FALSE,"초도품 (4)";#N/A,#N/A,FALSE,"초도품 (5)";#N/A,#N/A,FALSE,"초도품 (6)"}</definedName>
    <definedName name="AXD_1_1" hidden="1">{#N/A,#N/A,FALSE,"초도품";#N/A,#N/A,FALSE,"초도품 (2)";#N/A,#N/A,FALSE,"초도품 (3)";#N/A,#N/A,FALSE,"초도품 (4)";#N/A,#N/A,FALSE,"초도품 (5)";#N/A,#N/A,FALSE,"초도품 (6)"}</definedName>
    <definedName name="AXD_1_2" localSheetId="26" hidden="1">{#N/A,#N/A,FALSE,"초도품";#N/A,#N/A,FALSE,"초도품 (2)";#N/A,#N/A,FALSE,"초도품 (3)";#N/A,#N/A,FALSE,"초도품 (4)";#N/A,#N/A,FALSE,"초도품 (5)";#N/A,#N/A,FALSE,"초도품 (6)"}</definedName>
    <definedName name="AXD_1_2" localSheetId="0" hidden="1">{#N/A,#N/A,FALSE,"초도품";#N/A,#N/A,FALSE,"초도품 (2)";#N/A,#N/A,FALSE,"초도품 (3)";#N/A,#N/A,FALSE,"초도품 (4)";#N/A,#N/A,FALSE,"초도품 (5)";#N/A,#N/A,FALSE,"초도품 (6)"}</definedName>
    <definedName name="AXD_1_2" hidden="1">{#N/A,#N/A,FALSE,"초도품";#N/A,#N/A,FALSE,"초도품 (2)";#N/A,#N/A,FALSE,"초도품 (3)";#N/A,#N/A,FALSE,"초도품 (4)";#N/A,#N/A,FALSE,"초도품 (5)";#N/A,#N/A,FALSE,"초도품 (6)"}</definedName>
    <definedName name="AXD_1_3" localSheetId="26" hidden="1">{#N/A,#N/A,FALSE,"초도품";#N/A,#N/A,FALSE,"초도품 (2)";#N/A,#N/A,FALSE,"초도품 (3)";#N/A,#N/A,FALSE,"초도품 (4)";#N/A,#N/A,FALSE,"초도품 (5)";#N/A,#N/A,FALSE,"초도품 (6)"}</definedName>
    <definedName name="AXD_1_3" localSheetId="0" hidden="1">{#N/A,#N/A,FALSE,"초도품";#N/A,#N/A,FALSE,"초도품 (2)";#N/A,#N/A,FALSE,"초도품 (3)";#N/A,#N/A,FALSE,"초도품 (4)";#N/A,#N/A,FALSE,"초도품 (5)";#N/A,#N/A,FALSE,"초도품 (6)"}</definedName>
    <definedName name="AXD_1_3" hidden="1">{#N/A,#N/A,FALSE,"초도품";#N/A,#N/A,FALSE,"초도품 (2)";#N/A,#N/A,FALSE,"초도품 (3)";#N/A,#N/A,FALSE,"초도품 (4)";#N/A,#N/A,FALSE,"초도품 (5)";#N/A,#N/A,FALSE,"초도품 (6)"}</definedName>
    <definedName name="AXD_2" localSheetId="26" hidden="1">{#N/A,#N/A,FALSE,"초도품";#N/A,#N/A,FALSE,"초도품 (2)";#N/A,#N/A,FALSE,"초도품 (3)";#N/A,#N/A,FALSE,"초도품 (4)";#N/A,#N/A,FALSE,"초도품 (5)";#N/A,#N/A,FALSE,"초도품 (6)"}</definedName>
    <definedName name="AXD_2" localSheetId="0" hidden="1">{#N/A,#N/A,FALSE,"초도품";#N/A,#N/A,FALSE,"초도품 (2)";#N/A,#N/A,FALSE,"초도품 (3)";#N/A,#N/A,FALSE,"초도품 (4)";#N/A,#N/A,FALSE,"초도품 (5)";#N/A,#N/A,FALSE,"초도품 (6)"}</definedName>
    <definedName name="AXD_2" hidden="1">{#N/A,#N/A,FALSE,"초도품";#N/A,#N/A,FALSE,"초도품 (2)";#N/A,#N/A,FALSE,"초도품 (3)";#N/A,#N/A,FALSE,"초도품 (4)";#N/A,#N/A,FALSE,"초도품 (5)";#N/A,#N/A,FALSE,"초도품 (6)"}</definedName>
    <definedName name="AXD_2_1" localSheetId="26" hidden="1">{#N/A,#N/A,FALSE,"초도품";#N/A,#N/A,FALSE,"초도품 (2)";#N/A,#N/A,FALSE,"초도품 (3)";#N/A,#N/A,FALSE,"초도품 (4)";#N/A,#N/A,FALSE,"초도품 (5)";#N/A,#N/A,FALSE,"초도품 (6)"}</definedName>
    <definedName name="AXD_2_1" localSheetId="0" hidden="1">{#N/A,#N/A,FALSE,"초도품";#N/A,#N/A,FALSE,"초도품 (2)";#N/A,#N/A,FALSE,"초도품 (3)";#N/A,#N/A,FALSE,"초도품 (4)";#N/A,#N/A,FALSE,"초도품 (5)";#N/A,#N/A,FALSE,"초도품 (6)"}</definedName>
    <definedName name="AXD_2_1" hidden="1">{#N/A,#N/A,FALSE,"초도품";#N/A,#N/A,FALSE,"초도품 (2)";#N/A,#N/A,FALSE,"초도품 (3)";#N/A,#N/A,FALSE,"초도품 (4)";#N/A,#N/A,FALSE,"초도품 (5)";#N/A,#N/A,FALSE,"초도품 (6)"}</definedName>
    <definedName name="AXD_2_2" localSheetId="26" hidden="1">{#N/A,#N/A,FALSE,"초도품";#N/A,#N/A,FALSE,"초도품 (2)";#N/A,#N/A,FALSE,"초도품 (3)";#N/A,#N/A,FALSE,"초도품 (4)";#N/A,#N/A,FALSE,"초도품 (5)";#N/A,#N/A,FALSE,"초도품 (6)"}</definedName>
    <definedName name="AXD_2_2" localSheetId="0" hidden="1">{#N/A,#N/A,FALSE,"초도품";#N/A,#N/A,FALSE,"초도품 (2)";#N/A,#N/A,FALSE,"초도품 (3)";#N/A,#N/A,FALSE,"초도품 (4)";#N/A,#N/A,FALSE,"초도품 (5)";#N/A,#N/A,FALSE,"초도품 (6)"}</definedName>
    <definedName name="AXD_2_2" hidden="1">{#N/A,#N/A,FALSE,"초도품";#N/A,#N/A,FALSE,"초도품 (2)";#N/A,#N/A,FALSE,"초도품 (3)";#N/A,#N/A,FALSE,"초도품 (4)";#N/A,#N/A,FALSE,"초도품 (5)";#N/A,#N/A,FALSE,"초도품 (6)"}</definedName>
    <definedName name="AXD_3" localSheetId="26" hidden="1">{#N/A,#N/A,FALSE,"초도품";#N/A,#N/A,FALSE,"초도품 (2)";#N/A,#N/A,FALSE,"초도품 (3)";#N/A,#N/A,FALSE,"초도품 (4)";#N/A,#N/A,FALSE,"초도품 (5)";#N/A,#N/A,FALSE,"초도품 (6)"}</definedName>
    <definedName name="AXD_3" localSheetId="0" hidden="1">{#N/A,#N/A,FALSE,"초도품";#N/A,#N/A,FALSE,"초도품 (2)";#N/A,#N/A,FALSE,"초도품 (3)";#N/A,#N/A,FALSE,"초도품 (4)";#N/A,#N/A,FALSE,"초도품 (5)";#N/A,#N/A,FALSE,"초도품 (6)"}</definedName>
    <definedName name="AXD_3" hidden="1">{#N/A,#N/A,FALSE,"초도품";#N/A,#N/A,FALSE,"초도품 (2)";#N/A,#N/A,FALSE,"초도품 (3)";#N/A,#N/A,FALSE,"초도품 (4)";#N/A,#N/A,FALSE,"초도품 (5)";#N/A,#N/A,FALSE,"초도품 (6)"}</definedName>
    <definedName name="AXD_4" localSheetId="26" hidden="1">{#N/A,#N/A,FALSE,"초도품";#N/A,#N/A,FALSE,"초도품 (2)";#N/A,#N/A,FALSE,"초도품 (3)";#N/A,#N/A,FALSE,"초도품 (4)";#N/A,#N/A,FALSE,"초도품 (5)";#N/A,#N/A,FALSE,"초도품 (6)"}</definedName>
    <definedName name="AXD_4" localSheetId="0" hidden="1">{#N/A,#N/A,FALSE,"초도품";#N/A,#N/A,FALSE,"초도품 (2)";#N/A,#N/A,FALSE,"초도품 (3)";#N/A,#N/A,FALSE,"초도품 (4)";#N/A,#N/A,FALSE,"초도품 (5)";#N/A,#N/A,FALSE,"초도품 (6)"}</definedName>
    <definedName name="AXD_4" hidden="1">{#N/A,#N/A,FALSE,"초도품";#N/A,#N/A,FALSE,"초도품 (2)";#N/A,#N/A,FALSE,"초도품 (3)";#N/A,#N/A,FALSE,"초도품 (4)";#N/A,#N/A,FALSE,"초도품 (5)";#N/A,#N/A,FALSE,"초도품 (6)"}</definedName>
    <definedName name="AXD_5" localSheetId="26" hidden="1">{#N/A,#N/A,FALSE,"초도품";#N/A,#N/A,FALSE,"초도품 (2)";#N/A,#N/A,FALSE,"초도품 (3)";#N/A,#N/A,FALSE,"초도품 (4)";#N/A,#N/A,FALSE,"초도품 (5)";#N/A,#N/A,FALSE,"초도품 (6)"}</definedName>
    <definedName name="AXD_5" localSheetId="0" hidden="1">{#N/A,#N/A,FALSE,"초도품";#N/A,#N/A,FALSE,"초도품 (2)";#N/A,#N/A,FALSE,"초도품 (3)";#N/A,#N/A,FALSE,"초도품 (4)";#N/A,#N/A,FALSE,"초도품 (5)";#N/A,#N/A,FALSE,"초도품 (6)"}</definedName>
    <definedName name="AXD_5" hidden="1">{#N/A,#N/A,FALSE,"초도품";#N/A,#N/A,FALSE,"초도품 (2)";#N/A,#N/A,FALSE,"초도품 (3)";#N/A,#N/A,FALSE,"초도품 (4)";#N/A,#N/A,FALSE,"초도품 (5)";#N/A,#N/A,FALSE,"초도품 (6)"}</definedName>
    <definedName name="bala" localSheetId="26" hidden="1">{#N/A,#N/A,FALSE,"Cash Flows";#N/A,#N/A,FALSE,"Fixed Assets";#N/A,#N/A,FALSE,"Balance Sheet";#N/A,#N/A,FALSE,"P &amp; L"}</definedName>
    <definedName name="bala" localSheetId="0" hidden="1">{#N/A,#N/A,FALSE,"Cash Flows";#N/A,#N/A,FALSE,"Fixed Assets";#N/A,#N/A,FALSE,"Balance Sheet";#N/A,#N/A,FALSE,"P &amp; L"}</definedName>
    <definedName name="bala" hidden="1">{#N/A,#N/A,FALSE,"Cash Flows";#N/A,#N/A,FALSE,"Fixed Assets";#N/A,#N/A,FALSE,"Balance Sheet";#N/A,#N/A,FALSE,"P &amp; L"}</definedName>
    <definedName name="bala_1" localSheetId="26" hidden="1">{#N/A,#N/A,FALSE,"Cash Flows";#N/A,#N/A,FALSE,"Fixed Assets";#N/A,#N/A,FALSE,"Balance Sheet";#N/A,#N/A,FALSE,"P &amp; L"}</definedName>
    <definedName name="bala_1" localSheetId="0" hidden="1">{#N/A,#N/A,FALSE,"Cash Flows";#N/A,#N/A,FALSE,"Fixed Assets";#N/A,#N/A,FALSE,"Balance Sheet";#N/A,#N/A,FALSE,"P &amp; L"}</definedName>
    <definedName name="bala_1" hidden="1">{#N/A,#N/A,FALSE,"Cash Flows";#N/A,#N/A,FALSE,"Fixed Assets";#N/A,#N/A,FALSE,"Balance Sheet";#N/A,#N/A,FALSE,"P &amp; L"}</definedName>
    <definedName name="bala_1_1" localSheetId="26" hidden="1">{#N/A,#N/A,FALSE,"Cash Flows";#N/A,#N/A,FALSE,"Fixed Assets";#N/A,#N/A,FALSE,"Balance Sheet";#N/A,#N/A,FALSE,"P &amp; L"}</definedName>
    <definedName name="bala_1_1" localSheetId="0" hidden="1">{#N/A,#N/A,FALSE,"Cash Flows";#N/A,#N/A,FALSE,"Fixed Assets";#N/A,#N/A,FALSE,"Balance Sheet";#N/A,#N/A,FALSE,"P &amp; L"}</definedName>
    <definedName name="bala_1_1" hidden="1">{#N/A,#N/A,FALSE,"Cash Flows";#N/A,#N/A,FALSE,"Fixed Assets";#N/A,#N/A,FALSE,"Balance Sheet";#N/A,#N/A,FALSE,"P &amp; L"}</definedName>
    <definedName name="bala_1_2" localSheetId="26" hidden="1">{#N/A,#N/A,FALSE,"Cash Flows";#N/A,#N/A,FALSE,"Fixed Assets";#N/A,#N/A,FALSE,"Balance Sheet";#N/A,#N/A,FALSE,"P &amp; L"}</definedName>
    <definedName name="bala_1_2" localSheetId="0" hidden="1">{#N/A,#N/A,FALSE,"Cash Flows";#N/A,#N/A,FALSE,"Fixed Assets";#N/A,#N/A,FALSE,"Balance Sheet";#N/A,#N/A,FALSE,"P &amp; L"}</definedName>
    <definedName name="bala_1_2" hidden="1">{#N/A,#N/A,FALSE,"Cash Flows";#N/A,#N/A,FALSE,"Fixed Assets";#N/A,#N/A,FALSE,"Balance Sheet";#N/A,#N/A,FALSE,"P &amp; L"}</definedName>
    <definedName name="bala_1_3" localSheetId="26" hidden="1">{#N/A,#N/A,FALSE,"Cash Flows";#N/A,#N/A,FALSE,"Fixed Assets";#N/A,#N/A,FALSE,"Balance Sheet";#N/A,#N/A,FALSE,"P &amp; L"}</definedName>
    <definedName name="bala_1_3" localSheetId="0" hidden="1">{#N/A,#N/A,FALSE,"Cash Flows";#N/A,#N/A,FALSE,"Fixed Assets";#N/A,#N/A,FALSE,"Balance Sheet";#N/A,#N/A,FALSE,"P &amp; L"}</definedName>
    <definedName name="bala_1_3" hidden="1">{#N/A,#N/A,FALSE,"Cash Flows";#N/A,#N/A,FALSE,"Fixed Assets";#N/A,#N/A,FALSE,"Balance Sheet";#N/A,#N/A,FALSE,"P &amp; L"}</definedName>
    <definedName name="bala_2" localSheetId="26" hidden="1">{#N/A,#N/A,FALSE,"Cash Flows";#N/A,#N/A,FALSE,"Fixed Assets";#N/A,#N/A,FALSE,"Balance Sheet";#N/A,#N/A,FALSE,"P &amp; L"}</definedName>
    <definedName name="bala_2" localSheetId="0" hidden="1">{#N/A,#N/A,FALSE,"Cash Flows";#N/A,#N/A,FALSE,"Fixed Assets";#N/A,#N/A,FALSE,"Balance Sheet";#N/A,#N/A,FALSE,"P &amp; L"}</definedName>
    <definedName name="bala_2" hidden="1">{#N/A,#N/A,FALSE,"Cash Flows";#N/A,#N/A,FALSE,"Fixed Assets";#N/A,#N/A,FALSE,"Balance Sheet";#N/A,#N/A,FALSE,"P &amp; L"}</definedName>
    <definedName name="bala_2_1" localSheetId="26" hidden="1">{#N/A,#N/A,FALSE,"Cash Flows";#N/A,#N/A,FALSE,"Fixed Assets";#N/A,#N/A,FALSE,"Balance Sheet";#N/A,#N/A,FALSE,"P &amp; L"}</definedName>
    <definedName name="bala_2_1" localSheetId="0" hidden="1">{#N/A,#N/A,FALSE,"Cash Flows";#N/A,#N/A,FALSE,"Fixed Assets";#N/A,#N/A,FALSE,"Balance Sheet";#N/A,#N/A,FALSE,"P &amp; L"}</definedName>
    <definedName name="bala_2_1" hidden="1">{#N/A,#N/A,FALSE,"Cash Flows";#N/A,#N/A,FALSE,"Fixed Assets";#N/A,#N/A,FALSE,"Balance Sheet";#N/A,#N/A,FALSE,"P &amp; L"}</definedName>
    <definedName name="bala_2_2" localSheetId="26" hidden="1">{#N/A,#N/A,FALSE,"Cash Flows";#N/A,#N/A,FALSE,"Fixed Assets";#N/A,#N/A,FALSE,"Balance Sheet";#N/A,#N/A,FALSE,"P &amp; L"}</definedName>
    <definedName name="bala_2_2" localSheetId="0" hidden="1">{#N/A,#N/A,FALSE,"Cash Flows";#N/A,#N/A,FALSE,"Fixed Assets";#N/A,#N/A,FALSE,"Balance Sheet";#N/A,#N/A,FALSE,"P &amp; L"}</definedName>
    <definedName name="bala_2_2" hidden="1">{#N/A,#N/A,FALSE,"Cash Flows";#N/A,#N/A,FALSE,"Fixed Assets";#N/A,#N/A,FALSE,"Balance Sheet";#N/A,#N/A,FALSE,"P &amp; L"}</definedName>
    <definedName name="bala_3" localSheetId="26" hidden="1">{#N/A,#N/A,FALSE,"Cash Flows";#N/A,#N/A,FALSE,"Fixed Assets";#N/A,#N/A,FALSE,"Balance Sheet";#N/A,#N/A,FALSE,"P &amp; L"}</definedName>
    <definedName name="bala_3" localSheetId="0" hidden="1">{#N/A,#N/A,FALSE,"Cash Flows";#N/A,#N/A,FALSE,"Fixed Assets";#N/A,#N/A,FALSE,"Balance Sheet";#N/A,#N/A,FALSE,"P &amp; L"}</definedName>
    <definedName name="bala_3" hidden="1">{#N/A,#N/A,FALSE,"Cash Flows";#N/A,#N/A,FALSE,"Fixed Assets";#N/A,#N/A,FALSE,"Balance Sheet";#N/A,#N/A,FALSE,"P &amp; L"}</definedName>
    <definedName name="bala_4" localSheetId="26" hidden="1">{#N/A,#N/A,FALSE,"Cash Flows";#N/A,#N/A,FALSE,"Fixed Assets";#N/A,#N/A,FALSE,"Balance Sheet";#N/A,#N/A,FALSE,"P &amp; L"}</definedName>
    <definedName name="bala_4" localSheetId="0" hidden="1">{#N/A,#N/A,FALSE,"Cash Flows";#N/A,#N/A,FALSE,"Fixed Assets";#N/A,#N/A,FALSE,"Balance Sheet";#N/A,#N/A,FALSE,"P &amp; L"}</definedName>
    <definedName name="bala_4" hidden="1">{#N/A,#N/A,FALSE,"Cash Flows";#N/A,#N/A,FALSE,"Fixed Assets";#N/A,#N/A,FALSE,"Balance Sheet";#N/A,#N/A,FALSE,"P &amp; L"}</definedName>
    <definedName name="bala_5" localSheetId="26" hidden="1">{#N/A,#N/A,FALSE,"Cash Flows";#N/A,#N/A,FALSE,"Fixed Assets";#N/A,#N/A,FALSE,"Balance Sheet";#N/A,#N/A,FALSE,"P &amp; L"}</definedName>
    <definedName name="bala_5" localSheetId="0" hidden="1">{#N/A,#N/A,FALSE,"Cash Flows";#N/A,#N/A,FALSE,"Fixed Assets";#N/A,#N/A,FALSE,"Balance Sheet";#N/A,#N/A,FALSE,"P &amp; L"}</definedName>
    <definedName name="bala_5" hidden="1">{#N/A,#N/A,FALSE,"Cash Flows";#N/A,#N/A,FALSE,"Fixed Assets";#N/A,#N/A,FALSE,"Balance Sheet";#N/A,#N/A,FALSE,"P &amp; L"}</definedName>
    <definedName name="BaseData_1" localSheetId="22" hidden="1">{#N/A,#N/A,FALSE,"Cash Flows";#N/A,#N/A,FALSE,"Fixed Assets";#N/A,#N/A,FALSE,"Balance Sheet";#N/A,#N/A,FALSE,"P &amp; L"}</definedName>
    <definedName name="BaseData_1" localSheetId="26" hidden="1">{#N/A,#N/A,FALSE,"Cash Flows";#N/A,#N/A,FALSE,"Fixed Assets";#N/A,#N/A,FALSE,"Balance Sheet";#N/A,#N/A,FALSE,"P &amp; L"}</definedName>
    <definedName name="BaseData_1" localSheetId="14" hidden="1">{#N/A,#N/A,FALSE,"Cash Flows";#N/A,#N/A,FALSE,"Fixed Assets";#N/A,#N/A,FALSE,"Balance Sheet";#N/A,#N/A,FALSE,"P &amp; L"}</definedName>
    <definedName name="BaseData_1" localSheetId="21" hidden="1">{#N/A,#N/A,FALSE,"Cash Flows";#N/A,#N/A,FALSE,"Fixed Assets";#N/A,#N/A,FALSE,"Balance Sheet";#N/A,#N/A,FALSE,"P &amp; L"}</definedName>
    <definedName name="BaseData_1" localSheetId="3" hidden="1">{#N/A,#N/A,FALSE,"Cash Flows";#N/A,#N/A,FALSE,"Fixed Assets";#N/A,#N/A,FALSE,"Balance Sheet";#N/A,#N/A,FALSE,"P &amp; L"}</definedName>
    <definedName name="BaseData_1" localSheetId="29" hidden="1">{#N/A,#N/A,FALSE,"Cash Flows";#N/A,#N/A,FALSE,"Fixed Assets";#N/A,#N/A,FALSE,"Balance Sheet";#N/A,#N/A,FALSE,"P &amp; L"}</definedName>
    <definedName name="BaseData_1" localSheetId="28" hidden="1">{#N/A,#N/A,FALSE,"Cash Flows";#N/A,#N/A,FALSE,"Fixed Assets";#N/A,#N/A,FALSE,"Balance Sheet";#N/A,#N/A,FALSE,"P &amp; L"}</definedName>
    <definedName name="BaseData_1" localSheetId="27" hidden="1">{#N/A,#N/A,FALSE,"Cash Flows";#N/A,#N/A,FALSE,"Fixed Assets";#N/A,#N/A,FALSE,"Balance Sheet";#N/A,#N/A,FALSE,"P &amp; L"}</definedName>
    <definedName name="BaseData_1" localSheetId="0" hidden="1">{#N/A,#N/A,FALSE,"Cash Flows";#N/A,#N/A,FALSE,"Fixed Assets";#N/A,#N/A,FALSE,"Balance Sheet";#N/A,#N/A,FALSE,"P &amp; L"}</definedName>
    <definedName name="BaseData_1" hidden="1">{#N/A,#N/A,FALSE,"Cash Flows";#N/A,#N/A,FALSE,"Fixed Assets";#N/A,#N/A,FALSE,"Balance Sheet";#N/A,#N/A,FALSE,"P &amp; L"}</definedName>
    <definedName name="BaseData_1_1" localSheetId="26" hidden="1">{#N/A,#N/A,FALSE,"Cash Flows";#N/A,#N/A,FALSE,"Fixed Assets";#N/A,#N/A,FALSE,"Balance Sheet";#N/A,#N/A,FALSE,"P &amp; L"}</definedName>
    <definedName name="BaseData_1_1" localSheetId="0" hidden="1">{#N/A,#N/A,FALSE,"Cash Flows";#N/A,#N/A,FALSE,"Fixed Assets";#N/A,#N/A,FALSE,"Balance Sheet";#N/A,#N/A,FALSE,"P &amp; L"}</definedName>
    <definedName name="BaseData_1_1" hidden="1">{#N/A,#N/A,FALSE,"Cash Flows";#N/A,#N/A,FALSE,"Fixed Assets";#N/A,#N/A,FALSE,"Balance Sheet";#N/A,#N/A,FALSE,"P &amp; L"}</definedName>
    <definedName name="BaseData_1_1_1" localSheetId="26" hidden="1">{#N/A,#N/A,FALSE,"Cash Flows";#N/A,#N/A,FALSE,"Fixed Assets";#N/A,#N/A,FALSE,"Balance Sheet";#N/A,#N/A,FALSE,"P &amp; L"}</definedName>
    <definedName name="BaseData_1_1_1" localSheetId="0" hidden="1">{#N/A,#N/A,FALSE,"Cash Flows";#N/A,#N/A,FALSE,"Fixed Assets";#N/A,#N/A,FALSE,"Balance Sheet";#N/A,#N/A,FALSE,"P &amp; L"}</definedName>
    <definedName name="BaseData_1_1_1" hidden="1">{#N/A,#N/A,FALSE,"Cash Flows";#N/A,#N/A,FALSE,"Fixed Assets";#N/A,#N/A,FALSE,"Balance Sheet";#N/A,#N/A,FALSE,"P &amp; L"}</definedName>
    <definedName name="BaseData_1_1_2" localSheetId="26" hidden="1">{#N/A,#N/A,FALSE,"Cash Flows";#N/A,#N/A,FALSE,"Fixed Assets";#N/A,#N/A,FALSE,"Balance Sheet";#N/A,#N/A,FALSE,"P &amp; L"}</definedName>
    <definedName name="BaseData_1_1_2" localSheetId="0" hidden="1">{#N/A,#N/A,FALSE,"Cash Flows";#N/A,#N/A,FALSE,"Fixed Assets";#N/A,#N/A,FALSE,"Balance Sheet";#N/A,#N/A,FALSE,"P &amp; L"}</definedName>
    <definedName name="BaseData_1_1_2" hidden="1">{#N/A,#N/A,FALSE,"Cash Flows";#N/A,#N/A,FALSE,"Fixed Assets";#N/A,#N/A,FALSE,"Balance Sheet";#N/A,#N/A,FALSE,"P &amp; L"}</definedName>
    <definedName name="BaseData_1_1_3" localSheetId="26" hidden="1">{#N/A,#N/A,FALSE,"Cash Flows";#N/A,#N/A,FALSE,"Fixed Assets";#N/A,#N/A,FALSE,"Balance Sheet";#N/A,#N/A,FALSE,"P &amp; L"}</definedName>
    <definedName name="BaseData_1_1_3" localSheetId="0" hidden="1">{#N/A,#N/A,FALSE,"Cash Flows";#N/A,#N/A,FALSE,"Fixed Assets";#N/A,#N/A,FALSE,"Balance Sheet";#N/A,#N/A,FALSE,"P &amp; L"}</definedName>
    <definedName name="BaseData_1_1_3" hidden="1">{#N/A,#N/A,FALSE,"Cash Flows";#N/A,#N/A,FALSE,"Fixed Assets";#N/A,#N/A,FALSE,"Balance Sheet";#N/A,#N/A,FALSE,"P &amp; L"}</definedName>
    <definedName name="BaseData_1_2" localSheetId="26" hidden="1">{#N/A,#N/A,FALSE,"Cash Flows";#N/A,#N/A,FALSE,"Fixed Assets";#N/A,#N/A,FALSE,"Balance Sheet";#N/A,#N/A,FALSE,"P &amp; L"}</definedName>
    <definedName name="BaseData_1_2" localSheetId="0" hidden="1">{#N/A,#N/A,FALSE,"Cash Flows";#N/A,#N/A,FALSE,"Fixed Assets";#N/A,#N/A,FALSE,"Balance Sheet";#N/A,#N/A,FALSE,"P &amp; L"}</definedName>
    <definedName name="BaseData_1_2" hidden="1">{#N/A,#N/A,FALSE,"Cash Flows";#N/A,#N/A,FALSE,"Fixed Assets";#N/A,#N/A,FALSE,"Balance Sheet";#N/A,#N/A,FALSE,"P &amp; L"}</definedName>
    <definedName name="BaseData_1_2_1" localSheetId="26" hidden="1">{#N/A,#N/A,FALSE,"Cash Flows";#N/A,#N/A,FALSE,"Fixed Assets";#N/A,#N/A,FALSE,"Balance Sheet";#N/A,#N/A,FALSE,"P &amp; L"}</definedName>
    <definedName name="BaseData_1_2_1" localSheetId="0" hidden="1">{#N/A,#N/A,FALSE,"Cash Flows";#N/A,#N/A,FALSE,"Fixed Assets";#N/A,#N/A,FALSE,"Balance Sheet";#N/A,#N/A,FALSE,"P &amp; L"}</definedName>
    <definedName name="BaseData_1_2_1" hidden="1">{#N/A,#N/A,FALSE,"Cash Flows";#N/A,#N/A,FALSE,"Fixed Assets";#N/A,#N/A,FALSE,"Balance Sheet";#N/A,#N/A,FALSE,"P &amp; L"}</definedName>
    <definedName name="BaseData_1_2_2" localSheetId="26" hidden="1">{#N/A,#N/A,FALSE,"Cash Flows";#N/A,#N/A,FALSE,"Fixed Assets";#N/A,#N/A,FALSE,"Balance Sheet";#N/A,#N/A,FALSE,"P &amp; L"}</definedName>
    <definedName name="BaseData_1_2_2" localSheetId="0" hidden="1">{#N/A,#N/A,FALSE,"Cash Flows";#N/A,#N/A,FALSE,"Fixed Assets";#N/A,#N/A,FALSE,"Balance Sheet";#N/A,#N/A,FALSE,"P &amp; L"}</definedName>
    <definedName name="BaseData_1_2_2" hidden="1">{#N/A,#N/A,FALSE,"Cash Flows";#N/A,#N/A,FALSE,"Fixed Assets";#N/A,#N/A,FALSE,"Balance Sheet";#N/A,#N/A,FALSE,"P &amp; L"}</definedName>
    <definedName name="BaseData_1_3" localSheetId="26" hidden="1">{#N/A,#N/A,FALSE,"Cash Flows";#N/A,#N/A,FALSE,"Fixed Assets";#N/A,#N/A,FALSE,"Balance Sheet";#N/A,#N/A,FALSE,"P &amp; L"}</definedName>
    <definedName name="BaseData_1_3" localSheetId="0" hidden="1">{#N/A,#N/A,FALSE,"Cash Flows";#N/A,#N/A,FALSE,"Fixed Assets";#N/A,#N/A,FALSE,"Balance Sheet";#N/A,#N/A,FALSE,"P &amp; L"}</definedName>
    <definedName name="BaseData_1_3" hidden="1">{#N/A,#N/A,FALSE,"Cash Flows";#N/A,#N/A,FALSE,"Fixed Assets";#N/A,#N/A,FALSE,"Balance Sheet";#N/A,#N/A,FALSE,"P &amp; L"}</definedName>
    <definedName name="BaseData_1_4" localSheetId="26" hidden="1">{#N/A,#N/A,FALSE,"Cash Flows";#N/A,#N/A,FALSE,"Fixed Assets";#N/A,#N/A,FALSE,"Balance Sheet";#N/A,#N/A,FALSE,"P &amp; L"}</definedName>
    <definedName name="BaseData_1_4" localSheetId="0" hidden="1">{#N/A,#N/A,FALSE,"Cash Flows";#N/A,#N/A,FALSE,"Fixed Assets";#N/A,#N/A,FALSE,"Balance Sheet";#N/A,#N/A,FALSE,"P &amp; L"}</definedName>
    <definedName name="BaseData_1_4" hidden="1">{#N/A,#N/A,FALSE,"Cash Flows";#N/A,#N/A,FALSE,"Fixed Assets";#N/A,#N/A,FALSE,"Balance Sheet";#N/A,#N/A,FALSE,"P &amp; L"}</definedName>
    <definedName name="BaseData_1_5" localSheetId="26" hidden="1">{#N/A,#N/A,FALSE,"Cash Flows";#N/A,#N/A,FALSE,"Fixed Assets";#N/A,#N/A,FALSE,"Balance Sheet";#N/A,#N/A,FALSE,"P &amp; L"}</definedName>
    <definedName name="BaseData_1_5" localSheetId="0" hidden="1">{#N/A,#N/A,FALSE,"Cash Flows";#N/A,#N/A,FALSE,"Fixed Assets";#N/A,#N/A,FALSE,"Balance Sheet";#N/A,#N/A,FALSE,"P &amp; L"}</definedName>
    <definedName name="BaseData_1_5" hidden="1">{#N/A,#N/A,FALSE,"Cash Flows";#N/A,#N/A,FALSE,"Fixed Assets";#N/A,#N/A,FALSE,"Balance Sheet";#N/A,#N/A,FALSE,"P &amp; L"}</definedName>
    <definedName name="BEFeXToEUR" localSheetId="9" hidden="1">1/EUReXToBEF</definedName>
    <definedName name="BEFeXToEUR" localSheetId="1" hidden="1">1/EUReXToBEF</definedName>
    <definedName name="BEFeXToEUR" localSheetId="26" hidden="1">1/EUReXToBEF</definedName>
    <definedName name="BEFeXToEUR" localSheetId="21" hidden="1">1/EUReXToBEF</definedName>
    <definedName name="BEFeXToEUR" localSheetId="3" hidden="1">1/EUReXToBEF</definedName>
    <definedName name="BEFeXToEUR" localSheetId="28" hidden="1">1/EUReXToBEF</definedName>
    <definedName name="BEFeXToEUR" localSheetId="27" hidden="1">1/EUReXToBEF</definedName>
    <definedName name="BEFeXToEUR" localSheetId="0" hidden="1">1/EUReXToBEF</definedName>
    <definedName name="BEFeXToEUR" hidden="1">1/EUReXToBEF</definedName>
    <definedName name="bha" localSheetId="26" hidden="1">{#N/A,#N/A,TRUE,"Summary";#N/A,#N/A,TRUE,"Balance Sheet";#N/A,#N/A,TRUE,"P &amp; L";#N/A,#N/A,TRUE,"Fixed Assets";#N/A,#N/A,TRUE,"Cash Flows"}</definedName>
    <definedName name="bha" localSheetId="21" hidden="1">{#N/A,#N/A,TRUE,"Summary";#N/A,#N/A,TRUE,"Balance Sheet";#N/A,#N/A,TRUE,"P &amp; L";#N/A,#N/A,TRUE,"Fixed Assets";#N/A,#N/A,TRUE,"Cash Flows"}</definedName>
    <definedName name="bha" localSheetId="3" hidden="1">{#N/A,#N/A,TRUE,"Summary";#N/A,#N/A,TRUE,"Balance Sheet";#N/A,#N/A,TRUE,"P &amp; L";#N/A,#N/A,TRUE,"Fixed Assets";#N/A,#N/A,TRUE,"Cash Flows"}</definedName>
    <definedName name="bha" localSheetId="27" hidden="1">{#N/A,#N/A,TRUE,"Summary";#N/A,#N/A,TRUE,"Balance Sheet";#N/A,#N/A,TRUE,"P &amp; L";#N/A,#N/A,TRUE,"Fixed Assets";#N/A,#N/A,TRUE,"Cash Flows"}</definedName>
    <definedName name="bha" localSheetId="0" hidden="1">{#N/A,#N/A,TRUE,"Summary";#N/A,#N/A,TRUE,"Balance Sheet";#N/A,#N/A,TRUE,"P &amp; L";#N/A,#N/A,TRUE,"Fixed Assets";#N/A,#N/A,TRUE,"Cash Flows"}</definedName>
    <definedName name="bha" hidden="1">{#N/A,#N/A,TRUE,"Summary";#N/A,#N/A,TRUE,"Balance Sheet";#N/A,#N/A,TRUE,"P &amp; L";#N/A,#N/A,TRUE,"Fixed Assets";#N/A,#N/A,TRUE,"Cash Flows"}</definedName>
    <definedName name="bha_1" localSheetId="26" hidden="1">{#N/A,#N/A,TRUE,"Summary";#N/A,#N/A,TRUE,"Balance Sheet";#N/A,#N/A,TRUE,"P &amp; L";#N/A,#N/A,TRUE,"Fixed Assets";#N/A,#N/A,TRUE,"Cash Flows"}</definedName>
    <definedName name="bha_1" localSheetId="0" hidden="1">{#N/A,#N/A,TRUE,"Summary";#N/A,#N/A,TRUE,"Balance Sheet";#N/A,#N/A,TRUE,"P &amp; L";#N/A,#N/A,TRUE,"Fixed Assets";#N/A,#N/A,TRUE,"Cash Flows"}</definedName>
    <definedName name="bha_1" hidden="1">{#N/A,#N/A,TRUE,"Summary";#N/A,#N/A,TRUE,"Balance Sheet";#N/A,#N/A,TRUE,"P &amp; L";#N/A,#N/A,TRUE,"Fixed Assets";#N/A,#N/A,TRUE,"Cash Flows"}</definedName>
    <definedName name="bha_1_1" localSheetId="26" hidden="1">{#N/A,#N/A,TRUE,"Summary";#N/A,#N/A,TRUE,"Balance Sheet";#N/A,#N/A,TRUE,"P &amp; L";#N/A,#N/A,TRUE,"Fixed Assets";#N/A,#N/A,TRUE,"Cash Flows"}</definedName>
    <definedName name="bha_1_1" localSheetId="0" hidden="1">{#N/A,#N/A,TRUE,"Summary";#N/A,#N/A,TRUE,"Balance Sheet";#N/A,#N/A,TRUE,"P &amp; L";#N/A,#N/A,TRUE,"Fixed Assets";#N/A,#N/A,TRUE,"Cash Flows"}</definedName>
    <definedName name="bha_1_1" hidden="1">{#N/A,#N/A,TRUE,"Summary";#N/A,#N/A,TRUE,"Balance Sheet";#N/A,#N/A,TRUE,"P &amp; L";#N/A,#N/A,TRUE,"Fixed Assets";#N/A,#N/A,TRUE,"Cash Flows"}</definedName>
    <definedName name="bha_1_2" localSheetId="26" hidden="1">{#N/A,#N/A,TRUE,"Summary";#N/A,#N/A,TRUE,"Balance Sheet";#N/A,#N/A,TRUE,"P &amp; L";#N/A,#N/A,TRUE,"Fixed Assets";#N/A,#N/A,TRUE,"Cash Flows"}</definedName>
    <definedName name="bha_1_2" localSheetId="0" hidden="1">{#N/A,#N/A,TRUE,"Summary";#N/A,#N/A,TRUE,"Balance Sheet";#N/A,#N/A,TRUE,"P &amp; L";#N/A,#N/A,TRUE,"Fixed Assets";#N/A,#N/A,TRUE,"Cash Flows"}</definedName>
    <definedName name="bha_1_2" hidden="1">{#N/A,#N/A,TRUE,"Summary";#N/A,#N/A,TRUE,"Balance Sheet";#N/A,#N/A,TRUE,"P &amp; L";#N/A,#N/A,TRUE,"Fixed Assets";#N/A,#N/A,TRUE,"Cash Flows"}</definedName>
    <definedName name="bha_1_3" localSheetId="26" hidden="1">{#N/A,#N/A,TRUE,"Summary";#N/A,#N/A,TRUE,"Balance Sheet";#N/A,#N/A,TRUE,"P &amp; L";#N/A,#N/A,TRUE,"Fixed Assets";#N/A,#N/A,TRUE,"Cash Flows"}</definedName>
    <definedName name="bha_1_3" localSheetId="0" hidden="1">{#N/A,#N/A,TRUE,"Summary";#N/A,#N/A,TRUE,"Balance Sheet";#N/A,#N/A,TRUE,"P &amp; L";#N/A,#N/A,TRUE,"Fixed Assets";#N/A,#N/A,TRUE,"Cash Flows"}</definedName>
    <definedName name="bha_1_3" hidden="1">{#N/A,#N/A,TRUE,"Summary";#N/A,#N/A,TRUE,"Balance Sheet";#N/A,#N/A,TRUE,"P &amp; L";#N/A,#N/A,TRUE,"Fixed Assets";#N/A,#N/A,TRUE,"Cash Flows"}</definedName>
    <definedName name="bha_2" localSheetId="26" hidden="1">{#N/A,#N/A,TRUE,"Summary";#N/A,#N/A,TRUE,"Balance Sheet";#N/A,#N/A,TRUE,"P &amp; L";#N/A,#N/A,TRUE,"Fixed Assets";#N/A,#N/A,TRUE,"Cash Flows"}</definedName>
    <definedName name="bha_2" localSheetId="0" hidden="1">{#N/A,#N/A,TRUE,"Summary";#N/A,#N/A,TRUE,"Balance Sheet";#N/A,#N/A,TRUE,"P &amp; L";#N/A,#N/A,TRUE,"Fixed Assets";#N/A,#N/A,TRUE,"Cash Flows"}</definedName>
    <definedName name="bha_2" hidden="1">{#N/A,#N/A,TRUE,"Summary";#N/A,#N/A,TRUE,"Balance Sheet";#N/A,#N/A,TRUE,"P &amp; L";#N/A,#N/A,TRUE,"Fixed Assets";#N/A,#N/A,TRUE,"Cash Flows"}</definedName>
    <definedName name="bha_2_1" localSheetId="26" hidden="1">{#N/A,#N/A,TRUE,"Summary";#N/A,#N/A,TRUE,"Balance Sheet";#N/A,#N/A,TRUE,"P &amp; L";#N/A,#N/A,TRUE,"Fixed Assets";#N/A,#N/A,TRUE,"Cash Flows"}</definedName>
    <definedName name="bha_2_1" localSheetId="0" hidden="1">{#N/A,#N/A,TRUE,"Summary";#N/A,#N/A,TRUE,"Balance Sheet";#N/A,#N/A,TRUE,"P &amp; L";#N/A,#N/A,TRUE,"Fixed Assets";#N/A,#N/A,TRUE,"Cash Flows"}</definedName>
    <definedName name="bha_2_1" hidden="1">{#N/A,#N/A,TRUE,"Summary";#N/A,#N/A,TRUE,"Balance Sheet";#N/A,#N/A,TRUE,"P &amp; L";#N/A,#N/A,TRUE,"Fixed Assets";#N/A,#N/A,TRUE,"Cash Flows"}</definedName>
    <definedName name="bha_2_2" localSheetId="26" hidden="1">{#N/A,#N/A,TRUE,"Summary";#N/A,#N/A,TRUE,"Balance Sheet";#N/A,#N/A,TRUE,"P &amp; L";#N/A,#N/A,TRUE,"Fixed Assets";#N/A,#N/A,TRUE,"Cash Flows"}</definedName>
    <definedName name="bha_2_2" localSheetId="0" hidden="1">{#N/A,#N/A,TRUE,"Summary";#N/A,#N/A,TRUE,"Balance Sheet";#N/A,#N/A,TRUE,"P &amp; L";#N/A,#N/A,TRUE,"Fixed Assets";#N/A,#N/A,TRUE,"Cash Flows"}</definedName>
    <definedName name="bha_2_2" hidden="1">{#N/A,#N/A,TRUE,"Summary";#N/A,#N/A,TRUE,"Balance Sheet";#N/A,#N/A,TRUE,"P &amp; L";#N/A,#N/A,TRUE,"Fixed Assets";#N/A,#N/A,TRUE,"Cash Flows"}</definedName>
    <definedName name="bha_3" localSheetId="26" hidden="1">{#N/A,#N/A,TRUE,"Summary";#N/A,#N/A,TRUE,"Balance Sheet";#N/A,#N/A,TRUE,"P &amp; L";#N/A,#N/A,TRUE,"Fixed Assets";#N/A,#N/A,TRUE,"Cash Flows"}</definedName>
    <definedName name="bha_3" localSheetId="0" hidden="1">{#N/A,#N/A,TRUE,"Summary";#N/A,#N/A,TRUE,"Balance Sheet";#N/A,#N/A,TRUE,"P &amp; L";#N/A,#N/A,TRUE,"Fixed Assets";#N/A,#N/A,TRUE,"Cash Flows"}</definedName>
    <definedName name="bha_3" hidden="1">{#N/A,#N/A,TRUE,"Summary";#N/A,#N/A,TRUE,"Balance Sheet";#N/A,#N/A,TRUE,"P &amp; L";#N/A,#N/A,TRUE,"Fixed Assets";#N/A,#N/A,TRUE,"Cash Flows"}</definedName>
    <definedName name="bha_4" localSheetId="26" hidden="1">{#N/A,#N/A,TRUE,"Summary";#N/A,#N/A,TRUE,"Balance Sheet";#N/A,#N/A,TRUE,"P &amp; L";#N/A,#N/A,TRUE,"Fixed Assets";#N/A,#N/A,TRUE,"Cash Flows"}</definedName>
    <definedName name="bha_4" localSheetId="0" hidden="1">{#N/A,#N/A,TRUE,"Summary";#N/A,#N/A,TRUE,"Balance Sheet";#N/A,#N/A,TRUE,"P &amp; L";#N/A,#N/A,TRUE,"Fixed Assets";#N/A,#N/A,TRUE,"Cash Flows"}</definedName>
    <definedName name="bha_4" hidden="1">{#N/A,#N/A,TRUE,"Summary";#N/A,#N/A,TRUE,"Balance Sheet";#N/A,#N/A,TRUE,"P &amp; L";#N/A,#N/A,TRUE,"Fixed Assets";#N/A,#N/A,TRUE,"Cash Flows"}</definedName>
    <definedName name="bha_5" localSheetId="26" hidden="1">{#N/A,#N/A,TRUE,"Summary";#N/A,#N/A,TRUE,"Balance Sheet";#N/A,#N/A,TRUE,"P &amp; L";#N/A,#N/A,TRUE,"Fixed Assets";#N/A,#N/A,TRUE,"Cash Flows"}</definedName>
    <definedName name="bha_5" localSheetId="0" hidden="1">{#N/A,#N/A,TRUE,"Summary";#N/A,#N/A,TRUE,"Balance Sheet";#N/A,#N/A,TRUE,"P &amp; L";#N/A,#N/A,TRUE,"Fixed Assets";#N/A,#N/A,TRUE,"Cash Flows"}</definedName>
    <definedName name="bha_5" hidden="1">{#N/A,#N/A,TRUE,"Summary";#N/A,#N/A,TRUE,"Balance Sheet";#N/A,#N/A,TRUE,"P &amp; L";#N/A,#N/A,TRUE,"Fixed Assets";#N/A,#N/A,TRUE,"Cash Flows"}</definedName>
    <definedName name="bhavesh" localSheetId="26" hidden="1">{#N/A,#N/A,FALSE,"Cash Flows";#N/A,#N/A,FALSE,"Fixed Assets";#N/A,#N/A,FALSE,"Balance Sheet";#N/A,#N/A,FALSE,"P &amp; L"}</definedName>
    <definedName name="bhavesh" localSheetId="21" hidden="1">{#N/A,#N/A,FALSE,"Cash Flows";#N/A,#N/A,FALSE,"Fixed Assets";#N/A,#N/A,FALSE,"Balance Sheet";#N/A,#N/A,FALSE,"P &amp; L"}</definedName>
    <definedName name="bhavesh" localSheetId="3" hidden="1">{#N/A,#N/A,FALSE,"Cash Flows";#N/A,#N/A,FALSE,"Fixed Assets";#N/A,#N/A,FALSE,"Balance Sheet";#N/A,#N/A,FALSE,"P &amp; L"}</definedName>
    <definedName name="bhavesh" localSheetId="27" hidden="1">{#N/A,#N/A,FALSE,"Cash Flows";#N/A,#N/A,FALSE,"Fixed Assets";#N/A,#N/A,FALSE,"Balance Sheet";#N/A,#N/A,FALSE,"P &amp; L"}</definedName>
    <definedName name="bhavesh" localSheetId="0" hidden="1">{#N/A,#N/A,FALSE,"Cash Flows";#N/A,#N/A,FALSE,"Fixed Assets";#N/A,#N/A,FALSE,"Balance Sheet";#N/A,#N/A,FALSE,"P &amp; L"}</definedName>
    <definedName name="bhavesh" hidden="1">{#N/A,#N/A,FALSE,"Cash Flows";#N/A,#N/A,FALSE,"Fixed Assets";#N/A,#N/A,FALSE,"Balance Sheet";#N/A,#N/A,FALSE,"P &amp; L"}</definedName>
    <definedName name="bhavesh_1" localSheetId="26" hidden="1">{#N/A,#N/A,FALSE,"Cash Flows";#N/A,#N/A,FALSE,"Fixed Assets";#N/A,#N/A,FALSE,"Balance Sheet";#N/A,#N/A,FALSE,"P &amp; L"}</definedName>
    <definedName name="bhavesh_1" localSheetId="0" hidden="1">{#N/A,#N/A,FALSE,"Cash Flows";#N/A,#N/A,FALSE,"Fixed Assets";#N/A,#N/A,FALSE,"Balance Sheet";#N/A,#N/A,FALSE,"P &amp; L"}</definedName>
    <definedName name="bhavesh_1" hidden="1">{#N/A,#N/A,FALSE,"Cash Flows";#N/A,#N/A,FALSE,"Fixed Assets";#N/A,#N/A,FALSE,"Balance Sheet";#N/A,#N/A,FALSE,"P &amp; L"}</definedName>
    <definedName name="bhavesh_1_1" localSheetId="26" hidden="1">{#N/A,#N/A,FALSE,"Cash Flows";#N/A,#N/A,FALSE,"Fixed Assets";#N/A,#N/A,FALSE,"Balance Sheet";#N/A,#N/A,FALSE,"P &amp; L"}</definedName>
    <definedName name="bhavesh_1_1" localSheetId="0" hidden="1">{#N/A,#N/A,FALSE,"Cash Flows";#N/A,#N/A,FALSE,"Fixed Assets";#N/A,#N/A,FALSE,"Balance Sheet";#N/A,#N/A,FALSE,"P &amp; L"}</definedName>
    <definedName name="bhavesh_1_1" hidden="1">{#N/A,#N/A,FALSE,"Cash Flows";#N/A,#N/A,FALSE,"Fixed Assets";#N/A,#N/A,FALSE,"Balance Sheet";#N/A,#N/A,FALSE,"P &amp; L"}</definedName>
    <definedName name="bhavesh_1_2" localSheetId="26" hidden="1">{#N/A,#N/A,FALSE,"Cash Flows";#N/A,#N/A,FALSE,"Fixed Assets";#N/A,#N/A,FALSE,"Balance Sheet";#N/A,#N/A,FALSE,"P &amp; L"}</definedName>
    <definedName name="bhavesh_1_2" localSheetId="0" hidden="1">{#N/A,#N/A,FALSE,"Cash Flows";#N/A,#N/A,FALSE,"Fixed Assets";#N/A,#N/A,FALSE,"Balance Sheet";#N/A,#N/A,FALSE,"P &amp; L"}</definedName>
    <definedName name="bhavesh_1_2" hidden="1">{#N/A,#N/A,FALSE,"Cash Flows";#N/A,#N/A,FALSE,"Fixed Assets";#N/A,#N/A,FALSE,"Balance Sheet";#N/A,#N/A,FALSE,"P &amp; L"}</definedName>
    <definedName name="bhavesh_1_3" localSheetId="26" hidden="1">{#N/A,#N/A,FALSE,"Cash Flows";#N/A,#N/A,FALSE,"Fixed Assets";#N/A,#N/A,FALSE,"Balance Sheet";#N/A,#N/A,FALSE,"P &amp; L"}</definedName>
    <definedName name="bhavesh_1_3" localSheetId="0" hidden="1">{#N/A,#N/A,FALSE,"Cash Flows";#N/A,#N/A,FALSE,"Fixed Assets";#N/A,#N/A,FALSE,"Balance Sheet";#N/A,#N/A,FALSE,"P &amp; L"}</definedName>
    <definedName name="bhavesh_1_3" hidden="1">{#N/A,#N/A,FALSE,"Cash Flows";#N/A,#N/A,FALSE,"Fixed Assets";#N/A,#N/A,FALSE,"Balance Sheet";#N/A,#N/A,FALSE,"P &amp; L"}</definedName>
    <definedName name="bhavesh_2" localSheetId="26" hidden="1">{#N/A,#N/A,FALSE,"Cash Flows";#N/A,#N/A,FALSE,"Fixed Assets";#N/A,#N/A,FALSE,"Balance Sheet";#N/A,#N/A,FALSE,"P &amp; L"}</definedName>
    <definedName name="bhavesh_2" localSheetId="0" hidden="1">{#N/A,#N/A,FALSE,"Cash Flows";#N/A,#N/A,FALSE,"Fixed Assets";#N/A,#N/A,FALSE,"Balance Sheet";#N/A,#N/A,FALSE,"P &amp; L"}</definedName>
    <definedName name="bhavesh_2" hidden="1">{#N/A,#N/A,FALSE,"Cash Flows";#N/A,#N/A,FALSE,"Fixed Assets";#N/A,#N/A,FALSE,"Balance Sheet";#N/A,#N/A,FALSE,"P &amp; L"}</definedName>
    <definedName name="bhavesh_2_1" localSheetId="26" hidden="1">{#N/A,#N/A,FALSE,"Cash Flows";#N/A,#N/A,FALSE,"Fixed Assets";#N/A,#N/A,FALSE,"Balance Sheet";#N/A,#N/A,FALSE,"P &amp; L"}</definedName>
    <definedName name="bhavesh_2_1" localSheetId="0" hidden="1">{#N/A,#N/A,FALSE,"Cash Flows";#N/A,#N/A,FALSE,"Fixed Assets";#N/A,#N/A,FALSE,"Balance Sheet";#N/A,#N/A,FALSE,"P &amp; L"}</definedName>
    <definedName name="bhavesh_2_1" hidden="1">{#N/A,#N/A,FALSE,"Cash Flows";#N/A,#N/A,FALSE,"Fixed Assets";#N/A,#N/A,FALSE,"Balance Sheet";#N/A,#N/A,FALSE,"P &amp; L"}</definedName>
    <definedName name="bhavesh_2_2" localSheetId="26" hidden="1">{#N/A,#N/A,FALSE,"Cash Flows";#N/A,#N/A,FALSE,"Fixed Assets";#N/A,#N/A,FALSE,"Balance Sheet";#N/A,#N/A,FALSE,"P &amp; L"}</definedName>
    <definedName name="bhavesh_2_2" localSheetId="0" hidden="1">{#N/A,#N/A,FALSE,"Cash Flows";#N/A,#N/A,FALSE,"Fixed Assets";#N/A,#N/A,FALSE,"Balance Sheet";#N/A,#N/A,FALSE,"P &amp; L"}</definedName>
    <definedName name="bhavesh_2_2" hidden="1">{#N/A,#N/A,FALSE,"Cash Flows";#N/A,#N/A,FALSE,"Fixed Assets";#N/A,#N/A,FALSE,"Balance Sheet";#N/A,#N/A,FALSE,"P &amp; L"}</definedName>
    <definedName name="bhavesh_3" localSheetId="26" hidden="1">{#N/A,#N/A,FALSE,"Cash Flows";#N/A,#N/A,FALSE,"Fixed Assets";#N/A,#N/A,FALSE,"Balance Sheet";#N/A,#N/A,FALSE,"P &amp; L"}</definedName>
    <definedName name="bhavesh_3" localSheetId="0" hidden="1">{#N/A,#N/A,FALSE,"Cash Flows";#N/A,#N/A,FALSE,"Fixed Assets";#N/A,#N/A,FALSE,"Balance Sheet";#N/A,#N/A,FALSE,"P &amp; L"}</definedName>
    <definedName name="bhavesh_3" hidden="1">{#N/A,#N/A,FALSE,"Cash Flows";#N/A,#N/A,FALSE,"Fixed Assets";#N/A,#N/A,FALSE,"Balance Sheet";#N/A,#N/A,FALSE,"P &amp; L"}</definedName>
    <definedName name="bhavesh_4" localSheetId="26" hidden="1">{#N/A,#N/A,FALSE,"Cash Flows";#N/A,#N/A,FALSE,"Fixed Assets";#N/A,#N/A,FALSE,"Balance Sheet";#N/A,#N/A,FALSE,"P &amp; L"}</definedName>
    <definedName name="bhavesh_4" localSheetId="0" hidden="1">{#N/A,#N/A,FALSE,"Cash Flows";#N/A,#N/A,FALSE,"Fixed Assets";#N/A,#N/A,FALSE,"Balance Sheet";#N/A,#N/A,FALSE,"P &amp; L"}</definedName>
    <definedName name="bhavesh_4" hidden="1">{#N/A,#N/A,FALSE,"Cash Flows";#N/A,#N/A,FALSE,"Fixed Assets";#N/A,#N/A,FALSE,"Balance Sheet";#N/A,#N/A,FALSE,"P &amp; L"}</definedName>
    <definedName name="bhavesh_5" localSheetId="26" hidden="1">{#N/A,#N/A,FALSE,"Cash Flows";#N/A,#N/A,FALSE,"Fixed Assets";#N/A,#N/A,FALSE,"Balance Sheet";#N/A,#N/A,FALSE,"P &amp; L"}</definedName>
    <definedName name="bhavesh_5" localSheetId="0" hidden="1">{#N/A,#N/A,FALSE,"Cash Flows";#N/A,#N/A,FALSE,"Fixed Assets";#N/A,#N/A,FALSE,"Balance Sheet";#N/A,#N/A,FALSE,"P &amp; L"}</definedName>
    <definedName name="bhavesh_5" hidden="1">{#N/A,#N/A,FALSE,"Cash Flows";#N/A,#N/A,FALSE,"Fixed Assets";#N/A,#N/A,FALSE,"Balance Sheet";#N/A,#N/A,FALSE,"P &amp; L"}</definedName>
    <definedName name="bhaveshm" localSheetId="26" hidden="1">{#N/A,#N/A,FALSE,"Cash Flows";#N/A,#N/A,FALSE,"Fixed Assets";#N/A,#N/A,FALSE,"Balance Sheet";#N/A,#N/A,FALSE,"P &amp; L"}</definedName>
    <definedName name="bhaveshm" localSheetId="21" hidden="1">{#N/A,#N/A,FALSE,"Cash Flows";#N/A,#N/A,FALSE,"Fixed Assets";#N/A,#N/A,FALSE,"Balance Sheet";#N/A,#N/A,FALSE,"P &amp; L"}</definedName>
    <definedName name="bhaveshm" localSheetId="3" hidden="1">{#N/A,#N/A,FALSE,"Cash Flows";#N/A,#N/A,FALSE,"Fixed Assets";#N/A,#N/A,FALSE,"Balance Sheet";#N/A,#N/A,FALSE,"P &amp; L"}</definedName>
    <definedName name="bhaveshm" localSheetId="27" hidden="1">{#N/A,#N/A,FALSE,"Cash Flows";#N/A,#N/A,FALSE,"Fixed Assets";#N/A,#N/A,FALSE,"Balance Sheet";#N/A,#N/A,FALSE,"P &amp; L"}</definedName>
    <definedName name="bhaveshm" localSheetId="0" hidden="1">{#N/A,#N/A,FALSE,"Cash Flows";#N/A,#N/A,FALSE,"Fixed Assets";#N/A,#N/A,FALSE,"Balance Sheet";#N/A,#N/A,FALSE,"P &amp; L"}</definedName>
    <definedName name="bhaveshm" hidden="1">{#N/A,#N/A,FALSE,"Cash Flows";#N/A,#N/A,FALSE,"Fixed Assets";#N/A,#N/A,FALSE,"Balance Sheet";#N/A,#N/A,FALSE,"P &amp; L"}</definedName>
    <definedName name="bhaveshm_1" localSheetId="26" hidden="1">{#N/A,#N/A,FALSE,"Cash Flows";#N/A,#N/A,FALSE,"Fixed Assets";#N/A,#N/A,FALSE,"Balance Sheet";#N/A,#N/A,FALSE,"P &amp; L"}</definedName>
    <definedName name="bhaveshm_1" localSheetId="0" hidden="1">{#N/A,#N/A,FALSE,"Cash Flows";#N/A,#N/A,FALSE,"Fixed Assets";#N/A,#N/A,FALSE,"Balance Sheet";#N/A,#N/A,FALSE,"P &amp; L"}</definedName>
    <definedName name="bhaveshm_1" hidden="1">{#N/A,#N/A,FALSE,"Cash Flows";#N/A,#N/A,FALSE,"Fixed Assets";#N/A,#N/A,FALSE,"Balance Sheet";#N/A,#N/A,FALSE,"P &amp; L"}</definedName>
    <definedName name="bhaveshm_1_1" localSheetId="26" hidden="1">{#N/A,#N/A,FALSE,"Cash Flows";#N/A,#N/A,FALSE,"Fixed Assets";#N/A,#N/A,FALSE,"Balance Sheet";#N/A,#N/A,FALSE,"P &amp; L"}</definedName>
    <definedName name="bhaveshm_1_1" localSheetId="0" hidden="1">{#N/A,#N/A,FALSE,"Cash Flows";#N/A,#N/A,FALSE,"Fixed Assets";#N/A,#N/A,FALSE,"Balance Sheet";#N/A,#N/A,FALSE,"P &amp; L"}</definedName>
    <definedName name="bhaveshm_1_1" hidden="1">{#N/A,#N/A,FALSE,"Cash Flows";#N/A,#N/A,FALSE,"Fixed Assets";#N/A,#N/A,FALSE,"Balance Sheet";#N/A,#N/A,FALSE,"P &amp; L"}</definedName>
    <definedName name="bhaveshm_1_2" localSheetId="26" hidden="1">{#N/A,#N/A,FALSE,"Cash Flows";#N/A,#N/A,FALSE,"Fixed Assets";#N/A,#N/A,FALSE,"Balance Sheet";#N/A,#N/A,FALSE,"P &amp; L"}</definedName>
    <definedName name="bhaveshm_1_2" localSheetId="0" hidden="1">{#N/A,#N/A,FALSE,"Cash Flows";#N/A,#N/A,FALSE,"Fixed Assets";#N/A,#N/A,FALSE,"Balance Sheet";#N/A,#N/A,FALSE,"P &amp; L"}</definedName>
    <definedName name="bhaveshm_1_2" hidden="1">{#N/A,#N/A,FALSE,"Cash Flows";#N/A,#N/A,FALSE,"Fixed Assets";#N/A,#N/A,FALSE,"Balance Sheet";#N/A,#N/A,FALSE,"P &amp; L"}</definedName>
    <definedName name="bhaveshm_1_3" localSheetId="26" hidden="1">{#N/A,#N/A,FALSE,"Cash Flows";#N/A,#N/A,FALSE,"Fixed Assets";#N/A,#N/A,FALSE,"Balance Sheet";#N/A,#N/A,FALSE,"P &amp; L"}</definedName>
    <definedName name="bhaveshm_1_3" localSheetId="0" hidden="1">{#N/A,#N/A,FALSE,"Cash Flows";#N/A,#N/A,FALSE,"Fixed Assets";#N/A,#N/A,FALSE,"Balance Sheet";#N/A,#N/A,FALSE,"P &amp; L"}</definedName>
    <definedName name="bhaveshm_1_3" hidden="1">{#N/A,#N/A,FALSE,"Cash Flows";#N/A,#N/A,FALSE,"Fixed Assets";#N/A,#N/A,FALSE,"Balance Sheet";#N/A,#N/A,FALSE,"P &amp; L"}</definedName>
    <definedName name="bhaveshm_2" localSheetId="26" hidden="1">{#N/A,#N/A,FALSE,"Cash Flows";#N/A,#N/A,FALSE,"Fixed Assets";#N/A,#N/A,FALSE,"Balance Sheet";#N/A,#N/A,FALSE,"P &amp; L"}</definedName>
    <definedName name="bhaveshm_2" localSheetId="0" hidden="1">{#N/A,#N/A,FALSE,"Cash Flows";#N/A,#N/A,FALSE,"Fixed Assets";#N/A,#N/A,FALSE,"Balance Sheet";#N/A,#N/A,FALSE,"P &amp; L"}</definedName>
    <definedName name="bhaveshm_2" hidden="1">{#N/A,#N/A,FALSE,"Cash Flows";#N/A,#N/A,FALSE,"Fixed Assets";#N/A,#N/A,FALSE,"Balance Sheet";#N/A,#N/A,FALSE,"P &amp; L"}</definedName>
    <definedName name="bhaveshm_2_1" localSheetId="26" hidden="1">{#N/A,#N/A,FALSE,"Cash Flows";#N/A,#N/A,FALSE,"Fixed Assets";#N/A,#N/A,FALSE,"Balance Sheet";#N/A,#N/A,FALSE,"P &amp; L"}</definedName>
    <definedName name="bhaveshm_2_1" localSheetId="0" hidden="1">{#N/A,#N/A,FALSE,"Cash Flows";#N/A,#N/A,FALSE,"Fixed Assets";#N/A,#N/A,FALSE,"Balance Sheet";#N/A,#N/A,FALSE,"P &amp; L"}</definedName>
    <definedName name="bhaveshm_2_1" hidden="1">{#N/A,#N/A,FALSE,"Cash Flows";#N/A,#N/A,FALSE,"Fixed Assets";#N/A,#N/A,FALSE,"Balance Sheet";#N/A,#N/A,FALSE,"P &amp; L"}</definedName>
    <definedName name="bhaveshm_2_2" localSheetId="26" hidden="1">{#N/A,#N/A,FALSE,"Cash Flows";#N/A,#N/A,FALSE,"Fixed Assets";#N/A,#N/A,FALSE,"Balance Sheet";#N/A,#N/A,FALSE,"P &amp; L"}</definedName>
    <definedName name="bhaveshm_2_2" localSheetId="0" hidden="1">{#N/A,#N/A,FALSE,"Cash Flows";#N/A,#N/A,FALSE,"Fixed Assets";#N/A,#N/A,FALSE,"Balance Sheet";#N/A,#N/A,FALSE,"P &amp; L"}</definedName>
    <definedName name="bhaveshm_2_2" hidden="1">{#N/A,#N/A,FALSE,"Cash Flows";#N/A,#N/A,FALSE,"Fixed Assets";#N/A,#N/A,FALSE,"Balance Sheet";#N/A,#N/A,FALSE,"P &amp; L"}</definedName>
    <definedName name="bhaveshm_3" localSheetId="26" hidden="1">{#N/A,#N/A,FALSE,"Cash Flows";#N/A,#N/A,FALSE,"Fixed Assets";#N/A,#N/A,FALSE,"Balance Sheet";#N/A,#N/A,FALSE,"P &amp; L"}</definedName>
    <definedName name="bhaveshm_3" localSheetId="0" hidden="1">{#N/A,#N/A,FALSE,"Cash Flows";#N/A,#N/A,FALSE,"Fixed Assets";#N/A,#N/A,FALSE,"Balance Sheet";#N/A,#N/A,FALSE,"P &amp; L"}</definedName>
    <definedName name="bhaveshm_3" hidden="1">{#N/A,#N/A,FALSE,"Cash Flows";#N/A,#N/A,FALSE,"Fixed Assets";#N/A,#N/A,FALSE,"Balance Sheet";#N/A,#N/A,FALSE,"P &amp; L"}</definedName>
    <definedName name="bhaveshm_4" localSheetId="26" hidden="1">{#N/A,#N/A,FALSE,"Cash Flows";#N/A,#N/A,FALSE,"Fixed Assets";#N/A,#N/A,FALSE,"Balance Sheet";#N/A,#N/A,FALSE,"P &amp; L"}</definedName>
    <definedName name="bhaveshm_4" localSheetId="0" hidden="1">{#N/A,#N/A,FALSE,"Cash Flows";#N/A,#N/A,FALSE,"Fixed Assets";#N/A,#N/A,FALSE,"Balance Sheet";#N/A,#N/A,FALSE,"P &amp; L"}</definedName>
    <definedName name="bhaveshm_4" hidden="1">{#N/A,#N/A,FALSE,"Cash Flows";#N/A,#N/A,FALSE,"Fixed Assets";#N/A,#N/A,FALSE,"Balance Sheet";#N/A,#N/A,FALSE,"P &amp; L"}</definedName>
    <definedName name="bhaveshm_5" localSheetId="26" hidden="1">{#N/A,#N/A,FALSE,"Cash Flows";#N/A,#N/A,FALSE,"Fixed Assets";#N/A,#N/A,FALSE,"Balance Sheet";#N/A,#N/A,FALSE,"P &amp; L"}</definedName>
    <definedName name="bhaveshm_5" localSheetId="0" hidden="1">{#N/A,#N/A,FALSE,"Cash Flows";#N/A,#N/A,FALSE,"Fixed Assets";#N/A,#N/A,FALSE,"Balance Sheet";#N/A,#N/A,FALSE,"P &amp; L"}</definedName>
    <definedName name="bhaveshm_5" hidden="1">{#N/A,#N/A,FALSE,"Cash Flows";#N/A,#N/A,FALSE,"Fixed Assets";#N/A,#N/A,FALSE,"Balance Sheet";#N/A,#N/A,FALSE,"P &amp; L"}</definedName>
    <definedName name="bhzsd" localSheetId="9" hidden="1">[14]MOTO!#REF!</definedName>
    <definedName name="bhzsd" localSheetId="1" hidden="1">[14]MOTO!#REF!</definedName>
    <definedName name="bhzsd" localSheetId="26" hidden="1">[14]MOTO!#REF!</definedName>
    <definedName name="bhzsd" localSheetId="21" hidden="1">[14]MOTO!#REF!</definedName>
    <definedName name="bhzsd" localSheetId="3" hidden="1">[14]MOTO!#REF!</definedName>
    <definedName name="bhzsd" localSheetId="27" hidden="1">[14]MOTO!#REF!</definedName>
    <definedName name="bhzsd" localSheetId="0" hidden="1">[14]MOTO!#REF!</definedName>
    <definedName name="bhzsd" hidden="1">[14]MOTO!#REF!</definedName>
    <definedName name="BIWaug" localSheetId="26" hidden="1">{#N/A,#N/A,FALSE,"Cash Flows";#N/A,#N/A,FALSE,"Fixed Assets";#N/A,#N/A,FALSE,"Balance Sheet";#N/A,#N/A,FALSE,"P &amp; L"}</definedName>
    <definedName name="BIWaug" localSheetId="0" hidden="1">{#N/A,#N/A,FALSE,"Cash Flows";#N/A,#N/A,FALSE,"Fixed Assets";#N/A,#N/A,FALSE,"Balance Sheet";#N/A,#N/A,FALSE,"P &amp; L"}</definedName>
    <definedName name="BIWaug" hidden="1">{#N/A,#N/A,FALSE,"Cash Flows";#N/A,#N/A,FALSE,"Fixed Assets";#N/A,#N/A,FALSE,"Balance Sheet";#N/A,#N/A,FALSE,"P &amp; L"}</definedName>
    <definedName name="BIWaug_1" localSheetId="26" hidden="1">{#N/A,#N/A,FALSE,"Cash Flows";#N/A,#N/A,FALSE,"Fixed Assets";#N/A,#N/A,FALSE,"Balance Sheet";#N/A,#N/A,FALSE,"P &amp; L"}</definedName>
    <definedName name="BIWaug_1" localSheetId="0" hidden="1">{#N/A,#N/A,FALSE,"Cash Flows";#N/A,#N/A,FALSE,"Fixed Assets";#N/A,#N/A,FALSE,"Balance Sheet";#N/A,#N/A,FALSE,"P &amp; L"}</definedName>
    <definedName name="BIWaug_1" hidden="1">{#N/A,#N/A,FALSE,"Cash Flows";#N/A,#N/A,FALSE,"Fixed Assets";#N/A,#N/A,FALSE,"Balance Sheet";#N/A,#N/A,FALSE,"P &amp; L"}</definedName>
    <definedName name="BIWaug_1_1" localSheetId="26" hidden="1">{#N/A,#N/A,FALSE,"Cash Flows";#N/A,#N/A,FALSE,"Fixed Assets";#N/A,#N/A,FALSE,"Balance Sheet";#N/A,#N/A,FALSE,"P &amp; L"}</definedName>
    <definedName name="BIWaug_1_1" localSheetId="0" hidden="1">{#N/A,#N/A,FALSE,"Cash Flows";#N/A,#N/A,FALSE,"Fixed Assets";#N/A,#N/A,FALSE,"Balance Sheet";#N/A,#N/A,FALSE,"P &amp; L"}</definedName>
    <definedName name="BIWaug_1_1" hidden="1">{#N/A,#N/A,FALSE,"Cash Flows";#N/A,#N/A,FALSE,"Fixed Assets";#N/A,#N/A,FALSE,"Balance Sheet";#N/A,#N/A,FALSE,"P &amp; L"}</definedName>
    <definedName name="BIWaug_1_2" localSheetId="26" hidden="1">{#N/A,#N/A,FALSE,"Cash Flows";#N/A,#N/A,FALSE,"Fixed Assets";#N/A,#N/A,FALSE,"Balance Sheet";#N/A,#N/A,FALSE,"P &amp; L"}</definedName>
    <definedName name="BIWaug_1_2" localSheetId="0" hidden="1">{#N/A,#N/A,FALSE,"Cash Flows";#N/A,#N/A,FALSE,"Fixed Assets";#N/A,#N/A,FALSE,"Balance Sheet";#N/A,#N/A,FALSE,"P &amp; L"}</definedName>
    <definedName name="BIWaug_1_2" hidden="1">{#N/A,#N/A,FALSE,"Cash Flows";#N/A,#N/A,FALSE,"Fixed Assets";#N/A,#N/A,FALSE,"Balance Sheet";#N/A,#N/A,FALSE,"P &amp; L"}</definedName>
    <definedName name="BIWaug_1_3" localSheetId="26" hidden="1">{#N/A,#N/A,FALSE,"Cash Flows";#N/A,#N/A,FALSE,"Fixed Assets";#N/A,#N/A,FALSE,"Balance Sheet";#N/A,#N/A,FALSE,"P &amp; L"}</definedName>
    <definedName name="BIWaug_1_3" localSheetId="0" hidden="1">{#N/A,#N/A,FALSE,"Cash Flows";#N/A,#N/A,FALSE,"Fixed Assets";#N/A,#N/A,FALSE,"Balance Sheet";#N/A,#N/A,FALSE,"P &amp; L"}</definedName>
    <definedName name="BIWaug_1_3" hidden="1">{#N/A,#N/A,FALSE,"Cash Flows";#N/A,#N/A,FALSE,"Fixed Assets";#N/A,#N/A,FALSE,"Balance Sheet";#N/A,#N/A,FALSE,"P &amp; L"}</definedName>
    <definedName name="BIWaug_2" localSheetId="26" hidden="1">{#N/A,#N/A,FALSE,"Cash Flows";#N/A,#N/A,FALSE,"Fixed Assets";#N/A,#N/A,FALSE,"Balance Sheet";#N/A,#N/A,FALSE,"P &amp; L"}</definedName>
    <definedName name="BIWaug_2" localSheetId="0" hidden="1">{#N/A,#N/A,FALSE,"Cash Flows";#N/A,#N/A,FALSE,"Fixed Assets";#N/A,#N/A,FALSE,"Balance Sheet";#N/A,#N/A,FALSE,"P &amp; L"}</definedName>
    <definedName name="BIWaug_2" hidden="1">{#N/A,#N/A,FALSE,"Cash Flows";#N/A,#N/A,FALSE,"Fixed Assets";#N/A,#N/A,FALSE,"Balance Sheet";#N/A,#N/A,FALSE,"P &amp; L"}</definedName>
    <definedName name="BIWaug_2_1" localSheetId="26" hidden="1">{#N/A,#N/A,FALSE,"Cash Flows";#N/A,#N/A,FALSE,"Fixed Assets";#N/A,#N/A,FALSE,"Balance Sheet";#N/A,#N/A,FALSE,"P &amp; L"}</definedName>
    <definedName name="BIWaug_2_1" localSheetId="0" hidden="1">{#N/A,#N/A,FALSE,"Cash Flows";#N/A,#N/A,FALSE,"Fixed Assets";#N/A,#N/A,FALSE,"Balance Sheet";#N/A,#N/A,FALSE,"P &amp; L"}</definedName>
    <definedName name="BIWaug_2_1" hidden="1">{#N/A,#N/A,FALSE,"Cash Flows";#N/A,#N/A,FALSE,"Fixed Assets";#N/A,#N/A,FALSE,"Balance Sheet";#N/A,#N/A,FALSE,"P &amp; L"}</definedName>
    <definedName name="BIWaug_2_2" localSheetId="26" hidden="1">{#N/A,#N/A,FALSE,"Cash Flows";#N/A,#N/A,FALSE,"Fixed Assets";#N/A,#N/A,FALSE,"Balance Sheet";#N/A,#N/A,FALSE,"P &amp; L"}</definedName>
    <definedName name="BIWaug_2_2" localSheetId="0" hidden="1">{#N/A,#N/A,FALSE,"Cash Flows";#N/A,#N/A,FALSE,"Fixed Assets";#N/A,#N/A,FALSE,"Balance Sheet";#N/A,#N/A,FALSE,"P &amp; L"}</definedName>
    <definedName name="BIWaug_2_2" hidden="1">{#N/A,#N/A,FALSE,"Cash Flows";#N/A,#N/A,FALSE,"Fixed Assets";#N/A,#N/A,FALSE,"Balance Sheet";#N/A,#N/A,FALSE,"P &amp; L"}</definedName>
    <definedName name="BIWaug_3" localSheetId="26" hidden="1">{#N/A,#N/A,FALSE,"Cash Flows";#N/A,#N/A,FALSE,"Fixed Assets";#N/A,#N/A,FALSE,"Balance Sheet";#N/A,#N/A,FALSE,"P &amp; L"}</definedName>
    <definedName name="BIWaug_3" localSheetId="0" hidden="1">{#N/A,#N/A,FALSE,"Cash Flows";#N/A,#N/A,FALSE,"Fixed Assets";#N/A,#N/A,FALSE,"Balance Sheet";#N/A,#N/A,FALSE,"P &amp; L"}</definedName>
    <definedName name="BIWaug_3" hidden="1">{#N/A,#N/A,FALSE,"Cash Flows";#N/A,#N/A,FALSE,"Fixed Assets";#N/A,#N/A,FALSE,"Balance Sheet";#N/A,#N/A,FALSE,"P &amp; L"}</definedName>
    <definedName name="BIWaug_4" localSheetId="26" hidden="1">{#N/A,#N/A,FALSE,"Cash Flows";#N/A,#N/A,FALSE,"Fixed Assets";#N/A,#N/A,FALSE,"Balance Sheet";#N/A,#N/A,FALSE,"P &amp; L"}</definedName>
    <definedName name="BIWaug_4" localSheetId="0" hidden="1">{#N/A,#N/A,FALSE,"Cash Flows";#N/A,#N/A,FALSE,"Fixed Assets";#N/A,#N/A,FALSE,"Balance Sheet";#N/A,#N/A,FALSE,"P &amp; L"}</definedName>
    <definedName name="BIWaug_4" hidden="1">{#N/A,#N/A,FALSE,"Cash Flows";#N/A,#N/A,FALSE,"Fixed Assets";#N/A,#N/A,FALSE,"Balance Sheet";#N/A,#N/A,FALSE,"P &amp; L"}</definedName>
    <definedName name="BIWaug_5" localSheetId="26" hidden="1">{#N/A,#N/A,FALSE,"Cash Flows";#N/A,#N/A,FALSE,"Fixed Assets";#N/A,#N/A,FALSE,"Balance Sheet";#N/A,#N/A,FALSE,"P &amp; L"}</definedName>
    <definedName name="BIWaug_5" localSheetId="0" hidden="1">{#N/A,#N/A,FALSE,"Cash Flows";#N/A,#N/A,FALSE,"Fixed Assets";#N/A,#N/A,FALSE,"Balance Sheet";#N/A,#N/A,FALSE,"P &amp; L"}</definedName>
    <definedName name="BIWaug_5" hidden="1">{#N/A,#N/A,FALSE,"Cash Flows";#N/A,#N/A,FALSE,"Fixed Assets";#N/A,#N/A,FALSE,"Balance Sheet";#N/A,#N/A,FALSE,"P &amp; L"}</definedName>
    <definedName name="CAE해석" localSheetId="26" hidden="1">{#N/A,#N/A,FALSE,"단축1";#N/A,#N/A,FALSE,"단축2";#N/A,#N/A,FALSE,"단축3";#N/A,#N/A,FALSE,"장축";#N/A,#N/A,FALSE,"4WD"}</definedName>
    <definedName name="CAE해석" localSheetId="0" hidden="1">{#N/A,#N/A,FALSE,"단축1";#N/A,#N/A,FALSE,"단축2";#N/A,#N/A,FALSE,"단축3";#N/A,#N/A,FALSE,"장축";#N/A,#N/A,FALSE,"4WD"}</definedName>
    <definedName name="CAE해석" hidden="1">{#N/A,#N/A,FALSE,"단축1";#N/A,#N/A,FALSE,"단축2";#N/A,#N/A,FALSE,"단축3";#N/A,#N/A,FALSE,"장축";#N/A,#N/A,FALSE,"4WD"}</definedName>
    <definedName name="CAE해석_1" localSheetId="26" hidden="1">{#N/A,#N/A,FALSE,"단축1";#N/A,#N/A,FALSE,"단축2";#N/A,#N/A,FALSE,"단축3";#N/A,#N/A,FALSE,"장축";#N/A,#N/A,FALSE,"4WD"}</definedName>
    <definedName name="CAE해석_1" localSheetId="0" hidden="1">{#N/A,#N/A,FALSE,"단축1";#N/A,#N/A,FALSE,"단축2";#N/A,#N/A,FALSE,"단축3";#N/A,#N/A,FALSE,"장축";#N/A,#N/A,FALSE,"4WD"}</definedName>
    <definedName name="CAE해석_1" hidden="1">{#N/A,#N/A,FALSE,"단축1";#N/A,#N/A,FALSE,"단축2";#N/A,#N/A,FALSE,"단축3";#N/A,#N/A,FALSE,"장축";#N/A,#N/A,FALSE,"4WD"}</definedName>
    <definedName name="CAE해석_1_1" localSheetId="26" hidden="1">{#N/A,#N/A,FALSE,"단축1";#N/A,#N/A,FALSE,"단축2";#N/A,#N/A,FALSE,"단축3";#N/A,#N/A,FALSE,"장축";#N/A,#N/A,FALSE,"4WD"}</definedName>
    <definedName name="CAE해석_1_1" localSheetId="0" hidden="1">{#N/A,#N/A,FALSE,"단축1";#N/A,#N/A,FALSE,"단축2";#N/A,#N/A,FALSE,"단축3";#N/A,#N/A,FALSE,"장축";#N/A,#N/A,FALSE,"4WD"}</definedName>
    <definedName name="CAE해석_1_1" hidden="1">{#N/A,#N/A,FALSE,"단축1";#N/A,#N/A,FALSE,"단축2";#N/A,#N/A,FALSE,"단축3";#N/A,#N/A,FALSE,"장축";#N/A,#N/A,FALSE,"4WD"}</definedName>
    <definedName name="CAE해석_1_2" localSheetId="26" hidden="1">{#N/A,#N/A,FALSE,"단축1";#N/A,#N/A,FALSE,"단축2";#N/A,#N/A,FALSE,"단축3";#N/A,#N/A,FALSE,"장축";#N/A,#N/A,FALSE,"4WD"}</definedName>
    <definedName name="CAE해석_1_2" localSheetId="0" hidden="1">{#N/A,#N/A,FALSE,"단축1";#N/A,#N/A,FALSE,"단축2";#N/A,#N/A,FALSE,"단축3";#N/A,#N/A,FALSE,"장축";#N/A,#N/A,FALSE,"4WD"}</definedName>
    <definedName name="CAE해석_1_2" hidden="1">{#N/A,#N/A,FALSE,"단축1";#N/A,#N/A,FALSE,"단축2";#N/A,#N/A,FALSE,"단축3";#N/A,#N/A,FALSE,"장축";#N/A,#N/A,FALSE,"4WD"}</definedName>
    <definedName name="CAE해석_1_3" localSheetId="26" hidden="1">{#N/A,#N/A,FALSE,"단축1";#N/A,#N/A,FALSE,"단축2";#N/A,#N/A,FALSE,"단축3";#N/A,#N/A,FALSE,"장축";#N/A,#N/A,FALSE,"4WD"}</definedName>
    <definedName name="CAE해석_1_3" localSheetId="0" hidden="1">{#N/A,#N/A,FALSE,"단축1";#N/A,#N/A,FALSE,"단축2";#N/A,#N/A,FALSE,"단축3";#N/A,#N/A,FALSE,"장축";#N/A,#N/A,FALSE,"4WD"}</definedName>
    <definedName name="CAE해석_1_3" hidden="1">{#N/A,#N/A,FALSE,"단축1";#N/A,#N/A,FALSE,"단축2";#N/A,#N/A,FALSE,"단축3";#N/A,#N/A,FALSE,"장축";#N/A,#N/A,FALSE,"4WD"}</definedName>
    <definedName name="CAE해석_2" localSheetId="26" hidden="1">{#N/A,#N/A,FALSE,"단축1";#N/A,#N/A,FALSE,"단축2";#N/A,#N/A,FALSE,"단축3";#N/A,#N/A,FALSE,"장축";#N/A,#N/A,FALSE,"4WD"}</definedName>
    <definedName name="CAE해석_2" localSheetId="0" hidden="1">{#N/A,#N/A,FALSE,"단축1";#N/A,#N/A,FALSE,"단축2";#N/A,#N/A,FALSE,"단축3";#N/A,#N/A,FALSE,"장축";#N/A,#N/A,FALSE,"4WD"}</definedName>
    <definedName name="CAE해석_2" hidden="1">{#N/A,#N/A,FALSE,"단축1";#N/A,#N/A,FALSE,"단축2";#N/A,#N/A,FALSE,"단축3";#N/A,#N/A,FALSE,"장축";#N/A,#N/A,FALSE,"4WD"}</definedName>
    <definedName name="CAE해석_2_1" localSheetId="26" hidden="1">{#N/A,#N/A,FALSE,"단축1";#N/A,#N/A,FALSE,"단축2";#N/A,#N/A,FALSE,"단축3";#N/A,#N/A,FALSE,"장축";#N/A,#N/A,FALSE,"4WD"}</definedName>
    <definedName name="CAE해석_2_1" localSheetId="0" hidden="1">{#N/A,#N/A,FALSE,"단축1";#N/A,#N/A,FALSE,"단축2";#N/A,#N/A,FALSE,"단축3";#N/A,#N/A,FALSE,"장축";#N/A,#N/A,FALSE,"4WD"}</definedName>
    <definedName name="CAE해석_2_1" hidden="1">{#N/A,#N/A,FALSE,"단축1";#N/A,#N/A,FALSE,"단축2";#N/A,#N/A,FALSE,"단축3";#N/A,#N/A,FALSE,"장축";#N/A,#N/A,FALSE,"4WD"}</definedName>
    <definedName name="CAE해석_2_2" localSheetId="26" hidden="1">{#N/A,#N/A,FALSE,"단축1";#N/A,#N/A,FALSE,"단축2";#N/A,#N/A,FALSE,"단축3";#N/A,#N/A,FALSE,"장축";#N/A,#N/A,FALSE,"4WD"}</definedName>
    <definedName name="CAE해석_2_2" localSheetId="0" hidden="1">{#N/A,#N/A,FALSE,"단축1";#N/A,#N/A,FALSE,"단축2";#N/A,#N/A,FALSE,"단축3";#N/A,#N/A,FALSE,"장축";#N/A,#N/A,FALSE,"4WD"}</definedName>
    <definedName name="CAE해석_2_2" hidden="1">{#N/A,#N/A,FALSE,"단축1";#N/A,#N/A,FALSE,"단축2";#N/A,#N/A,FALSE,"단축3";#N/A,#N/A,FALSE,"장축";#N/A,#N/A,FALSE,"4WD"}</definedName>
    <definedName name="CAE해석_3" localSheetId="26" hidden="1">{#N/A,#N/A,FALSE,"단축1";#N/A,#N/A,FALSE,"단축2";#N/A,#N/A,FALSE,"단축3";#N/A,#N/A,FALSE,"장축";#N/A,#N/A,FALSE,"4WD"}</definedName>
    <definedName name="CAE해석_3" localSheetId="0" hidden="1">{#N/A,#N/A,FALSE,"단축1";#N/A,#N/A,FALSE,"단축2";#N/A,#N/A,FALSE,"단축3";#N/A,#N/A,FALSE,"장축";#N/A,#N/A,FALSE,"4WD"}</definedName>
    <definedName name="CAE해석_3" hidden="1">{#N/A,#N/A,FALSE,"단축1";#N/A,#N/A,FALSE,"단축2";#N/A,#N/A,FALSE,"단축3";#N/A,#N/A,FALSE,"장축";#N/A,#N/A,FALSE,"4WD"}</definedName>
    <definedName name="CAE해석_4" localSheetId="26" hidden="1">{#N/A,#N/A,FALSE,"단축1";#N/A,#N/A,FALSE,"단축2";#N/A,#N/A,FALSE,"단축3";#N/A,#N/A,FALSE,"장축";#N/A,#N/A,FALSE,"4WD"}</definedName>
    <definedName name="CAE해석_4" localSheetId="0" hidden="1">{#N/A,#N/A,FALSE,"단축1";#N/A,#N/A,FALSE,"단축2";#N/A,#N/A,FALSE,"단축3";#N/A,#N/A,FALSE,"장축";#N/A,#N/A,FALSE,"4WD"}</definedName>
    <definedName name="CAE해석_4" hidden="1">{#N/A,#N/A,FALSE,"단축1";#N/A,#N/A,FALSE,"단축2";#N/A,#N/A,FALSE,"단축3";#N/A,#N/A,FALSE,"장축";#N/A,#N/A,FALSE,"4WD"}</definedName>
    <definedName name="CAE해석_5" localSheetId="26" hidden="1">{#N/A,#N/A,FALSE,"단축1";#N/A,#N/A,FALSE,"단축2";#N/A,#N/A,FALSE,"단축3";#N/A,#N/A,FALSE,"장축";#N/A,#N/A,FALSE,"4WD"}</definedName>
    <definedName name="CAE해석_5" localSheetId="0" hidden="1">{#N/A,#N/A,FALSE,"단축1";#N/A,#N/A,FALSE,"단축2";#N/A,#N/A,FALSE,"단축3";#N/A,#N/A,FALSE,"장축";#N/A,#N/A,FALSE,"4WD"}</definedName>
    <definedName name="CAE해석_5" hidden="1">{#N/A,#N/A,FALSE,"단축1";#N/A,#N/A,FALSE,"단축2";#N/A,#N/A,FALSE,"단축3";#N/A,#N/A,FALSE,"장축";#N/A,#N/A,FALSE,"4WD"}</definedName>
    <definedName name="castingrmgrades" localSheetId="16">#REF!</definedName>
    <definedName name="castingrmgrades">#REF!</definedName>
    <definedName name="cccddd" localSheetId="26" hidden="1">{#N/A,#N/A,FALSE,"단축1";#N/A,#N/A,FALSE,"단축2";#N/A,#N/A,FALSE,"단축3";#N/A,#N/A,FALSE,"장축";#N/A,#N/A,FALSE,"4WD"}</definedName>
    <definedName name="cccddd" localSheetId="0" hidden="1">{#N/A,#N/A,FALSE,"단축1";#N/A,#N/A,FALSE,"단축2";#N/A,#N/A,FALSE,"단축3";#N/A,#N/A,FALSE,"장축";#N/A,#N/A,FALSE,"4WD"}</definedName>
    <definedName name="cccddd" hidden="1">{#N/A,#N/A,FALSE,"단축1";#N/A,#N/A,FALSE,"단축2";#N/A,#N/A,FALSE,"단축3";#N/A,#N/A,FALSE,"장축";#N/A,#N/A,FALSE,"4WD"}</definedName>
    <definedName name="cccddd_1" localSheetId="26" hidden="1">{#N/A,#N/A,FALSE,"단축1";#N/A,#N/A,FALSE,"단축2";#N/A,#N/A,FALSE,"단축3";#N/A,#N/A,FALSE,"장축";#N/A,#N/A,FALSE,"4WD"}</definedName>
    <definedName name="cccddd_1" localSheetId="0" hidden="1">{#N/A,#N/A,FALSE,"단축1";#N/A,#N/A,FALSE,"단축2";#N/A,#N/A,FALSE,"단축3";#N/A,#N/A,FALSE,"장축";#N/A,#N/A,FALSE,"4WD"}</definedName>
    <definedName name="cccddd_1" hidden="1">{#N/A,#N/A,FALSE,"단축1";#N/A,#N/A,FALSE,"단축2";#N/A,#N/A,FALSE,"단축3";#N/A,#N/A,FALSE,"장축";#N/A,#N/A,FALSE,"4WD"}</definedName>
    <definedName name="cccddd_1_1" localSheetId="26" hidden="1">{#N/A,#N/A,FALSE,"단축1";#N/A,#N/A,FALSE,"단축2";#N/A,#N/A,FALSE,"단축3";#N/A,#N/A,FALSE,"장축";#N/A,#N/A,FALSE,"4WD"}</definedName>
    <definedName name="cccddd_1_1" localSheetId="0" hidden="1">{#N/A,#N/A,FALSE,"단축1";#N/A,#N/A,FALSE,"단축2";#N/A,#N/A,FALSE,"단축3";#N/A,#N/A,FALSE,"장축";#N/A,#N/A,FALSE,"4WD"}</definedName>
    <definedName name="cccddd_1_1" hidden="1">{#N/A,#N/A,FALSE,"단축1";#N/A,#N/A,FALSE,"단축2";#N/A,#N/A,FALSE,"단축3";#N/A,#N/A,FALSE,"장축";#N/A,#N/A,FALSE,"4WD"}</definedName>
    <definedName name="cccddd_1_2" localSheetId="26" hidden="1">{#N/A,#N/A,FALSE,"단축1";#N/A,#N/A,FALSE,"단축2";#N/A,#N/A,FALSE,"단축3";#N/A,#N/A,FALSE,"장축";#N/A,#N/A,FALSE,"4WD"}</definedName>
    <definedName name="cccddd_1_2" localSheetId="0" hidden="1">{#N/A,#N/A,FALSE,"단축1";#N/A,#N/A,FALSE,"단축2";#N/A,#N/A,FALSE,"단축3";#N/A,#N/A,FALSE,"장축";#N/A,#N/A,FALSE,"4WD"}</definedName>
    <definedName name="cccddd_1_2" hidden="1">{#N/A,#N/A,FALSE,"단축1";#N/A,#N/A,FALSE,"단축2";#N/A,#N/A,FALSE,"단축3";#N/A,#N/A,FALSE,"장축";#N/A,#N/A,FALSE,"4WD"}</definedName>
    <definedName name="cccddd_1_3" localSheetId="26" hidden="1">{#N/A,#N/A,FALSE,"단축1";#N/A,#N/A,FALSE,"단축2";#N/A,#N/A,FALSE,"단축3";#N/A,#N/A,FALSE,"장축";#N/A,#N/A,FALSE,"4WD"}</definedName>
    <definedName name="cccddd_1_3" localSheetId="0" hidden="1">{#N/A,#N/A,FALSE,"단축1";#N/A,#N/A,FALSE,"단축2";#N/A,#N/A,FALSE,"단축3";#N/A,#N/A,FALSE,"장축";#N/A,#N/A,FALSE,"4WD"}</definedName>
    <definedName name="cccddd_1_3" hidden="1">{#N/A,#N/A,FALSE,"단축1";#N/A,#N/A,FALSE,"단축2";#N/A,#N/A,FALSE,"단축3";#N/A,#N/A,FALSE,"장축";#N/A,#N/A,FALSE,"4WD"}</definedName>
    <definedName name="cccddd_2" localSheetId="26" hidden="1">{#N/A,#N/A,FALSE,"단축1";#N/A,#N/A,FALSE,"단축2";#N/A,#N/A,FALSE,"단축3";#N/A,#N/A,FALSE,"장축";#N/A,#N/A,FALSE,"4WD"}</definedName>
    <definedName name="cccddd_2" localSheetId="0" hidden="1">{#N/A,#N/A,FALSE,"단축1";#N/A,#N/A,FALSE,"단축2";#N/A,#N/A,FALSE,"단축3";#N/A,#N/A,FALSE,"장축";#N/A,#N/A,FALSE,"4WD"}</definedName>
    <definedName name="cccddd_2" hidden="1">{#N/A,#N/A,FALSE,"단축1";#N/A,#N/A,FALSE,"단축2";#N/A,#N/A,FALSE,"단축3";#N/A,#N/A,FALSE,"장축";#N/A,#N/A,FALSE,"4WD"}</definedName>
    <definedName name="cccddd_2_1" localSheetId="26" hidden="1">{#N/A,#N/A,FALSE,"단축1";#N/A,#N/A,FALSE,"단축2";#N/A,#N/A,FALSE,"단축3";#N/A,#N/A,FALSE,"장축";#N/A,#N/A,FALSE,"4WD"}</definedName>
    <definedName name="cccddd_2_1" localSheetId="0" hidden="1">{#N/A,#N/A,FALSE,"단축1";#N/A,#N/A,FALSE,"단축2";#N/A,#N/A,FALSE,"단축3";#N/A,#N/A,FALSE,"장축";#N/A,#N/A,FALSE,"4WD"}</definedName>
    <definedName name="cccddd_2_1" hidden="1">{#N/A,#N/A,FALSE,"단축1";#N/A,#N/A,FALSE,"단축2";#N/A,#N/A,FALSE,"단축3";#N/A,#N/A,FALSE,"장축";#N/A,#N/A,FALSE,"4WD"}</definedName>
    <definedName name="cccddd_2_2" localSheetId="26" hidden="1">{#N/A,#N/A,FALSE,"단축1";#N/A,#N/A,FALSE,"단축2";#N/A,#N/A,FALSE,"단축3";#N/A,#N/A,FALSE,"장축";#N/A,#N/A,FALSE,"4WD"}</definedName>
    <definedName name="cccddd_2_2" localSheetId="0" hidden="1">{#N/A,#N/A,FALSE,"단축1";#N/A,#N/A,FALSE,"단축2";#N/A,#N/A,FALSE,"단축3";#N/A,#N/A,FALSE,"장축";#N/A,#N/A,FALSE,"4WD"}</definedName>
    <definedName name="cccddd_2_2" hidden="1">{#N/A,#N/A,FALSE,"단축1";#N/A,#N/A,FALSE,"단축2";#N/A,#N/A,FALSE,"단축3";#N/A,#N/A,FALSE,"장축";#N/A,#N/A,FALSE,"4WD"}</definedName>
    <definedName name="cccddd_3" localSheetId="26" hidden="1">{#N/A,#N/A,FALSE,"단축1";#N/A,#N/A,FALSE,"단축2";#N/A,#N/A,FALSE,"단축3";#N/A,#N/A,FALSE,"장축";#N/A,#N/A,FALSE,"4WD"}</definedName>
    <definedName name="cccddd_3" localSheetId="0" hidden="1">{#N/A,#N/A,FALSE,"단축1";#N/A,#N/A,FALSE,"단축2";#N/A,#N/A,FALSE,"단축3";#N/A,#N/A,FALSE,"장축";#N/A,#N/A,FALSE,"4WD"}</definedName>
    <definedName name="cccddd_3" hidden="1">{#N/A,#N/A,FALSE,"단축1";#N/A,#N/A,FALSE,"단축2";#N/A,#N/A,FALSE,"단축3";#N/A,#N/A,FALSE,"장축";#N/A,#N/A,FALSE,"4WD"}</definedName>
    <definedName name="cccddd_4" localSheetId="26" hidden="1">{#N/A,#N/A,FALSE,"단축1";#N/A,#N/A,FALSE,"단축2";#N/A,#N/A,FALSE,"단축3";#N/A,#N/A,FALSE,"장축";#N/A,#N/A,FALSE,"4WD"}</definedName>
    <definedName name="cccddd_4" localSheetId="0" hidden="1">{#N/A,#N/A,FALSE,"단축1";#N/A,#N/A,FALSE,"단축2";#N/A,#N/A,FALSE,"단축3";#N/A,#N/A,FALSE,"장축";#N/A,#N/A,FALSE,"4WD"}</definedName>
    <definedName name="cccddd_4" hidden="1">{#N/A,#N/A,FALSE,"단축1";#N/A,#N/A,FALSE,"단축2";#N/A,#N/A,FALSE,"단축3";#N/A,#N/A,FALSE,"장축";#N/A,#N/A,FALSE,"4WD"}</definedName>
    <definedName name="cccddd_5" localSheetId="26" hidden="1">{#N/A,#N/A,FALSE,"단축1";#N/A,#N/A,FALSE,"단축2";#N/A,#N/A,FALSE,"단축3";#N/A,#N/A,FALSE,"장축";#N/A,#N/A,FALSE,"4WD"}</definedName>
    <definedName name="cccddd_5" localSheetId="0" hidden="1">{#N/A,#N/A,FALSE,"단축1";#N/A,#N/A,FALSE,"단축2";#N/A,#N/A,FALSE,"단축3";#N/A,#N/A,FALSE,"장축";#N/A,#N/A,FALSE,"4WD"}</definedName>
    <definedName name="cccddd_5" hidden="1">{#N/A,#N/A,FALSE,"단축1";#N/A,#N/A,FALSE,"단축2";#N/A,#N/A,FALSE,"단축3";#N/A,#N/A,FALSE,"장축";#N/A,#N/A,FALSE,"4WD"}</definedName>
    <definedName name="chang" localSheetId="26" hidden="1">{#N/A,#N/A,FALSE,"을지 (4)";#N/A,#N/A,FALSE,"을지 (5)";#N/A,#N/A,FALSE,"을지 (6)"}</definedName>
    <definedName name="chang" localSheetId="0" hidden="1">{#N/A,#N/A,FALSE,"을지 (4)";#N/A,#N/A,FALSE,"을지 (5)";#N/A,#N/A,FALSE,"을지 (6)"}</definedName>
    <definedName name="chang" hidden="1">{#N/A,#N/A,FALSE,"을지 (4)";#N/A,#N/A,FALSE,"을지 (5)";#N/A,#N/A,FALSE,"을지 (6)"}</definedName>
    <definedName name="chang_1" localSheetId="26" hidden="1">{#N/A,#N/A,FALSE,"을지 (4)";#N/A,#N/A,FALSE,"을지 (5)";#N/A,#N/A,FALSE,"을지 (6)"}</definedName>
    <definedName name="chang_1" localSheetId="0" hidden="1">{#N/A,#N/A,FALSE,"을지 (4)";#N/A,#N/A,FALSE,"을지 (5)";#N/A,#N/A,FALSE,"을지 (6)"}</definedName>
    <definedName name="chang_1" hidden="1">{#N/A,#N/A,FALSE,"을지 (4)";#N/A,#N/A,FALSE,"을지 (5)";#N/A,#N/A,FALSE,"을지 (6)"}</definedName>
    <definedName name="chang_1_1" localSheetId="26" hidden="1">{#N/A,#N/A,FALSE,"을지 (4)";#N/A,#N/A,FALSE,"을지 (5)";#N/A,#N/A,FALSE,"을지 (6)"}</definedName>
    <definedName name="chang_1_1" localSheetId="0" hidden="1">{#N/A,#N/A,FALSE,"을지 (4)";#N/A,#N/A,FALSE,"을지 (5)";#N/A,#N/A,FALSE,"을지 (6)"}</definedName>
    <definedName name="chang_1_1" hidden="1">{#N/A,#N/A,FALSE,"을지 (4)";#N/A,#N/A,FALSE,"을지 (5)";#N/A,#N/A,FALSE,"을지 (6)"}</definedName>
    <definedName name="chang_1_2" localSheetId="26" hidden="1">{#N/A,#N/A,FALSE,"을지 (4)";#N/A,#N/A,FALSE,"을지 (5)";#N/A,#N/A,FALSE,"을지 (6)"}</definedName>
    <definedName name="chang_1_2" localSheetId="0" hidden="1">{#N/A,#N/A,FALSE,"을지 (4)";#N/A,#N/A,FALSE,"을지 (5)";#N/A,#N/A,FALSE,"을지 (6)"}</definedName>
    <definedName name="chang_1_2" hidden="1">{#N/A,#N/A,FALSE,"을지 (4)";#N/A,#N/A,FALSE,"을지 (5)";#N/A,#N/A,FALSE,"을지 (6)"}</definedName>
    <definedName name="chang_1_3" localSheetId="26" hidden="1">{#N/A,#N/A,FALSE,"을지 (4)";#N/A,#N/A,FALSE,"을지 (5)";#N/A,#N/A,FALSE,"을지 (6)"}</definedName>
    <definedName name="chang_1_3" localSheetId="0" hidden="1">{#N/A,#N/A,FALSE,"을지 (4)";#N/A,#N/A,FALSE,"을지 (5)";#N/A,#N/A,FALSE,"을지 (6)"}</definedName>
    <definedName name="chang_1_3" hidden="1">{#N/A,#N/A,FALSE,"을지 (4)";#N/A,#N/A,FALSE,"을지 (5)";#N/A,#N/A,FALSE,"을지 (6)"}</definedName>
    <definedName name="chang_2" localSheetId="26" hidden="1">{#N/A,#N/A,FALSE,"을지 (4)";#N/A,#N/A,FALSE,"을지 (5)";#N/A,#N/A,FALSE,"을지 (6)"}</definedName>
    <definedName name="chang_2" localSheetId="0" hidden="1">{#N/A,#N/A,FALSE,"을지 (4)";#N/A,#N/A,FALSE,"을지 (5)";#N/A,#N/A,FALSE,"을지 (6)"}</definedName>
    <definedName name="chang_2" hidden="1">{#N/A,#N/A,FALSE,"을지 (4)";#N/A,#N/A,FALSE,"을지 (5)";#N/A,#N/A,FALSE,"을지 (6)"}</definedName>
    <definedName name="chang_2_1" localSheetId="26" hidden="1">{#N/A,#N/A,FALSE,"을지 (4)";#N/A,#N/A,FALSE,"을지 (5)";#N/A,#N/A,FALSE,"을지 (6)"}</definedName>
    <definedName name="chang_2_1" localSheetId="0" hidden="1">{#N/A,#N/A,FALSE,"을지 (4)";#N/A,#N/A,FALSE,"을지 (5)";#N/A,#N/A,FALSE,"을지 (6)"}</definedName>
    <definedName name="chang_2_1" hidden="1">{#N/A,#N/A,FALSE,"을지 (4)";#N/A,#N/A,FALSE,"을지 (5)";#N/A,#N/A,FALSE,"을지 (6)"}</definedName>
    <definedName name="chang_2_2" localSheetId="26" hidden="1">{#N/A,#N/A,FALSE,"을지 (4)";#N/A,#N/A,FALSE,"을지 (5)";#N/A,#N/A,FALSE,"을지 (6)"}</definedName>
    <definedName name="chang_2_2" localSheetId="0" hidden="1">{#N/A,#N/A,FALSE,"을지 (4)";#N/A,#N/A,FALSE,"을지 (5)";#N/A,#N/A,FALSE,"을지 (6)"}</definedName>
    <definedName name="chang_2_2" hidden="1">{#N/A,#N/A,FALSE,"을지 (4)";#N/A,#N/A,FALSE,"을지 (5)";#N/A,#N/A,FALSE,"을지 (6)"}</definedName>
    <definedName name="chang_3" localSheetId="26" hidden="1">{#N/A,#N/A,FALSE,"을지 (4)";#N/A,#N/A,FALSE,"을지 (5)";#N/A,#N/A,FALSE,"을지 (6)"}</definedName>
    <definedName name="chang_3" localSheetId="0" hidden="1">{#N/A,#N/A,FALSE,"을지 (4)";#N/A,#N/A,FALSE,"을지 (5)";#N/A,#N/A,FALSE,"을지 (6)"}</definedName>
    <definedName name="chang_3" hidden="1">{#N/A,#N/A,FALSE,"을지 (4)";#N/A,#N/A,FALSE,"을지 (5)";#N/A,#N/A,FALSE,"을지 (6)"}</definedName>
    <definedName name="chang_4" localSheetId="26" hidden="1">{#N/A,#N/A,FALSE,"을지 (4)";#N/A,#N/A,FALSE,"을지 (5)";#N/A,#N/A,FALSE,"을지 (6)"}</definedName>
    <definedName name="chang_4" localSheetId="0" hidden="1">{#N/A,#N/A,FALSE,"을지 (4)";#N/A,#N/A,FALSE,"을지 (5)";#N/A,#N/A,FALSE,"을지 (6)"}</definedName>
    <definedName name="chang_4" hidden="1">{#N/A,#N/A,FALSE,"을지 (4)";#N/A,#N/A,FALSE,"을지 (5)";#N/A,#N/A,FALSE,"을지 (6)"}</definedName>
    <definedName name="chang_5" localSheetId="26" hidden="1">{#N/A,#N/A,FALSE,"을지 (4)";#N/A,#N/A,FALSE,"을지 (5)";#N/A,#N/A,FALSE,"을지 (6)"}</definedName>
    <definedName name="chang_5" localSheetId="0" hidden="1">{#N/A,#N/A,FALSE,"을지 (4)";#N/A,#N/A,FALSE,"을지 (5)";#N/A,#N/A,FALSE,"을지 (6)"}</definedName>
    <definedName name="chang_5" hidden="1">{#N/A,#N/A,FALSE,"을지 (4)";#N/A,#N/A,FALSE,"을지 (5)";#N/A,#N/A,FALSE,"을지 (6)"}</definedName>
    <definedName name="ci" localSheetId="26" hidden="1">{#N/A,#N/A,FALSE,"단축1";#N/A,#N/A,FALSE,"단축2";#N/A,#N/A,FALSE,"단축3";#N/A,#N/A,FALSE,"장축";#N/A,#N/A,FALSE,"4WD"}</definedName>
    <definedName name="ci" localSheetId="0" hidden="1">{#N/A,#N/A,FALSE,"단축1";#N/A,#N/A,FALSE,"단축2";#N/A,#N/A,FALSE,"단축3";#N/A,#N/A,FALSE,"장축";#N/A,#N/A,FALSE,"4WD"}</definedName>
    <definedName name="ci" hidden="1">{#N/A,#N/A,FALSE,"단축1";#N/A,#N/A,FALSE,"단축2";#N/A,#N/A,FALSE,"단축3";#N/A,#N/A,FALSE,"장축";#N/A,#N/A,FALSE,"4WD"}</definedName>
    <definedName name="ci_1" localSheetId="26" hidden="1">{#N/A,#N/A,FALSE,"단축1";#N/A,#N/A,FALSE,"단축2";#N/A,#N/A,FALSE,"단축3";#N/A,#N/A,FALSE,"장축";#N/A,#N/A,FALSE,"4WD"}</definedName>
    <definedName name="ci_1" localSheetId="0" hidden="1">{#N/A,#N/A,FALSE,"단축1";#N/A,#N/A,FALSE,"단축2";#N/A,#N/A,FALSE,"단축3";#N/A,#N/A,FALSE,"장축";#N/A,#N/A,FALSE,"4WD"}</definedName>
    <definedName name="ci_1" hidden="1">{#N/A,#N/A,FALSE,"단축1";#N/A,#N/A,FALSE,"단축2";#N/A,#N/A,FALSE,"단축3";#N/A,#N/A,FALSE,"장축";#N/A,#N/A,FALSE,"4WD"}</definedName>
    <definedName name="ci_1_1" localSheetId="26" hidden="1">{#N/A,#N/A,FALSE,"단축1";#N/A,#N/A,FALSE,"단축2";#N/A,#N/A,FALSE,"단축3";#N/A,#N/A,FALSE,"장축";#N/A,#N/A,FALSE,"4WD"}</definedName>
    <definedName name="ci_1_1" localSheetId="0" hidden="1">{#N/A,#N/A,FALSE,"단축1";#N/A,#N/A,FALSE,"단축2";#N/A,#N/A,FALSE,"단축3";#N/A,#N/A,FALSE,"장축";#N/A,#N/A,FALSE,"4WD"}</definedName>
    <definedName name="ci_1_1" hidden="1">{#N/A,#N/A,FALSE,"단축1";#N/A,#N/A,FALSE,"단축2";#N/A,#N/A,FALSE,"단축3";#N/A,#N/A,FALSE,"장축";#N/A,#N/A,FALSE,"4WD"}</definedName>
    <definedName name="ci_1_2" localSheetId="26" hidden="1">{#N/A,#N/A,FALSE,"단축1";#N/A,#N/A,FALSE,"단축2";#N/A,#N/A,FALSE,"단축3";#N/A,#N/A,FALSE,"장축";#N/A,#N/A,FALSE,"4WD"}</definedName>
    <definedName name="ci_1_2" localSheetId="0" hidden="1">{#N/A,#N/A,FALSE,"단축1";#N/A,#N/A,FALSE,"단축2";#N/A,#N/A,FALSE,"단축3";#N/A,#N/A,FALSE,"장축";#N/A,#N/A,FALSE,"4WD"}</definedName>
    <definedName name="ci_1_2" hidden="1">{#N/A,#N/A,FALSE,"단축1";#N/A,#N/A,FALSE,"단축2";#N/A,#N/A,FALSE,"단축3";#N/A,#N/A,FALSE,"장축";#N/A,#N/A,FALSE,"4WD"}</definedName>
    <definedName name="ci_1_3" localSheetId="26" hidden="1">{#N/A,#N/A,FALSE,"단축1";#N/A,#N/A,FALSE,"단축2";#N/A,#N/A,FALSE,"단축3";#N/A,#N/A,FALSE,"장축";#N/A,#N/A,FALSE,"4WD"}</definedName>
    <definedName name="ci_1_3" localSheetId="0" hidden="1">{#N/A,#N/A,FALSE,"단축1";#N/A,#N/A,FALSE,"단축2";#N/A,#N/A,FALSE,"단축3";#N/A,#N/A,FALSE,"장축";#N/A,#N/A,FALSE,"4WD"}</definedName>
    <definedName name="ci_1_3" hidden="1">{#N/A,#N/A,FALSE,"단축1";#N/A,#N/A,FALSE,"단축2";#N/A,#N/A,FALSE,"단축3";#N/A,#N/A,FALSE,"장축";#N/A,#N/A,FALSE,"4WD"}</definedName>
    <definedName name="ci_2" localSheetId="26" hidden="1">{#N/A,#N/A,FALSE,"단축1";#N/A,#N/A,FALSE,"단축2";#N/A,#N/A,FALSE,"단축3";#N/A,#N/A,FALSE,"장축";#N/A,#N/A,FALSE,"4WD"}</definedName>
    <definedName name="ci_2" localSheetId="0" hidden="1">{#N/A,#N/A,FALSE,"단축1";#N/A,#N/A,FALSE,"단축2";#N/A,#N/A,FALSE,"단축3";#N/A,#N/A,FALSE,"장축";#N/A,#N/A,FALSE,"4WD"}</definedName>
    <definedName name="ci_2" hidden="1">{#N/A,#N/A,FALSE,"단축1";#N/A,#N/A,FALSE,"단축2";#N/A,#N/A,FALSE,"단축3";#N/A,#N/A,FALSE,"장축";#N/A,#N/A,FALSE,"4WD"}</definedName>
    <definedName name="ci_2_1" localSheetId="26" hidden="1">{#N/A,#N/A,FALSE,"단축1";#N/A,#N/A,FALSE,"단축2";#N/A,#N/A,FALSE,"단축3";#N/A,#N/A,FALSE,"장축";#N/A,#N/A,FALSE,"4WD"}</definedName>
    <definedName name="ci_2_1" localSheetId="0" hidden="1">{#N/A,#N/A,FALSE,"단축1";#N/A,#N/A,FALSE,"단축2";#N/A,#N/A,FALSE,"단축3";#N/A,#N/A,FALSE,"장축";#N/A,#N/A,FALSE,"4WD"}</definedName>
    <definedName name="ci_2_1" hidden="1">{#N/A,#N/A,FALSE,"단축1";#N/A,#N/A,FALSE,"단축2";#N/A,#N/A,FALSE,"단축3";#N/A,#N/A,FALSE,"장축";#N/A,#N/A,FALSE,"4WD"}</definedName>
    <definedName name="ci_2_2" localSheetId="26" hidden="1">{#N/A,#N/A,FALSE,"단축1";#N/A,#N/A,FALSE,"단축2";#N/A,#N/A,FALSE,"단축3";#N/A,#N/A,FALSE,"장축";#N/A,#N/A,FALSE,"4WD"}</definedName>
    <definedName name="ci_2_2" localSheetId="0" hidden="1">{#N/A,#N/A,FALSE,"단축1";#N/A,#N/A,FALSE,"단축2";#N/A,#N/A,FALSE,"단축3";#N/A,#N/A,FALSE,"장축";#N/A,#N/A,FALSE,"4WD"}</definedName>
    <definedName name="ci_2_2" hidden="1">{#N/A,#N/A,FALSE,"단축1";#N/A,#N/A,FALSE,"단축2";#N/A,#N/A,FALSE,"단축3";#N/A,#N/A,FALSE,"장축";#N/A,#N/A,FALSE,"4WD"}</definedName>
    <definedName name="ci_3" localSheetId="26" hidden="1">{#N/A,#N/A,FALSE,"단축1";#N/A,#N/A,FALSE,"단축2";#N/A,#N/A,FALSE,"단축3";#N/A,#N/A,FALSE,"장축";#N/A,#N/A,FALSE,"4WD"}</definedName>
    <definedName name="ci_3" localSheetId="0" hidden="1">{#N/A,#N/A,FALSE,"단축1";#N/A,#N/A,FALSE,"단축2";#N/A,#N/A,FALSE,"단축3";#N/A,#N/A,FALSE,"장축";#N/A,#N/A,FALSE,"4WD"}</definedName>
    <definedName name="ci_3" hidden="1">{#N/A,#N/A,FALSE,"단축1";#N/A,#N/A,FALSE,"단축2";#N/A,#N/A,FALSE,"단축3";#N/A,#N/A,FALSE,"장축";#N/A,#N/A,FALSE,"4WD"}</definedName>
    <definedName name="ci_4" localSheetId="26" hidden="1">{#N/A,#N/A,FALSE,"단축1";#N/A,#N/A,FALSE,"단축2";#N/A,#N/A,FALSE,"단축3";#N/A,#N/A,FALSE,"장축";#N/A,#N/A,FALSE,"4WD"}</definedName>
    <definedName name="ci_4" localSheetId="0" hidden="1">{#N/A,#N/A,FALSE,"단축1";#N/A,#N/A,FALSE,"단축2";#N/A,#N/A,FALSE,"단축3";#N/A,#N/A,FALSE,"장축";#N/A,#N/A,FALSE,"4WD"}</definedName>
    <definedName name="ci_4" hidden="1">{#N/A,#N/A,FALSE,"단축1";#N/A,#N/A,FALSE,"단축2";#N/A,#N/A,FALSE,"단축3";#N/A,#N/A,FALSE,"장축";#N/A,#N/A,FALSE,"4WD"}</definedName>
    <definedName name="ci_5" localSheetId="26" hidden="1">{#N/A,#N/A,FALSE,"단축1";#N/A,#N/A,FALSE,"단축2";#N/A,#N/A,FALSE,"단축3";#N/A,#N/A,FALSE,"장축";#N/A,#N/A,FALSE,"4WD"}</definedName>
    <definedName name="ci_5" localSheetId="0" hidden="1">{#N/A,#N/A,FALSE,"단축1";#N/A,#N/A,FALSE,"단축2";#N/A,#N/A,FALSE,"단축3";#N/A,#N/A,FALSE,"장축";#N/A,#N/A,FALSE,"4WD"}</definedName>
    <definedName name="ci_5" hidden="1">{#N/A,#N/A,FALSE,"단축1";#N/A,#N/A,FALSE,"단축2";#N/A,#N/A,FALSE,"단축3";#N/A,#N/A,FALSE,"장축";#N/A,#N/A,FALSE,"4WD"}</definedName>
    <definedName name="COPY" localSheetId="26" hidden="1">{#N/A,#N/A,FALSE,"단축1";#N/A,#N/A,FALSE,"단축2";#N/A,#N/A,FALSE,"단축3";#N/A,#N/A,FALSE,"장축";#N/A,#N/A,FALSE,"4WD"}</definedName>
    <definedName name="COPY" localSheetId="0" hidden="1">{#N/A,#N/A,FALSE,"단축1";#N/A,#N/A,FALSE,"단축2";#N/A,#N/A,FALSE,"단축3";#N/A,#N/A,FALSE,"장축";#N/A,#N/A,FALSE,"4WD"}</definedName>
    <definedName name="COPY" hidden="1">{#N/A,#N/A,FALSE,"단축1";#N/A,#N/A,FALSE,"단축2";#N/A,#N/A,FALSE,"단축3";#N/A,#N/A,FALSE,"장축";#N/A,#N/A,FALSE,"4WD"}</definedName>
    <definedName name="COPY_1" localSheetId="26" hidden="1">{#N/A,#N/A,FALSE,"단축1";#N/A,#N/A,FALSE,"단축2";#N/A,#N/A,FALSE,"단축3";#N/A,#N/A,FALSE,"장축";#N/A,#N/A,FALSE,"4WD"}</definedName>
    <definedName name="COPY_1" localSheetId="0" hidden="1">{#N/A,#N/A,FALSE,"단축1";#N/A,#N/A,FALSE,"단축2";#N/A,#N/A,FALSE,"단축3";#N/A,#N/A,FALSE,"장축";#N/A,#N/A,FALSE,"4WD"}</definedName>
    <definedName name="COPY_1" hidden="1">{#N/A,#N/A,FALSE,"단축1";#N/A,#N/A,FALSE,"단축2";#N/A,#N/A,FALSE,"단축3";#N/A,#N/A,FALSE,"장축";#N/A,#N/A,FALSE,"4WD"}</definedName>
    <definedName name="COPY_1_1" localSheetId="26" hidden="1">{#N/A,#N/A,FALSE,"단축1";#N/A,#N/A,FALSE,"단축2";#N/A,#N/A,FALSE,"단축3";#N/A,#N/A,FALSE,"장축";#N/A,#N/A,FALSE,"4WD"}</definedName>
    <definedName name="COPY_1_1" localSheetId="0" hidden="1">{#N/A,#N/A,FALSE,"단축1";#N/A,#N/A,FALSE,"단축2";#N/A,#N/A,FALSE,"단축3";#N/A,#N/A,FALSE,"장축";#N/A,#N/A,FALSE,"4WD"}</definedName>
    <definedName name="COPY_1_1" hidden="1">{#N/A,#N/A,FALSE,"단축1";#N/A,#N/A,FALSE,"단축2";#N/A,#N/A,FALSE,"단축3";#N/A,#N/A,FALSE,"장축";#N/A,#N/A,FALSE,"4WD"}</definedName>
    <definedName name="COPY_1_2" localSheetId="26" hidden="1">{#N/A,#N/A,FALSE,"단축1";#N/A,#N/A,FALSE,"단축2";#N/A,#N/A,FALSE,"단축3";#N/A,#N/A,FALSE,"장축";#N/A,#N/A,FALSE,"4WD"}</definedName>
    <definedName name="COPY_1_2" localSheetId="0" hidden="1">{#N/A,#N/A,FALSE,"단축1";#N/A,#N/A,FALSE,"단축2";#N/A,#N/A,FALSE,"단축3";#N/A,#N/A,FALSE,"장축";#N/A,#N/A,FALSE,"4WD"}</definedName>
    <definedName name="COPY_1_2" hidden="1">{#N/A,#N/A,FALSE,"단축1";#N/A,#N/A,FALSE,"단축2";#N/A,#N/A,FALSE,"단축3";#N/A,#N/A,FALSE,"장축";#N/A,#N/A,FALSE,"4WD"}</definedName>
    <definedName name="COPY_1_3" localSheetId="26" hidden="1">{#N/A,#N/A,FALSE,"단축1";#N/A,#N/A,FALSE,"단축2";#N/A,#N/A,FALSE,"단축3";#N/A,#N/A,FALSE,"장축";#N/A,#N/A,FALSE,"4WD"}</definedName>
    <definedName name="COPY_1_3" localSheetId="0" hidden="1">{#N/A,#N/A,FALSE,"단축1";#N/A,#N/A,FALSE,"단축2";#N/A,#N/A,FALSE,"단축3";#N/A,#N/A,FALSE,"장축";#N/A,#N/A,FALSE,"4WD"}</definedName>
    <definedName name="COPY_1_3" hidden="1">{#N/A,#N/A,FALSE,"단축1";#N/A,#N/A,FALSE,"단축2";#N/A,#N/A,FALSE,"단축3";#N/A,#N/A,FALSE,"장축";#N/A,#N/A,FALSE,"4WD"}</definedName>
    <definedName name="COPY_2" localSheetId="26" hidden="1">{#N/A,#N/A,FALSE,"단축1";#N/A,#N/A,FALSE,"단축2";#N/A,#N/A,FALSE,"단축3";#N/A,#N/A,FALSE,"장축";#N/A,#N/A,FALSE,"4WD"}</definedName>
    <definedName name="COPY_2" localSheetId="0" hidden="1">{#N/A,#N/A,FALSE,"단축1";#N/A,#N/A,FALSE,"단축2";#N/A,#N/A,FALSE,"단축3";#N/A,#N/A,FALSE,"장축";#N/A,#N/A,FALSE,"4WD"}</definedName>
    <definedName name="COPY_2" hidden="1">{#N/A,#N/A,FALSE,"단축1";#N/A,#N/A,FALSE,"단축2";#N/A,#N/A,FALSE,"단축3";#N/A,#N/A,FALSE,"장축";#N/A,#N/A,FALSE,"4WD"}</definedName>
    <definedName name="COPY_2_1" localSheetId="26" hidden="1">{#N/A,#N/A,FALSE,"단축1";#N/A,#N/A,FALSE,"단축2";#N/A,#N/A,FALSE,"단축3";#N/A,#N/A,FALSE,"장축";#N/A,#N/A,FALSE,"4WD"}</definedName>
    <definedName name="COPY_2_1" localSheetId="0" hidden="1">{#N/A,#N/A,FALSE,"단축1";#N/A,#N/A,FALSE,"단축2";#N/A,#N/A,FALSE,"단축3";#N/A,#N/A,FALSE,"장축";#N/A,#N/A,FALSE,"4WD"}</definedName>
    <definedName name="COPY_2_1" hidden="1">{#N/A,#N/A,FALSE,"단축1";#N/A,#N/A,FALSE,"단축2";#N/A,#N/A,FALSE,"단축3";#N/A,#N/A,FALSE,"장축";#N/A,#N/A,FALSE,"4WD"}</definedName>
    <definedName name="COPY_2_2" localSheetId="26" hidden="1">{#N/A,#N/A,FALSE,"단축1";#N/A,#N/A,FALSE,"단축2";#N/A,#N/A,FALSE,"단축3";#N/A,#N/A,FALSE,"장축";#N/A,#N/A,FALSE,"4WD"}</definedName>
    <definedName name="COPY_2_2" localSheetId="0" hidden="1">{#N/A,#N/A,FALSE,"단축1";#N/A,#N/A,FALSE,"단축2";#N/A,#N/A,FALSE,"단축3";#N/A,#N/A,FALSE,"장축";#N/A,#N/A,FALSE,"4WD"}</definedName>
    <definedName name="COPY_2_2" hidden="1">{#N/A,#N/A,FALSE,"단축1";#N/A,#N/A,FALSE,"단축2";#N/A,#N/A,FALSE,"단축3";#N/A,#N/A,FALSE,"장축";#N/A,#N/A,FALSE,"4WD"}</definedName>
    <definedName name="COPY_3" localSheetId="26" hidden="1">{#N/A,#N/A,FALSE,"단축1";#N/A,#N/A,FALSE,"단축2";#N/A,#N/A,FALSE,"단축3";#N/A,#N/A,FALSE,"장축";#N/A,#N/A,FALSE,"4WD"}</definedName>
    <definedName name="COPY_3" localSheetId="0" hidden="1">{#N/A,#N/A,FALSE,"단축1";#N/A,#N/A,FALSE,"단축2";#N/A,#N/A,FALSE,"단축3";#N/A,#N/A,FALSE,"장축";#N/A,#N/A,FALSE,"4WD"}</definedName>
    <definedName name="COPY_3" hidden="1">{#N/A,#N/A,FALSE,"단축1";#N/A,#N/A,FALSE,"단축2";#N/A,#N/A,FALSE,"단축3";#N/A,#N/A,FALSE,"장축";#N/A,#N/A,FALSE,"4WD"}</definedName>
    <definedName name="COPY_4" localSheetId="26" hidden="1">{#N/A,#N/A,FALSE,"단축1";#N/A,#N/A,FALSE,"단축2";#N/A,#N/A,FALSE,"단축3";#N/A,#N/A,FALSE,"장축";#N/A,#N/A,FALSE,"4WD"}</definedName>
    <definedName name="COPY_4" localSheetId="0" hidden="1">{#N/A,#N/A,FALSE,"단축1";#N/A,#N/A,FALSE,"단축2";#N/A,#N/A,FALSE,"단축3";#N/A,#N/A,FALSE,"장축";#N/A,#N/A,FALSE,"4WD"}</definedName>
    <definedName name="COPY_4" hidden="1">{#N/A,#N/A,FALSE,"단축1";#N/A,#N/A,FALSE,"단축2";#N/A,#N/A,FALSE,"단축3";#N/A,#N/A,FALSE,"장축";#N/A,#N/A,FALSE,"4WD"}</definedName>
    <definedName name="COPY_5" localSheetId="26" hidden="1">{#N/A,#N/A,FALSE,"단축1";#N/A,#N/A,FALSE,"단축2";#N/A,#N/A,FALSE,"단축3";#N/A,#N/A,FALSE,"장축";#N/A,#N/A,FALSE,"4WD"}</definedName>
    <definedName name="COPY_5" localSheetId="0" hidden="1">{#N/A,#N/A,FALSE,"단축1";#N/A,#N/A,FALSE,"단축2";#N/A,#N/A,FALSE,"단축3";#N/A,#N/A,FALSE,"장축";#N/A,#N/A,FALSE,"4WD"}</definedName>
    <definedName name="COPY_5" hidden="1">{#N/A,#N/A,FALSE,"단축1";#N/A,#N/A,FALSE,"단축2";#N/A,#N/A,FALSE,"단축3";#N/A,#N/A,FALSE,"장축";#N/A,#N/A,FALSE,"4WD"}</definedName>
    <definedName name="COPY1" localSheetId="26" hidden="1">{#N/A,#N/A,FALSE,"단축1";#N/A,#N/A,FALSE,"단축2";#N/A,#N/A,FALSE,"단축3";#N/A,#N/A,FALSE,"장축";#N/A,#N/A,FALSE,"4WD"}</definedName>
    <definedName name="COPY1" localSheetId="0" hidden="1">{#N/A,#N/A,FALSE,"단축1";#N/A,#N/A,FALSE,"단축2";#N/A,#N/A,FALSE,"단축3";#N/A,#N/A,FALSE,"장축";#N/A,#N/A,FALSE,"4WD"}</definedName>
    <definedName name="COPY1" hidden="1">{#N/A,#N/A,FALSE,"단축1";#N/A,#N/A,FALSE,"단축2";#N/A,#N/A,FALSE,"단축3";#N/A,#N/A,FALSE,"장축";#N/A,#N/A,FALSE,"4WD"}</definedName>
    <definedName name="COPY1_1" localSheetId="26" hidden="1">{#N/A,#N/A,FALSE,"단축1";#N/A,#N/A,FALSE,"단축2";#N/A,#N/A,FALSE,"단축3";#N/A,#N/A,FALSE,"장축";#N/A,#N/A,FALSE,"4WD"}</definedName>
    <definedName name="COPY1_1" localSheetId="0" hidden="1">{#N/A,#N/A,FALSE,"단축1";#N/A,#N/A,FALSE,"단축2";#N/A,#N/A,FALSE,"단축3";#N/A,#N/A,FALSE,"장축";#N/A,#N/A,FALSE,"4WD"}</definedName>
    <definedName name="COPY1_1" hidden="1">{#N/A,#N/A,FALSE,"단축1";#N/A,#N/A,FALSE,"단축2";#N/A,#N/A,FALSE,"단축3";#N/A,#N/A,FALSE,"장축";#N/A,#N/A,FALSE,"4WD"}</definedName>
    <definedName name="COPY1_1_1" localSheetId="26" hidden="1">{#N/A,#N/A,FALSE,"단축1";#N/A,#N/A,FALSE,"단축2";#N/A,#N/A,FALSE,"단축3";#N/A,#N/A,FALSE,"장축";#N/A,#N/A,FALSE,"4WD"}</definedName>
    <definedName name="COPY1_1_1" localSheetId="0" hidden="1">{#N/A,#N/A,FALSE,"단축1";#N/A,#N/A,FALSE,"단축2";#N/A,#N/A,FALSE,"단축3";#N/A,#N/A,FALSE,"장축";#N/A,#N/A,FALSE,"4WD"}</definedName>
    <definedName name="COPY1_1_1" hidden="1">{#N/A,#N/A,FALSE,"단축1";#N/A,#N/A,FALSE,"단축2";#N/A,#N/A,FALSE,"단축3";#N/A,#N/A,FALSE,"장축";#N/A,#N/A,FALSE,"4WD"}</definedName>
    <definedName name="COPY1_1_2" localSheetId="26" hidden="1">{#N/A,#N/A,FALSE,"단축1";#N/A,#N/A,FALSE,"단축2";#N/A,#N/A,FALSE,"단축3";#N/A,#N/A,FALSE,"장축";#N/A,#N/A,FALSE,"4WD"}</definedName>
    <definedName name="COPY1_1_2" localSheetId="0" hidden="1">{#N/A,#N/A,FALSE,"단축1";#N/A,#N/A,FALSE,"단축2";#N/A,#N/A,FALSE,"단축3";#N/A,#N/A,FALSE,"장축";#N/A,#N/A,FALSE,"4WD"}</definedName>
    <definedName name="COPY1_1_2" hidden="1">{#N/A,#N/A,FALSE,"단축1";#N/A,#N/A,FALSE,"단축2";#N/A,#N/A,FALSE,"단축3";#N/A,#N/A,FALSE,"장축";#N/A,#N/A,FALSE,"4WD"}</definedName>
    <definedName name="COPY1_1_3" localSheetId="26" hidden="1">{#N/A,#N/A,FALSE,"단축1";#N/A,#N/A,FALSE,"단축2";#N/A,#N/A,FALSE,"단축3";#N/A,#N/A,FALSE,"장축";#N/A,#N/A,FALSE,"4WD"}</definedName>
    <definedName name="COPY1_1_3" localSheetId="0" hidden="1">{#N/A,#N/A,FALSE,"단축1";#N/A,#N/A,FALSE,"단축2";#N/A,#N/A,FALSE,"단축3";#N/A,#N/A,FALSE,"장축";#N/A,#N/A,FALSE,"4WD"}</definedName>
    <definedName name="COPY1_1_3" hidden="1">{#N/A,#N/A,FALSE,"단축1";#N/A,#N/A,FALSE,"단축2";#N/A,#N/A,FALSE,"단축3";#N/A,#N/A,FALSE,"장축";#N/A,#N/A,FALSE,"4WD"}</definedName>
    <definedName name="COPY1_2" localSheetId="26" hidden="1">{#N/A,#N/A,FALSE,"단축1";#N/A,#N/A,FALSE,"단축2";#N/A,#N/A,FALSE,"단축3";#N/A,#N/A,FALSE,"장축";#N/A,#N/A,FALSE,"4WD"}</definedName>
    <definedName name="COPY1_2" localSheetId="0" hidden="1">{#N/A,#N/A,FALSE,"단축1";#N/A,#N/A,FALSE,"단축2";#N/A,#N/A,FALSE,"단축3";#N/A,#N/A,FALSE,"장축";#N/A,#N/A,FALSE,"4WD"}</definedName>
    <definedName name="COPY1_2" hidden="1">{#N/A,#N/A,FALSE,"단축1";#N/A,#N/A,FALSE,"단축2";#N/A,#N/A,FALSE,"단축3";#N/A,#N/A,FALSE,"장축";#N/A,#N/A,FALSE,"4WD"}</definedName>
    <definedName name="COPY1_2_1" localSheetId="26" hidden="1">{#N/A,#N/A,FALSE,"단축1";#N/A,#N/A,FALSE,"단축2";#N/A,#N/A,FALSE,"단축3";#N/A,#N/A,FALSE,"장축";#N/A,#N/A,FALSE,"4WD"}</definedName>
    <definedName name="COPY1_2_1" localSheetId="0" hidden="1">{#N/A,#N/A,FALSE,"단축1";#N/A,#N/A,FALSE,"단축2";#N/A,#N/A,FALSE,"단축3";#N/A,#N/A,FALSE,"장축";#N/A,#N/A,FALSE,"4WD"}</definedName>
    <definedName name="COPY1_2_1" hidden="1">{#N/A,#N/A,FALSE,"단축1";#N/A,#N/A,FALSE,"단축2";#N/A,#N/A,FALSE,"단축3";#N/A,#N/A,FALSE,"장축";#N/A,#N/A,FALSE,"4WD"}</definedName>
    <definedName name="COPY1_2_2" localSheetId="26" hidden="1">{#N/A,#N/A,FALSE,"단축1";#N/A,#N/A,FALSE,"단축2";#N/A,#N/A,FALSE,"단축3";#N/A,#N/A,FALSE,"장축";#N/A,#N/A,FALSE,"4WD"}</definedName>
    <definedName name="COPY1_2_2" localSheetId="0" hidden="1">{#N/A,#N/A,FALSE,"단축1";#N/A,#N/A,FALSE,"단축2";#N/A,#N/A,FALSE,"단축3";#N/A,#N/A,FALSE,"장축";#N/A,#N/A,FALSE,"4WD"}</definedName>
    <definedName name="COPY1_2_2" hidden="1">{#N/A,#N/A,FALSE,"단축1";#N/A,#N/A,FALSE,"단축2";#N/A,#N/A,FALSE,"단축3";#N/A,#N/A,FALSE,"장축";#N/A,#N/A,FALSE,"4WD"}</definedName>
    <definedName name="COPY1_3" localSheetId="26" hidden="1">{#N/A,#N/A,FALSE,"단축1";#N/A,#N/A,FALSE,"단축2";#N/A,#N/A,FALSE,"단축3";#N/A,#N/A,FALSE,"장축";#N/A,#N/A,FALSE,"4WD"}</definedName>
    <definedName name="COPY1_3" localSheetId="0" hidden="1">{#N/A,#N/A,FALSE,"단축1";#N/A,#N/A,FALSE,"단축2";#N/A,#N/A,FALSE,"단축3";#N/A,#N/A,FALSE,"장축";#N/A,#N/A,FALSE,"4WD"}</definedName>
    <definedName name="COPY1_3" hidden="1">{#N/A,#N/A,FALSE,"단축1";#N/A,#N/A,FALSE,"단축2";#N/A,#N/A,FALSE,"단축3";#N/A,#N/A,FALSE,"장축";#N/A,#N/A,FALSE,"4WD"}</definedName>
    <definedName name="COPY1_4" localSheetId="26" hidden="1">{#N/A,#N/A,FALSE,"단축1";#N/A,#N/A,FALSE,"단축2";#N/A,#N/A,FALSE,"단축3";#N/A,#N/A,FALSE,"장축";#N/A,#N/A,FALSE,"4WD"}</definedName>
    <definedName name="COPY1_4" localSheetId="0" hidden="1">{#N/A,#N/A,FALSE,"단축1";#N/A,#N/A,FALSE,"단축2";#N/A,#N/A,FALSE,"단축3";#N/A,#N/A,FALSE,"장축";#N/A,#N/A,FALSE,"4WD"}</definedName>
    <definedName name="COPY1_4" hidden="1">{#N/A,#N/A,FALSE,"단축1";#N/A,#N/A,FALSE,"단축2";#N/A,#N/A,FALSE,"단축3";#N/A,#N/A,FALSE,"장축";#N/A,#N/A,FALSE,"4WD"}</definedName>
    <definedName name="COPY1_5" localSheetId="26" hidden="1">{#N/A,#N/A,FALSE,"단축1";#N/A,#N/A,FALSE,"단축2";#N/A,#N/A,FALSE,"단축3";#N/A,#N/A,FALSE,"장축";#N/A,#N/A,FALSE,"4WD"}</definedName>
    <definedName name="COPY1_5" localSheetId="0" hidden="1">{#N/A,#N/A,FALSE,"단축1";#N/A,#N/A,FALSE,"단축2";#N/A,#N/A,FALSE,"단축3";#N/A,#N/A,FALSE,"장축";#N/A,#N/A,FALSE,"4WD"}</definedName>
    <definedName name="COPY1_5" hidden="1">{#N/A,#N/A,FALSE,"단축1";#N/A,#N/A,FALSE,"단축2";#N/A,#N/A,FALSE,"단축3";#N/A,#N/A,FALSE,"장축";#N/A,#N/A,FALSE,"4WD"}</definedName>
    <definedName name="cvb" localSheetId="26" hidden="1">{#N/A,#N/A,FALSE,"Cash Flows";#N/A,#N/A,FALSE,"Fixed Assets";#N/A,#N/A,FALSE,"Balance Sheet";#N/A,#N/A,FALSE,"P &amp; L"}</definedName>
    <definedName name="cvb" localSheetId="0" hidden="1">{#N/A,#N/A,FALSE,"Cash Flows";#N/A,#N/A,FALSE,"Fixed Assets";#N/A,#N/A,FALSE,"Balance Sheet";#N/A,#N/A,FALSE,"P &amp; L"}</definedName>
    <definedName name="cvb" hidden="1">{#N/A,#N/A,FALSE,"Cash Flows";#N/A,#N/A,FALSE,"Fixed Assets";#N/A,#N/A,FALSE,"Balance Sheet";#N/A,#N/A,FALSE,"P &amp; L"}</definedName>
    <definedName name="cvb_1" localSheetId="26" hidden="1">{#N/A,#N/A,FALSE,"Cash Flows";#N/A,#N/A,FALSE,"Fixed Assets";#N/A,#N/A,FALSE,"Balance Sheet";#N/A,#N/A,FALSE,"P &amp; L"}</definedName>
    <definedName name="cvb_1" localSheetId="0" hidden="1">{#N/A,#N/A,FALSE,"Cash Flows";#N/A,#N/A,FALSE,"Fixed Assets";#N/A,#N/A,FALSE,"Balance Sheet";#N/A,#N/A,FALSE,"P &amp; L"}</definedName>
    <definedName name="cvb_1" hidden="1">{#N/A,#N/A,FALSE,"Cash Flows";#N/A,#N/A,FALSE,"Fixed Assets";#N/A,#N/A,FALSE,"Balance Sheet";#N/A,#N/A,FALSE,"P &amp; L"}</definedName>
    <definedName name="cvb_1_1" localSheetId="26" hidden="1">{#N/A,#N/A,FALSE,"Cash Flows";#N/A,#N/A,FALSE,"Fixed Assets";#N/A,#N/A,FALSE,"Balance Sheet";#N/A,#N/A,FALSE,"P &amp; L"}</definedName>
    <definedName name="cvb_1_1" localSheetId="0" hidden="1">{#N/A,#N/A,FALSE,"Cash Flows";#N/A,#N/A,FALSE,"Fixed Assets";#N/A,#N/A,FALSE,"Balance Sheet";#N/A,#N/A,FALSE,"P &amp; L"}</definedName>
    <definedName name="cvb_1_1" hidden="1">{#N/A,#N/A,FALSE,"Cash Flows";#N/A,#N/A,FALSE,"Fixed Assets";#N/A,#N/A,FALSE,"Balance Sheet";#N/A,#N/A,FALSE,"P &amp; L"}</definedName>
    <definedName name="cvb_1_2" localSheetId="26" hidden="1">{#N/A,#N/A,FALSE,"Cash Flows";#N/A,#N/A,FALSE,"Fixed Assets";#N/A,#N/A,FALSE,"Balance Sheet";#N/A,#N/A,FALSE,"P &amp; L"}</definedName>
    <definedName name="cvb_1_2" localSheetId="0" hidden="1">{#N/A,#N/A,FALSE,"Cash Flows";#N/A,#N/A,FALSE,"Fixed Assets";#N/A,#N/A,FALSE,"Balance Sheet";#N/A,#N/A,FALSE,"P &amp; L"}</definedName>
    <definedName name="cvb_1_2" hidden="1">{#N/A,#N/A,FALSE,"Cash Flows";#N/A,#N/A,FALSE,"Fixed Assets";#N/A,#N/A,FALSE,"Balance Sheet";#N/A,#N/A,FALSE,"P &amp; L"}</definedName>
    <definedName name="cvb_1_3" localSheetId="26" hidden="1">{#N/A,#N/A,FALSE,"Cash Flows";#N/A,#N/A,FALSE,"Fixed Assets";#N/A,#N/A,FALSE,"Balance Sheet";#N/A,#N/A,FALSE,"P &amp; L"}</definedName>
    <definedName name="cvb_1_3" localSheetId="0" hidden="1">{#N/A,#N/A,FALSE,"Cash Flows";#N/A,#N/A,FALSE,"Fixed Assets";#N/A,#N/A,FALSE,"Balance Sheet";#N/A,#N/A,FALSE,"P &amp; L"}</definedName>
    <definedName name="cvb_1_3" hidden="1">{#N/A,#N/A,FALSE,"Cash Flows";#N/A,#N/A,FALSE,"Fixed Assets";#N/A,#N/A,FALSE,"Balance Sheet";#N/A,#N/A,FALSE,"P &amp; L"}</definedName>
    <definedName name="cvb_2" localSheetId="26" hidden="1">{#N/A,#N/A,FALSE,"Cash Flows";#N/A,#N/A,FALSE,"Fixed Assets";#N/A,#N/A,FALSE,"Balance Sheet";#N/A,#N/A,FALSE,"P &amp; L"}</definedName>
    <definedName name="cvb_2" localSheetId="0" hidden="1">{#N/A,#N/A,FALSE,"Cash Flows";#N/A,#N/A,FALSE,"Fixed Assets";#N/A,#N/A,FALSE,"Balance Sheet";#N/A,#N/A,FALSE,"P &amp; L"}</definedName>
    <definedName name="cvb_2" hidden="1">{#N/A,#N/A,FALSE,"Cash Flows";#N/A,#N/A,FALSE,"Fixed Assets";#N/A,#N/A,FALSE,"Balance Sheet";#N/A,#N/A,FALSE,"P &amp; L"}</definedName>
    <definedName name="cvb_2_1" localSheetId="26" hidden="1">{#N/A,#N/A,FALSE,"Cash Flows";#N/A,#N/A,FALSE,"Fixed Assets";#N/A,#N/A,FALSE,"Balance Sheet";#N/A,#N/A,FALSE,"P &amp; L"}</definedName>
    <definedName name="cvb_2_1" localSheetId="0" hidden="1">{#N/A,#N/A,FALSE,"Cash Flows";#N/A,#N/A,FALSE,"Fixed Assets";#N/A,#N/A,FALSE,"Balance Sheet";#N/A,#N/A,FALSE,"P &amp; L"}</definedName>
    <definedName name="cvb_2_1" hidden="1">{#N/A,#N/A,FALSE,"Cash Flows";#N/A,#N/A,FALSE,"Fixed Assets";#N/A,#N/A,FALSE,"Balance Sheet";#N/A,#N/A,FALSE,"P &amp; L"}</definedName>
    <definedName name="cvb_2_2" localSheetId="26" hidden="1">{#N/A,#N/A,FALSE,"Cash Flows";#N/A,#N/A,FALSE,"Fixed Assets";#N/A,#N/A,FALSE,"Balance Sheet";#N/A,#N/A,FALSE,"P &amp; L"}</definedName>
    <definedName name="cvb_2_2" localSheetId="0" hidden="1">{#N/A,#N/A,FALSE,"Cash Flows";#N/A,#N/A,FALSE,"Fixed Assets";#N/A,#N/A,FALSE,"Balance Sheet";#N/A,#N/A,FALSE,"P &amp; L"}</definedName>
    <definedName name="cvb_2_2" hidden="1">{#N/A,#N/A,FALSE,"Cash Flows";#N/A,#N/A,FALSE,"Fixed Assets";#N/A,#N/A,FALSE,"Balance Sheet";#N/A,#N/A,FALSE,"P &amp; L"}</definedName>
    <definedName name="cvb_3" localSheetId="26" hidden="1">{#N/A,#N/A,FALSE,"Cash Flows";#N/A,#N/A,FALSE,"Fixed Assets";#N/A,#N/A,FALSE,"Balance Sheet";#N/A,#N/A,FALSE,"P &amp; L"}</definedName>
    <definedName name="cvb_3" localSheetId="0" hidden="1">{#N/A,#N/A,FALSE,"Cash Flows";#N/A,#N/A,FALSE,"Fixed Assets";#N/A,#N/A,FALSE,"Balance Sheet";#N/A,#N/A,FALSE,"P &amp; L"}</definedName>
    <definedName name="cvb_3" hidden="1">{#N/A,#N/A,FALSE,"Cash Flows";#N/A,#N/A,FALSE,"Fixed Assets";#N/A,#N/A,FALSE,"Balance Sheet";#N/A,#N/A,FALSE,"P &amp; L"}</definedName>
    <definedName name="cvb_4" localSheetId="26" hidden="1">{#N/A,#N/A,FALSE,"Cash Flows";#N/A,#N/A,FALSE,"Fixed Assets";#N/A,#N/A,FALSE,"Balance Sheet";#N/A,#N/A,FALSE,"P &amp; L"}</definedName>
    <definedName name="cvb_4" localSheetId="0" hidden="1">{#N/A,#N/A,FALSE,"Cash Flows";#N/A,#N/A,FALSE,"Fixed Assets";#N/A,#N/A,FALSE,"Balance Sheet";#N/A,#N/A,FALSE,"P &amp; L"}</definedName>
    <definedName name="cvb_4" hidden="1">{#N/A,#N/A,FALSE,"Cash Flows";#N/A,#N/A,FALSE,"Fixed Assets";#N/A,#N/A,FALSE,"Balance Sheet";#N/A,#N/A,FALSE,"P &amp; L"}</definedName>
    <definedName name="cvb_5" localSheetId="26" hidden="1">{#N/A,#N/A,FALSE,"Cash Flows";#N/A,#N/A,FALSE,"Fixed Assets";#N/A,#N/A,FALSE,"Balance Sheet";#N/A,#N/A,FALSE,"P &amp; L"}</definedName>
    <definedName name="cvb_5" localSheetId="0" hidden="1">{#N/A,#N/A,FALSE,"Cash Flows";#N/A,#N/A,FALSE,"Fixed Assets";#N/A,#N/A,FALSE,"Balance Sheet";#N/A,#N/A,FALSE,"P &amp; L"}</definedName>
    <definedName name="cvb_5" hidden="1">{#N/A,#N/A,FALSE,"Cash Flows";#N/A,#N/A,FALSE,"Fixed Assets";#N/A,#N/A,FALSE,"Balance Sheet";#N/A,#N/A,FALSE,"P &amp; L"}</definedName>
    <definedName name="d" localSheetId="9" hidden="1">[1]MOTO!#REF!</definedName>
    <definedName name="d" localSheetId="1" hidden="1">[1]MOTO!#REF!</definedName>
    <definedName name="d" localSheetId="23" hidden="1">[1]MOTO!#REF!</definedName>
    <definedName name="d" localSheetId="22" hidden="1">[1]MOTO!#REF!</definedName>
    <definedName name="d" localSheetId="26" hidden="1">[1]MOTO!#REF!</definedName>
    <definedName name="d" localSheetId="14" hidden="1">[1]MOTO!#REF!</definedName>
    <definedName name="d" localSheetId="21" hidden="1">[1]MOTO!#REF!</definedName>
    <definedName name="d" localSheetId="3" hidden="1">[1]MOTO!#REF!</definedName>
    <definedName name="d" localSheetId="29" hidden="1">[1]MOTO!#REF!</definedName>
    <definedName name="d" localSheetId="27" hidden="1">[1]MOTO!#REF!</definedName>
    <definedName name="d" localSheetId="0" hidden="1">[14]MOTO!#REF!</definedName>
    <definedName name="d" hidden="1">[1]MOTO!#REF!</definedName>
    <definedName name="ddd" localSheetId="26" hidden="1">{#N/A,#N/A,FALSE,"단축1";#N/A,#N/A,FALSE,"단축2";#N/A,#N/A,FALSE,"단축3";#N/A,#N/A,FALSE,"장축";#N/A,#N/A,FALSE,"4WD"}</definedName>
    <definedName name="ddd" localSheetId="0" hidden="1">{#N/A,#N/A,FALSE,"단축1";#N/A,#N/A,FALSE,"단축2";#N/A,#N/A,FALSE,"단축3";#N/A,#N/A,FALSE,"장축";#N/A,#N/A,FALSE,"4WD"}</definedName>
    <definedName name="ddd" hidden="1">{#N/A,#N/A,FALSE,"단축1";#N/A,#N/A,FALSE,"단축2";#N/A,#N/A,FALSE,"단축3";#N/A,#N/A,FALSE,"장축";#N/A,#N/A,FALSE,"4WD"}</definedName>
    <definedName name="ddd_1" localSheetId="26" hidden="1">{#N/A,#N/A,FALSE,"단축1";#N/A,#N/A,FALSE,"단축2";#N/A,#N/A,FALSE,"단축3";#N/A,#N/A,FALSE,"장축";#N/A,#N/A,FALSE,"4WD"}</definedName>
    <definedName name="ddd_1" localSheetId="0" hidden="1">{#N/A,#N/A,FALSE,"단축1";#N/A,#N/A,FALSE,"단축2";#N/A,#N/A,FALSE,"단축3";#N/A,#N/A,FALSE,"장축";#N/A,#N/A,FALSE,"4WD"}</definedName>
    <definedName name="ddd_1" hidden="1">{#N/A,#N/A,FALSE,"단축1";#N/A,#N/A,FALSE,"단축2";#N/A,#N/A,FALSE,"단축3";#N/A,#N/A,FALSE,"장축";#N/A,#N/A,FALSE,"4WD"}</definedName>
    <definedName name="ddd_1_1" localSheetId="26" hidden="1">{#N/A,#N/A,FALSE,"단축1";#N/A,#N/A,FALSE,"단축2";#N/A,#N/A,FALSE,"단축3";#N/A,#N/A,FALSE,"장축";#N/A,#N/A,FALSE,"4WD"}</definedName>
    <definedName name="ddd_1_1" localSheetId="0" hidden="1">{#N/A,#N/A,FALSE,"단축1";#N/A,#N/A,FALSE,"단축2";#N/A,#N/A,FALSE,"단축3";#N/A,#N/A,FALSE,"장축";#N/A,#N/A,FALSE,"4WD"}</definedName>
    <definedName name="ddd_1_1" hidden="1">{#N/A,#N/A,FALSE,"단축1";#N/A,#N/A,FALSE,"단축2";#N/A,#N/A,FALSE,"단축3";#N/A,#N/A,FALSE,"장축";#N/A,#N/A,FALSE,"4WD"}</definedName>
    <definedName name="ddd_1_2" localSheetId="26" hidden="1">{#N/A,#N/A,FALSE,"단축1";#N/A,#N/A,FALSE,"단축2";#N/A,#N/A,FALSE,"단축3";#N/A,#N/A,FALSE,"장축";#N/A,#N/A,FALSE,"4WD"}</definedName>
    <definedName name="ddd_1_2" localSheetId="0" hidden="1">{#N/A,#N/A,FALSE,"단축1";#N/A,#N/A,FALSE,"단축2";#N/A,#N/A,FALSE,"단축3";#N/A,#N/A,FALSE,"장축";#N/A,#N/A,FALSE,"4WD"}</definedName>
    <definedName name="ddd_1_2" hidden="1">{#N/A,#N/A,FALSE,"단축1";#N/A,#N/A,FALSE,"단축2";#N/A,#N/A,FALSE,"단축3";#N/A,#N/A,FALSE,"장축";#N/A,#N/A,FALSE,"4WD"}</definedName>
    <definedName name="ddd_1_3" localSheetId="26" hidden="1">{#N/A,#N/A,FALSE,"단축1";#N/A,#N/A,FALSE,"단축2";#N/A,#N/A,FALSE,"단축3";#N/A,#N/A,FALSE,"장축";#N/A,#N/A,FALSE,"4WD"}</definedName>
    <definedName name="ddd_1_3" localSheetId="0" hidden="1">{#N/A,#N/A,FALSE,"단축1";#N/A,#N/A,FALSE,"단축2";#N/A,#N/A,FALSE,"단축3";#N/A,#N/A,FALSE,"장축";#N/A,#N/A,FALSE,"4WD"}</definedName>
    <definedName name="ddd_1_3" hidden="1">{#N/A,#N/A,FALSE,"단축1";#N/A,#N/A,FALSE,"단축2";#N/A,#N/A,FALSE,"단축3";#N/A,#N/A,FALSE,"장축";#N/A,#N/A,FALSE,"4WD"}</definedName>
    <definedName name="ddd_2" localSheetId="26" hidden="1">{#N/A,#N/A,FALSE,"단축1";#N/A,#N/A,FALSE,"단축2";#N/A,#N/A,FALSE,"단축3";#N/A,#N/A,FALSE,"장축";#N/A,#N/A,FALSE,"4WD"}</definedName>
    <definedName name="ddd_2" localSheetId="0" hidden="1">{#N/A,#N/A,FALSE,"단축1";#N/A,#N/A,FALSE,"단축2";#N/A,#N/A,FALSE,"단축3";#N/A,#N/A,FALSE,"장축";#N/A,#N/A,FALSE,"4WD"}</definedName>
    <definedName name="ddd_2" hidden="1">{#N/A,#N/A,FALSE,"단축1";#N/A,#N/A,FALSE,"단축2";#N/A,#N/A,FALSE,"단축3";#N/A,#N/A,FALSE,"장축";#N/A,#N/A,FALSE,"4WD"}</definedName>
    <definedName name="ddd_2_1" localSheetId="26" hidden="1">{#N/A,#N/A,FALSE,"단축1";#N/A,#N/A,FALSE,"단축2";#N/A,#N/A,FALSE,"단축3";#N/A,#N/A,FALSE,"장축";#N/A,#N/A,FALSE,"4WD"}</definedName>
    <definedName name="ddd_2_1" localSheetId="0" hidden="1">{#N/A,#N/A,FALSE,"단축1";#N/A,#N/A,FALSE,"단축2";#N/A,#N/A,FALSE,"단축3";#N/A,#N/A,FALSE,"장축";#N/A,#N/A,FALSE,"4WD"}</definedName>
    <definedName name="ddd_2_1" hidden="1">{#N/A,#N/A,FALSE,"단축1";#N/A,#N/A,FALSE,"단축2";#N/A,#N/A,FALSE,"단축3";#N/A,#N/A,FALSE,"장축";#N/A,#N/A,FALSE,"4WD"}</definedName>
    <definedName name="ddd_2_2" localSheetId="26" hidden="1">{#N/A,#N/A,FALSE,"단축1";#N/A,#N/A,FALSE,"단축2";#N/A,#N/A,FALSE,"단축3";#N/A,#N/A,FALSE,"장축";#N/A,#N/A,FALSE,"4WD"}</definedName>
    <definedName name="ddd_2_2" localSheetId="0" hidden="1">{#N/A,#N/A,FALSE,"단축1";#N/A,#N/A,FALSE,"단축2";#N/A,#N/A,FALSE,"단축3";#N/A,#N/A,FALSE,"장축";#N/A,#N/A,FALSE,"4WD"}</definedName>
    <definedName name="ddd_2_2" hidden="1">{#N/A,#N/A,FALSE,"단축1";#N/A,#N/A,FALSE,"단축2";#N/A,#N/A,FALSE,"단축3";#N/A,#N/A,FALSE,"장축";#N/A,#N/A,FALSE,"4WD"}</definedName>
    <definedName name="ddd_3" localSheetId="26" hidden="1">{#N/A,#N/A,FALSE,"단축1";#N/A,#N/A,FALSE,"단축2";#N/A,#N/A,FALSE,"단축3";#N/A,#N/A,FALSE,"장축";#N/A,#N/A,FALSE,"4WD"}</definedName>
    <definedName name="ddd_3" localSheetId="0" hidden="1">{#N/A,#N/A,FALSE,"단축1";#N/A,#N/A,FALSE,"단축2";#N/A,#N/A,FALSE,"단축3";#N/A,#N/A,FALSE,"장축";#N/A,#N/A,FALSE,"4WD"}</definedName>
    <definedName name="ddd_3" hidden="1">{#N/A,#N/A,FALSE,"단축1";#N/A,#N/A,FALSE,"단축2";#N/A,#N/A,FALSE,"단축3";#N/A,#N/A,FALSE,"장축";#N/A,#N/A,FALSE,"4WD"}</definedName>
    <definedName name="ddd_4" localSheetId="26" hidden="1">{#N/A,#N/A,FALSE,"단축1";#N/A,#N/A,FALSE,"단축2";#N/A,#N/A,FALSE,"단축3";#N/A,#N/A,FALSE,"장축";#N/A,#N/A,FALSE,"4WD"}</definedName>
    <definedName name="ddd_4" localSheetId="0" hidden="1">{#N/A,#N/A,FALSE,"단축1";#N/A,#N/A,FALSE,"단축2";#N/A,#N/A,FALSE,"단축3";#N/A,#N/A,FALSE,"장축";#N/A,#N/A,FALSE,"4WD"}</definedName>
    <definedName name="ddd_4" hidden="1">{#N/A,#N/A,FALSE,"단축1";#N/A,#N/A,FALSE,"단축2";#N/A,#N/A,FALSE,"단축3";#N/A,#N/A,FALSE,"장축";#N/A,#N/A,FALSE,"4WD"}</definedName>
    <definedName name="ddd_5" localSheetId="26" hidden="1">{#N/A,#N/A,FALSE,"단축1";#N/A,#N/A,FALSE,"단축2";#N/A,#N/A,FALSE,"단축3";#N/A,#N/A,FALSE,"장축";#N/A,#N/A,FALSE,"4WD"}</definedName>
    <definedName name="ddd_5" localSheetId="0" hidden="1">{#N/A,#N/A,FALSE,"단축1";#N/A,#N/A,FALSE,"단축2";#N/A,#N/A,FALSE,"단축3";#N/A,#N/A,FALSE,"장축";#N/A,#N/A,FALSE,"4WD"}</definedName>
    <definedName name="ddd_5" hidden="1">{#N/A,#N/A,FALSE,"단축1";#N/A,#N/A,FALSE,"단축2";#N/A,#N/A,FALSE,"단축3";#N/A,#N/A,FALSE,"장축";#N/A,#N/A,FALSE,"4WD"}</definedName>
    <definedName name="DDDDD" localSheetId="26" hidden="1">{#N/A,#N/A,FALSE,"단축1";#N/A,#N/A,FALSE,"단축2";#N/A,#N/A,FALSE,"단축3";#N/A,#N/A,FALSE,"장축";#N/A,#N/A,FALSE,"4WD"}</definedName>
    <definedName name="DDDDD" localSheetId="0" hidden="1">{#N/A,#N/A,FALSE,"단축1";#N/A,#N/A,FALSE,"단축2";#N/A,#N/A,FALSE,"단축3";#N/A,#N/A,FALSE,"장축";#N/A,#N/A,FALSE,"4WD"}</definedName>
    <definedName name="DDDDD" hidden="1">{#N/A,#N/A,FALSE,"단축1";#N/A,#N/A,FALSE,"단축2";#N/A,#N/A,FALSE,"단축3";#N/A,#N/A,FALSE,"장축";#N/A,#N/A,FALSE,"4WD"}</definedName>
    <definedName name="DDDDD_1" localSheetId="26" hidden="1">{#N/A,#N/A,FALSE,"단축1";#N/A,#N/A,FALSE,"단축2";#N/A,#N/A,FALSE,"단축3";#N/A,#N/A,FALSE,"장축";#N/A,#N/A,FALSE,"4WD"}</definedName>
    <definedName name="DDDDD_1" localSheetId="0" hidden="1">{#N/A,#N/A,FALSE,"단축1";#N/A,#N/A,FALSE,"단축2";#N/A,#N/A,FALSE,"단축3";#N/A,#N/A,FALSE,"장축";#N/A,#N/A,FALSE,"4WD"}</definedName>
    <definedName name="DDDDD_1" hidden="1">{#N/A,#N/A,FALSE,"단축1";#N/A,#N/A,FALSE,"단축2";#N/A,#N/A,FALSE,"단축3";#N/A,#N/A,FALSE,"장축";#N/A,#N/A,FALSE,"4WD"}</definedName>
    <definedName name="DDDDD_1_1" localSheetId="26" hidden="1">{#N/A,#N/A,FALSE,"단축1";#N/A,#N/A,FALSE,"단축2";#N/A,#N/A,FALSE,"단축3";#N/A,#N/A,FALSE,"장축";#N/A,#N/A,FALSE,"4WD"}</definedName>
    <definedName name="DDDDD_1_1" localSheetId="0" hidden="1">{#N/A,#N/A,FALSE,"단축1";#N/A,#N/A,FALSE,"단축2";#N/A,#N/A,FALSE,"단축3";#N/A,#N/A,FALSE,"장축";#N/A,#N/A,FALSE,"4WD"}</definedName>
    <definedName name="DDDDD_1_1" hidden="1">{#N/A,#N/A,FALSE,"단축1";#N/A,#N/A,FALSE,"단축2";#N/A,#N/A,FALSE,"단축3";#N/A,#N/A,FALSE,"장축";#N/A,#N/A,FALSE,"4WD"}</definedName>
    <definedName name="DDDDD_1_2" localSheetId="26" hidden="1">{#N/A,#N/A,FALSE,"단축1";#N/A,#N/A,FALSE,"단축2";#N/A,#N/A,FALSE,"단축3";#N/A,#N/A,FALSE,"장축";#N/A,#N/A,FALSE,"4WD"}</definedName>
    <definedName name="DDDDD_1_2" localSheetId="0" hidden="1">{#N/A,#N/A,FALSE,"단축1";#N/A,#N/A,FALSE,"단축2";#N/A,#N/A,FALSE,"단축3";#N/A,#N/A,FALSE,"장축";#N/A,#N/A,FALSE,"4WD"}</definedName>
    <definedName name="DDDDD_1_2" hidden="1">{#N/A,#N/A,FALSE,"단축1";#N/A,#N/A,FALSE,"단축2";#N/A,#N/A,FALSE,"단축3";#N/A,#N/A,FALSE,"장축";#N/A,#N/A,FALSE,"4WD"}</definedName>
    <definedName name="DDDDD_1_3" localSheetId="26" hidden="1">{#N/A,#N/A,FALSE,"단축1";#N/A,#N/A,FALSE,"단축2";#N/A,#N/A,FALSE,"단축3";#N/A,#N/A,FALSE,"장축";#N/A,#N/A,FALSE,"4WD"}</definedName>
    <definedName name="DDDDD_1_3" localSheetId="0" hidden="1">{#N/A,#N/A,FALSE,"단축1";#N/A,#N/A,FALSE,"단축2";#N/A,#N/A,FALSE,"단축3";#N/A,#N/A,FALSE,"장축";#N/A,#N/A,FALSE,"4WD"}</definedName>
    <definedName name="DDDDD_1_3" hidden="1">{#N/A,#N/A,FALSE,"단축1";#N/A,#N/A,FALSE,"단축2";#N/A,#N/A,FALSE,"단축3";#N/A,#N/A,FALSE,"장축";#N/A,#N/A,FALSE,"4WD"}</definedName>
    <definedName name="DDDDD_2" localSheetId="26" hidden="1">{#N/A,#N/A,FALSE,"단축1";#N/A,#N/A,FALSE,"단축2";#N/A,#N/A,FALSE,"단축3";#N/A,#N/A,FALSE,"장축";#N/A,#N/A,FALSE,"4WD"}</definedName>
    <definedName name="DDDDD_2" localSheetId="0" hidden="1">{#N/A,#N/A,FALSE,"단축1";#N/A,#N/A,FALSE,"단축2";#N/A,#N/A,FALSE,"단축3";#N/A,#N/A,FALSE,"장축";#N/A,#N/A,FALSE,"4WD"}</definedName>
    <definedName name="DDDDD_2" hidden="1">{#N/A,#N/A,FALSE,"단축1";#N/A,#N/A,FALSE,"단축2";#N/A,#N/A,FALSE,"단축3";#N/A,#N/A,FALSE,"장축";#N/A,#N/A,FALSE,"4WD"}</definedName>
    <definedName name="DDDDD_2_1" localSheetId="26" hidden="1">{#N/A,#N/A,FALSE,"단축1";#N/A,#N/A,FALSE,"단축2";#N/A,#N/A,FALSE,"단축3";#N/A,#N/A,FALSE,"장축";#N/A,#N/A,FALSE,"4WD"}</definedName>
    <definedName name="DDDDD_2_1" localSheetId="0" hidden="1">{#N/A,#N/A,FALSE,"단축1";#N/A,#N/A,FALSE,"단축2";#N/A,#N/A,FALSE,"단축3";#N/A,#N/A,FALSE,"장축";#N/A,#N/A,FALSE,"4WD"}</definedName>
    <definedName name="DDDDD_2_1" hidden="1">{#N/A,#N/A,FALSE,"단축1";#N/A,#N/A,FALSE,"단축2";#N/A,#N/A,FALSE,"단축3";#N/A,#N/A,FALSE,"장축";#N/A,#N/A,FALSE,"4WD"}</definedName>
    <definedName name="DDDDD_2_2" localSheetId="26" hidden="1">{#N/A,#N/A,FALSE,"단축1";#N/A,#N/A,FALSE,"단축2";#N/A,#N/A,FALSE,"단축3";#N/A,#N/A,FALSE,"장축";#N/A,#N/A,FALSE,"4WD"}</definedName>
    <definedName name="DDDDD_2_2" localSheetId="0" hidden="1">{#N/A,#N/A,FALSE,"단축1";#N/A,#N/A,FALSE,"단축2";#N/A,#N/A,FALSE,"단축3";#N/A,#N/A,FALSE,"장축";#N/A,#N/A,FALSE,"4WD"}</definedName>
    <definedName name="DDDDD_2_2" hidden="1">{#N/A,#N/A,FALSE,"단축1";#N/A,#N/A,FALSE,"단축2";#N/A,#N/A,FALSE,"단축3";#N/A,#N/A,FALSE,"장축";#N/A,#N/A,FALSE,"4WD"}</definedName>
    <definedName name="DDDDD_3" localSheetId="26" hidden="1">{#N/A,#N/A,FALSE,"단축1";#N/A,#N/A,FALSE,"단축2";#N/A,#N/A,FALSE,"단축3";#N/A,#N/A,FALSE,"장축";#N/A,#N/A,FALSE,"4WD"}</definedName>
    <definedName name="DDDDD_3" localSheetId="0" hidden="1">{#N/A,#N/A,FALSE,"단축1";#N/A,#N/A,FALSE,"단축2";#N/A,#N/A,FALSE,"단축3";#N/A,#N/A,FALSE,"장축";#N/A,#N/A,FALSE,"4WD"}</definedName>
    <definedName name="DDDDD_3" hidden="1">{#N/A,#N/A,FALSE,"단축1";#N/A,#N/A,FALSE,"단축2";#N/A,#N/A,FALSE,"단축3";#N/A,#N/A,FALSE,"장축";#N/A,#N/A,FALSE,"4WD"}</definedName>
    <definedName name="DDDDD_4" localSheetId="26" hidden="1">{#N/A,#N/A,FALSE,"단축1";#N/A,#N/A,FALSE,"단축2";#N/A,#N/A,FALSE,"단축3";#N/A,#N/A,FALSE,"장축";#N/A,#N/A,FALSE,"4WD"}</definedName>
    <definedName name="DDDDD_4" localSheetId="0" hidden="1">{#N/A,#N/A,FALSE,"단축1";#N/A,#N/A,FALSE,"단축2";#N/A,#N/A,FALSE,"단축3";#N/A,#N/A,FALSE,"장축";#N/A,#N/A,FALSE,"4WD"}</definedName>
    <definedName name="DDDDD_4" hidden="1">{#N/A,#N/A,FALSE,"단축1";#N/A,#N/A,FALSE,"단축2";#N/A,#N/A,FALSE,"단축3";#N/A,#N/A,FALSE,"장축";#N/A,#N/A,FALSE,"4WD"}</definedName>
    <definedName name="DDDDD_5" localSheetId="26" hidden="1">{#N/A,#N/A,FALSE,"단축1";#N/A,#N/A,FALSE,"단축2";#N/A,#N/A,FALSE,"단축3";#N/A,#N/A,FALSE,"장축";#N/A,#N/A,FALSE,"4WD"}</definedName>
    <definedName name="DDDDD_5" localSheetId="0" hidden="1">{#N/A,#N/A,FALSE,"단축1";#N/A,#N/A,FALSE,"단축2";#N/A,#N/A,FALSE,"단축3";#N/A,#N/A,FALSE,"장축";#N/A,#N/A,FALSE,"4WD"}</definedName>
    <definedName name="DDDDD_5" hidden="1">{#N/A,#N/A,FALSE,"단축1";#N/A,#N/A,FALSE,"단축2";#N/A,#N/A,FALSE,"단축3";#N/A,#N/A,FALSE,"장축";#N/A,#N/A,FALSE,"4WD"}</definedName>
    <definedName name="dddddddd" localSheetId="16">#REF!</definedName>
    <definedName name="dddddddd">#REF!</definedName>
    <definedName name="DDS" localSheetId="26" hidden="1">{#N/A,#N/A,FALSE,"을지 (4)";#N/A,#N/A,FALSE,"을지 (5)";#N/A,#N/A,FALSE,"을지 (6)"}</definedName>
    <definedName name="DDS" localSheetId="0" hidden="1">{#N/A,#N/A,FALSE,"을지 (4)";#N/A,#N/A,FALSE,"을지 (5)";#N/A,#N/A,FALSE,"을지 (6)"}</definedName>
    <definedName name="DDS" hidden="1">{#N/A,#N/A,FALSE,"을지 (4)";#N/A,#N/A,FALSE,"을지 (5)";#N/A,#N/A,FALSE,"을지 (6)"}</definedName>
    <definedName name="DDS_1" localSheetId="26" hidden="1">{#N/A,#N/A,FALSE,"을지 (4)";#N/A,#N/A,FALSE,"을지 (5)";#N/A,#N/A,FALSE,"을지 (6)"}</definedName>
    <definedName name="DDS_1" localSheetId="0" hidden="1">{#N/A,#N/A,FALSE,"을지 (4)";#N/A,#N/A,FALSE,"을지 (5)";#N/A,#N/A,FALSE,"을지 (6)"}</definedName>
    <definedName name="DDS_1" hidden="1">{#N/A,#N/A,FALSE,"을지 (4)";#N/A,#N/A,FALSE,"을지 (5)";#N/A,#N/A,FALSE,"을지 (6)"}</definedName>
    <definedName name="DDS_1_1" localSheetId="26" hidden="1">{#N/A,#N/A,FALSE,"을지 (4)";#N/A,#N/A,FALSE,"을지 (5)";#N/A,#N/A,FALSE,"을지 (6)"}</definedName>
    <definedName name="DDS_1_1" localSheetId="0" hidden="1">{#N/A,#N/A,FALSE,"을지 (4)";#N/A,#N/A,FALSE,"을지 (5)";#N/A,#N/A,FALSE,"을지 (6)"}</definedName>
    <definedName name="DDS_1_1" hidden="1">{#N/A,#N/A,FALSE,"을지 (4)";#N/A,#N/A,FALSE,"을지 (5)";#N/A,#N/A,FALSE,"을지 (6)"}</definedName>
    <definedName name="DDS_1_2" localSheetId="26" hidden="1">{#N/A,#N/A,FALSE,"을지 (4)";#N/A,#N/A,FALSE,"을지 (5)";#N/A,#N/A,FALSE,"을지 (6)"}</definedName>
    <definedName name="DDS_1_2" localSheetId="0" hidden="1">{#N/A,#N/A,FALSE,"을지 (4)";#N/A,#N/A,FALSE,"을지 (5)";#N/A,#N/A,FALSE,"을지 (6)"}</definedName>
    <definedName name="DDS_1_2" hidden="1">{#N/A,#N/A,FALSE,"을지 (4)";#N/A,#N/A,FALSE,"을지 (5)";#N/A,#N/A,FALSE,"을지 (6)"}</definedName>
    <definedName name="DDS_1_3" localSheetId="26" hidden="1">{#N/A,#N/A,FALSE,"을지 (4)";#N/A,#N/A,FALSE,"을지 (5)";#N/A,#N/A,FALSE,"을지 (6)"}</definedName>
    <definedName name="DDS_1_3" localSheetId="0" hidden="1">{#N/A,#N/A,FALSE,"을지 (4)";#N/A,#N/A,FALSE,"을지 (5)";#N/A,#N/A,FALSE,"을지 (6)"}</definedName>
    <definedName name="DDS_1_3" hidden="1">{#N/A,#N/A,FALSE,"을지 (4)";#N/A,#N/A,FALSE,"을지 (5)";#N/A,#N/A,FALSE,"을지 (6)"}</definedName>
    <definedName name="DDS_2" localSheetId="26" hidden="1">{#N/A,#N/A,FALSE,"을지 (4)";#N/A,#N/A,FALSE,"을지 (5)";#N/A,#N/A,FALSE,"을지 (6)"}</definedName>
    <definedName name="DDS_2" localSheetId="0" hidden="1">{#N/A,#N/A,FALSE,"을지 (4)";#N/A,#N/A,FALSE,"을지 (5)";#N/A,#N/A,FALSE,"을지 (6)"}</definedName>
    <definedName name="DDS_2" hidden="1">{#N/A,#N/A,FALSE,"을지 (4)";#N/A,#N/A,FALSE,"을지 (5)";#N/A,#N/A,FALSE,"을지 (6)"}</definedName>
    <definedName name="DDS_2_1" localSheetId="26" hidden="1">{#N/A,#N/A,FALSE,"을지 (4)";#N/A,#N/A,FALSE,"을지 (5)";#N/A,#N/A,FALSE,"을지 (6)"}</definedName>
    <definedName name="DDS_2_1" localSheetId="0" hidden="1">{#N/A,#N/A,FALSE,"을지 (4)";#N/A,#N/A,FALSE,"을지 (5)";#N/A,#N/A,FALSE,"을지 (6)"}</definedName>
    <definedName name="DDS_2_1" hidden="1">{#N/A,#N/A,FALSE,"을지 (4)";#N/A,#N/A,FALSE,"을지 (5)";#N/A,#N/A,FALSE,"을지 (6)"}</definedName>
    <definedName name="DDS_2_2" localSheetId="26" hidden="1">{#N/A,#N/A,FALSE,"을지 (4)";#N/A,#N/A,FALSE,"을지 (5)";#N/A,#N/A,FALSE,"을지 (6)"}</definedName>
    <definedName name="DDS_2_2" localSheetId="0" hidden="1">{#N/A,#N/A,FALSE,"을지 (4)";#N/A,#N/A,FALSE,"을지 (5)";#N/A,#N/A,FALSE,"을지 (6)"}</definedName>
    <definedName name="DDS_2_2" hidden="1">{#N/A,#N/A,FALSE,"을지 (4)";#N/A,#N/A,FALSE,"을지 (5)";#N/A,#N/A,FALSE,"을지 (6)"}</definedName>
    <definedName name="DDS_3" localSheetId="26" hidden="1">{#N/A,#N/A,FALSE,"을지 (4)";#N/A,#N/A,FALSE,"을지 (5)";#N/A,#N/A,FALSE,"을지 (6)"}</definedName>
    <definedName name="DDS_3" localSheetId="0" hidden="1">{#N/A,#N/A,FALSE,"을지 (4)";#N/A,#N/A,FALSE,"을지 (5)";#N/A,#N/A,FALSE,"을지 (6)"}</definedName>
    <definedName name="DDS_3" hidden="1">{#N/A,#N/A,FALSE,"을지 (4)";#N/A,#N/A,FALSE,"을지 (5)";#N/A,#N/A,FALSE,"을지 (6)"}</definedName>
    <definedName name="DDS_4" localSheetId="26" hidden="1">{#N/A,#N/A,FALSE,"을지 (4)";#N/A,#N/A,FALSE,"을지 (5)";#N/A,#N/A,FALSE,"을지 (6)"}</definedName>
    <definedName name="DDS_4" localSheetId="0" hidden="1">{#N/A,#N/A,FALSE,"을지 (4)";#N/A,#N/A,FALSE,"을지 (5)";#N/A,#N/A,FALSE,"을지 (6)"}</definedName>
    <definedName name="DDS_4" hidden="1">{#N/A,#N/A,FALSE,"을지 (4)";#N/A,#N/A,FALSE,"을지 (5)";#N/A,#N/A,FALSE,"을지 (6)"}</definedName>
    <definedName name="DDS_5" localSheetId="26" hidden="1">{#N/A,#N/A,FALSE,"을지 (4)";#N/A,#N/A,FALSE,"을지 (5)";#N/A,#N/A,FALSE,"을지 (6)"}</definedName>
    <definedName name="DDS_5" localSheetId="0" hidden="1">{#N/A,#N/A,FALSE,"을지 (4)";#N/A,#N/A,FALSE,"을지 (5)";#N/A,#N/A,FALSE,"을지 (6)"}</definedName>
    <definedName name="DDS_5" hidden="1">{#N/A,#N/A,FALSE,"을지 (4)";#N/A,#N/A,FALSE,"을지 (5)";#N/A,#N/A,FALSE,"을지 (6)"}</definedName>
    <definedName name="DEMeXToEUR" localSheetId="9" hidden="1">1/EUReXToDEM</definedName>
    <definedName name="DEMeXToEUR" localSheetId="1" hidden="1">1/EUReXToDEM</definedName>
    <definedName name="DEMeXToEUR" localSheetId="26" hidden="1">1/EUReXToDEM</definedName>
    <definedName name="DEMeXToEUR" localSheetId="21" hidden="1">1/EUReXToDEM</definedName>
    <definedName name="DEMeXToEUR" localSheetId="3" hidden="1">1/EUReXToDEM</definedName>
    <definedName name="DEMeXToEUR" localSheetId="28" hidden="1">1/EUReXToDEM</definedName>
    <definedName name="DEMeXToEUR" localSheetId="27" hidden="1">1/EUReXToDEM</definedName>
    <definedName name="DEMeXToEUR" localSheetId="0" hidden="1">1/EUReXToDEM</definedName>
    <definedName name="DEMeXToEUR" hidden="1">1/EUReXToDEM</definedName>
    <definedName name="DFF" localSheetId="26" hidden="1">{#N/A,#N/A,FALSE,"단축1";#N/A,#N/A,FALSE,"단축2";#N/A,#N/A,FALSE,"단축3";#N/A,#N/A,FALSE,"장축";#N/A,#N/A,FALSE,"4WD"}</definedName>
    <definedName name="DFF" localSheetId="0" hidden="1">{#N/A,#N/A,FALSE,"단축1";#N/A,#N/A,FALSE,"단축2";#N/A,#N/A,FALSE,"단축3";#N/A,#N/A,FALSE,"장축";#N/A,#N/A,FALSE,"4WD"}</definedName>
    <definedName name="DFF" hidden="1">{#N/A,#N/A,FALSE,"단축1";#N/A,#N/A,FALSE,"단축2";#N/A,#N/A,FALSE,"단축3";#N/A,#N/A,FALSE,"장축";#N/A,#N/A,FALSE,"4WD"}</definedName>
    <definedName name="DFF_1" localSheetId="26" hidden="1">{#N/A,#N/A,FALSE,"단축1";#N/A,#N/A,FALSE,"단축2";#N/A,#N/A,FALSE,"단축3";#N/A,#N/A,FALSE,"장축";#N/A,#N/A,FALSE,"4WD"}</definedName>
    <definedName name="DFF_1" localSheetId="0" hidden="1">{#N/A,#N/A,FALSE,"단축1";#N/A,#N/A,FALSE,"단축2";#N/A,#N/A,FALSE,"단축3";#N/A,#N/A,FALSE,"장축";#N/A,#N/A,FALSE,"4WD"}</definedName>
    <definedName name="DFF_1" hidden="1">{#N/A,#N/A,FALSE,"단축1";#N/A,#N/A,FALSE,"단축2";#N/A,#N/A,FALSE,"단축3";#N/A,#N/A,FALSE,"장축";#N/A,#N/A,FALSE,"4WD"}</definedName>
    <definedName name="DFF_1_1" localSheetId="26" hidden="1">{#N/A,#N/A,FALSE,"단축1";#N/A,#N/A,FALSE,"단축2";#N/A,#N/A,FALSE,"단축3";#N/A,#N/A,FALSE,"장축";#N/A,#N/A,FALSE,"4WD"}</definedName>
    <definedName name="DFF_1_1" localSheetId="0" hidden="1">{#N/A,#N/A,FALSE,"단축1";#N/A,#N/A,FALSE,"단축2";#N/A,#N/A,FALSE,"단축3";#N/A,#N/A,FALSE,"장축";#N/A,#N/A,FALSE,"4WD"}</definedName>
    <definedName name="DFF_1_1" hidden="1">{#N/A,#N/A,FALSE,"단축1";#N/A,#N/A,FALSE,"단축2";#N/A,#N/A,FALSE,"단축3";#N/A,#N/A,FALSE,"장축";#N/A,#N/A,FALSE,"4WD"}</definedName>
    <definedName name="DFF_1_2" localSheetId="26" hidden="1">{#N/A,#N/A,FALSE,"단축1";#N/A,#N/A,FALSE,"단축2";#N/A,#N/A,FALSE,"단축3";#N/A,#N/A,FALSE,"장축";#N/A,#N/A,FALSE,"4WD"}</definedName>
    <definedName name="DFF_1_2" localSheetId="0" hidden="1">{#N/A,#N/A,FALSE,"단축1";#N/A,#N/A,FALSE,"단축2";#N/A,#N/A,FALSE,"단축3";#N/A,#N/A,FALSE,"장축";#N/A,#N/A,FALSE,"4WD"}</definedName>
    <definedName name="DFF_1_2" hidden="1">{#N/A,#N/A,FALSE,"단축1";#N/A,#N/A,FALSE,"단축2";#N/A,#N/A,FALSE,"단축3";#N/A,#N/A,FALSE,"장축";#N/A,#N/A,FALSE,"4WD"}</definedName>
    <definedName name="DFF_1_3" localSheetId="26" hidden="1">{#N/A,#N/A,FALSE,"단축1";#N/A,#N/A,FALSE,"단축2";#N/A,#N/A,FALSE,"단축3";#N/A,#N/A,FALSE,"장축";#N/A,#N/A,FALSE,"4WD"}</definedName>
    <definedName name="DFF_1_3" localSheetId="0" hidden="1">{#N/A,#N/A,FALSE,"단축1";#N/A,#N/A,FALSE,"단축2";#N/A,#N/A,FALSE,"단축3";#N/A,#N/A,FALSE,"장축";#N/A,#N/A,FALSE,"4WD"}</definedName>
    <definedName name="DFF_1_3" hidden="1">{#N/A,#N/A,FALSE,"단축1";#N/A,#N/A,FALSE,"단축2";#N/A,#N/A,FALSE,"단축3";#N/A,#N/A,FALSE,"장축";#N/A,#N/A,FALSE,"4WD"}</definedName>
    <definedName name="DFF_2" localSheetId="26" hidden="1">{#N/A,#N/A,FALSE,"단축1";#N/A,#N/A,FALSE,"단축2";#N/A,#N/A,FALSE,"단축3";#N/A,#N/A,FALSE,"장축";#N/A,#N/A,FALSE,"4WD"}</definedName>
    <definedName name="DFF_2" localSheetId="0" hidden="1">{#N/A,#N/A,FALSE,"단축1";#N/A,#N/A,FALSE,"단축2";#N/A,#N/A,FALSE,"단축3";#N/A,#N/A,FALSE,"장축";#N/A,#N/A,FALSE,"4WD"}</definedName>
    <definedName name="DFF_2" hidden="1">{#N/A,#N/A,FALSE,"단축1";#N/A,#N/A,FALSE,"단축2";#N/A,#N/A,FALSE,"단축3";#N/A,#N/A,FALSE,"장축";#N/A,#N/A,FALSE,"4WD"}</definedName>
    <definedName name="DFF_2_1" localSheetId="26" hidden="1">{#N/A,#N/A,FALSE,"단축1";#N/A,#N/A,FALSE,"단축2";#N/A,#N/A,FALSE,"단축3";#N/A,#N/A,FALSE,"장축";#N/A,#N/A,FALSE,"4WD"}</definedName>
    <definedName name="DFF_2_1" localSheetId="0" hidden="1">{#N/A,#N/A,FALSE,"단축1";#N/A,#N/A,FALSE,"단축2";#N/A,#N/A,FALSE,"단축3";#N/A,#N/A,FALSE,"장축";#N/A,#N/A,FALSE,"4WD"}</definedName>
    <definedName name="DFF_2_1" hidden="1">{#N/A,#N/A,FALSE,"단축1";#N/A,#N/A,FALSE,"단축2";#N/A,#N/A,FALSE,"단축3";#N/A,#N/A,FALSE,"장축";#N/A,#N/A,FALSE,"4WD"}</definedName>
    <definedName name="DFF_2_2" localSheetId="26" hidden="1">{#N/A,#N/A,FALSE,"단축1";#N/A,#N/A,FALSE,"단축2";#N/A,#N/A,FALSE,"단축3";#N/A,#N/A,FALSE,"장축";#N/A,#N/A,FALSE,"4WD"}</definedName>
    <definedName name="DFF_2_2" localSheetId="0" hidden="1">{#N/A,#N/A,FALSE,"단축1";#N/A,#N/A,FALSE,"단축2";#N/A,#N/A,FALSE,"단축3";#N/A,#N/A,FALSE,"장축";#N/A,#N/A,FALSE,"4WD"}</definedName>
    <definedName name="DFF_2_2" hidden="1">{#N/A,#N/A,FALSE,"단축1";#N/A,#N/A,FALSE,"단축2";#N/A,#N/A,FALSE,"단축3";#N/A,#N/A,FALSE,"장축";#N/A,#N/A,FALSE,"4WD"}</definedName>
    <definedName name="DFF_3" localSheetId="26" hidden="1">{#N/A,#N/A,FALSE,"단축1";#N/A,#N/A,FALSE,"단축2";#N/A,#N/A,FALSE,"단축3";#N/A,#N/A,FALSE,"장축";#N/A,#N/A,FALSE,"4WD"}</definedName>
    <definedName name="DFF_3" localSheetId="0" hidden="1">{#N/A,#N/A,FALSE,"단축1";#N/A,#N/A,FALSE,"단축2";#N/A,#N/A,FALSE,"단축3";#N/A,#N/A,FALSE,"장축";#N/A,#N/A,FALSE,"4WD"}</definedName>
    <definedName name="DFF_3" hidden="1">{#N/A,#N/A,FALSE,"단축1";#N/A,#N/A,FALSE,"단축2";#N/A,#N/A,FALSE,"단축3";#N/A,#N/A,FALSE,"장축";#N/A,#N/A,FALSE,"4WD"}</definedName>
    <definedName name="DFF_4" localSheetId="26" hidden="1">{#N/A,#N/A,FALSE,"단축1";#N/A,#N/A,FALSE,"단축2";#N/A,#N/A,FALSE,"단축3";#N/A,#N/A,FALSE,"장축";#N/A,#N/A,FALSE,"4WD"}</definedName>
    <definedName name="DFF_4" localSheetId="0" hidden="1">{#N/A,#N/A,FALSE,"단축1";#N/A,#N/A,FALSE,"단축2";#N/A,#N/A,FALSE,"단축3";#N/A,#N/A,FALSE,"장축";#N/A,#N/A,FALSE,"4WD"}</definedName>
    <definedName name="DFF_4" hidden="1">{#N/A,#N/A,FALSE,"단축1";#N/A,#N/A,FALSE,"단축2";#N/A,#N/A,FALSE,"단축3";#N/A,#N/A,FALSE,"장축";#N/A,#N/A,FALSE,"4WD"}</definedName>
    <definedName name="DFF_5" localSheetId="26" hidden="1">{#N/A,#N/A,FALSE,"단축1";#N/A,#N/A,FALSE,"단축2";#N/A,#N/A,FALSE,"단축3";#N/A,#N/A,FALSE,"장축";#N/A,#N/A,FALSE,"4WD"}</definedName>
    <definedName name="DFF_5" localSheetId="0" hidden="1">{#N/A,#N/A,FALSE,"단축1";#N/A,#N/A,FALSE,"단축2";#N/A,#N/A,FALSE,"단축3";#N/A,#N/A,FALSE,"장축";#N/A,#N/A,FALSE,"4WD"}</definedName>
    <definedName name="DFF_5" hidden="1">{#N/A,#N/A,FALSE,"단축1";#N/A,#N/A,FALSE,"단축2";#N/A,#N/A,FALSE,"단축3";#N/A,#N/A,FALSE,"장축";#N/A,#N/A,FALSE,"4WD"}</definedName>
    <definedName name="dfgh" localSheetId="26" hidden="1">{#N/A,#N/A,FALSE,"196126-0690";#N/A,#N/A,FALSE,"196126-0690";#N/A,#N/A,FALSE,"1961165-0201"}</definedName>
    <definedName name="dfgh" localSheetId="0" hidden="1">{#N/A,#N/A,FALSE,"196126-0690";#N/A,#N/A,FALSE,"196126-0690";#N/A,#N/A,FALSE,"1961165-0201"}</definedName>
    <definedName name="dfgh" hidden="1">{#N/A,#N/A,FALSE,"196126-0690";#N/A,#N/A,FALSE,"196126-0690";#N/A,#N/A,FALSE,"1961165-0201"}</definedName>
    <definedName name="dfgh_1" localSheetId="26" hidden="1">{#N/A,#N/A,FALSE,"196126-0690";#N/A,#N/A,FALSE,"196126-0690";#N/A,#N/A,FALSE,"1961165-0201"}</definedName>
    <definedName name="dfgh_1" localSheetId="0" hidden="1">{#N/A,#N/A,FALSE,"196126-0690";#N/A,#N/A,FALSE,"196126-0690";#N/A,#N/A,FALSE,"1961165-0201"}</definedName>
    <definedName name="dfgh_1" hidden="1">{#N/A,#N/A,FALSE,"196126-0690";#N/A,#N/A,FALSE,"196126-0690";#N/A,#N/A,FALSE,"1961165-0201"}</definedName>
    <definedName name="dfgh_1_1" localSheetId="26" hidden="1">{#N/A,#N/A,FALSE,"196126-0690";#N/A,#N/A,FALSE,"196126-0690";#N/A,#N/A,FALSE,"1961165-0201"}</definedName>
    <definedName name="dfgh_1_1" localSheetId="0" hidden="1">{#N/A,#N/A,FALSE,"196126-0690";#N/A,#N/A,FALSE,"196126-0690";#N/A,#N/A,FALSE,"1961165-0201"}</definedName>
    <definedName name="dfgh_1_1" hidden="1">{#N/A,#N/A,FALSE,"196126-0690";#N/A,#N/A,FALSE,"196126-0690";#N/A,#N/A,FALSE,"1961165-0201"}</definedName>
    <definedName name="dfgh_1_2" localSheetId="26" hidden="1">{#N/A,#N/A,FALSE,"196126-0690";#N/A,#N/A,FALSE,"196126-0690";#N/A,#N/A,FALSE,"1961165-0201"}</definedName>
    <definedName name="dfgh_1_2" localSheetId="0" hidden="1">{#N/A,#N/A,FALSE,"196126-0690";#N/A,#N/A,FALSE,"196126-0690";#N/A,#N/A,FALSE,"1961165-0201"}</definedName>
    <definedName name="dfgh_1_2" hidden="1">{#N/A,#N/A,FALSE,"196126-0690";#N/A,#N/A,FALSE,"196126-0690";#N/A,#N/A,FALSE,"1961165-0201"}</definedName>
    <definedName name="dfgh_1_3" localSheetId="26" hidden="1">{#N/A,#N/A,FALSE,"196126-0690";#N/A,#N/A,FALSE,"196126-0690";#N/A,#N/A,FALSE,"1961165-0201"}</definedName>
    <definedName name="dfgh_1_3" localSheetId="0" hidden="1">{#N/A,#N/A,FALSE,"196126-0690";#N/A,#N/A,FALSE,"196126-0690";#N/A,#N/A,FALSE,"1961165-0201"}</definedName>
    <definedName name="dfgh_1_3" hidden="1">{#N/A,#N/A,FALSE,"196126-0690";#N/A,#N/A,FALSE,"196126-0690";#N/A,#N/A,FALSE,"1961165-0201"}</definedName>
    <definedName name="dfgh_2" localSheetId="26" hidden="1">{#N/A,#N/A,FALSE,"196126-0690";#N/A,#N/A,FALSE,"196126-0690";#N/A,#N/A,FALSE,"1961165-0201"}</definedName>
    <definedName name="dfgh_2" localSheetId="0" hidden="1">{#N/A,#N/A,FALSE,"196126-0690";#N/A,#N/A,FALSE,"196126-0690";#N/A,#N/A,FALSE,"1961165-0201"}</definedName>
    <definedName name="dfgh_2" hidden="1">{#N/A,#N/A,FALSE,"196126-0690";#N/A,#N/A,FALSE,"196126-0690";#N/A,#N/A,FALSE,"1961165-0201"}</definedName>
    <definedName name="dfgh_2_1" localSheetId="26" hidden="1">{#N/A,#N/A,FALSE,"196126-0690";#N/A,#N/A,FALSE,"196126-0690";#N/A,#N/A,FALSE,"1961165-0201"}</definedName>
    <definedName name="dfgh_2_1" localSheetId="0" hidden="1">{#N/A,#N/A,FALSE,"196126-0690";#N/A,#N/A,FALSE,"196126-0690";#N/A,#N/A,FALSE,"1961165-0201"}</definedName>
    <definedName name="dfgh_2_1" hidden="1">{#N/A,#N/A,FALSE,"196126-0690";#N/A,#N/A,FALSE,"196126-0690";#N/A,#N/A,FALSE,"1961165-0201"}</definedName>
    <definedName name="dfgh_2_2" localSheetId="26" hidden="1">{#N/A,#N/A,FALSE,"196126-0690";#N/A,#N/A,FALSE,"196126-0690";#N/A,#N/A,FALSE,"1961165-0201"}</definedName>
    <definedName name="dfgh_2_2" localSheetId="0" hidden="1">{#N/A,#N/A,FALSE,"196126-0690";#N/A,#N/A,FALSE,"196126-0690";#N/A,#N/A,FALSE,"1961165-0201"}</definedName>
    <definedName name="dfgh_2_2" hidden="1">{#N/A,#N/A,FALSE,"196126-0690";#N/A,#N/A,FALSE,"196126-0690";#N/A,#N/A,FALSE,"1961165-0201"}</definedName>
    <definedName name="dfgh_3" localSheetId="26" hidden="1">{#N/A,#N/A,FALSE,"196126-0690";#N/A,#N/A,FALSE,"196126-0690";#N/A,#N/A,FALSE,"1961165-0201"}</definedName>
    <definedName name="dfgh_3" localSheetId="0" hidden="1">{#N/A,#N/A,FALSE,"196126-0690";#N/A,#N/A,FALSE,"196126-0690";#N/A,#N/A,FALSE,"1961165-0201"}</definedName>
    <definedName name="dfgh_3" hidden="1">{#N/A,#N/A,FALSE,"196126-0690";#N/A,#N/A,FALSE,"196126-0690";#N/A,#N/A,FALSE,"1961165-0201"}</definedName>
    <definedName name="dfgh_4" localSheetId="26" hidden="1">{#N/A,#N/A,FALSE,"196126-0690";#N/A,#N/A,FALSE,"196126-0690";#N/A,#N/A,FALSE,"1961165-0201"}</definedName>
    <definedName name="dfgh_4" localSheetId="0" hidden="1">{#N/A,#N/A,FALSE,"196126-0690";#N/A,#N/A,FALSE,"196126-0690";#N/A,#N/A,FALSE,"1961165-0201"}</definedName>
    <definedName name="dfgh_4" hidden="1">{#N/A,#N/A,FALSE,"196126-0690";#N/A,#N/A,FALSE,"196126-0690";#N/A,#N/A,FALSE,"1961165-0201"}</definedName>
    <definedName name="dfgh_5" localSheetId="26" hidden="1">{#N/A,#N/A,FALSE,"196126-0690";#N/A,#N/A,FALSE,"196126-0690";#N/A,#N/A,FALSE,"1961165-0201"}</definedName>
    <definedName name="dfgh_5" localSheetId="0" hidden="1">{#N/A,#N/A,FALSE,"196126-0690";#N/A,#N/A,FALSE,"196126-0690";#N/A,#N/A,FALSE,"1961165-0201"}</definedName>
    <definedName name="dfgh_5" hidden="1">{#N/A,#N/A,FALSE,"196126-0690";#N/A,#N/A,FALSE,"196126-0690";#N/A,#N/A,FALSE,"1961165-0201"}</definedName>
    <definedName name="DFSDF" localSheetId="26" hidden="1">{"'Verr-enseig-ex'!$M$22:$M$23"}</definedName>
    <definedName name="DFSDF" localSheetId="0" hidden="1">{"'Verr-enseig-ex'!$M$22:$M$23"}</definedName>
    <definedName name="DFSDF" hidden="1">{"'Verr-enseig-ex'!$M$22:$M$23"}</definedName>
    <definedName name="DFSDF_1" localSheetId="26" hidden="1">{"'Verr-enseig-ex'!$M$22:$M$23"}</definedName>
    <definedName name="DFSDF_1" localSheetId="0" hidden="1">{"'Verr-enseig-ex'!$M$22:$M$23"}</definedName>
    <definedName name="DFSDF_1" hidden="1">{"'Verr-enseig-ex'!$M$22:$M$23"}</definedName>
    <definedName name="DFSDF_1_1" localSheetId="26" hidden="1">{"'Verr-enseig-ex'!$M$22:$M$23"}</definedName>
    <definedName name="DFSDF_1_1" localSheetId="0" hidden="1">{"'Verr-enseig-ex'!$M$22:$M$23"}</definedName>
    <definedName name="DFSDF_1_1" hidden="1">{"'Verr-enseig-ex'!$M$22:$M$23"}</definedName>
    <definedName name="DFSDF_1_2" localSheetId="26" hidden="1">{"'Verr-enseig-ex'!$M$22:$M$23"}</definedName>
    <definedName name="DFSDF_1_2" localSheetId="0" hidden="1">{"'Verr-enseig-ex'!$M$22:$M$23"}</definedName>
    <definedName name="DFSDF_1_2" hidden="1">{"'Verr-enseig-ex'!$M$22:$M$23"}</definedName>
    <definedName name="DFSDF_1_3" localSheetId="26" hidden="1">{"'Verr-enseig-ex'!$M$22:$M$23"}</definedName>
    <definedName name="DFSDF_1_3" localSheetId="0" hidden="1">{"'Verr-enseig-ex'!$M$22:$M$23"}</definedName>
    <definedName name="DFSDF_1_3" hidden="1">{"'Verr-enseig-ex'!$M$22:$M$23"}</definedName>
    <definedName name="DFSDF_2" localSheetId="26" hidden="1">{"'Verr-enseig-ex'!$M$22:$M$23"}</definedName>
    <definedName name="DFSDF_2" localSheetId="0" hidden="1">{"'Verr-enseig-ex'!$M$22:$M$23"}</definedName>
    <definedName name="DFSDF_2" hidden="1">{"'Verr-enseig-ex'!$M$22:$M$23"}</definedName>
    <definedName name="DFSDF_2_1" localSheetId="26" hidden="1">{"'Verr-enseig-ex'!$M$22:$M$23"}</definedName>
    <definedName name="DFSDF_2_1" localSheetId="0" hidden="1">{"'Verr-enseig-ex'!$M$22:$M$23"}</definedName>
    <definedName name="DFSDF_2_1" hidden="1">{"'Verr-enseig-ex'!$M$22:$M$23"}</definedName>
    <definedName name="DFSDF_2_2" localSheetId="26" hidden="1">{"'Verr-enseig-ex'!$M$22:$M$23"}</definedName>
    <definedName name="DFSDF_2_2" localSheetId="0" hidden="1">{"'Verr-enseig-ex'!$M$22:$M$23"}</definedName>
    <definedName name="DFSDF_2_2" hidden="1">{"'Verr-enseig-ex'!$M$22:$M$23"}</definedName>
    <definedName name="DFSDF_3" localSheetId="26" hidden="1">{"'Verr-enseig-ex'!$M$22:$M$23"}</definedName>
    <definedName name="DFSDF_3" localSheetId="0" hidden="1">{"'Verr-enseig-ex'!$M$22:$M$23"}</definedName>
    <definedName name="DFSDF_3" hidden="1">{"'Verr-enseig-ex'!$M$22:$M$23"}</definedName>
    <definedName name="DFSDF_4" localSheetId="26" hidden="1">{"'Verr-enseig-ex'!$M$22:$M$23"}</definedName>
    <definedName name="DFSDF_4" localSheetId="0" hidden="1">{"'Verr-enseig-ex'!$M$22:$M$23"}</definedName>
    <definedName name="DFSDF_4" hidden="1">{"'Verr-enseig-ex'!$M$22:$M$23"}</definedName>
    <definedName name="DFSDF_5" localSheetId="26" hidden="1">{"'Verr-enseig-ex'!$M$22:$M$23"}</definedName>
    <definedName name="DFSDF_5" localSheetId="0" hidden="1">{"'Verr-enseig-ex'!$M$22:$M$23"}</definedName>
    <definedName name="DFSDF_5" hidden="1">{"'Verr-enseig-ex'!$M$22:$M$23"}</definedName>
    <definedName name="dfvdf" localSheetId="9" hidden="1">[15]MOTO!#REF!</definedName>
    <definedName name="dfvdf" localSheetId="1" hidden="1">[15]MOTO!#REF!</definedName>
    <definedName name="dfvdf" localSheetId="26" hidden="1">[15]MOTO!#REF!</definedName>
    <definedName name="dfvdf" localSheetId="21" hidden="1">[15]MOTO!#REF!</definedName>
    <definedName name="dfvdf" localSheetId="3" hidden="1">[15]MOTO!#REF!</definedName>
    <definedName name="dfvdf" localSheetId="28" hidden="1">[15]MOTO!#REF!</definedName>
    <definedName name="dfvdf" localSheetId="27" hidden="1">[15]MOTO!#REF!</definedName>
    <definedName name="dfvdf" localSheetId="0" hidden="1">[15]MOTO!#REF!</definedName>
    <definedName name="dfvdf" hidden="1">[15]MOTO!#REF!</definedName>
    <definedName name="DIJS" localSheetId="26" hidden="1">{#N/A,#N/A,FALSE,"단축1";#N/A,#N/A,FALSE,"단축2";#N/A,#N/A,FALSE,"단축3";#N/A,#N/A,FALSE,"장축";#N/A,#N/A,FALSE,"4WD"}</definedName>
    <definedName name="DIJS" localSheetId="0" hidden="1">{#N/A,#N/A,FALSE,"단축1";#N/A,#N/A,FALSE,"단축2";#N/A,#N/A,FALSE,"단축3";#N/A,#N/A,FALSE,"장축";#N/A,#N/A,FALSE,"4WD"}</definedName>
    <definedName name="DIJS" hidden="1">{#N/A,#N/A,FALSE,"단축1";#N/A,#N/A,FALSE,"단축2";#N/A,#N/A,FALSE,"단축3";#N/A,#N/A,FALSE,"장축";#N/A,#N/A,FALSE,"4WD"}</definedName>
    <definedName name="DIJS_1" localSheetId="26" hidden="1">{#N/A,#N/A,FALSE,"단축1";#N/A,#N/A,FALSE,"단축2";#N/A,#N/A,FALSE,"단축3";#N/A,#N/A,FALSE,"장축";#N/A,#N/A,FALSE,"4WD"}</definedName>
    <definedName name="DIJS_1" localSheetId="0" hidden="1">{#N/A,#N/A,FALSE,"단축1";#N/A,#N/A,FALSE,"단축2";#N/A,#N/A,FALSE,"단축3";#N/A,#N/A,FALSE,"장축";#N/A,#N/A,FALSE,"4WD"}</definedName>
    <definedName name="DIJS_1" hidden="1">{#N/A,#N/A,FALSE,"단축1";#N/A,#N/A,FALSE,"단축2";#N/A,#N/A,FALSE,"단축3";#N/A,#N/A,FALSE,"장축";#N/A,#N/A,FALSE,"4WD"}</definedName>
    <definedName name="DIJS_1_1" localSheetId="26" hidden="1">{#N/A,#N/A,FALSE,"단축1";#N/A,#N/A,FALSE,"단축2";#N/A,#N/A,FALSE,"단축3";#N/A,#N/A,FALSE,"장축";#N/A,#N/A,FALSE,"4WD"}</definedName>
    <definedName name="DIJS_1_1" localSheetId="0" hidden="1">{#N/A,#N/A,FALSE,"단축1";#N/A,#N/A,FALSE,"단축2";#N/A,#N/A,FALSE,"단축3";#N/A,#N/A,FALSE,"장축";#N/A,#N/A,FALSE,"4WD"}</definedName>
    <definedName name="DIJS_1_1" hidden="1">{#N/A,#N/A,FALSE,"단축1";#N/A,#N/A,FALSE,"단축2";#N/A,#N/A,FALSE,"단축3";#N/A,#N/A,FALSE,"장축";#N/A,#N/A,FALSE,"4WD"}</definedName>
    <definedName name="DIJS_1_2" localSheetId="26" hidden="1">{#N/A,#N/A,FALSE,"단축1";#N/A,#N/A,FALSE,"단축2";#N/A,#N/A,FALSE,"단축3";#N/A,#N/A,FALSE,"장축";#N/A,#N/A,FALSE,"4WD"}</definedName>
    <definedName name="DIJS_1_2" localSheetId="0" hidden="1">{#N/A,#N/A,FALSE,"단축1";#N/A,#N/A,FALSE,"단축2";#N/A,#N/A,FALSE,"단축3";#N/A,#N/A,FALSE,"장축";#N/A,#N/A,FALSE,"4WD"}</definedName>
    <definedName name="DIJS_1_2" hidden="1">{#N/A,#N/A,FALSE,"단축1";#N/A,#N/A,FALSE,"단축2";#N/A,#N/A,FALSE,"단축3";#N/A,#N/A,FALSE,"장축";#N/A,#N/A,FALSE,"4WD"}</definedName>
    <definedName name="DIJS_1_3" localSheetId="26" hidden="1">{#N/A,#N/A,FALSE,"단축1";#N/A,#N/A,FALSE,"단축2";#N/A,#N/A,FALSE,"단축3";#N/A,#N/A,FALSE,"장축";#N/A,#N/A,FALSE,"4WD"}</definedName>
    <definedName name="DIJS_1_3" localSheetId="0" hidden="1">{#N/A,#N/A,FALSE,"단축1";#N/A,#N/A,FALSE,"단축2";#N/A,#N/A,FALSE,"단축3";#N/A,#N/A,FALSE,"장축";#N/A,#N/A,FALSE,"4WD"}</definedName>
    <definedName name="DIJS_1_3" hidden="1">{#N/A,#N/A,FALSE,"단축1";#N/A,#N/A,FALSE,"단축2";#N/A,#N/A,FALSE,"단축3";#N/A,#N/A,FALSE,"장축";#N/A,#N/A,FALSE,"4WD"}</definedName>
    <definedName name="DIJS_2" localSheetId="26" hidden="1">{#N/A,#N/A,FALSE,"단축1";#N/A,#N/A,FALSE,"단축2";#N/A,#N/A,FALSE,"단축3";#N/A,#N/A,FALSE,"장축";#N/A,#N/A,FALSE,"4WD"}</definedName>
    <definedName name="DIJS_2" localSheetId="0" hidden="1">{#N/A,#N/A,FALSE,"단축1";#N/A,#N/A,FALSE,"단축2";#N/A,#N/A,FALSE,"단축3";#N/A,#N/A,FALSE,"장축";#N/A,#N/A,FALSE,"4WD"}</definedName>
    <definedName name="DIJS_2" hidden="1">{#N/A,#N/A,FALSE,"단축1";#N/A,#N/A,FALSE,"단축2";#N/A,#N/A,FALSE,"단축3";#N/A,#N/A,FALSE,"장축";#N/A,#N/A,FALSE,"4WD"}</definedName>
    <definedName name="DIJS_2_1" localSheetId="26" hidden="1">{#N/A,#N/A,FALSE,"단축1";#N/A,#N/A,FALSE,"단축2";#N/A,#N/A,FALSE,"단축3";#N/A,#N/A,FALSE,"장축";#N/A,#N/A,FALSE,"4WD"}</definedName>
    <definedName name="DIJS_2_1" localSheetId="0" hidden="1">{#N/A,#N/A,FALSE,"단축1";#N/A,#N/A,FALSE,"단축2";#N/A,#N/A,FALSE,"단축3";#N/A,#N/A,FALSE,"장축";#N/A,#N/A,FALSE,"4WD"}</definedName>
    <definedName name="DIJS_2_1" hidden="1">{#N/A,#N/A,FALSE,"단축1";#N/A,#N/A,FALSE,"단축2";#N/A,#N/A,FALSE,"단축3";#N/A,#N/A,FALSE,"장축";#N/A,#N/A,FALSE,"4WD"}</definedName>
    <definedName name="DIJS_2_2" localSheetId="26" hidden="1">{#N/A,#N/A,FALSE,"단축1";#N/A,#N/A,FALSE,"단축2";#N/A,#N/A,FALSE,"단축3";#N/A,#N/A,FALSE,"장축";#N/A,#N/A,FALSE,"4WD"}</definedName>
    <definedName name="DIJS_2_2" localSheetId="0" hidden="1">{#N/A,#N/A,FALSE,"단축1";#N/A,#N/A,FALSE,"단축2";#N/A,#N/A,FALSE,"단축3";#N/A,#N/A,FALSE,"장축";#N/A,#N/A,FALSE,"4WD"}</definedName>
    <definedName name="DIJS_2_2" hidden="1">{#N/A,#N/A,FALSE,"단축1";#N/A,#N/A,FALSE,"단축2";#N/A,#N/A,FALSE,"단축3";#N/A,#N/A,FALSE,"장축";#N/A,#N/A,FALSE,"4WD"}</definedName>
    <definedName name="DIJS_3" localSheetId="26" hidden="1">{#N/A,#N/A,FALSE,"단축1";#N/A,#N/A,FALSE,"단축2";#N/A,#N/A,FALSE,"단축3";#N/A,#N/A,FALSE,"장축";#N/A,#N/A,FALSE,"4WD"}</definedName>
    <definedName name="DIJS_3" localSheetId="0" hidden="1">{#N/A,#N/A,FALSE,"단축1";#N/A,#N/A,FALSE,"단축2";#N/A,#N/A,FALSE,"단축3";#N/A,#N/A,FALSE,"장축";#N/A,#N/A,FALSE,"4WD"}</definedName>
    <definedName name="DIJS_3" hidden="1">{#N/A,#N/A,FALSE,"단축1";#N/A,#N/A,FALSE,"단축2";#N/A,#N/A,FALSE,"단축3";#N/A,#N/A,FALSE,"장축";#N/A,#N/A,FALSE,"4WD"}</definedName>
    <definedName name="DIJS_4" localSheetId="26" hidden="1">{#N/A,#N/A,FALSE,"단축1";#N/A,#N/A,FALSE,"단축2";#N/A,#N/A,FALSE,"단축3";#N/A,#N/A,FALSE,"장축";#N/A,#N/A,FALSE,"4WD"}</definedName>
    <definedName name="DIJS_4" localSheetId="0" hidden="1">{#N/A,#N/A,FALSE,"단축1";#N/A,#N/A,FALSE,"단축2";#N/A,#N/A,FALSE,"단축3";#N/A,#N/A,FALSE,"장축";#N/A,#N/A,FALSE,"4WD"}</definedName>
    <definedName name="DIJS_4" hidden="1">{#N/A,#N/A,FALSE,"단축1";#N/A,#N/A,FALSE,"단축2";#N/A,#N/A,FALSE,"단축3";#N/A,#N/A,FALSE,"장축";#N/A,#N/A,FALSE,"4WD"}</definedName>
    <definedName name="DIJS_5" localSheetId="26" hidden="1">{#N/A,#N/A,FALSE,"단축1";#N/A,#N/A,FALSE,"단축2";#N/A,#N/A,FALSE,"단축3";#N/A,#N/A,FALSE,"장축";#N/A,#N/A,FALSE,"4WD"}</definedName>
    <definedName name="DIJS_5" localSheetId="0" hidden="1">{#N/A,#N/A,FALSE,"단축1";#N/A,#N/A,FALSE,"단축2";#N/A,#N/A,FALSE,"단축3";#N/A,#N/A,FALSE,"장축";#N/A,#N/A,FALSE,"4WD"}</definedName>
    <definedName name="DIJS_5" hidden="1">{#N/A,#N/A,FALSE,"단축1";#N/A,#N/A,FALSE,"단축2";#N/A,#N/A,FALSE,"단축3";#N/A,#N/A,FALSE,"장축";#N/A,#N/A,FALSE,"4WD"}</definedName>
    <definedName name="DLDL" localSheetId="26" hidden="1">{#N/A,#N/A,FALSE,"단축1";#N/A,#N/A,FALSE,"단축2";#N/A,#N/A,FALSE,"단축3";#N/A,#N/A,FALSE,"장축";#N/A,#N/A,FALSE,"4WD"}</definedName>
    <definedName name="DLDL" localSheetId="0" hidden="1">{#N/A,#N/A,FALSE,"단축1";#N/A,#N/A,FALSE,"단축2";#N/A,#N/A,FALSE,"단축3";#N/A,#N/A,FALSE,"장축";#N/A,#N/A,FALSE,"4WD"}</definedName>
    <definedName name="DLDL" hidden="1">{#N/A,#N/A,FALSE,"단축1";#N/A,#N/A,FALSE,"단축2";#N/A,#N/A,FALSE,"단축3";#N/A,#N/A,FALSE,"장축";#N/A,#N/A,FALSE,"4WD"}</definedName>
    <definedName name="DLDL_1" localSheetId="26" hidden="1">{#N/A,#N/A,FALSE,"단축1";#N/A,#N/A,FALSE,"단축2";#N/A,#N/A,FALSE,"단축3";#N/A,#N/A,FALSE,"장축";#N/A,#N/A,FALSE,"4WD"}</definedName>
    <definedName name="DLDL_1" localSheetId="0" hidden="1">{#N/A,#N/A,FALSE,"단축1";#N/A,#N/A,FALSE,"단축2";#N/A,#N/A,FALSE,"단축3";#N/A,#N/A,FALSE,"장축";#N/A,#N/A,FALSE,"4WD"}</definedName>
    <definedName name="DLDL_1" hidden="1">{#N/A,#N/A,FALSE,"단축1";#N/A,#N/A,FALSE,"단축2";#N/A,#N/A,FALSE,"단축3";#N/A,#N/A,FALSE,"장축";#N/A,#N/A,FALSE,"4WD"}</definedName>
    <definedName name="DLDL_1_1" localSheetId="26" hidden="1">{#N/A,#N/A,FALSE,"단축1";#N/A,#N/A,FALSE,"단축2";#N/A,#N/A,FALSE,"단축3";#N/A,#N/A,FALSE,"장축";#N/A,#N/A,FALSE,"4WD"}</definedName>
    <definedName name="DLDL_1_1" localSheetId="0" hidden="1">{#N/A,#N/A,FALSE,"단축1";#N/A,#N/A,FALSE,"단축2";#N/A,#N/A,FALSE,"단축3";#N/A,#N/A,FALSE,"장축";#N/A,#N/A,FALSE,"4WD"}</definedName>
    <definedName name="DLDL_1_1" hidden="1">{#N/A,#N/A,FALSE,"단축1";#N/A,#N/A,FALSE,"단축2";#N/A,#N/A,FALSE,"단축3";#N/A,#N/A,FALSE,"장축";#N/A,#N/A,FALSE,"4WD"}</definedName>
    <definedName name="DLDL_1_2" localSheetId="26" hidden="1">{#N/A,#N/A,FALSE,"단축1";#N/A,#N/A,FALSE,"단축2";#N/A,#N/A,FALSE,"단축3";#N/A,#N/A,FALSE,"장축";#N/A,#N/A,FALSE,"4WD"}</definedName>
    <definedName name="DLDL_1_2" localSheetId="0" hidden="1">{#N/A,#N/A,FALSE,"단축1";#N/A,#N/A,FALSE,"단축2";#N/A,#N/A,FALSE,"단축3";#N/A,#N/A,FALSE,"장축";#N/A,#N/A,FALSE,"4WD"}</definedName>
    <definedName name="DLDL_1_2" hidden="1">{#N/A,#N/A,FALSE,"단축1";#N/A,#N/A,FALSE,"단축2";#N/A,#N/A,FALSE,"단축3";#N/A,#N/A,FALSE,"장축";#N/A,#N/A,FALSE,"4WD"}</definedName>
    <definedName name="DLDL_1_3" localSheetId="26" hidden="1">{#N/A,#N/A,FALSE,"단축1";#N/A,#N/A,FALSE,"단축2";#N/A,#N/A,FALSE,"단축3";#N/A,#N/A,FALSE,"장축";#N/A,#N/A,FALSE,"4WD"}</definedName>
    <definedName name="DLDL_1_3" localSheetId="0" hidden="1">{#N/A,#N/A,FALSE,"단축1";#N/A,#N/A,FALSE,"단축2";#N/A,#N/A,FALSE,"단축3";#N/A,#N/A,FALSE,"장축";#N/A,#N/A,FALSE,"4WD"}</definedName>
    <definedName name="DLDL_1_3" hidden="1">{#N/A,#N/A,FALSE,"단축1";#N/A,#N/A,FALSE,"단축2";#N/A,#N/A,FALSE,"단축3";#N/A,#N/A,FALSE,"장축";#N/A,#N/A,FALSE,"4WD"}</definedName>
    <definedName name="DLDL_2" localSheetId="26" hidden="1">{#N/A,#N/A,FALSE,"단축1";#N/A,#N/A,FALSE,"단축2";#N/A,#N/A,FALSE,"단축3";#N/A,#N/A,FALSE,"장축";#N/A,#N/A,FALSE,"4WD"}</definedName>
    <definedName name="DLDL_2" localSheetId="0" hidden="1">{#N/A,#N/A,FALSE,"단축1";#N/A,#N/A,FALSE,"단축2";#N/A,#N/A,FALSE,"단축3";#N/A,#N/A,FALSE,"장축";#N/A,#N/A,FALSE,"4WD"}</definedName>
    <definedName name="DLDL_2" hidden="1">{#N/A,#N/A,FALSE,"단축1";#N/A,#N/A,FALSE,"단축2";#N/A,#N/A,FALSE,"단축3";#N/A,#N/A,FALSE,"장축";#N/A,#N/A,FALSE,"4WD"}</definedName>
    <definedName name="DLDL_2_1" localSheetId="26" hidden="1">{#N/A,#N/A,FALSE,"단축1";#N/A,#N/A,FALSE,"단축2";#N/A,#N/A,FALSE,"단축3";#N/A,#N/A,FALSE,"장축";#N/A,#N/A,FALSE,"4WD"}</definedName>
    <definedName name="DLDL_2_1" localSheetId="0" hidden="1">{#N/A,#N/A,FALSE,"단축1";#N/A,#N/A,FALSE,"단축2";#N/A,#N/A,FALSE,"단축3";#N/A,#N/A,FALSE,"장축";#N/A,#N/A,FALSE,"4WD"}</definedName>
    <definedName name="DLDL_2_1" hidden="1">{#N/A,#N/A,FALSE,"단축1";#N/A,#N/A,FALSE,"단축2";#N/A,#N/A,FALSE,"단축3";#N/A,#N/A,FALSE,"장축";#N/A,#N/A,FALSE,"4WD"}</definedName>
    <definedName name="DLDL_2_2" localSheetId="26" hidden="1">{#N/A,#N/A,FALSE,"단축1";#N/A,#N/A,FALSE,"단축2";#N/A,#N/A,FALSE,"단축3";#N/A,#N/A,FALSE,"장축";#N/A,#N/A,FALSE,"4WD"}</definedName>
    <definedName name="DLDL_2_2" localSheetId="0" hidden="1">{#N/A,#N/A,FALSE,"단축1";#N/A,#N/A,FALSE,"단축2";#N/A,#N/A,FALSE,"단축3";#N/A,#N/A,FALSE,"장축";#N/A,#N/A,FALSE,"4WD"}</definedName>
    <definedName name="DLDL_2_2" hidden="1">{#N/A,#N/A,FALSE,"단축1";#N/A,#N/A,FALSE,"단축2";#N/A,#N/A,FALSE,"단축3";#N/A,#N/A,FALSE,"장축";#N/A,#N/A,FALSE,"4WD"}</definedName>
    <definedName name="DLDL_3" localSheetId="26" hidden="1">{#N/A,#N/A,FALSE,"단축1";#N/A,#N/A,FALSE,"단축2";#N/A,#N/A,FALSE,"단축3";#N/A,#N/A,FALSE,"장축";#N/A,#N/A,FALSE,"4WD"}</definedName>
    <definedName name="DLDL_3" localSheetId="0" hidden="1">{#N/A,#N/A,FALSE,"단축1";#N/A,#N/A,FALSE,"단축2";#N/A,#N/A,FALSE,"단축3";#N/A,#N/A,FALSE,"장축";#N/A,#N/A,FALSE,"4WD"}</definedName>
    <definedName name="DLDL_3" hidden="1">{#N/A,#N/A,FALSE,"단축1";#N/A,#N/A,FALSE,"단축2";#N/A,#N/A,FALSE,"단축3";#N/A,#N/A,FALSE,"장축";#N/A,#N/A,FALSE,"4WD"}</definedName>
    <definedName name="DLDL_4" localSheetId="26" hidden="1">{#N/A,#N/A,FALSE,"단축1";#N/A,#N/A,FALSE,"단축2";#N/A,#N/A,FALSE,"단축3";#N/A,#N/A,FALSE,"장축";#N/A,#N/A,FALSE,"4WD"}</definedName>
    <definedName name="DLDL_4" localSheetId="0" hidden="1">{#N/A,#N/A,FALSE,"단축1";#N/A,#N/A,FALSE,"단축2";#N/A,#N/A,FALSE,"단축3";#N/A,#N/A,FALSE,"장축";#N/A,#N/A,FALSE,"4WD"}</definedName>
    <definedName name="DLDL_4" hidden="1">{#N/A,#N/A,FALSE,"단축1";#N/A,#N/A,FALSE,"단축2";#N/A,#N/A,FALSE,"단축3";#N/A,#N/A,FALSE,"장축";#N/A,#N/A,FALSE,"4WD"}</definedName>
    <definedName name="DLDL_5" localSheetId="26" hidden="1">{#N/A,#N/A,FALSE,"단축1";#N/A,#N/A,FALSE,"단축2";#N/A,#N/A,FALSE,"단축3";#N/A,#N/A,FALSE,"장축";#N/A,#N/A,FALSE,"4WD"}</definedName>
    <definedName name="DLDL_5" localSheetId="0" hidden="1">{#N/A,#N/A,FALSE,"단축1";#N/A,#N/A,FALSE,"단축2";#N/A,#N/A,FALSE,"단축3";#N/A,#N/A,FALSE,"장축";#N/A,#N/A,FALSE,"4WD"}</definedName>
    <definedName name="DLDL_5" hidden="1">{#N/A,#N/A,FALSE,"단축1";#N/A,#N/A,FALSE,"단축2";#N/A,#N/A,FALSE,"단축3";#N/A,#N/A,FALSE,"장축";#N/A,#N/A,FALSE,"4WD"}</definedName>
    <definedName name="DRFDGH" localSheetId="26" hidden="1">{#N/A,#N/A,FALSE,"단축1";#N/A,#N/A,FALSE,"단축2";#N/A,#N/A,FALSE,"단축3";#N/A,#N/A,FALSE,"장축";#N/A,#N/A,FALSE,"4WD"}</definedName>
    <definedName name="DRFDGH" localSheetId="0" hidden="1">{#N/A,#N/A,FALSE,"단축1";#N/A,#N/A,FALSE,"단축2";#N/A,#N/A,FALSE,"단축3";#N/A,#N/A,FALSE,"장축";#N/A,#N/A,FALSE,"4WD"}</definedName>
    <definedName name="DRFDGH" hidden="1">{#N/A,#N/A,FALSE,"단축1";#N/A,#N/A,FALSE,"단축2";#N/A,#N/A,FALSE,"단축3";#N/A,#N/A,FALSE,"장축";#N/A,#N/A,FALSE,"4WD"}</definedName>
    <definedName name="DRFDGH_1" localSheetId="26" hidden="1">{#N/A,#N/A,FALSE,"단축1";#N/A,#N/A,FALSE,"단축2";#N/A,#N/A,FALSE,"단축3";#N/A,#N/A,FALSE,"장축";#N/A,#N/A,FALSE,"4WD"}</definedName>
    <definedName name="DRFDGH_1" localSheetId="0" hidden="1">{#N/A,#N/A,FALSE,"단축1";#N/A,#N/A,FALSE,"단축2";#N/A,#N/A,FALSE,"단축3";#N/A,#N/A,FALSE,"장축";#N/A,#N/A,FALSE,"4WD"}</definedName>
    <definedName name="DRFDGH_1" hidden="1">{#N/A,#N/A,FALSE,"단축1";#N/A,#N/A,FALSE,"단축2";#N/A,#N/A,FALSE,"단축3";#N/A,#N/A,FALSE,"장축";#N/A,#N/A,FALSE,"4WD"}</definedName>
    <definedName name="DRFDGH_1_1" localSheetId="26" hidden="1">{#N/A,#N/A,FALSE,"단축1";#N/A,#N/A,FALSE,"단축2";#N/A,#N/A,FALSE,"단축3";#N/A,#N/A,FALSE,"장축";#N/A,#N/A,FALSE,"4WD"}</definedName>
    <definedName name="DRFDGH_1_1" localSheetId="0" hidden="1">{#N/A,#N/A,FALSE,"단축1";#N/A,#N/A,FALSE,"단축2";#N/A,#N/A,FALSE,"단축3";#N/A,#N/A,FALSE,"장축";#N/A,#N/A,FALSE,"4WD"}</definedName>
    <definedName name="DRFDGH_1_1" hidden="1">{#N/A,#N/A,FALSE,"단축1";#N/A,#N/A,FALSE,"단축2";#N/A,#N/A,FALSE,"단축3";#N/A,#N/A,FALSE,"장축";#N/A,#N/A,FALSE,"4WD"}</definedName>
    <definedName name="DRFDGH_1_2" localSheetId="26" hidden="1">{#N/A,#N/A,FALSE,"단축1";#N/A,#N/A,FALSE,"단축2";#N/A,#N/A,FALSE,"단축3";#N/A,#N/A,FALSE,"장축";#N/A,#N/A,FALSE,"4WD"}</definedName>
    <definedName name="DRFDGH_1_2" localSheetId="0" hidden="1">{#N/A,#N/A,FALSE,"단축1";#N/A,#N/A,FALSE,"단축2";#N/A,#N/A,FALSE,"단축3";#N/A,#N/A,FALSE,"장축";#N/A,#N/A,FALSE,"4WD"}</definedName>
    <definedName name="DRFDGH_1_2" hidden="1">{#N/A,#N/A,FALSE,"단축1";#N/A,#N/A,FALSE,"단축2";#N/A,#N/A,FALSE,"단축3";#N/A,#N/A,FALSE,"장축";#N/A,#N/A,FALSE,"4WD"}</definedName>
    <definedName name="DRFDGH_1_3" localSheetId="26" hidden="1">{#N/A,#N/A,FALSE,"단축1";#N/A,#N/A,FALSE,"단축2";#N/A,#N/A,FALSE,"단축3";#N/A,#N/A,FALSE,"장축";#N/A,#N/A,FALSE,"4WD"}</definedName>
    <definedName name="DRFDGH_1_3" localSheetId="0" hidden="1">{#N/A,#N/A,FALSE,"단축1";#N/A,#N/A,FALSE,"단축2";#N/A,#N/A,FALSE,"단축3";#N/A,#N/A,FALSE,"장축";#N/A,#N/A,FALSE,"4WD"}</definedName>
    <definedName name="DRFDGH_1_3" hidden="1">{#N/A,#N/A,FALSE,"단축1";#N/A,#N/A,FALSE,"단축2";#N/A,#N/A,FALSE,"단축3";#N/A,#N/A,FALSE,"장축";#N/A,#N/A,FALSE,"4WD"}</definedName>
    <definedName name="DRFDGH_2" localSheetId="26" hidden="1">{#N/A,#N/A,FALSE,"단축1";#N/A,#N/A,FALSE,"단축2";#N/A,#N/A,FALSE,"단축3";#N/A,#N/A,FALSE,"장축";#N/A,#N/A,FALSE,"4WD"}</definedName>
    <definedName name="DRFDGH_2" localSheetId="0" hidden="1">{#N/A,#N/A,FALSE,"단축1";#N/A,#N/A,FALSE,"단축2";#N/A,#N/A,FALSE,"단축3";#N/A,#N/A,FALSE,"장축";#N/A,#N/A,FALSE,"4WD"}</definedName>
    <definedName name="DRFDGH_2" hidden="1">{#N/A,#N/A,FALSE,"단축1";#N/A,#N/A,FALSE,"단축2";#N/A,#N/A,FALSE,"단축3";#N/A,#N/A,FALSE,"장축";#N/A,#N/A,FALSE,"4WD"}</definedName>
    <definedName name="DRFDGH_2_1" localSheetId="26" hidden="1">{#N/A,#N/A,FALSE,"단축1";#N/A,#N/A,FALSE,"단축2";#N/A,#N/A,FALSE,"단축3";#N/A,#N/A,FALSE,"장축";#N/A,#N/A,FALSE,"4WD"}</definedName>
    <definedName name="DRFDGH_2_1" localSheetId="0" hidden="1">{#N/A,#N/A,FALSE,"단축1";#N/A,#N/A,FALSE,"단축2";#N/A,#N/A,FALSE,"단축3";#N/A,#N/A,FALSE,"장축";#N/A,#N/A,FALSE,"4WD"}</definedName>
    <definedName name="DRFDGH_2_1" hidden="1">{#N/A,#N/A,FALSE,"단축1";#N/A,#N/A,FALSE,"단축2";#N/A,#N/A,FALSE,"단축3";#N/A,#N/A,FALSE,"장축";#N/A,#N/A,FALSE,"4WD"}</definedName>
    <definedName name="DRFDGH_2_2" localSheetId="26" hidden="1">{#N/A,#N/A,FALSE,"단축1";#N/A,#N/A,FALSE,"단축2";#N/A,#N/A,FALSE,"단축3";#N/A,#N/A,FALSE,"장축";#N/A,#N/A,FALSE,"4WD"}</definedName>
    <definedName name="DRFDGH_2_2" localSheetId="0" hidden="1">{#N/A,#N/A,FALSE,"단축1";#N/A,#N/A,FALSE,"단축2";#N/A,#N/A,FALSE,"단축3";#N/A,#N/A,FALSE,"장축";#N/A,#N/A,FALSE,"4WD"}</definedName>
    <definedName name="DRFDGH_2_2" hidden="1">{#N/A,#N/A,FALSE,"단축1";#N/A,#N/A,FALSE,"단축2";#N/A,#N/A,FALSE,"단축3";#N/A,#N/A,FALSE,"장축";#N/A,#N/A,FALSE,"4WD"}</definedName>
    <definedName name="DRFDGH_3" localSheetId="26" hidden="1">{#N/A,#N/A,FALSE,"단축1";#N/A,#N/A,FALSE,"단축2";#N/A,#N/A,FALSE,"단축3";#N/A,#N/A,FALSE,"장축";#N/A,#N/A,FALSE,"4WD"}</definedName>
    <definedName name="DRFDGH_3" localSheetId="0" hidden="1">{#N/A,#N/A,FALSE,"단축1";#N/A,#N/A,FALSE,"단축2";#N/A,#N/A,FALSE,"단축3";#N/A,#N/A,FALSE,"장축";#N/A,#N/A,FALSE,"4WD"}</definedName>
    <definedName name="DRFDGH_3" hidden="1">{#N/A,#N/A,FALSE,"단축1";#N/A,#N/A,FALSE,"단축2";#N/A,#N/A,FALSE,"단축3";#N/A,#N/A,FALSE,"장축";#N/A,#N/A,FALSE,"4WD"}</definedName>
    <definedName name="DRFDGH_4" localSheetId="26" hidden="1">{#N/A,#N/A,FALSE,"단축1";#N/A,#N/A,FALSE,"단축2";#N/A,#N/A,FALSE,"단축3";#N/A,#N/A,FALSE,"장축";#N/A,#N/A,FALSE,"4WD"}</definedName>
    <definedName name="DRFDGH_4" localSheetId="0" hidden="1">{#N/A,#N/A,FALSE,"단축1";#N/A,#N/A,FALSE,"단축2";#N/A,#N/A,FALSE,"단축3";#N/A,#N/A,FALSE,"장축";#N/A,#N/A,FALSE,"4WD"}</definedName>
    <definedName name="DRFDGH_4" hidden="1">{#N/A,#N/A,FALSE,"단축1";#N/A,#N/A,FALSE,"단축2";#N/A,#N/A,FALSE,"단축3";#N/A,#N/A,FALSE,"장축";#N/A,#N/A,FALSE,"4WD"}</definedName>
    <definedName name="DRFDGH_5" localSheetId="26" hidden="1">{#N/A,#N/A,FALSE,"단축1";#N/A,#N/A,FALSE,"단축2";#N/A,#N/A,FALSE,"단축3";#N/A,#N/A,FALSE,"장축";#N/A,#N/A,FALSE,"4WD"}</definedName>
    <definedName name="DRFDGH_5" localSheetId="0" hidden="1">{#N/A,#N/A,FALSE,"단축1";#N/A,#N/A,FALSE,"단축2";#N/A,#N/A,FALSE,"단축3";#N/A,#N/A,FALSE,"장축";#N/A,#N/A,FALSE,"4WD"}</definedName>
    <definedName name="DRFDGH_5" hidden="1">{#N/A,#N/A,FALSE,"단축1";#N/A,#N/A,FALSE,"단축2";#N/A,#N/A,FALSE,"단축3";#N/A,#N/A,FALSE,"장축";#N/A,#N/A,FALSE,"4WD"}</definedName>
    <definedName name="DRIVEABILITY" localSheetId="26" hidden="1">{#N/A,#N/A,FALSE,"단축1";#N/A,#N/A,FALSE,"단축2";#N/A,#N/A,FALSE,"단축3";#N/A,#N/A,FALSE,"장축";#N/A,#N/A,FALSE,"4WD"}</definedName>
    <definedName name="DRIVEABILITY" localSheetId="0" hidden="1">{#N/A,#N/A,FALSE,"단축1";#N/A,#N/A,FALSE,"단축2";#N/A,#N/A,FALSE,"단축3";#N/A,#N/A,FALSE,"장축";#N/A,#N/A,FALSE,"4WD"}</definedName>
    <definedName name="DRIVEABILITY" hidden="1">{#N/A,#N/A,FALSE,"단축1";#N/A,#N/A,FALSE,"단축2";#N/A,#N/A,FALSE,"단축3";#N/A,#N/A,FALSE,"장축";#N/A,#N/A,FALSE,"4WD"}</definedName>
    <definedName name="DRIVEABILITY_1" localSheetId="26" hidden="1">{#N/A,#N/A,FALSE,"단축1";#N/A,#N/A,FALSE,"단축2";#N/A,#N/A,FALSE,"단축3";#N/A,#N/A,FALSE,"장축";#N/A,#N/A,FALSE,"4WD"}</definedName>
    <definedName name="DRIVEABILITY_1" localSheetId="0" hidden="1">{#N/A,#N/A,FALSE,"단축1";#N/A,#N/A,FALSE,"단축2";#N/A,#N/A,FALSE,"단축3";#N/A,#N/A,FALSE,"장축";#N/A,#N/A,FALSE,"4WD"}</definedName>
    <definedName name="DRIVEABILITY_1" hidden="1">{#N/A,#N/A,FALSE,"단축1";#N/A,#N/A,FALSE,"단축2";#N/A,#N/A,FALSE,"단축3";#N/A,#N/A,FALSE,"장축";#N/A,#N/A,FALSE,"4WD"}</definedName>
    <definedName name="DRIVEABILITY_1_1" localSheetId="26" hidden="1">{#N/A,#N/A,FALSE,"단축1";#N/A,#N/A,FALSE,"단축2";#N/A,#N/A,FALSE,"단축3";#N/A,#N/A,FALSE,"장축";#N/A,#N/A,FALSE,"4WD"}</definedName>
    <definedName name="DRIVEABILITY_1_1" localSheetId="0" hidden="1">{#N/A,#N/A,FALSE,"단축1";#N/A,#N/A,FALSE,"단축2";#N/A,#N/A,FALSE,"단축3";#N/A,#N/A,FALSE,"장축";#N/A,#N/A,FALSE,"4WD"}</definedName>
    <definedName name="DRIVEABILITY_1_1" hidden="1">{#N/A,#N/A,FALSE,"단축1";#N/A,#N/A,FALSE,"단축2";#N/A,#N/A,FALSE,"단축3";#N/A,#N/A,FALSE,"장축";#N/A,#N/A,FALSE,"4WD"}</definedName>
    <definedName name="DRIVEABILITY_1_2" localSheetId="26" hidden="1">{#N/A,#N/A,FALSE,"단축1";#N/A,#N/A,FALSE,"단축2";#N/A,#N/A,FALSE,"단축3";#N/A,#N/A,FALSE,"장축";#N/A,#N/A,FALSE,"4WD"}</definedName>
    <definedName name="DRIVEABILITY_1_2" localSheetId="0" hidden="1">{#N/A,#N/A,FALSE,"단축1";#N/A,#N/A,FALSE,"단축2";#N/A,#N/A,FALSE,"단축3";#N/A,#N/A,FALSE,"장축";#N/A,#N/A,FALSE,"4WD"}</definedName>
    <definedName name="DRIVEABILITY_1_2" hidden="1">{#N/A,#N/A,FALSE,"단축1";#N/A,#N/A,FALSE,"단축2";#N/A,#N/A,FALSE,"단축3";#N/A,#N/A,FALSE,"장축";#N/A,#N/A,FALSE,"4WD"}</definedName>
    <definedName name="DRIVEABILITY_1_3" localSheetId="26" hidden="1">{#N/A,#N/A,FALSE,"단축1";#N/A,#N/A,FALSE,"단축2";#N/A,#N/A,FALSE,"단축3";#N/A,#N/A,FALSE,"장축";#N/A,#N/A,FALSE,"4WD"}</definedName>
    <definedName name="DRIVEABILITY_1_3" localSheetId="0" hidden="1">{#N/A,#N/A,FALSE,"단축1";#N/A,#N/A,FALSE,"단축2";#N/A,#N/A,FALSE,"단축3";#N/A,#N/A,FALSE,"장축";#N/A,#N/A,FALSE,"4WD"}</definedName>
    <definedName name="DRIVEABILITY_1_3" hidden="1">{#N/A,#N/A,FALSE,"단축1";#N/A,#N/A,FALSE,"단축2";#N/A,#N/A,FALSE,"단축3";#N/A,#N/A,FALSE,"장축";#N/A,#N/A,FALSE,"4WD"}</definedName>
    <definedName name="DRIVEABILITY_2" localSheetId="26" hidden="1">{#N/A,#N/A,FALSE,"단축1";#N/A,#N/A,FALSE,"단축2";#N/A,#N/A,FALSE,"단축3";#N/A,#N/A,FALSE,"장축";#N/A,#N/A,FALSE,"4WD"}</definedName>
    <definedName name="DRIVEABILITY_2" localSheetId="0" hidden="1">{#N/A,#N/A,FALSE,"단축1";#N/A,#N/A,FALSE,"단축2";#N/A,#N/A,FALSE,"단축3";#N/A,#N/A,FALSE,"장축";#N/A,#N/A,FALSE,"4WD"}</definedName>
    <definedName name="DRIVEABILITY_2" hidden="1">{#N/A,#N/A,FALSE,"단축1";#N/A,#N/A,FALSE,"단축2";#N/A,#N/A,FALSE,"단축3";#N/A,#N/A,FALSE,"장축";#N/A,#N/A,FALSE,"4WD"}</definedName>
    <definedName name="DRIVEABILITY_2_1" localSheetId="26" hidden="1">{#N/A,#N/A,FALSE,"단축1";#N/A,#N/A,FALSE,"단축2";#N/A,#N/A,FALSE,"단축3";#N/A,#N/A,FALSE,"장축";#N/A,#N/A,FALSE,"4WD"}</definedName>
    <definedName name="DRIVEABILITY_2_1" localSheetId="0" hidden="1">{#N/A,#N/A,FALSE,"단축1";#N/A,#N/A,FALSE,"단축2";#N/A,#N/A,FALSE,"단축3";#N/A,#N/A,FALSE,"장축";#N/A,#N/A,FALSE,"4WD"}</definedName>
    <definedName name="DRIVEABILITY_2_1" hidden="1">{#N/A,#N/A,FALSE,"단축1";#N/A,#N/A,FALSE,"단축2";#N/A,#N/A,FALSE,"단축3";#N/A,#N/A,FALSE,"장축";#N/A,#N/A,FALSE,"4WD"}</definedName>
    <definedName name="DRIVEABILITY_2_2" localSheetId="26" hidden="1">{#N/A,#N/A,FALSE,"단축1";#N/A,#N/A,FALSE,"단축2";#N/A,#N/A,FALSE,"단축3";#N/A,#N/A,FALSE,"장축";#N/A,#N/A,FALSE,"4WD"}</definedName>
    <definedName name="DRIVEABILITY_2_2" localSheetId="0" hidden="1">{#N/A,#N/A,FALSE,"단축1";#N/A,#N/A,FALSE,"단축2";#N/A,#N/A,FALSE,"단축3";#N/A,#N/A,FALSE,"장축";#N/A,#N/A,FALSE,"4WD"}</definedName>
    <definedName name="DRIVEABILITY_2_2" hidden="1">{#N/A,#N/A,FALSE,"단축1";#N/A,#N/A,FALSE,"단축2";#N/A,#N/A,FALSE,"단축3";#N/A,#N/A,FALSE,"장축";#N/A,#N/A,FALSE,"4WD"}</definedName>
    <definedName name="DRIVEABILITY_3" localSheetId="26" hidden="1">{#N/A,#N/A,FALSE,"단축1";#N/A,#N/A,FALSE,"단축2";#N/A,#N/A,FALSE,"단축3";#N/A,#N/A,FALSE,"장축";#N/A,#N/A,FALSE,"4WD"}</definedName>
    <definedName name="DRIVEABILITY_3" localSheetId="0" hidden="1">{#N/A,#N/A,FALSE,"단축1";#N/A,#N/A,FALSE,"단축2";#N/A,#N/A,FALSE,"단축3";#N/A,#N/A,FALSE,"장축";#N/A,#N/A,FALSE,"4WD"}</definedName>
    <definedName name="DRIVEABILITY_3" hidden="1">{#N/A,#N/A,FALSE,"단축1";#N/A,#N/A,FALSE,"단축2";#N/A,#N/A,FALSE,"단축3";#N/A,#N/A,FALSE,"장축";#N/A,#N/A,FALSE,"4WD"}</definedName>
    <definedName name="DRIVEABILITY_4" localSheetId="26" hidden="1">{#N/A,#N/A,FALSE,"단축1";#N/A,#N/A,FALSE,"단축2";#N/A,#N/A,FALSE,"단축3";#N/A,#N/A,FALSE,"장축";#N/A,#N/A,FALSE,"4WD"}</definedName>
    <definedName name="DRIVEABILITY_4" localSheetId="0" hidden="1">{#N/A,#N/A,FALSE,"단축1";#N/A,#N/A,FALSE,"단축2";#N/A,#N/A,FALSE,"단축3";#N/A,#N/A,FALSE,"장축";#N/A,#N/A,FALSE,"4WD"}</definedName>
    <definedName name="DRIVEABILITY_4" hidden="1">{#N/A,#N/A,FALSE,"단축1";#N/A,#N/A,FALSE,"단축2";#N/A,#N/A,FALSE,"단축3";#N/A,#N/A,FALSE,"장축";#N/A,#N/A,FALSE,"4WD"}</definedName>
    <definedName name="DRIVEABILITY_5" localSheetId="26" hidden="1">{#N/A,#N/A,FALSE,"단축1";#N/A,#N/A,FALSE,"단축2";#N/A,#N/A,FALSE,"단축3";#N/A,#N/A,FALSE,"장축";#N/A,#N/A,FALSE,"4WD"}</definedName>
    <definedName name="DRIVEABILITY_5" localSheetId="0" hidden="1">{#N/A,#N/A,FALSE,"단축1";#N/A,#N/A,FALSE,"단축2";#N/A,#N/A,FALSE,"단축3";#N/A,#N/A,FALSE,"장축";#N/A,#N/A,FALSE,"4WD"}</definedName>
    <definedName name="DRIVEABILITY_5" hidden="1">{#N/A,#N/A,FALSE,"단축1";#N/A,#N/A,FALSE,"단축2";#N/A,#N/A,FALSE,"단축3";#N/A,#N/A,FALSE,"장축";#N/A,#N/A,FALSE,"4WD"}</definedName>
    <definedName name="DSA" localSheetId="26" hidden="1">{#N/A,#N/A,FALSE,"을지 (4)";#N/A,#N/A,FALSE,"을지 (5)";#N/A,#N/A,FALSE,"을지 (6)"}</definedName>
    <definedName name="DSA" localSheetId="0" hidden="1">{#N/A,#N/A,FALSE,"을지 (4)";#N/A,#N/A,FALSE,"을지 (5)";#N/A,#N/A,FALSE,"을지 (6)"}</definedName>
    <definedName name="DSA" hidden="1">{#N/A,#N/A,FALSE,"을지 (4)";#N/A,#N/A,FALSE,"을지 (5)";#N/A,#N/A,FALSE,"을지 (6)"}</definedName>
    <definedName name="DSA_1" localSheetId="26" hidden="1">{#N/A,#N/A,FALSE,"을지 (4)";#N/A,#N/A,FALSE,"을지 (5)";#N/A,#N/A,FALSE,"을지 (6)"}</definedName>
    <definedName name="DSA_1" localSheetId="0" hidden="1">{#N/A,#N/A,FALSE,"을지 (4)";#N/A,#N/A,FALSE,"을지 (5)";#N/A,#N/A,FALSE,"을지 (6)"}</definedName>
    <definedName name="DSA_1" hidden="1">{#N/A,#N/A,FALSE,"을지 (4)";#N/A,#N/A,FALSE,"을지 (5)";#N/A,#N/A,FALSE,"을지 (6)"}</definedName>
    <definedName name="DSA_1_1" localSheetId="26" hidden="1">{#N/A,#N/A,FALSE,"을지 (4)";#N/A,#N/A,FALSE,"을지 (5)";#N/A,#N/A,FALSE,"을지 (6)"}</definedName>
    <definedName name="DSA_1_1" localSheetId="0" hidden="1">{#N/A,#N/A,FALSE,"을지 (4)";#N/A,#N/A,FALSE,"을지 (5)";#N/A,#N/A,FALSE,"을지 (6)"}</definedName>
    <definedName name="DSA_1_1" hidden="1">{#N/A,#N/A,FALSE,"을지 (4)";#N/A,#N/A,FALSE,"을지 (5)";#N/A,#N/A,FALSE,"을지 (6)"}</definedName>
    <definedName name="DSA_1_2" localSheetId="26" hidden="1">{#N/A,#N/A,FALSE,"을지 (4)";#N/A,#N/A,FALSE,"을지 (5)";#N/A,#N/A,FALSE,"을지 (6)"}</definedName>
    <definedName name="DSA_1_2" localSheetId="0" hidden="1">{#N/A,#N/A,FALSE,"을지 (4)";#N/A,#N/A,FALSE,"을지 (5)";#N/A,#N/A,FALSE,"을지 (6)"}</definedName>
    <definedName name="DSA_1_2" hidden="1">{#N/A,#N/A,FALSE,"을지 (4)";#N/A,#N/A,FALSE,"을지 (5)";#N/A,#N/A,FALSE,"을지 (6)"}</definedName>
    <definedName name="DSA_1_3" localSheetId="26" hidden="1">{#N/A,#N/A,FALSE,"을지 (4)";#N/A,#N/A,FALSE,"을지 (5)";#N/A,#N/A,FALSE,"을지 (6)"}</definedName>
    <definedName name="DSA_1_3" localSheetId="0" hidden="1">{#N/A,#N/A,FALSE,"을지 (4)";#N/A,#N/A,FALSE,"을지 (5)";#N/A,#N/A,FALSE,"을지 (6)"}</definedName>
    <definedName name="DSA_1_3" hidden="1">{#N/A,#N/A,FALSE,"을지 (4)";#N/A,#N/A,FALSE,"을지 (5)";#N/A,#N/A,FALSE,"을지 (6)"}</definedName>
    <definedName name="DSA_2" localSheetId="26" hidden="1">{#N/A,#N/A,FALSE,"을지 (4)";#N/A,#N/A,FALSE,"을지 (5)";#N/A,#N/A,FALSE,"을지 (6)"}</definedName>
    <definedName name="DSA_2" localSheetId="0" hidden="1">{#N/A,#N/A,FALSE,"을지 (4)";#N/A,#N/A,FALSE,"을지 (5)";#N/A,#N/A,FALSE,"을지 (6)"}</definedName>
    <definedName name="DSA_2" hidden="1">{#N/A,#N/A,FALSE,"을지 (4)";#N/A,#N/A,FALSE,"을지 (5)";#N/A,#N/A,FALSE,"을지 (6)"}</definedName>
    <definedName name="DSA_2_1" localSheetId="26" hidden="1">{#N/A,#N/A,FALSE,"을지 (4)";#N/A,#N/A,FALSE,"을지 (5)";#N/A,#N/A,FALSE,"을지 (6)"}</definedName>
    <definedName name="DSA_2_1" localSheetId="0" hidden="1">{#N/A,#N/A,FALSE,"을지 (4)";#N/A,#N/A,FALSE,"을지 (5)";#N/A,#N/A,FALSE,"을지 (6)"}</definedName>
    <definedName name="DSA_2_1" hidden="1">{#N/A,#N/A,FALSE,"을지 (4)";#N/A,#N/A,FALSE,"을지 (5)";#N/A,#N/A,FALSE,"을지 (6)"}</definedName>
    <definedName name="DSA_2_2" localSheetId="26" hidden="1">{#N/A,#N/A,FALSE,"을지 (4)";#N/A,#N/A,FALSE,"을지 (5)";#N/A,#N/A,FALSE,"을지 (6)"}</definedName>
    <definedName name="DSA_2_2" localSheetId="0" hidden="1">{#N/A,#N/A,FALSE,"을지 (4)";#N/A,#N/A,FALSE,"을지 (5)";#N/A,#N/A,FALSE,"을지 (6)"}</definedName>
    <definedName name="DSA_2_2" hidden="1">{#N/A,#N/A,FALSE,"을지 (4)";#N/A,#N/A,FALSE,"을지 (5)";#N/A,#N/A,FALSE,"을지 (6)"}</definedName>
    <definedName name="DSA_3" localSheetId="26" hidden="1">{#N/A,#N/A,FALSE,"을지 (4)";#N/A,#N/A,FALSE,"을지 (5)";#N/A,#N/A,FALSE,"을지 (6)"}</definedName>
    <definedName name="DSA_3" localSheetId="0" hidden="1">{#N/A,#N/A,FALSE,"을지 (4)";#N/A,#N/A,FALSE,"을지 (5)";#N/A,#N/A,FALSE,"을지 (6)"}</definedName>
    <definedName name="DSA_3" hidden="1">{#N/A,#N/A,FALSE,"을지 (4)";#N/A,#N/A,FALSE,"을지 (5)";#N/A,#N/A,FALSE,"을지 (6)"}</definedName>
    <definedName name="DSA_4" localSheetId="26" hidden="1">{#N/A,#N/A,FALSE,"을지 (4)";#N/A,#N/A,FALSE,"을지 (5)";#N/A,#N/A,FALSE,"을지 (6)"}</definedName>
    <definedName name="DSA_4" localSheetId="0" hidden="1">{#N/A,#N/A,FALSE,"을지 (4)";#N/A,#N/A,FALSE,"을지 (5)";#N/A,#N/A,FALSE,"을지 (6)"}</definedName>
    <definedName name="DSA_4" hidden="1">{#N/A,#N/A,FALSE,"을지 (4)";#N/A,#N/A,FALSE,"을지 (5)";#N/A,#N/A,FALSE,"을지 (6)"}</definedName>
    <definedName name="DSA_5" localSheetId="26" hidden="1">{#N/A,#N/A,FALSE,"을지 (4)";#N/A,#N/A,FALSE,"을지 (5)";#N/A,#N/A,FALSE,"을지 (6)"}</definedName>
    <definedName name="DSA_5" localSheetId="0" hidden="1">{#N/A,#N/A,FALSE,"을지 (4)";#N/A,#N/A,FALSE,"을지 (5)";#N/A,#N/A,FALSE,"을지 (6)"}</definedName>
    <definedName name="DSA_5" hidden="1">{#N/A,#N/A,FALSE,"을지 (4)";#N/A,#N/A,FALSE,"을지 (5)";#N/A,#N/A,FALSE,"을지 (6)"}</definedName>
    <definedName name="E" localSheetId="22" hidden="1">{#N/A,#N/A,FALSE,"SUMMARY";#N/A,#N/A,FALSE,"TOTAL AF";#N/A,#N/A,FALSE,"May A"}</definedName>
    <definedName name="E" localSheetId="14" hidden="1">{#N/A,#N/A,FALSE,"SUMMARY";#N/A,#N/A,FALSE,"TOTAL AF";#N/A,#N/A,FALSE,"May A"}</definedName>
    <definedName name="E" localSheetId="29" hidden="1">{#N/A,#N/A,FALSE,"SUMMARY";#N/A,#N/A,FALSE,"TOTAL AF";#N/A,#N/A,FALSE,"May A"}</definedName>
    <definedName name="E" hidden="1">{#N/A,#N/A,FALSE,"SUMMARY";#N/A,#N/A,FALSE,"TOTAL AF";#N/A,#N/A,FALSE,"May A"}</definedName>
    <definedName name="EEE" localSheetId="26" hidden="1">{#N/A,#N/A,FALSE,"단축1";#N/A,#N/A,FALSE,"단축2";#N/A,#N/A,FALSE,"단축3";#N/A,#N/A,FALSE,"장축";#N/A,#N/A,FALSE,"4WD"}</definedName>
    <definedName name="EEE" localSheetId="0" hidden="1">{#N/A,#N/A,FALSE,"단축1";#N/A,#N/A,FALSE,"단축2";#N/A,#N/A,FALSE,"단축3";#N/A,#N/A,FALSE,"장축";#N/A,#N/A,FALSE,"4WD"}</definedName>
    <definedName name="EEE" hidden="1">{#N/A,#N/A,FALSE,"단축1";#N/A,#N/A,FALSE,"단축2";#N/A,#N/A,FALSE,"단축3";#N/A,#N/A,FALSE,"장축";#N/A,#N/A,FALSE,"4WD"}</definedName>
    <definedName name="EEE_1" localSheetId="26" hidden="1">{#N/A,#N/A,FALSE,"단축1";#N/A,#N/A,FALSE,"단축2";#N/A,#N/A,FALSE,"단축3";#N/A,#N/A,FALSE,"장축";#N/A,#N/A,FALSE,"4WD"}</definedName>
    <definedName name="EEE_1" localSheetId="0" hidden="1">{#N/A,#N/A,FALSE,"단축1";#N/A,#N/A,FALSE,"단축2";#N/A,#N/A,FALSE,"단축3";#N/A,#N/A,FALSE,"장축";#N/A,#N/A,FALSE,"4WD"}</definedName>
    <definedName name="EEE_1" hidden="1">{#N/A,#N/A,FALSE,"단축1";#N/A,#N/A,FALSE,"단축2";#N/A,#N/A,FALSE,"단축3";#N/A,#N/A,FALSE,"장축";#N/A,#N/A,FALSE,"4WD"}</definedName>
    <definedName name="EEE_1_1" localSheetId="26" hidden="1">{#N/A,#N/A,FALSE,"단축1";#N/A,#N/A,FALSE,"단축2";#N/A,#N/A,FALSE,"단축3";#N/A,#N/A,FALSE,"장축";#N/A,#N/A,FALSE,"4WD"}</definedName>
    <definedName name="EEE_1_1" localSheetId="0" hidden="1">{#N/A,#N/A,FALSE,"단축1";#N/A,#N/A,FALSE,"단축2";#N/A,#N/A,FALSE,"단축3";#N/A,#N/A,FALSE,"장축";#N/A,#N/A,FALSE,"4WD"}</definedName>
    <definedName name="EEE_1_1" hidden="1">{#N/A,#N/A,FALSE,"단축1";#N/A,#N/A,FALSE,"단축2";#N/A,#N/A,FALSE,"단축3";#N/A,#N/A,FALSE,"장축";#N/A,#N/A,FALSE,"4WD"}</definedName>
    <definedName name="EEE_1_2" localSheetId="26" hidden="1">{#N/A,#N/A,FALSE,"단축1";#N/A,#N/A,FALSE,"단축2";#N/A,#N/A,FALSE,"단축3";#N/A,#N/A,FALSE,"장축";#N/A,#N/A,FALSE,"4WD"}</definedName>
    <definedName name="EEE_1_2" localSheetId="0" hidden="1">{#N/A,#N/A,FALSE,"단축1";#N/A,#N/A,FALSE,"단축2";#N/A,#N/A,FALSE,"단축3";#N/A,#N/A,FALSE,"장축";#N/A,#N/A,FALSE,"4WD"}</definedName>
    <definedName name="EEE_1_2" hidden="1">{#N/A,#N/A,FALSE,"단축1";#N/A,#N/A,FALSE,"단축2";#N/A,#N/A,FALSE,"단축3";#N/A,#N/A,FALSE,"장축";#N/A,#N/A,FALSE,"4WD"}</definedName>
    <definedName name="EEE_1_3" localSheetId="26" hidden="1">{#N/A,#N/A,FALSE,"단축1";#N/A,#N/A,FALSE,"단축2";#N/A,#N/A,FALSE,"단축3";#N/A,#N/A,FALSE,"장축";#N/A,#N/A,FALSE,"4WD"}</definedName>
    <definedName name="EEE_1_3" localSheetId="0" hidden="1">{#N/A,#N/A,FALSE,"단축1";#N/A,#N/A,FALSE,"단축2";#N/A,#N/A,FALSE,"단축3";#N/A,#N/A,FALSE,"장축";#N/A,#N/A,FALSE,"4WD"}</definedName>
    <definedName name="EEE_1_3" hidden="1">{#N/A,#N/A,FALSE,"단축1";#N/A,#N/A,FALSE,"단축2";#N/A,#N/A,FALSE,"단축3";#N/A,#N/A,FALSE,"장축";#N/A,#N/A,FALSE,"4WD"}</definedName>
    <definedName name="EEE_2" localSheetId="26" hidden="1">{#N/A,#N/A,FALSE,"단축1";#N/A,#N/A,FALSE,"단축2";#N/A,#N/A,FALSE,"단축3";#N/A,#N/A,FALSE,"장축";#N/A,#N/A,FALSE,"4WD"}</definedName>
    <definedName name="EEE_2" localSheetId="0" hidden="1">{#N/A,#N/A,FALSE,"단축1";#N/A,#N/A,FALSE,"단축2";#N/A,#N/A,FALSE,"단축3";#N/A,#N/A,FALSE,"장축";#N/A,#N/A,FALSE,"4WD"}</definedName>
    <definedName name="EEE_2" hidden="1">{#N/A,#N/A,FALSE,"단축1";#N/A,#N/A,FALSE,"단축2";#N/A,#N/A,FALSE,"단축3";#N/A,#N/A,FALSE,"장축";#N/A,#N/A,FALSE,"4WD"}</definedName>
    <definedName name="EEE_2_1" localSheetId="26" hidden="1">{#N/A,#N/A,FALSE,"단축1";#N/A,#N/A,FALSE,"단축2";#N/A,#N/A,FALSE,"단축3";#N/A,#N/A,FALSE,"장축";#N/A,#N/A,FALSE,"4WD"}</definedName>
    <definedName name="EEE_2_1" localSheetId="0" hidden="1">{#N/A,#N/A,FALSE,"단축1";#N/A,#N/A,FALSE,"단축2";#N/A,#N/A,FALSE,"단축3";#N/A,#N/A,FALSE,"장축";#N/A,#N/A,FALSE,"4WD"}</definedName>
    <definedName name="EEE_2_1" hidden="1">{#N/A,#N/A,FALSE,"단축1";#N/A,#N/A,FALSE,"단축2";#N/A,#N/A,FALSE,"단축3";#N/A,#N/A,FALSE,"장축";#N/A,#N/A,FALSE,"4WD"}</definedName>
    <definedName name="EEE_2_2" localSheetId="26" hidden="1">{#N/A,#N/A,FALSE,"단축1";#N/A,#N/A,FALSE,"단축2";#N/A,#N/A,FALSE,"단축3";#N/A,#N/A,FALSE,"장축";#N/A,#N/A,FALSE,"4WD"}</definedName>
    <definedName name="EEE_2_2" localSheetId="0" hidden="1">{#N/A,#N/A,FALSE,"단축1";#N/A,#N/A,FALSE,"단축2";#N/A,#N/A,FALSE,"단축3";#N/A,#N/A,FALSE,"장축";#N/A,#N/A,FALSE,"4WD"}</definedName>
    <definedName name="EEE_2_2" hidden="1">{#N/A,#N/A,FALSE,"단축1";#N/A,#N/A,FALSE,"단축2";#N/A,#N/A,FALSE,"단축3";#N/A,#N/A,FALSE,"장축";#N/A,#N/A,FALSE,"4WD"}</definedName>
    <definedName name="EEE_3" localSheetId="26" hidden="1">{#N/A,#N/A,FALSE,"단축1";#N/A,#N/A,FALSE,"단축2";#N/A,#N/A,FALSE,"단축3";#N/A,#N/A,FALSE,"장축";#N/A,#N/A,FALSE,"4WD"}</definedName>
    <definedName name="EEE_3" localSheetId="0" hidden="1">{#N/A,#N/A,FALSE,"단축1";#N/A,#N/A,FALSE,"단축2";#N/A,#N/A,FALSE,"단축3";#N/A,#N/A,FALSE,"장축";#N/A,#N/A,FALSE,"4WD"}</definedName>
    <definedName name="EEE_3" hidden="1">{#N/A,#N/A,FALSE,"단축1";#N/A,#N/A,FALSE,"단축2";#N/A,#N/A,FALSE,"단축3";#N/A,#N/A,FALSE,"장축";#N/A,#N/A,FALSE,"4WD"}</definedName>
    <definedName name="EEE_4" localSheetId="26" hidden="1">{#N/A,#N/A,FALSE,"단축1";#N/A,#N/A,FALSE,"단축2";#N/A,#N/A,FALSE,"단축3";#N/A,#N/A,FALSE,"장축";#N/A,#N/A,FALSE,"4WD"}</definedName>
    <definedName name="EEE_4" localSheetId="0" hidden="1">{#N/A,#N/A,FALSE,"단축1";#N/A,#N/A,FALSE,"단축2";#N/A,#N/A,FALSE,"단축3";#N/A,#N/A,FALSE,"장축";#N/A,#N/A,FALSE,"4WD"}</definedName>
    <definedName name="EEE_4" hidden="1">{#N/A,#N/A,FALSE,"단축1";#N/A,#N/A,FALSE,"단축2";#N/A,#N/A,FALSE,"단축3";#N/A,#N/A,FALSE,"장축";#N/A,#N/A,FALSE,"4WD"}</definedName>
    <definedName name="EEE_5" localSheetId="26" hidden="1">{#N/A,#N/A,FALSE,"단축1";#N/A,#N/A,FALSE,"단축2";#N/A,#N/A,FALSE,"단축3";#N/A,#N/A,FALSE,"장축";#N/A,#N/A,FALSE,"4WD"}</definedName>
    <definedName name="EEE_5" localSheetId="0" hidden="1">{#N/A,#N/A,FALSE,"단축1";#N/A,#N/A,FALSE,"단축2";#N/A,#N/A,FALSE,"단축3";#N/A,#N/A,FALSE,"장축";#N/A,#N/A,FALSE,"4WD"}</definedName>
    <definedName name="EEE_5" hidden="1">{#N/A,#N/A,FALSE,"단축1";#N/A,#N/A,FALSE,"단축2";#N/A,#N/A,FALSE,"단축3";#N/A,#N/A,FALSE,"장축";#N/A,#N/A,FALSE,"4WD"}</definedName>
    <definedName name="eeee" localSheetId="26" hidden="1">{#N/A,#N/A,FALSE,"단축1";#N/A,#N/A,FALSE,"단축2";#N/A,#N/A,FALSE,"단축3";#N/A,#N/A,FALSE,"장축";#N/A,#N/A,FALSE,"4WD"}</definedName>
    <definedName name="eeee" localSheetId="0" hidden="1">{#N/A,#N/A,FALSE,"단축1";#N/A,#N/A,FALSE,"단축2";#N/A,#N/A,FALSE,"단축3";#N/A,#N/A,FALSE,"장축";#N/A,#N/A,FALSE,"4WD"}</definedName>
    <definedName name="eeee" hidden="1">{#N/A,#N/A,FALSE,"단축1";#N/A,#N/A,FALSE,"단축2";#N/A,#N/A,FALSE,"단축3";#N/A,#N/A,FALSE,"장축";#N/A,#N/A,FALSE,"4WD"}</definedName>
    <definedName name="eeee_1" localSheetId="26" hidden="1">{#N/A,#N/A,FALSE,"단축1";#N/A,#N/A,FALSE,"단축2";#N/A,#N/A,FALSE,"단축3";#N/A,#N/A,FALSE,"장축";#N/A,#N/A,FALSE,"4WD"}</definedName>
    <definedName name="eeee_1" localSheetId="0" hidden="1">{#N/A,#N/A,FALSE,"단축1";#N/A,#N/A,FALSE,"단축2";#N/A,#N/A,FALSE,"단축3";#N/A,#N/A,FALSE,"장축";#N/A,#N/A,FALSE,"4WD"}</definedName>
    <definedName name="eeee_1" hidden="1">{#N/A,#N/A,FALSE,"단축1";#N/A,#N/A,FALSE,"단축2";#N/A,#N/A,FALSE,"단축3";#N/A,#N/A,FALSE,"장축";#N/A,#N/A,FALSE,"4WD"}</definedName>
    <definedName name="eeee_1_1" localSheetId="26" hidden="1">{#N/A,#N/A,FALSE,"단축1";#N/A,#N/A,FALSE,"단축2";#N/A,#N/A,FALSE,"단축3";#N/A,#N/A,FALSE,"장축";#N/A,#N/A,FALSE,"4WD"}</definedName>
    <definedName name="eeee_1_1" localSheetId="0" hidden="1">{#N/A,#N/A,FALSE,"단축1";#N/A,#N/A,FALSE,"단축2";#N/A,#N/A,FALSE,"단축3";#N/A,#N/A,FALSE,"장축";#N/A,#N/A,FALSE,"4WD"}</definedName>
    <definedName name="eeee_1_1" hidden="1">{#N/A,#N/A,FALSE,"단축1";#N/A,#N/A,FALSE,"단축2";#N/A,#N/A,FALSE,"단축3";#N/A,#N/A,FALSE,"장축";#N/A,#N/A,FALSE,"4WD"}</definedName>
    <definedName name="eeee_1_2" localSheetId="26" hidden="1">{#N/A,#N/A,FALSE,"단축1";#N/A,#N/A,FALSE,"단축2";#N/A,#N/A,FALSE,"단축3";#N/A,#N/A,FALSE,"장축";#N/A,#N/A,FALSE,"4WD"}</definedName>
    <definedName name="eeee_1_2" localSheetId="0" hidden="1">{#N/A,#N/A,FALSE,"단축1";#N/A,#N/A,FALSE,"단축2";#N/A,#N/A,FALSE,"단축3";#N/A,#N/A,FALSE,"장축";#N/A,#N/A,FALSE,"4WD"}</definedName>
    <definedName name="eeee_1_2" hidden="1">{#N/A,#N/A,FALSE,"단축1";#N/A,#N/A,FALSE,"단축2";#N/A,#N/A,FALSE,"단축3";#N/A,#N/A,FALSE,"장축";#N/A,#N/A,FALSE,"4WD"}</definedName>
    <definedName name="eeee_1_3" localSheetId="26" hidden="1">{#N/A,#N/A,FALSE,"단축1";#N/A,#N/A,FALSE,"단축2";#N/A,#N/A,FALSE,"단축3";#N/A,#N/A,FALSE,"장축";#N/A,#N/A,FALSE,"4WD"}</definedName>
    <definedName name="eeee_1_3" localSheetId="0" hidden="1">{#N/A,#N/A,FALSE,"단축1";#N/A,#N/A,FALSE,"단축2";#N/A,#N/A,FALSE,"단축3";#N/A,#N/A,FALSE,"장축";#N/A,#N/A,FALSE,"4WD"}</definedName>
    <definedName name="eeee_1_3" hidden="1">{#N/A,#N/A,FALSE,"단축1";#N/A,#N/A,FALSE,"단축2";#N/A,#N/A,FALSE,"단축3";#N/A,#N/A,FALSE,"장축";#N/A,#N/A,FALSE,"4WD"}</definedName>
    <definedName name="eeee_2" localSheetId="26" hidden="1">{#N/A,#N/A,FALSE,"단축1";#N/A,#N/A,FALSE,"단축2";#N/A,#N/A,FALSE,"단축3";#N/A,#N/A,FALSE,"장축";#N/A,#N/A,FALSE,"4WD"}</definedName>
    <definedName name="eeee_2" localSheetId="0" hidden="1">{#N/A,#N/A,FALSE,"단축1";#N/A,#N/A,FALSE,"단축2";#N/A,#N/A,FALSE,"단축3";#N/A,#N/A,FALSE,"장축";#N/A,#N/A,FALSE,"4WD"}</definedName>
    <definedName name="eeee_2" hidden="1">{#N/A,#N/A,FALSE,"단축1";#N/A,#N/A,FALSE,"단축2";#N/A,#N/A,FALSE,"단축3";#N/A,#N/A,FALSE,"장축";#N/A,#N/A,FALSE,"4WD"}</definedName>
    <definedName name="eeee_2_1" localSheetId="26" hidden="1">{#N/A,#N/A,FALSE,"단축1";#N/A,#N/A,FALSE,"단축2";#N/A,#N/A,FALSE,"단축3";#N/A,#N/A,FALSE,"장축";#N/A,#N/A,FALSE,"4WD"}</definedName>
    <definedName name="eeee_2_1" localSheetId="0" hidden="1">{#N/A,#N/A,FALSE,"단축1";#N/A,#N/A,FALSE,"단축2";#N/A,#N/A,FALSE,"단축3";#N/A,#N/A,FALSE,"장축";#N/A,#N/A,FALSE,"4WD"}</definedName>
    <definedName name="eeee_2_1" hidden="1">{#N/A,#N/A,FALSE,"단축1";#N/A,#N/A,FALSE,"단축2";#N/A,#N/A,FALSE,"단축3";#N/A,#N/A,FALSE,"장축";#N/A,#N/A,FALSE,"4WD"}</definedName>
    <definedName name="eeee_2_2" localSheetId="26" hidden="1">{#N/A,#N/A,FALSE,"단축1";#N/A,#N/A,FALSE,"단축2";#N/A,#N/A,FALSE,"단축3";#N/A,#N/A,FALSE,"장축";#N/A,#N/A,FALSE,"4WD"}</definedName>
    <definedName name="eeee_2_2" localSheetId="0" hidden="1">{#N/A,#N/A,FALSE,"단축1";#N/A,#N/A,FALSE,"단축2";#N/A,#N/A,FALSE,"단축3";#N/A,#N/A,FALSE,"장축";#N/A,#N/A,FALSE,"4WD"}</definedName>
    <definedName name="eeee_2_2" hidden="1">{#N/A,#N/A,FALSE,"단축1";#N/A,#N/A,FALSE,"단축2";#N/A,#N/A,FALSE,"단축3";#N/A,#N/A,FALSE,"장축";#N/A,#N/A,FALSE,"4WD"}</definedName>
    <definedName name="eeee_3" localSheetId="26" hidden="1">{#N/A,#N/A,FALSE,"단축1";#N/A,#N/A,FALSE,"단축2";#N/A,#N/A,FALSE,"단축3";#N/A,#N/A,FALSE,"장축";#N/A,#N/A,FALSE,"4WD"}</definedName>
    <definedName name="eeee_3" localSheetId="0" hidden="1">{#N/A,#N/A,FALSE,"단축1";#N/A,#N/A,FALSE,"단축2";#N/A,#N/A,FALSE,"단축3";#N/A,#N/A,FALSE,"장축";#N/A,#N/A,FALSE,"4WD"}</definedName>
    <definedName name="eeee_3" hidden="1">{#N/A,#N/A,FALSE,"단축1";#N/A,#N/A,FALSE,"단축2";#N/A,#N/A,FALSE,"단축3";#N/A,#N/A,FALSE,"장축";#N/A,#N/A,FALSE,"4WD"}</definedName>
    <definedName name="eeee_4" localSheetId="26" hidden="1">{#N/A,#N/A,FALSE,"단축1";#N/A,#N/A,FALSE,"단축2";#N/A,#N/A,FALSE,"단축3";#N/A,#N/A,FALSE,"장축";#N/A,#N/A,FALSE,"4WD"}</definedName>
    <definedName name="eeee_4" localSheetId="0" hidden="1">{#N/A,#N/A,FALSE,"단축1";#N/A,#N/A,FALSE,"단축2";#N/A,#N/A,FALSE,"단축3";#N/A,#N/A,FALSE,"장축";#N/A,#N/A,FALSE,"4WD"}</definedName>
    <definedName name="eeee_4" hidden="1">{#N/A,#N/A,FALSE,"단축1";#N/A,#N/A,FALSE,"단축2";#N/A,#N/A,FALSE,"단축3";#N/A,#N/A,FALSE,"장축";#N/A,#N/A,FALSE,"4WD"}</definedName>
    <definedName name="eeee_5" localSheetId="26" hidden="1">{#N/A,#N/A,FALSE,"단축1";#N/A,#N/A,FALSE,"단축2";#N/A,#N/A,FALSE,"단축3";#N/A,#N/A,FALSE,"장축";#N/A,#N/A,FALSE,"4WD"}</definedName>
    <definedName name="eeee_5" localSheetId="0" hidden="1">{#N/A,#N/A,FALSE,"단축1";#N/A,#N/A,FALSE,"단축2";#N/A,#N/A,FALSE,"단축3";#N/A,#N/A,FALSE,"장축";#N/A,#N/A,FALSE,"4WD"}</definedName>
    <definedName name="eeee_5" hidden="1">{#N/A,#N/A,FALSE,"단축1";#N/A,#N/A,FALSE,"단축2";#N/A,#N/A,FALSE,"단축3";#N/A,#N/A,FALSE,"장축";#N/A,#N/A,FALSE,"4WD"}</definedName>
    <definedName name="EOGH" localSheetId="26" hidden="1">{#N/A,#N/A,FALSE,"단축1";#N/A,#N/A,FALSE,"단축2";#N/A,#N/A,FALSE,"단축3";#N/A,#N/A,FALSE,"장축";#N/A,#N/A,FALSE,"4WD"}</definedName>
    <definedName name="EOGH" localSheetId="0" hidden="1">{#N/A,#N/A,FALSE,"단축1";#N/A,#N/A,FALSE,"단축2";#N/A,#N/A,FALSE,"단축3";#N/A,#N/A,FALSE,"장축";#N/A,#N/A,FALSE,"4WD"}</definedName>
    <definedName name="EOGH" hidden="1">{#N/A,#N/A,FALSE,"단축1";#N/A,#N/A,FALSE,"단축2";#N/A,#N/A,FALSE,"단축3";#N/A,#N/A,FALSE,"장축";#N/A,#N/A,FALSE,"4WD"}</definedName>
    <definedName name="EOGH_1" localSheetId="26" hidden="1">{#N/A,#N/A,FALSE,"단축1";#N/A,#N/A,FALSE,"단축2";#N/A,#N/A,FALSE,"단축3";#N/A,#N/A,FALSE,"장축";#N/A,#N/A,FALSE,"4WD"}</definedName>
    <definedName name="EOGH_1" localSheetId="0" hidden="1">{#N/A,#N/A,FALSE,"단축1";#N/A,#N/A,FALSE,"단축2";#N/A,#N/A,FALSE,"단축3";#N/A,#N/A,FALSE,"장축";#N/A,#N/A,FALSE,"4WD"}</definedName>
    <definedName name="EOGH_1" hidden="1">{#N/A,#N/A,FALSE,"단축1";#N/A,#N/A,FALSE,"단축2";#N/A,#N/A,FALSE,"단축3";#N/A,#N/A,FALSE,"장축";#N/A,#N/A,FALSE,"4WD"}</definedName>
    <definedName name="EOGH_1_1" localSheetId="26" hidden="1">{#N/A,#N/A,FALSE,"단축1";#N/A,#N/A,FALSE,"단축2";#N/A,#N/A,FALSE,"단축3";#N/A,#N/A,FALSE,"장축";#N/A,#N/A,FALSE,"4WD"}</definedName>
    <definedName name="EOGH_1_1" localSheetId="0" hidden="1">{#N/A,#N/A,FALSE,"단축1";#N/A,#N/A,FALSE,"단축2";#N/A,#N/A,FALSE,"단축3";#N/A,#N/A,FALSE,"장축";#N/A,#N/A,FALSE,"4WD"}</definedName>
    <definedName name="EOGH_1_1" hidden="1">{#N/A,#N/A,FALSE,"단축1";#N/A,#N/A,FALSE,"단축2";#N/A,#N/A,FALSE,"단축3";#N/A,#N/A,FALSE,"장축";#N/A,#N/A,FALSE,"4WD"}</definedName>
    <definedName name="EOGH_1_2" localSheetId="26" hidden="1">{#N/A,#N/A,FALSE,"단축1";#N/A,#N/A,FALSE,"단축2";#N/A,#N/A,FALSE,"단축3";#N/A,#N/A,FALSE,"장축";#N/A,#N/A,FALSE,"4WD"}</definedName>
    <definedName name="EOGH_1_2" localSheetId="0" hidden="1">{#N/A,#N/A,FALSE,"단축1";#N/A,#N/A,FALSE,"단축2";#N/A,#N/A,FALSE,"단축3";#N/A,#N/A,FALSE,"장축";#N/A,#N/A,FALSE,"4WD"}</definedName>
    <definedName name="EOGH_1_2" hidden="1">{#N/A,#N/A,FALSE,"단축1";#N/A,#N/A,FALSE,"단축2";#N/A,#N/A,FALSE,"단축3";#N/A,#N/A,FALSE,"장축";#N/A,#N/A,FALSE,"4WD"}</definedName>
    <definedName name="EOGH_1_3" localSheetId="26" hidden="1">{#N/A,#N/A,FALSE,"단축1";#N/A,#N/A,FALSE,"단축2";#N/A,#N/A,FALSE,"단축3";#N/A,#N/A,FALSE,"장축";#N/A,#N/A,FALSE,"4WD"}</definedName>
    <definedName name="EOGH_1_3" localSheetId="0" hidden="1">{#N/A,#N/A,FALSE,"단축1";#N/A,#N/A,FALSE,"단축2";#N/A,#N/A,FALSE,"단축3";#N/A,#N/A,FALSE,"장축";#N/A,#N/A,FALSE,"4WD"}</definedName>
    <definedName name="EOGH_1_3" hidden="1">{#N/A,#N/A,FALSE,"단축1";#N/A,#N/A,FALSE,"단축2";#N/A,#N/A,FALSE,"단축3";#N/A,#N/A,FALSE,"장축";#N/A,#N/A,FALSE,"4WD"}</definedName>
    <definedName name="EOGH_2" localSheetId="26" hidden="1">{#N/A,#N/A,FALSE,"단축1";#N/A,#N/A,FALSE,"단축2";#N/A,#N/A,FALSE,"단축3";#N/A,#N/A,FALSE,"장축";#N/A,#N/A,FALSE,"4WD"}</definedName>
    <definedName name="EOGH_2" localSheetId="0" hidden="1">{#N/A,#N/A,FALSE,"단축1";#N/A,#N/A,FALSE,"단축2";#N/A,#N/A,FALSE,"단축3";#N/A,#N/A,FALSE,"장축";#N/A,#N/A,FALSE,"4WD"}</definedName>
    <definedName name="EOGH_2" hidden="1">{#N/A,#N/A,FALSE,"단축1";#N/A,#N/A,FALSE,"단축2";#N/A,#N/A,FALSE,"단축3";#N/A,#N/A,FALSE,"장축";#N/A,#N/A,FALSE,"4WD"}</definedName>
    <definedName name="EOGH_2_1" localSheetId="26" hidden="1">{#N/A,#N/A,FALSE,"단축1";#N/A,#N/A,FALSE,"단축2";#N/A,#N/A,FALSE,"단축3";#N/A,#N/A,FALSE,"장축";#N/A,#N/A,FALSE,"4WD"}</definedName>
    <definedName name="EOGH_2_1" localSheetId="0" hidden="1">{#N/A,#N/A,FALSE,"단축1";#N/A,#N/A,FALSE,"단축2";#N/A,#N/A,FALSE,"단축3";#N/A,#N/A,FALSE,"장축";#N/A,#N/A,FALSE,"4WD"}</definedName>
    <definedName name="EOGH_2_1" hidden="1">{#N/A,#N/A,FALSE,"단축1";#N/A,#N/A,FALSE,"단축2";#N/A,#N/A,FALSE,"단축3";#N/A,#N/A,FALSE,"장축";#N/A,#N/A,FALSE,"4WD"}</definedName>
    <definedName name="EOGH_2_2" localSheetId="26" hidden="1">{#N/A,#N/A,FALSE,"단축1";#N/A,#N/A,FALSE,"단축2";#N/A,#N/A,FALSE,"단축3";#N/A,#N/A,FALSE,"장축";#N/A,#N/A,FALSE,"4WD"}</definedName>
    <definedName name="EOGH_2_2" localSheetId="0" hidden="1">{#N/A,#N/A,FALSE,"단축1";#N/A,#N/A,FALSE,"단축2";#N/A,#N/A,FALSE,"단축3";#N/A,#N/A,FALSE,"장축";#N/A,#N/A,FALSE,"4WD"}</definedName>
    <definedName name="EOGH_2_2" hidden="1">{#N/A,#N/A,FALSE,"단축1";#N/A,#N/A,FALSE,"단축2";#N/A,#N/A,FALSE,"단축3";#N/A,#N/A,FALSE,"장축";#N/A,#N/A,FALSE,"4WD"}</definedName>
    <definedName name="EOGH_3" localSheetId="26" hidden="1">{#N/A,#N/A,FALSE,"단축1";#N/A,#N/A,FALSE,"단축2";#N/A,#N/A,FALSE,"단축3";#N/A,#N/A,FALSE,"장축";#N/A,#N/A,FALSE,"4WD"}</definedName>
    <definedName name="EOGH_3" localSheetId="0" hidden="1">{#N/A,#N/A,FALSE,"단축1";#N/A,#N/A,FALSE,"단축2";#N/A,#N/A,FALSE,"단축3";#N/A,#N/A,FALSE,"장축";#N/A,#N/A,FALSE,"4WD"}</definedName>
    <definedName name="EOGH_3" hidden="1">{#N/A,#N/A,FALSE,"단축1";#N/A,#N/A,FALSE,"단축2";#N/A,#N/A,FALSE,"단축3";#N/A,#N/A,FALSE,"장축";#N/A,#N/A,FALSE,"4WD"}</definedName>
    <definedName name="EOGH_4" localSheetId="26" hidden="1">{#N/A,#N/A,FALSE,"단축1";#N/A,#N/A,FALSE,"단축2";#N/A,#N/A,FALSE,"단축3";#N/A,#N/A,FALSE,"장축";#N/A,#N/A,FALSE,"4WD"}</definedName>
    <definedName name="EOGH_4" localSheetId="0" hidden="1">{#N/A,#N/A,FALSE,"단축1";#N/A,#N/A,FALSE,"단축2";#N/A,#N/A,FALSE,"단축3";#N/A,#N/A,FALSE,"장축";#N/A,#N/A,FALSE,"4WD"}</definedName>
    <definedName name="EOGH_4" hidden="1">{#N/A,#N/A,FALSE,"단축1";#N/A,#N/A,FALSE,"단축2";#N/A,#N/A,FALSE,"단축3";#N/A,#N/A,FALSE,"장축";#N/A,#N/A,FALSE,"4WD"}</definedName>
    <definedName name="EOGH_5" localSheetId="26" hidden="1">{#N/A,#N/A,FALSE,"단축1";#N/A,#N/A,FALSE,"단축2";#N/A,#N/A,FALSE,"단축3";#N/A,#N/A,FALSE,"장축";#N/A,#N/A,FALSE,"4WD"}</definedName>
    <definedName name="EOGH_5" localSheetId="0" hidden="1">{#N/A,#N/A,FALSE,"단축1";#N/A,#N/A,FALSE,"단축2";#N/A,#N/A,FALSE,"단축3";#N/A,#N/A,FALSE,"장축";#N/A,#N/A,FALSE,"4WD"}</definedName>
    <definedName name="EOGH_5" hidden="1">{#N/A,#N/A,FALSE,"단축1";#N/A,#N/A,FALSE,"단축2";#N/A,#N/A,FALSE,"단축3";#N/A,#N/A,FALSE,"장축";#N/A,#N/A,FALSE,"4WD"}</definedName>
    <definedName name="er" localSheetId="9" hidden="1">[15]MOTO!#REF!</definedName>
    <definedName name="er" localSheetId="1" hidden="1">[15]MOTO!#REF!</definedName>
    <definedName name="er" localSheetId="26" hidden="1">[15]MOTO!#REF!</definedName>
    <definedName name="er" localSheetId="21" hidden="1">[15]MOTO!#REF!</definedName>
    <definedName name="er" localSheetId="3" hidden="1">[15]MOTO!#REF!</definedName>
    <definedName name="er" localSheetId="28" hidden="1">[15]MOTO!#REF!</definedName>
    <definedName name="er" localSheetId="27" hidden="1">[15]MOTO!#REF!</definedName>
    <definedName name="er" localSheetId="0" hidden="1">[15]MOTO!#REF!</definedName>
    <definedName name="er" hidden="1">[15]MOTO!#REF!</definedName>
    <definedName name="ert" localSheetId="26" hidden="1">{#N/A,#N/A,FALSE,"196126-0690";#N/A,#N/A,FALSE,"196126-0690";#N/A,#N/A,FALSE,"1961165-0201"}</definedName>
    <definedName name="ert" localSheetId="0" hidden="1">{#N/A,#N/A,FALSE,"196126-0690";#N/A,#N/A,FALSE,"196126-0690";#N/A,#N/A,FALSE,"1961165-0201"}</definedName>
    <definedName name="ert" hidden="1">{#N/A,#N/A,FALSE,"196126-0690";#N/A,#N/A,FALSE,"196126-0690";#N/A,#N/A,FALSE,"1961165-0201"}</definedName>
    <definedName name="ert_1" localSheetId="26" hidden="1">{#N/A,#N/A,FALSE,"196126-0690";#N/A,#N/A,FALSE,"196126-0690";#N/A,#N/A,FALSE,"1961165-0201"}</definedName>
    <definedName name="ert_1" localSheetId="0" hidden="1">{#N/A,#N/A,FALSE,"196126-0690";#N/A,#N/A,FALSE,"196126-0690";#N/A,#N/A,FALSE,"1961165-0201"}</definedName>
    <definedName name="ert_1" hidden="1">{#N/A,#N/A,FALSE,"196126-0690";#N/A,#N/A,FALSE,"196126-0690";#N/A,#N/A,FALSE,"1961165-0201"}</definedName>
    <definedName name="ert_1_1" localSheetId="26" hidden="1">{#N/A,#N/A,FALSE,"196126-0690";#N/A,#N/A,FALSE,"196126-0690";#N/A,#N/A,FALSE,"1961165-0201"}</definedName>
    <definedName name="ert_1_1" localSheetId="0" hidden="1">{#N/A,#N/A,FALSE,"196126-0690";#N/A,#N/A,FALSE,"196126-0690";#N/A,#N/A,FALSE,"1961165-0201"}</definedName>
    <definedName name="ert_1_1" hidden="1">{#N/A,#N/A,FALSE,"196126-0690";#N/A,#N/A,FALSE,"196126-0690";#N/A,#N/A,FALSE,"1961165-0201"}</definedName>
    <definedName name="ert_1_2" localSheetId="26" hidden="1">{#N/A,#N/A,FALSE,"196126-0690";#N/A,#N/A,FALSE,"196126-0690";#N/A,#N/A,FALSE,"1961165-0201"}</definedName>
    <definedName name="ert_1_2" localSheetId="0" hidden="1">{#N/A,#N/A,FALSE,"196126-0690";#N/A,#N/A,FALSE,"196126-0690";#N/A,#N/A,FALSE,"1961165-0201"}</definedName>
    <definedName name="ert_1_2" hidden="1">{#N/A,#N/A,FALSE,"196126-0690";#N/A,#N/A,FALSE,"196126-0690";#N/A,#N/A,FALSE,"1961165-0201"}</definedName>
    <definedName name="ert_1_3" localSheetId="26" hidden="1">{#N/A,#N/A,FALSE,"196126-0690";#N/A,#N/A,FALSE,"196126-0690";#N/A,#N/A,FALSE,"1961165-0201"}</definedName>
    <definedName name="ert_1_3" localSheetId="0" hidden="1">{#N/A,#N/A,FALSE,"196126-0690";#N/A,#N/A,FALSE,"196126-0690";#N/A,#N/A,FALSE,"1961165-0201"}</definedName>
    <definedName name="ert_1_3" hidden="1">{#N/A,#N/A,FALSE,"196126-0690";#N/A,#N/A,FALSE,"196126-0690";#N/A,#N/A,FALSE,"1961165-0201"}</definedName>
    <definedName name="ert_2" localSheetId="26" hidden="1">{#N/A,#N/A,FALSE,"196126-0690";#N/A,#N/A,FALSE,"196126-0690";#N/A,#N/A,FALSE,"1961165-0201"}</definedName>
    <definedName name="ert_2" localSheetId="0" hidden="1">{#N/A,#N/A,FALSE,"196126-0690";#N/A,#N/A,FALSE,"196126-0690";#N/A,#N/A,FALSE,"1961165-0201"}</definedName>
    <definedName name="ert_2" hidden="1">{#N/A,#N/A,FALSE,"196126-0690";#N/A,#N/A,FALSE,"196126-0690";#N/A,#N/A,FALSE,"1961165-0201"}</definedName>
    <definedName name="ert_2_1" localSheetId="26" hidden="1">{#N/A,#N/A,FALSE,"196126-0690";#N/A,#N/A,FALSE,"196126-0690";#N/A,#N/A,FALSE,"1961165-0201"}</definedName>
    <definedName name="ert_2_1" localSheetId="0" hidden="1">{#N/A,#N/A,FALSE,"196126-0690";#N/A,#N/A,FALSE,"196126-0690";#N/A,#N/A,FALSE,"1961165-0201"}</definedName>
    <definedName name="ert_2_1" hidden="1">{#N/A,#N/A,FALSE,"196126-0690";#N/A,#N/A,FALSE,"196126-0690";#N/A,#N/A,FALSE,"1961165-0201"}</definedName>
    <definedName name="ert_2_2" localSheetId="26" hidden="1">{#N/A,#N/A,FALSE,"196126-0690";#N/A,#N/A,FALSE,"196126-0690";#N/A,#N/A,FALSE,"1961165-0201"}</definedName>
    <definedName name="ert_2_2" localSheetId="0" hidden="1">{#N/A,#N/A,FALSE,"196126-0690";#N/A,#N/A,FALSE,"196126-0690";#N/A,#N/A,FALSE,"1961165-0201"}</definedName>
    <definedName name="ert_2_2" hidden="1">{#N/A,#N/A,FALSE,"196126-0690";#N/A,#N/A,FALSE,"196126-0690";#N/A,#N/A,FALSE,"1961165-0201"}</definedName>
    <definedName name="ert_3" localSheetId="26" hidden="1">{#N/A,#N/A,FALSE,"196126-0690";#N/A,#N/A,FALSE,"196126-0690";#N/A,#N/A,FALSE,"1961165-0201"}</definedName>
    <definedName name="ert_3" localSheetId="0" hidden="1">{#N/A,#N/A,FALSE,"196126-0690";#N/A,#N/A,FALSE,"196126-0690";#N/A,#N/A,FALSE,"1961165-0201"}</definedName>
    <definedName name="ert_3" hidden="1">{#N/A,#N/A,FALSE,"196126-0690";#N/A,#N/A,FALSE,"196126-0690";#N/A,#N/A,FALSE,"1961165-0201"}</definedName>
    <definedName name="ert_4" localSheetId="26" hidden="1">{#N/A,#N/A,FALSE,"196126-0690";#N/A,#N/A,FALSE,"196126-0690";#N/A,#N/A,FALSE,"1961165-0201"}</definedName>
    <definedName name="ert_4" localSheetId="0" hidden="1">{#N/A,#N/A,FALSE,"196126-0690";#N/A,#N/A,FALSE,"196126-0690";#N/A,#N/A,FALSE,"1961165-0201"}</definedName>
    <definedName name="ert_4" hidden="1">{#N/A,#N/A,FALSE,"196126-0690";#N/A,#N/A,FALSE,"196126-0690";#N/A,#N/A,FALSE,"1961165-0201"}</definedName>
    <definedName name="ert_5" localSheetId="26" hidden="1">{#N/A,#N/A,FALSE,"196126-0690";#N/A,#N/A,FALSE,"196126-0690";#N/A,#N/A,FALSE,"1961165-0201"}</definedName>
    <definedName name="ert_5" localSheetId="0" hidden="1">{#N/A,#N/A,FALSE,"196126-0690";#N/A,#N/A,FALSE,"196126-0690";#N/A,#N/A,FALSE,"1961165-0201"}</definedName>
    <definedName name="ert_5" hidden="1">{#N/A,#N/A,FALSE,"196126-0690";#N/A,#N/A,FALSE,"196126-0690";#N/A,#N/A,FALSE,"1961165-0201"}</definedName>
    <definedName name="ESPeXToEUR" localSheetId="9" hidden="1">1/EUReXToESP</definedName>
    <definedName name="ESPeXToEUR" localSheetId="1" hidden="1">1/EUReXToESP</definedName>
    <definedName name="ESPeXToEUR" localSheetId="26" hidden="1">1/EUReXToESP</definedName>
    <definedName name="ESPeXToEUR" localSheetId="21" hidden="1">1/EUReXToESP</definedName>
    <definedName name="ESPeXToEUR" localSheetId="3" hidden="1">1/EUReXToESP</definedName>
    <definedName name="ESPeXToEUR" localSheetId="28" hidden="1">1/EUReXToESP</definedName>
    <definedName name="ESPeXToEUR" localSheetId="27" hidden="1">1/EUReXToESP</definedName>
    <definedName name="ESPeXToEUR" localSheetId="0" hidden="1">1/EUReXToESP</definedName>
    <definedName name="ESPeXToEUR" hidden="1">1/EUReXToESP</definedName>
    <definedName name="EWA" localSheetId="26" hidden="1">{#N/A,#N/A,FALSE,"초도품";#N/A,#N/A,FALSE,"초도품 (2)";#N/A,#N/A,FALSE,"초도품 (3)";#N/A,#N/A,FALSE,"초도품 (4)";#N/A,#N/A,FALSE,"초도품 (5)";#N/A,#N/A,FALSE,"초도품 (6)"}</definedName>
    <definedName name="EWA" localSheetId="0" hidden="1">{#N/A,#N/A,FALSE,"초도품";#N/A,#N/A,FALSE,"초도품 (2)";#N/A,#N/A,FALSE,"초도품 (3)";#N/A,#N/A,FALSE,"초도품 (4)";#N/A,#N/A,FALSE,"초도품 (5)";#N/A,#N/A,FALSE,"초도품 (6)"}</definedName>
    <definedName name="EWA" hidden="1">{#N/A,#N/A,FALSE,"초도품";#N/A,#N/A,FALSE,"초도품 (2)";#N/A,#N/A,FALSE,"초도품 (3)";#N/A,#N/A,FALSE,"초도품 (4)";#N/A,#N/A,FALSE,"초도품 (5)";#N/A,#N/A,FALSE,"초도품 (6)"}</definedName>
    <definedName name="EWA_1" localSheetId="26" hidden="1">{#N/A,#N/A,FALSE,"초도품";#N/A,#N/A,FALSE,"초도품 (2)";#N/A,#N/A,FALSE,"초도품 (3)";#N/A,#N/A,FALSE,"초도품 (4)";#N/A,#N/A,FALSE,"초도품 (5)";#N/A,#N/A,FALSE,"초도품 (6)"}</definedName>
    <definedName name="EWA_1" localSheetId="0" hidden="1">{#N/A,#N/A,FALSE,"초도품";#N/A,#N/A,FALSE,"초도품 (2)";#N/A,#N/A,FALSE,"초도품 (3)";#N/A,#N/A,FALSE,"초도품 (4)";#N/A,#N/A,FALSE,"초도품 (5)";#N/A,#N/A,FALSE,"초도품 (6)"}</definedName>
    <definedName name="EWA_1" hidden="1">{#N/A,#N/A,FALSE,"초도품";#N/A,#N/A,FALSE,"초도품 (2)";#N/A,#N/A,FALSE,"초도품 (3)";#N/A,#N/A,FALSE,"초도품 (4)";#N/A,#N/A,FALSE,"초도품 (5)";#N/A,#N/A,FALSE,"초도품 (6)"}</definedName>
    <definedName name="EWA_1_1" localSheetId="26" hidden="1">{#N/A,#N/A,FALSE,"초도품";#N/A,#N/A,FALSE,"초도품 (2)";#N/A,#N/A,FALSE,"초도품 (3)";#N/A,#N/A,FALSE,"초도품 (4)";#N/A,#N/A,FALSE,"초도품 (5)";#N/A,#N/A,FALSE,"초도품 (6)"}</definedName>
    <definedName name="EWA_1_1" localSheetId="0" hidden="1">{#N/A,#N/A,FALSE,"초도품";#N/A,#N/A,FALSE,"초도품 (2)";#N/A,#N/A,FALSE,"초도품 (3)";#N/A,#N/A,FALSE,"초도품 (4)";#N/A,#N/A,FALSE,"초도품 (5)";#N/A,#N/A,FALSE,"초도품 (6)"}</definedName>
    <definedName name="EWA_1_1" hidden="1">{#N/A,#N/A,FALSE,"초도품";#N/A,#N/A,FALSE,"초도품 (2)";#N/A,#N/A,FALSE,"초도품 (3)";#N/A,#N/A,FALSE,"초도품 (4)";#N/A,#N/A,FALSE,"초도품 (5)";#N/A,#N/A,FALSE,"초도품 (6)"}</definedName>
    <definedName name="EWA_1_2" localSheetId="26" hidden="1">{#N/A,#N/A,FALSE,"초도품";#N/A,#N/A,FALSE,"초도품 (2)";#N/A,#N/A,FALSE,"초도품 (3)";#N/A,#N/A,FALSE,"초도품 (4)";#N/A,#N/A,FALSE,"초도품 (5)";#N/A,#N/A,FALSE,"초도품 (6)"}</definedName>
    <definedName name="EWA_1_2" localSheetId="0" hidden="1">{#N/A,#N/A,FALSE,"초도품";#N/A,#N/A,FALSE,"초도품 (2)";#N/A,#N/A,FALSE,"초도품 (3)";#N/A,#N/A,FALSE,"초도품 (4)";#N/A,#N/A,FALSE,"초도품 (5)";#N/A,#N/A,FALSE,"초도품 (6)"}</definedName>
    <definedName name="EWA_1_2" hidden="1">{#N/A,#N/A,FALSE,"초도품";#N/A,#N/A,FALSE,"초도품 (2)";#N/A,#N/A,FALSE,"초도품 (3)";#N/A,#N/A,FALSE,"초도품 (4)";#N/A,#N/A,FALSE,"초도품 (5)";#N/A,#N/A,FALSE,"초도품 (6)"}</definedName>
    <definedName name="EWA_1_3" localSheetId="26" hidden="1">{#N/A,#N/A,FALSE,"초도품";#N/A,#N/A,FALSE,"초도품 (2)";#N/A,#N/A,FALSE,"초도품 (3)";#N/A,#N/A,FALSE,"초도품 (4)";#N/A,#N/A,FALSE,"초도품 (5)";#N/A,#N/A,FALSE,"초도품 (6)"}</definedName>
    <definedName name="EWA_1_3" localSheetId="0" hidden="1">{#N/A,#N/A,FALSE,"초도품";#N/A,#N/A,FALSE,"초도품 (2)";#N/A,#N/A,FALSE,"초도품 (3)";#N/A,#N/A,FALSE,"초도품 (4)";#N/A,#N/A,FALSE,"초도품 (5)";#N/A,#N/A,FALSE,"초도품 (6)"}</definedName>
    <definedName name="EWA_1_3" hidden="1">{#N/A,#N/A,FALSE,"초도품";#N/A,#N/A,FALSE,"초도품 (2)";#N/A,#N/A,FALSE,"초도품 (3)";#N/A,#N/A,FALSE,"초도품 (4)";#N/A,#N/A,FALSE,"초도품 (5)";#N/A,#N/A,FALSE,"초도품 (6)"}</definedName>
    <definedName name="EWA_2" localSheetId="26" hidden="1">{#N/A,#N/A,FALSE,"초도품";#N/A,#N/A,FALSE,"초도품 (2)";#N/A,#N/A,FALSE,"초도품 (3)";#N/A,#N/A,FALSE,"초도품 (4)";#N/A,#N/A,FALSE,"초도품 (5)";#N/A,#N/A,FALSE,"초도품 (6)"}</definedName>
    <definedName name="EWA_2" localSheetId="0" hidden="1">{#N/A,#N/A,FALSE,"초도품";#N/A,#N/A,FALSE,"초도품 (2)";#N/A,#N/A,FALSE,"초도품 (3)";#N/A,#N/A,FALSE,"초도품 (4)";#N/A,#N/A,FALSE,"초도품 (5)";#N/A,#N/A,FALSE,"초도품 (6)"}</definedName>
    <definedName name="EWA_2" hidden="1">{#N/A,#N/A,FALSE,"초도품";#N/A,#N/A,FALSE,"초도품 (2)";#N/A,#N/A,FALSE,"초도품 (3)";#N/A,#N/A,FALSE,"초도품 (4)";#N/A,#N/A,FALSE,"초도품 (5)";#N/A,#N/A,FALSE,"초도품 (6)"}</definedName>
    <definedName name="EWA_2_1" localSheetId="26" hidden="1">{#N/A,#N/A,FALSE,"초도품";#N/A,#N/A,FALSE,"초도품 (2)";#N/A,#N/A,FALSE,"초도품 (3)";#N/A,#N/A,FALSE,"초도품 (4)";#N/A,#N/A,FALSE,"초도품 (5)";#N/A,#N/A,FALSE,"초도품 (6)"}</definedName>
    <definedName name="EWA_2_1" localSheetId="0" hidden="1">{#N/A,#N/A,FALSE,"초도품";#N/A,#N/A,FALSE,"초도품 (2)";#N/A,#N/A,FALSE,"초도품 (3)";#N/A,#N/A,FALSE,"초도품 (4)";#N/A,#N/A,FALSE,"초도품 (5)";#N/A,#N/A,FALSE,"초도품 (6)"}</definedName>
    <definedName name="EWA_2_1" hidden="1">{#N/A,#N/A,FALSE,"초도품";#N/A,#N/A,FALSE,"초도품 (2)";#N/A,#N/A,FALSE,"초도품 (3)";#N/A,#N/A,FALSE,"초도품 (4)";#N/A,#N/A,FALSE,"초도품 (5)";#N/A,#N/A,FALSE,"초도품 (6)"}</definedName>
    <definedName name="EWA_2_2" localSheetId="26" hidden="1">{#N/A,#N/A,FALSE,"초도품";#N/A,#N/A,FALSE,"초도품 (2)";#N/A,#N/A,FALSE,"초도품 (3)";#N/A,#N/A,FALSE,"초도품 (4)";#N/A,#N/A,FALSE,"초도품 (5)";#N/A,#N/A,FALSE,"초도품 (6)"}</definedName>
    <definedName name="EWA_2_2" localSheetId="0" hidden="1">{#N/A,#N/A,FALSE,"초도품";#N/A,#N/A,FALSE,"초도품 (2)";#N/A,#N/A,FALSE,"초도품 (3)";#N/A,#N/A,FALSE,"초도품 (4)";#N/A,#N/A,FALSE,"초도품 (5)";#N/A,#N/A,FALSE,"초도품 (6)"}</definedName>
    <definedName name="EWA_2_2" hidden="1">{#N/A,#N/A,FALSE,"초도품";#N/A,#N/A,FALSE,"초도품 (2)";#N/A,#N/A,FALSE,"초도품 (3)";#N/A,#N/A,FALSE,"초도품 (4)";#N/A,#N/A,FALSE,"초도품 (5)";#N/A,#N/A,FALSE,"초도품 (6)"}</definedName>
    <definedName name="EWA_3" localSheetId="26" hidden="1">{#N/A,#N/A,FALSE,"초도품";#N/A,#N/A,FALSE,"초도품 (2)";#N/A,#N/A,FALSE,"초도품 (3)";#N/A,#N/A,FALSE,"초도품 (4)";#N/A,#N/A,FALSE,"초도품 (5)";#N/A,#N/A,FALSE,"초도품 (6)"}</definedName>
    <definedName name="EWA_3" localSheetId="0" hidden="1">{#N/A,#N/A,FALSE,"초도품";#N/A,#N/A,FALSE,"초도품 (2)";#N/A,#N/A,FALSE,"초도품 (3)";#N/A,#N/A,FALSE,"초도품 (4)";#N/A,#N/A,FALSE,"초도품 (5)";#N/A,#N/A,FALSE,"초도품 (6)"}</definedName>
    <definedName name="EWA_3" hidden="1">{#N/A,#N/A,FALSE,"초도품";#N/A,#N/A,FALSE,"초도품 (2)";#N/A,#N/A,FALSE,"초도품 (3)";#N/A,#N/A,FALSE,"초도품 (4)";#N/A,#N/A,FALSE,"초도품 (5)";#N/A,#N/A,FALSE,"초도품 (6)"}</definedName>
    <definedName name="EWA_4" localSheetId="26" hidden="1">{#N/A,#N/A,FALSE,"초도품";#N/A,#N/A,FALSE,"초도품 (2)";#N/A,#N/A,FALSE,"초도품 (3)";#N/A,#N/A,FALSE,"초도품 (4)";#N/A,#N/A,FALSE,"초도품 (5)";#N/A,#N/A,FALSE,"초도품 (6)"}</definedName>
    <definedName name="EWA_4" localSheetId="0" hidden="1">{#N/A,#N/A,FALSE,"초도품";#N/A,#N/A,FALSE,"초도품 (2)";#N/A,#N/A,FALSE,"초도품 (3)";#N/A,#N/A,FALSE,"초도품 (4)";#N/A,#N/A,FALSE,"초도품 (5)";#N/A,#N/A,FALSE,"초도품 (6)"}</definedName>
    <definedName name="EWA_4" hidden="1">{#N/A,#N/A,FALSE,"초도품";#N/A,#N/A,FALSE,"초도품 (2)";#N/A,#N/A,FALSE,"초도품 (3)";#N/A,#N/A,FALSE,"초도품 (4)";#N/A,#N/A,FALSE,"초도품 (5)";#N/A,#N/A,FALSE,"초도품 (6)"}</definedName>
    <definedName name="EWA_5" localSheetId="26" hidden="1">{#N/A,#N/A,FALSE,"초도품";#N/A,#N/A,FALSE,"초도품 (2)";#N/A,#N/A,FALSE,"초도품 (3)";#N/A,#N/A,FALSE,"초도품 (4)";#N/A,#N/A,FALSE,"초도품 (5)";#N/A,#N/A,FALSE,"초도품 (6)"}</definedName>
    <definedName name="EWA_5" localSheetId="0" hidden="1">{#N/A,#N/A,FALSE,"초도품";#N/A,#N/A,FALSE,"초도품 (2)";#N/A,#N/A,FALSE,"초도품 (3)";#N/A,#N/A,FALSE,"초도품 (4)";#N/A,#N/A,FALSE,"초도품 (5)";#N/A,#N/A,FALSE,"초도품 (6)"}</definedName>
    <definedName name="EWA_5" hidden="1">{#N/A,#N/A,FALSE,"초도품";#N/A,#N/A,FALSE,"초도품 (2)";#N/A,#N/A,FALSE,"초도품 (3)";#N/A,#N/A,FALSE,"초도품 (4)";#N/A,#N/A,FALSE,"초도품 (5)";#N/A,#N/A,FALSE,"초도품 (6)"}</definedName>
    <definedName name="ewewqr" localSheetId="26" hidden="1">{#N/A,#N/A,FALSE,"196126-0690";#N/A,#N/A,FALSE,"196126-0690";#N/A,#N/A,FALSE,"1961165-0201"}</definedName>
    <definedName name="ewewqr" localSheetId="0" hidden="1">{#N/A,#N/A,FALSE,"196126-0690";#N/A,#N/A,FALSE,"196126-0690";#N/A,#N/A,FALSE,"1961165-0201"}</definedName>
    <definedName name="ewewqr" hidden="1">{#N/A,#N/A,FALSE,"196126-0690";#N/A,#N/A,FALSE,"196126-0690";#N/A,#N/A,FALSE,"1961165-0201"}</definedName>
    <definedName name="ewewqr_1" localSheetId="26" hidden="1">{#N/A,#N/A,FALSE,"196126-0690";#N/A,#N/A,FALSE,"196126-0690";#N/A,#N/A,FALSE,"1961165-0201"}</definedName>
    <definedName name="ewewqr_1" localSheetId="0" hidden="1">{#N/A,#N/A,FALSE,"196126-0690";#N/A,#N/A,FALSE,"196126-0690";#N/A,#N/A,FALSE,"1961165-0201"}</definedName>
    <definedName name="ewewqr_1" hidden="1">{#N/A,#N/A,FALSE,"196126-0690";#N/A,#N/A,FALSE,"196126-0690";#N/A,#N/A,FALSE,"1961165-0201"}</definedName>
    <definedName name="ewewqr_1_1" localSheetId="26" hidden="1">{#N/A,#N/A,FALSE,"196126-0690";#N/A,#N/A,FALSE,"196126-0690";#N/A,#N/A,FALSE,"1961165-0201"}</definedName>
    <definedName name="ewewqr_1_1" localSheetId="0" hidden="1">{#N/A,#N/A,FALSE,"196126-0690";#N/A,#N/A,FALSE,"196126-0690";#N/A,#N/A,FALSE,"1961165-0201"}</definedName>
    <definedName name="ewewqr_1_1" hidden="1">{#N/A,#N/A,FALSE,"196126-0690";#N/A,#N/A,FALSE,"196126-0690";#N/A,#N/A,FALSE,"1961165-0201"}</definedName>
    <definedName name="ewewqr_1_2" localSheetId="26" hidden="1">{#N/A,#N/A,FALSE,"196126-0690";#N/A,#N/A,FALSE,"196126-0690";#N/A,#N/A,FALSE,"1961165-0201"}</definedName>
    <definedName name="ewewqr_1_2" localSheetId="0" hidden="1">{#N/A,#N/A,FALSE,"196126-0690";#N/A,#N/A,FALSE,"196126-0690";#N/A,#N/A,FALSE,"1961165-0201"}</definedName>
    <definedName name="ewewqr_1_2" hidden="1">{#N/A,#N/A,FALSE,"196126-0690";#N/A,#N/A,FALSE,"196126-0690";#N/A,#N/A,FALSE,"1961165-0201"}</definedName>
    <definedName name="ewewqr_1_3" localSheetId="26" hidden="1">{#N/A,#N/A,FALSE,"196126-0690";#N/A,#N/A,FALSE,"196126-0690";#N/A,#N/A,FALSE,"1961165-0201"}</definedName>
    <definedName name="ewewqr_1_3" localSheetId="0" hidden="1">{#N/A,#N/A,FALSE,"196126-0690";#N/A,#N/A,FALSE,"196126-0690";#N/A,#N/A,FALSE,"1961165-0201"}</definedName>
    <definedName name="ewewqr_1_3" hidden="1">{#N/A,#N/A,FALSE,"196126-0690";#N/A,#N/A,FALSE,"196126-0690";#N/A,#N/A,FALSE,"1961165-0201"}</definedName>
    <definedName name="ewewqr_2" localSheetId="26" hidden="1">{#N/A,#N/A,FALSE,"196126-0690";#N/A,#N/A,FALSE,"196126-0690";#N/A,#N/A,FALSE,"1961165-0201"}</definedName>
    <definedName name="ewewqr_2" localSheetId="0" hidden="1">{#N/A,#N/A,FALSE,"196126-0690";#N/A,#N/A,FALSE,"196126-0690";#N/A,#N/A,FALSE,"1961165-0201"}</definedName>
    <definedName name="ewewqr_2" hidden="1">{#N/A,#N/A,FALSE,"196126-0690";#N/A,#N/A,FALSE,"196126-0690";#N/A,#N/A,FALSE,"1961165-0201"}</definedName>
    <definedName name="ewewqr_2_1" localSheetId="26" hidden="1">{#N/A,#N/A,FALSE,"196126-0690";#N/A,#N/A,FALSE,"196126-0690";#N/A,#N/A,FALSE,"1961165-0201"}</definedName>
    <definedName name="ewewqr_2_1" localSheetId="0" hidden="1">{#N/A,#N/A,FALSE,"196126-0690";#N/A,#N/A,FALSE,"196126-0690";#N/A,#N/A,FALSE,"1961165-0201"}</definedName>
    <definedName name="ewewqr_2_1" hidden="1">{#N/A,#N/A,FALSE,"196126-0690";#N/A,#N/A,FALSE,"196126-0690";#N/A,#N/A,FALSE,"1961165-0201"}</definedName>
    <definedName name="ewewqr_2_2" localSheetId="26" hidden="1">{#N/A,#N/A,FALSE,"196126-0690";#N/A,#N/A,FALSE,"196126-0690";#N/A,#N/A,FALSE,"1961165-0201"}</definedName>
    <definedName name="ewewqr_2_2" localSheetId="0" hidden="1">{#N/A,#N/A,FALSE,"196126-0690";#N/A,#N/A,FALSE,"196126-0690";#N/A,#N/A,FALSE,"1961165-0201"}</definedName>
    <definedName name="ewewqr_2_2" hidden="1">{#N/A,#N/A,FALSE,"196126-0690";#N/A,#N/A,FALSE,"196126-0690";#N/A,#N/A,FALSE,"1961165-0201"}</definedName>
    <definedName name="ewewqr_3" localSheetId="26" hidden="1">{#N/A,#N/A,FALSE,"196126-0690";#N/A,#N/A,FALSE,"196126-0690";#N/A,#N/A,FALSE,"1961165-0201"}</definedName>
    <definedName name="ewewqr_3" localSheetId="0" hidden="1">{#N/A,#N/A,FALSE,"196126-0690";#N/A,#N/A,FALSE,"196126-0690";#N/A,#N/A,FALSE,"1961165-0201"}</definedName>
    <definedName name="ewewqr_3" hidden="1">{#N/A,#N/A,FALSE,"196126-0690";#N/A,#N/A,FALSE,"196126-0690";#N/A,#N/A,FALSE,"1961165-0201"}</definedName>
    <definedName name="ewewqr_4" localSheetId="26" hidden="1">{#N/A,#N/A,FALSE,"196126-0690";#N/A,#N/A,FALSE,"196126-0690";#N/A,#N/A,FALSE,"1961165-0201"}</definedName>
    <definedName name="ewewqr_4" localSheetId="0" hidden="1">{#N/A,#N/A,FALSE,"196126-0690";#N/A,#N/A,FALSE,"196126-0690";#N/A,#N/A,FALSE,"1961165-0201"}</definedName>
    <definedName name="ewewqr_4" hidden="1">{#N/A,#N/A,FALSE,"196126-0690";#N/A,#N/A,FALSE,"196126-0690";#N/A,#N/A,FALSE,"1961165-0201"}</definedName>
    <definedName name="ewewqr_5" localSheetId="26" hidden="1">{#N/A,#N/A,FALSE,"196126-0690";#N/A,#N/A,FALSE,"196126-0690";#N/A,#N/A,FALSE,"1961165-0201"}</definedName>
    <definedName name="ewewqr_5" localSheetId="0" hidden="1">{#N/A,#N/A,FALSE,"196126-0690";#N/A,#N/A,FALSE,"196126-0690";#N/A,#N/A,FALSE,"1961165-0201"}</definedName>
    <definedName name="ewewqr_5" hidden="1">{#N/A,#N/A,FALSE,"196126-0690";#N/A,#N/A,FALSE,"196126-0690";#N/A,#N/A,FALSE,"1961165-0201"}</definedName>
    <definedName name="F31GUJ" localSheetId="9" hidden="1">#REF!</definedName>
    <definedName name="F31GUJ" localSheetId="1" hidden="1">#REF!</definedName>
    <definedName name="F31GUJ" localSheetId="26" hidden="1">#REF!</definedName>
    <definedName name="F31GUJ" localSheetId="21" hidden="1">#REF!</definedName>
    <definedName name="F31GUJ" localSheetId="3" hidden="1">#REF!</definedName>
    <definedName name="F31GUJ" localSheetId="28" hidden="1">#REF!</definedName>
    <definedName name="F31GUJ" localSheetId="27" hidden="1">#REF!</definedName>
    <definedName name="F31GUJ" localSheetId="0" hidden="1">#REF!</definedName>
    <definedName name="F31GUJ" hidden="1">#REF!</definedName>
    <definedName name="fbfgb" localSheetId="9" hidden="1">#REF!</definedName>
    <definedName name="fbfgb" localSheetId="1" hidden="1">#REF!</definedName>
    <definedName name="fbfgb" localSheetId="26" hidden="1">#REF!</definedName>
    <definedName name="fbfgb" localSheetId="21" hidden="1">#REF!</definedName>
    <definedName name="fbfgb" localSheetId="3" hidden="1">#REF!</definedName>
    <definedName name="fbfgb" localSheetId="28" hidden="1">#REF!</definedName>
    <definedName name="fbfgb" localSheetId="27" hidden="1">#REF!</definedName>
    <definedName name="fbfgb" localSheetId="0" hidden="1">#REF!</definedName>
    <definedName name="fbfgb" hidden="1">#REF!</definedName>
    <definedName name="fdfwegerger" localSheetId="26" hidden="1">{#N/A,#N/A,FALSE,"Cash Flows";#N/A,#N/A,FALSE,"Fixed Assets";#N/A,#N/A,FALSE,"Balance Sheet";#N/A,#N/A,FALSE,"P &amp; L"}</definedName>
    <definedName name="fdfwegerger" localSheetId="21" hidden="1">{#N/A,#N/A,FALSE,"Cash Flows";#N/A,#N/A,FALSE,"Fixed Assets";#N/A,#N/A,FALSE,"Balance Sheet";#N/A,#N/A,FALSE,"P &amp; L"}</definedName>
    <definedName name="fdfwegerger" localSheetId="3" hidden="1">{#N/A,#N/A,FALSE,"Cash Flows";#N/A,#N/A,FALSE,"Fixed Assets";#N/A,#N/A,FALSE,"Balance Sheet";#N/A,#N/A,FALSE,"P &amp; L"}</definedName>
    <definedName name="fdfwegerger" localSheetId="27" hidden="1">{#N/A,#N/A,FALSE,"Cash Flows";#N/A,#N/A,FALSE,"Fixed Assets";#N/A,#N/A,FALSE,"Balance Sheet";#N/A,#N/A,FALSE,"P &amp; L"}</definedName>
    <definedName name="fdfwegerger" localSheetId="0" hidden="1">{#N/A,#N/A,FALSE,"Cash Flows";#N/A,#N/A,FALSE,"Fixed Assets";#N/A,#N/A,FALSE,"Balance Sheet";#N/A,#N/A,FALSE,"P &amp; L"}</definedName>
    <definedName name="fdfwegerger" hidden="1">{#N/A,#N/A,FALSE,"Cash Flows";#N/A,#N/A,FALSE,"Fixed Assets";#N/A,#N/A,FALSE,"Balance Sheet";#N/A,#N/A,FALSE,"P &amp; L"}</definedName>
    <definedName name="fdfwegerger_1" localSheetId="26" hidden="1">{#N/A,#N/A,FALSE,"Cash Flows";#N/A,#N/A,FALSE,"Fixed Assets";#N/A,#N/A,FALSE,"Balance Sheet";#N/A,#N/A,FALSE,"P &amp; L"}</definedName>
    <definedName name="fdfwegerger_1" localSheetId="0" hidden="1">{#N/A,#N/A,FALSE,"Cash Flows";#N/A,#N/A,FALSE,"Fixed Assets";#N/A,#N/A,FALSE,"Balance Sheet";#N/A,#N/A,FALSE,"P &amp; L"}</definedName>
    <definedName name="fdfwegerger_1" hidden="1">{#N/A,#N/A,FALSE,"Cash Flows";#N/A,#N/A,FALSE,"Fixed Assets";#N/A,#N/A,FALSE,"Balance Sheet";#N/A,#N/A,FALSE,"P &amp; L"}</definedName>
    <definedName name="fdfwegerger_1_1" localSheetId="26" hidden="1">{#N/A,#N/A,FALSE,"Cash Flows";#N/A,#N/A,FALSE,"Fixed Assets";#N/A,#N/A,FALSE,"Balance Sheet";#N/A,#N/A,FALSE,"P &amp; L"}</definedName>
    <definedName name="fdfwegerger_1_1" localSheetId="0" hidden="1">{#N/A,#N/A,FALSE,"Cash Flows";#N/A,#N/A,FALSE,"Fixed Assets";#N/A,#N/A,FALSE,"Balance Sheet";#N/A,#N/A,FALSE,"P &amp; L"}</definedName>
    <definedName name="fdfwegerger_1_1" hidden="1">{#N/A,#N/A,FALSE,"Cash Flows";#N/A,#N/A,FALSE,"Fixed Assets";#N/A,#N/A,FALSE,"Balance Sheet";#N/A,#N/A,FALSE,"P &amp; L"}</definedName>
    <definedName name="fdfwegerger_1_2" localSheetId="26" hidden="1">{#N/A,#N/A,FALSE,"Cash Flows";#N/A,#N/A,FALSE,"Fixed Assets";#N/A,#N/A,FALSE,"Balance Sheet";#N/A,#N/A,FALSE,"P &amp; L"}</definedName>
    <definedName name="fdfwegerger_1_2" localSheetId="0" hidden="1">{#N/A,#N/A,FALSE,"Cash Flows";#N/A,#N/A,FALSE,"Fixed Assets";#N/A,#N/A,FALSE,"Balance Sheet";#N/A,#N/A,FALSE,"P &amp; L"}</definedName>
    <definedName name="fdfwegerger_1_2" hidden="1">{#N/A,#N/A,FALSE,"Cash Flows";#N/A,#N/A,FALSE,"Fixed Assets";#N/A,#N/A,FALSE,"Balance Sheet";#N/A,#N/A,FALSE,"P &amp; L"}</definedName>
    <definedName name="fdfwegerger_1_3" localSheetId="26" hidden="1">{#N/A,#N/A,FALSE,"Cash Flows";#N/A,#N/A,FALSE,"Fixed Assets";#N/A,#N/A,FALSE,"Balance Sheet";#N/A,#N/A,FALSE,"P &amp; L"}</definedName>
    <definedName name="fdfwegerger_1_3" localSheetId="0" hidden="1">{#N/A,#N/A,FALSE,"Cash Flows";#N/A,#N/A,FALSE,"Fixed Assets";#N/A,#N/A,FALSE,"Balance Sheet";#N/A,#N/A,FALSE,"P &amp; L"}</definedName>
    <definedName name="fdfwegerger_1_3" hidden="1">{#N/A,#N/A,FALSE,"Cash Flows";#N/A,#N/A,FALSE,"Fixed Assets";#N/A,#N/A,FALSE,"Balance Sheet";#N/A,#N/A,FALSE,"P &amp; L"}</definedName>
    <definedName name="fdfwegerger_2" localSheetId="26" hidden="1">{#N/A,#N/A,FALSE,"Cash Flows";#N/A,#N/A,FALSE,"Fixed Assets";#N/A,#N/A,FALSE,"Balance Sheet";#N/A,#N/A,FALSE,"P &amp; L"}</definedName>
    <definedName name="fdfwegerger_2" localSheetId="0" hidden="1">{#N/A,#N/A,FALSE,"Cash Flows";#N/A,#N/A,FALSE,"Fixed Assets";#N/A,#N/A,FALSE,"Balance Sheet";#N/A,#N/A,FALSE,"P &amp; L"}</definedName>
    <definedName name="fdfwegerger_2" hidden="1">{#N/A,#N/A,FALSE,"Cash Flows";#N/A,#N/A,FALSE,"Fixed Assets";#N/A,#N/A,FALSE,"Balance Sheet";#N/A,#N/A,FALSE,"P &amp; L"}</definedName>
    <definedName name="fdfwegerger_2_1" localSheetId="26" hidden="1">{#N/A,#N/A,FALSE,"Cash Flows";#N/A,#N/A,FALSE,"Fixed Assets";#N/A,#N/A,FALSE,"Balance Sheet";#N/A,#N/A,FALSE,"P &amp; L"}</definedName>
    <definedName name="fdfwegerger_2_1" localSheetId="0" hidden="1">{#N/A,#N/A,FALSE,"Cash Flows";#N/A,#N/A,FALSE,"Fixed Assets";#N/A,#N/A,FALSE,"Balance Sheet";#N/A,#N/A,FALSE,"P &amp; L"}</definedName>
    <definedName name="fdfwegerger_2_1" hidden="1">{#N/A,#N/A,FALSE,"Cash Flows";#N/A,#N/A,FALSE,"Fixed Assets";#N/A,#N/A,FALSE,"Balance Sheet";#N/A,#N/A,FALSE,"P &amp; L"}</definedName>
    <definedName name="fdfwegerger_2_2" localSheetId="26" hidden="1">{#N/A,#N/A,FALSE,"Cash Flows";#N/A,#N/A,FALSE,"Fixed Assets";#N/A,#N/A,FALSE,"Balance Sheet";#N/A,#N/A,FALSE,"P &amp; L"}</definedName>
    <definedName name="fdfwegerger_2_2" localSheetId="0" hidden="1">{#N/A,#N/A,FALSE,"Cash Flows";#N/A,#N/A,FALSE,"Fixed Assets";#N/A,#N/A,FALSE,"Balance Sheet";#N/A,#N/A,FALSE,"P &amp; L"}</definedName>
    <definedName name="fdfwegerger_2_2" hidden="1">{#N/A,#N/A,FALSE,"Cash Flows";#N/A,#N/A,FALSE,"Fixed Assets";#N/A,#N/A,FALSE,"Balance Sheet";#N/A,#N/A,FALSE,"P &amp; L"}</definedName>
    <definedName name="fdfwegerger_3" localSheetId="26" hidden="1">{#N/A,#N/A,FALSE,"Cash Flows";#N/A,#N/A,FALSE,"Fixed Assets";#N/A,#N/A,FALSE,"Balance Sheet";#N/A,#N/A,FALSE,"P &amp; L"}</definedName>
    <definedName name="fdfwegerger_3" localSheetId="0" hidden="1">{#N/A,#N/A,FALSE,"Cash Flows";#N/A,#N/A,FALSE,"Fixed Assets";#N/A,#N/A,FALSE,"Balance Sheet";#N/A,#N/A,FALSE,"P &amp; L"}</definedName>
    <definedName name="fdfwegerger_3" hidden="1">{#N/A,#N/A,FALSE,"Cash Flows";#N/A,#N/A,FALSE,"Fixed Assets";#N/A,#N/A,FALSE,"Balance Sheet";#N/A,#N/A,FALSE,"P &amp; L"}</definedName>
    <definedName name="fdfwegerger_4" localSheetId="26" hidden="1">{#N/A,#N/A,FALSE,"Cash Flows";#N/A,#N/A,FALSE,"Fixed Assets";#N/A,#N/A,FALSE,"Balance Sheet";#N/A,#N/A,FALSE,"P &amp; L"}</definedName>
    <definedName name="fdfwegerger_4" localSheetId="0" hidden="1">{#N/A,#N/A,FALSE,"Cash Flows";#N/A,#N/A,FALSE,"Fixed Assets";#N/A,#N/A,FALSE,"Balance Sheet";#N/A,#N/A,FALSE,"P &amp; L"}</definedName>
    <definedName name="fdfwegerger_4" hidden="1">{#N/A,#N/A,FALSE,"Cash Flows";#N/A,#N/A,FALSE,"Fixed Assets";#N/A,#N/A,FALSE,"Balance Sheet";#N/A,#N/A,FALSE,"P &amp; L"}</definedName>
    <definedName name="fdfwegerger_5" localSheetId="26" hidden="1">{#N/A,#N/A,FALSE,"Cash Flows";#N/A,#N/A,FALSE,"Fixed Assets";#N/A,#N/A,FALSE,"Balance Sheet";#N/A,#N/A,FALSE,"P &amp; L"}</definedName>
    <definedName name="fdfwegerger_5" localSheetId="0" hidden="1">{#N/A,#N/A,FALSE,"Cash Flows";#N/A,#N/A,FALSE,"Fixed Assets";#N/A,#N/A,FALSE,"Balance Sheet";#N/A,#N/A,FALSE,"P &amp; L"}</definedName>
    <definedName name="fdfwegerger_5" hidden="1">{#N/A,#N/A,FALSE,"Cash Flows";#N/A,#N/A,FALSE,"Fixed Assets";#N/A,#N/A,FALSE,"Balance Sheet";#N/A,#N/A,FALSE,"P &amp; L"}</definedName>
    <definedName name="fdvd" localSheetId="9" hidden="1">[15]MOTO!#REF!</definedName>
    <definedName name="fdvd" localSheetId="1" hidden="1">[15]MOTO!#REF!</definedName>
    <definedName name="fdvd" localSheetId="26" hidden="1">[15]MOTO!#REF!</definedName>
    <definedName name="fdvd" localSheetId="21" hidden="1">[15]MOTO!#REF!</definedName>
    <definedName name="fdvd" localSheetId="3" hidden="1">[15]MOTO!#REF!</definedName>
    <definedName name="fdvd" localSheetId="28" hidden="1">[15]MOTO!#REF!</definedName>
    <definedName name="fdvd" localSheetId="27" hidden="1">[15]MOTO!#REF!</definedName>
    <definedName name="fdvd" localSheetId="0" hidden="1">[15]MOTO!#REF!</definedName>
    <definedName name="fdvd" hidden="1">[15]MOTO!#REF!</definedName>
    <definedName name="fg" localSheetId="9" hidden="1">[1]MOTO!#REF!</definedName>
    <definedName name="fg" localSheetId="1" hidden="1">[1]MOTO!#REF!</definedName>
    <definedName name="fg" localSheetId="23" hidden="1">[1]MOTO!#REF!</definedName>
    <definedName name="fg" localSheetId="22" hidden="1">[1]MOTO!#REF!</definedName>
    <definedName name="fg" localSheetId="26" hidden="1">[16]MOTO!#REF!</definedName>
    <definedName name="fg" localSheetId="14" hidden="1">[1]MOTO!#REF!</definedName>
    <definedName name="fg" localSheetId="21" hidden="1">[16]MOTO!#REF!</definedName>
    <definedName name="fg" localSheetId="3" hidden="1">[16]MOTO!#REF!</definedName>
    <definedName name="fg" localSheetId="29" hidden="1">[1]MOTO!#REF!</definedName>
    <definedName name="fg" localSheetId="28" hidden="1">[16]MOTO!#REF!</definedName>
    <definedName name="fg" localSheetId="27" hidden="1">[16]MOTO!#REF!</definedName>
    <definedName name="fg" localSheetId="0" hidden="1">[16]MOTO!#REF!</definedName>
    <definedName name="fg" hidden="1">[1]MOTO!#REF!</definedName>
    <definedName name="fgbd" localSheetId="9" hidden="1">[15]MOTO!#REF!</definedName>
    <definedName name="fgbd" localSheetId="1" hidden="1">[15]MOTO!#REF!</definedName>
    <definedName name="fgbd" localSheetId="26" hidden="1">[15]MOTO!#REF!</definedName>
    <definedName name="fgbd" localSheetId="21" hidden="1">[15]MOTO!#REF!</definedName>
    <definedName name="fgbd" localSheetId="3" hidden="1">[15]MOTO!#REF!</definedName>
    <definedName name="fgbd" localSheetId="28" hidden="1">[15]MOTO!#REF!</definedName>
    <definedName name="fgbd" localSheetId="27" hidden="1">[15]MOTO!#REF!</definedName>
    <definedName name="fgbd" localSheetId="0" hidden="1">[15]MOTO!#REF!</definedName>
    <definedName name="fgbd" hidden="1">[15]MOTO!#REF!</definedName>
    <definedName name="FGHJ" localSheetId="26" hidden="1">{#N/A,#N/A,FALSE,"단축1";#N/A,#N/A,FALSE,"단축2";#N/A,#N/A,FALSE,"단축3";#N/A,#N/A,FALSE,"장축";#N/A,#N/A,FALSE,"4WD"}</definedName>
    <definedName name="FGHJ" localSheetId="0" hidden="1">{#N/A,#N/A,FALSE,"단축1";#N/A,#N/A,FALSE,"단축2";#N/A,#N/A,FALSE,"단축3";#N/A,#N/A,FALSE,"장축";#N/A,#N/A,FALSE,"4WD"}</definedName>
    <definedName name="FGHJ" hidden="1">{#N/A,#N/A,FALSE,"단축1";#N/A,#N/A,FALSE,"단축2";#N/A,#N/A,FALSE,"단축3";#N/A,#N/A,FALSE,"장축";#N/A,#N/A,FALSE,"4WD"}</definedName>
    <definedName name="FGHJ_1" localSheetId="26" hidden="1">{#N/A,#N/A,FALSE,"단축1";#N/A,#N/A,FALSE,"단축2";#N/A,#N/A,FALSE,"단축3";#N/A,#N/A,FALSE,"장축";#N/A,#N/A,FALSE,"4WD"}</definedName>
    <definedName name="FGHJ_1" localSheetId="0" hidden="1">{#N/A,#N/A,FALSE,"단축1";#N/A,#N/A,FALSE,"단축2";#N/A,#N/A,FALSE,"단축3";#N/A,#N/A,FALSE,"장축";#N/A,#N/A,FALSE,"4WD"}</definedName>
    <definedName name="FGHJ_1" hidden="1">{#N/A,#N/A,FALSE,"단축1";#N/A,#N/A,FALSE,"단축2";#N/A,#N/A,FALSE,"단축3";#N/A,#N/A,FALSE,"장축";#N/A,#N/A,FALSE,"4WD"}</definedName>
    <definedName name="FGHJ_1_1" localSheetId="26" hidden="1">{#N/A,#N/A,FALSE,"단축1";#N/A,#N/A,FALSE,"단축2";#N/A,#N/A,FALSE,"단축3";#N/A,#N/A,FALSE,"장축";#N/A,#N/A,FALSE,"4WD"}</definedName>
    <definedName name="FGHJ_1_1" localSheetId="0" hidden="1">{#N/A,#N/A,FALSE,"단축1";#N/A,#N/A,FALSE,"단축2";#N/A,#N/A,FALSE,"단축3";#N/A,#N/A,FALSE,"장축";#N/A,#N/A,FALSE,"4WD"}</definedName>
    <definedName name="FGHJ_1_1" hidden="1">{#N/A,#N/A,FALSE,"단축1";#N/A,#N/A,FALSE,"단축2";#N/A,#N/A,FALSE,"단축3";#N/A,#N/A,FALSE,"장축";#N/A,#N/A,FALSE,"4WD"}</definedName>
    <definedName name="FGHJ_1_2" localSheetId="26" hidden="1">{#N/A,#N/A,FALSE,"단축1";#N/A,#N/A,FALSE,"단축2";#N/A,#N/A,FALSE,"단축3";#N/A,#N/A,FALSE,"장축";#N/A,#N/A,FALSE,"4WD"}</definedName>
    <definedName name="FGHJ_1_2" localSheetId="0" hidden="1">{#N/A,#N/A,FALSE,"단축1";#N/A,#N/A,FALSE,"단축2";#N/A,#N/A,FALSE,"단축3";#N/A,#N/A,FALSE,"장축";#N/A,#N/A,FALSE,"4WD"}</definedName>
    <definedName name="FGHJ_1_2" hidden="1">{#N/A,#N/A,FALSE,"단축1";#N/A,#N/A,FALSE,"단축2";#N/A,#N/A,FALSE,"단축3";#N/A,#N/A,FALSE,"장축";#N/A,#N/A,FALSE,"4WD"}</definedName>
    <definedName name="FGHJ_1_3" localSheetId="26" hidden="1">{#N/A,#N/A,FALSE,"단축1";#N/A,#N/A,FALSE,"단축2";#N/A,#N/A,FALSE,"단축3";#N/A,#N/A,FALSE,"장축";#N/A,#N/A,FALSE,"4WD"}</definedName>
    <definedName name="FGHJ_1_3" localSheetId="0" hidden="1">{#N/A,#N/A,FALSE,"단축1";#N/A,#N/A,FALSE,"단축2";#N/A,#N/A,FALSE,"단축3";#N/A,#N/A,FALSE,"장축";#N/A,#N/A,FALSE,"4WD"}</definedName>
    <definedName name="FGHJ_1_3" hidden="1">{#N/A,#N/A,FALSE,"단축1";#N/A,#N/A,FALSE,"단축2";#N/A,#N/A,FALSE,"단축3";#N/A,#N/A,FALSE,"장축";#N/A,#N/A,FALSE,"4WD"}</definedName>
    <definedName name="FGHJ_2" localSheetId="26" hidden="1">{#N/A,#N/A,FALSE,"단축1";#N/A,#N/A,FALSE,"단축2";#N/A,#N/A,FALSE,"단축3";#N/A,#N/A,FALSE,"장축";#N/A,#N/A,FALSE,"4WD"}</definedName>
    <definedName name="FGHJ_2" localSheetId="0" hidden="1">{#N/A,#N/A,FALSE,"단축1";#N/A,#N/A,FALSE,"단축2";#N/A,#N/A,FALSE,"단축3";#N/A,#N/A,FALSE,"장축";#N/A,#N/A,FALSE,"4WD"}</definedName>
    <definedName name="FGHJ_2" hidden="1">{#N/A,#N/A,FALSE,"단축1";#N/A,#N/A,FALSE,"단축2";#N/A,#N/A,FALSE,"단축3";#N/A,#N/A,FALSE,"장축";#N/A,#N/A,FALSE,"4WD"}</definedName>
    <definedName name="FGHJ_2_1" localSheetId="26" hidden="1">{#N/A,#N/A,FALSE,"단축1";#N/A,#N/A,FALSE,"단축2";#N/A,#N/A,FALSE,"단축3";#N/A,#N/A,FALSE,"장축";#N/A,#N/A,FALSE,"4WD"}</definedName>
    <definedName name="FGHJ_2_1" localSheetId="0" hidden="1">{#N/A,#N/A,FALSE,"단축1";#N/A,#N/A,FALSE,"단축2";#N/A,#N/A,FALSE,"단축3";#N/A,#N/A,FALSE,"장축";#N/A,#N/A,FALSE,"4WD"}</definedName>
    <definedName name="FGHJ_2_1" hidden="1">{#N/A,#N/A,FALSE,"단축1";#N/A,#N/A,FALSE,"단축2";#N/A,#N/A,FALSE,"단축3";#N/A,#N/A,FALSE,"장축";#N/A,#N/A,FALSE,"4WD"}</definedName>
    <definedName name="FGHJ_2_2" localSheetId="26" hidden="1">{#N/A,#N/A,FALSE,"단축1";#N/A,#N/A,FALSE,"단축2";#N/A,#N/A,FALSE,"단축3";#N/A,#N/A,FALSE,"장축";#N/A,#N/A,FALSE,"4WD"}</definedName>
    <definedName name="FGHJ_2_2" localSheetId="0" hidden="1">{#N/A,#N/A,FALSE,"단축1";#N/A,#N/A,FALSE,"단축2";#N/A,#N/A,FALSE,"단축3";#N/A,#N/A,FALSE,"장축";#N/A,#N/A,FALSE,"4WD"}</definedName>
    <definedName name="FGHJ_2_2" hidden="1">{#N/A,#N/A,FALSE,"단축1";#N/A,#N/A,FALSE,"단축2";#N/A,#N/A,FALSE,"단축3";#N/A,#N/A,FALSE,"장축";#N/A,#N/A,FALSE,"4WD"}</definedName>
    <definedName name="FGHJ_3" localSheetId="26" hidden="1">{#N/A,#N/A,FALSE,"단축1";#N/A,#N/A,FALSE,"단축2";#N/A,#N/A,FALSE,"단축3";#N/A,#N/A,FALSE,"장축";#N/A,#N/A,FALSE,"4WD"}</definedName>
    <definedName name="FGHJ_3" localSheetId="0" hidden="1">{#N/A,#N/A,FALSE,"단축1";#N/A,#N/A,FALSE,"단축2";#N/A,#N/A,FALSE,"단축3";#N/A,#N/A,FALSE,"장축";#N/A,#N/A,FALSE,"4WD"}</definedName>
    <definedName name="FGHJ_3" hidden="1">{#N/A,#N/A,FALSE,"단축1";#N/A,#N/A,FALSE,"단축2";#N/A,#N/A,FALSE,"단축3";#N/A,#N/A,FALSE,"장축";#N/A,#N/A,FALSE,"4WD"}</definedName>
    <definedName name="FGHJ_4" localSheetId="26" hidden="1">{#N/A,#N/A,FALSE,"단축1";#N/A,#N/A,FALSE,"단축2";#N/A,#N/A,FALSE,"단축3";#N/A,#N/A,FALSE,"장축";#N/A,#N/A,FALSE,"4WD"}</definedName>
    <definedName name="FGHJ_4" localSheetId="0" hidden="1">{#N/A,#N/A,FALSE,"단축1";#N/A,#N/A,FALSE,"단축2";#N/A,#N/A,FALSE,"단축3";#N/A,#N/A,FALSE,"장축";#N/A,#N/A,FALSE,"4WD"}</definedName>
    <definedName name="FGHJ_4" hidden="1">{#N/A,#N/A,FALSE,"단축1";#N/A,#N/A,FALSE,"단축2";#N/A,#N/A,FALSE,"단축3";#N/A,#N/A,FALSE,"장축";#N/A,#N/A,FALSE,"4WD"}</definedName>
    <definedName name="FGHJ_5" localSheetId="26" hidden="1">{#N/A,#N/A,FALSE,"단축1";#N/A,#N/A,FALSE,"단축2";#N/A,#N/A,FALSE,"단축3";#N/A,#N/A,FALSE,"장축";#N/A,#N/A,FALSE,"4WD"}</definedName>
    <definedName name="FGHJ_5" localSheetId="0" hidden="1">{#N/A,#N/A,FALSE,"단축1";#N/A,#N/A,FALSE,"단축2";#N/A,#N/A,FALSE,"단축3";#N/A,#N/A,FALSE,"장축";#N/A,#N/A,FALSE,"4WD"}</definedName>
    <definedName name="FGHJ_5" hidden="1">{#N/A,#N/A,FALSE,"단축1";#N/A,#N/A,FALSE,"단축2";#N/A,#N/A,FALSE,"단축3";#N/A,#N/A,FALSE,"장축";#N/A,#N/A,FALSE,"4WD"}</definedName>
    <definedName name="FIMeXToEUR" localSheetId="9" hidden="1">1/EUReXToFIM</definedName>
    <definedName name="FIMeXToEUR" localSheetId="1" hidden="1">1/EUReXToFIM</definedName>
    <definedName name="FIMeXToEUR" localSheetId="26" hidden="1">1/EUReXToFIM</definedName>
    <definedName name="FIMeXToEUR" localSheetId="21" hidden="1">1/EUReXToFIM</definedName>
    <definedName name="FIMeXToEUR" localSheetId="3" hidden="1">1/EUReXToFIM</definedName>
    <definedName name="FIMeXToEUR" localSheetId="28" hidden="1">1/EUReXToFIM</definedName>
    <definedName name="FIMeXToEUR" localSheetId="27" hidden="1">1/EUReXToFIM</definedName>
    <definedName name="FIMeXToEUR" localSheetId="0" hidden="1">1/EUReXToFIM</definedName>
    <definedName name="FIMeXToEUR" hidden="1">1/EUReXToFIM</definedName>
    <definedName name="fjalaslaslfasllaa" localSheetId="26" hidden="1">{#N/A,#N/A,FALSE,"을지 (4)";#N/A,#N/A,FALSE,"을지 (5)";#N/A,#N/A,FALSE,"을지 (6)"}</definedName>
    <definedName name="fjalaslaslfasllaa" localSheetId="0" hidden="1">{#N/A,#N/A,FALSE,"을지 (4)";#N/A,#N/A,FALSE,"을지 (5)";#N/A,#N/A,FALSE,"을지 (6)"}</definedName>
    <definedName name="fjalaslaslfasllaa" hidden="1">{#N/A,#N/A,FALSE,"을지 (4)";#N/A,#N/A,FALSE,"을지 (5)";#N/A,#N/A,FALSE,"을지 (6)"}</definedName>
    <definedName name="fjalaslaslfasllaa_1" localSheetId="26" hidden="1">{#N/A,#N/A,FALSE,"을지 (4)";#N/A,#N/A,FALSE,"을지 (5)";#N/A,#N/A,FALSE,"을지 (6)"}</definedName>
    <definedName name="fjalaslaslfasllaa_1" localSheetId="0" hidden="1">{#N/A,#N/A,FALSE,"을지 (4)";#N/A,#N/A,FALSE,"을지 (5)";#N/A,#N/A,FALSE,"을지 (6)"}</definedName>
    <definedName name="fjalaslaslfasllaa_1" hidden="1">{#N/A,#N/A,FALSE,"을지 (4)";#N/A,#N/A,FALSE,"을지 (5)";#N/A,#N/A,FALSE,"을지 (6)"}</definedName>
    <definedName name="fjalaslaslfasllaa_1_1" localSheetId="26" hidden="1">{#N/A,#N/A,FALSE,"을지 (4)";#N/A,#N/A,FALSE,"을지 (5)";#N/A,#N/A,FALSE,"을지 (6)"}</definedName>
    <definedName name="fjalaslaslfasllaa_1_1" localSheetId="0" hidden="1">{#N/A,#N/A,FALSE,"을지 (4)";#N/A,#N/A,FALSE,"을지 (5)";#N/A,#N/A,FALSE,"을지 (6)"}</definedName>
    <definedName name="fjalaslaslfasllaa_1_1" hidden="1">{#N/A,#N/A,FALSE,"을지 (4)";#N/A,#N/A,FALSE,"을지 (5)";#N/A,#N/A,FALSE,"을지 (6)"}</definedName>
    <definedName name="fjalaslaslfasllaa_1_2" localSheetId="26" hidden="1">{#N/A,#N/A,FALSE,"을지 (4)";#N/A,#N/A,FALSE,"을지 (5)";#N/A,#N/A,FALSE,"을지 (6)"}</definedName>
    <definedName name="fjalaslaslfasllaa_1_2" localSheetId="0" hidden="1">{#N/A,#N/A,FALSE,"을지 (4)";#N/A,#N/A,FALSE,"을지 (5)";#N/A,#N/A,FALSE,"을지 (6)"}</definedName>
    <definedName name="fjalaslaslfasllaa_1_2" hidden="1">{#N/A,#N/A,FALSE,"을지 (4)";#N/A,#N/A,FALSE,"을지 (5)";#N/A,#N/A,FALSE,"을지 (6)"}</definedName>
    <definedName name="fjalaslaslfasllaa_1_3" localSheetId="26" hidden="1">{#N/A,#N/A,FALSE,"을지 (4)";#N/A,#N/A,FALSE,"을지 (5)";#N/A,#N/A,FALSE,"을지 (6)"}</definedName>
    <definedName name="fjalaslaslfasllaa_1_3" localSheetId="0" hidden="1">{#N/A,#N/A,FALSE,"을지 (4)";#N/A,#N/A,FALSE,"을지 (5)";#N/A,#N/A,FALSE,"을지 (6)"}</definedName>
    <definedName name="fjalaslaslfasllaa_1_3" hidden="1">{#N/A,#N/A,FALSE,"을지 (4)";#N/A,#N/A,FALSE,"을지 (5)";#N/A,#N/A,FALSE,"을지 (6)"}</definedName>
    <definedName name="fjalaslaslfasllaa_2" localSheetId="26" hidden="1">{#N/A,#N/A,FALSE,"을지 (4)";#N/A,#N/A,FALSE,"을지 (5)";#N/A,#N/A,FALSE,"을지 (6)"}</definedName>
    <definedName name="fjalaslaslfasllaa_2" localSheetId="0" hidden="1">{#N/A,#N/A,FALSE,"을지 (4)";#N/A,#N/A,FALSE,"을지 (5)";#N/A,#N/A,FALSE,"을지 (6)"}</definedName>
    <definedName name="fjalaslaslfasllaa_2" hidden="1">{#N/A,#N/A,FALSE,"을지 (4)";#N/A,#N/A,FALSE,"을지 (5)";#N/A,#N/A,FALSE,"을지 (6)"}</definedName>
    <definedName name="fjalaslaslfasllaa_2_1" localSheetId="26" hidden="1">{#N/A,#N/A,FALSE,"을지 (4)";#N/A,#N/A,FALSE,"을지 (5)";#N/A,#N/A,FALSE,"을지 (6)"}</definedName>
    <definedName name="fjalaslaslfasllaa_2_1" localSheetId="0" hidden="1">{#N/A,#N/A,FALSE,"을지 (4)";#N/A,#N/A,FALSE,"을지 (5)";#N/A,#N/A,FALSE,"을지 (6)"}</definedName>
    <definedName name="fjalaslaslfasllaa_2_1" hidden="1">{#N/A,#N/A,FALSE,"을지 (4)";#N/A,#N/A,FALSE,"을지 (5)";#N/A,#N/A,FALSE,"을지 (6)"}</definedName>
    <definedName name="fjalaslaslfasllaa_2_2" localSheetId="26" hidden="1">{#N/A,#N/A,FALSE,"을지 (4)";#N/A,#N/A,FALSE,"을지 (5)";#N/A,#N/A,FALSE,"을지 (6)"}</definedName>
    <definedName name="fjalaslaslfasllaa_2_2" localSheetId="0" hidden="1">{#N/A,#N/A,FALSE,"을지 (4)";#N/A,#N/A,FALSE,"을지 (5)";#N/A,#N/A,FALSE,"을지 (6)"}</definedName>
    <definedName name="fjalaslaslfasllaa_2_2" hidden="1">{#N/A,#N/A,FALSE,"을지 (4)";#N/A,#N/A,FALSE,"을지 (5)";#N/A,#N/A,FALSE,"을지 (6)"}</definedName>
    <definedName name="fjalaslaslfasllaa_3" localSheetId="26" hidden="1">{#N/A,#N/A,FALSE,"을지 (4)";#N/A,#N/A,FALSE,"을지 (5)";#N/A,#N/A,FALSE,"을지 (6)"}</definedName>
    <definedName name="fjalaslaslfasllaa_3" localSheetId="0" hidden="1">{#N/A,#N/A,FALSE,"을지 (4)";#N/A,#N/A,FALSE,"을지 (5)";#N/A,#N/A,FALSE,"을지 (6)"}</definedName>
    <definedName name="fjalaslaslfasllaa_3" hidden="1">{#N/A,#N/A,FALSE,"을지 (4)";#N/A,#N/A,FALSE,"을지 (5)";#N/A,#N/A,FALSE,"을지 (6)"}</definedName>
    <definedName name="fjalaslaslfasllaa_4" localSheetId="26" hidden="1">{#N/A,#N/A,FALSE,"을지 (4)";#N/A,#N/A,FALSE,"을지 (5)";#N/A,#N/A,FALSE,"을지 (6)"}</definedName>
    <definedName name="fjalaslaslfasllaa_4" localSheetId="0" hidden="1">{#N/A,#N/A,FALSE,"을지 (4)";#N/A,#N/A,FALSE,"을지 (5)";#N/A,#N/A,FALSE,"을지 (6)"}</definedName>
    <definedName name="fjalaslaslfasllaa_4" hidden="1">{#N/A,#N/A,FALSE,"을지 (4)";#N/A,#N/A,FALSE,"을지 (5)";#N/A,#N/A,FALSE,"을지 (6)"}</definedName>
    <definedName name="fjalaslaslfasllaa_5" localSheetId="26" hidden="1">{#N/A,#N/A,FALSE,"을지 (4)";#N/A,#N/A,FALSE,"을지 (5)";#N/A,#N/A,FALSE,"을지 (6)"}</definedName>
    <definedName name="fjalaslaslfasllaa_5" localSheetId="0" hidden="1">{#N/A,#N/A,FALSE,"을지 (4)";#N/A,#N/A,FALSE,"을지 (5)";#N/A,#N/A,FALSE,"을지 (6)"}</definedName>
    <definedName name="fjalaslaslfasllaa_5" hidden="1">{#N/A,#N/A,FALSE,"을지 (4)";#N/A,#N/A,FALSE,"을지 (5)";#N/A,#N/A,FALSE,"을지 (6)"}</definedName>
    <definedName name="FJFJ" localSheetId="26" hidden="1">{#N/A,#N/A,FALSE,"단축1";#N/A,#N/A,FALSE,"단축2";#N/A,#N/A,FALSE,"단축3";#N/A,#N/A,FALSE,"장축";#N/A,#N/A,FALSE,"4WD"}</definedName>
    <definedName name="FJFJ" localSheetId="0" hidden="1">{#N/A,#N/A,FALSE,"단축1";#N/A,#N/A,FALSE,"단축2";#N/A,#N/A,FALSE,"단축3";#N/A,#N/A,FALSE,"장축";#N/A,#N/A,FALSE,"4WD"}</definedName>
    <definedName name="FJFJ" hidden="1">{#N/A,#N/A,FALSE,"단축1";#N/A,#N/A,FALSE,"단축2";#N/A,#N/A,FALSE,"단축3";#N/A,#N/A,FALSE,"장축";#N/A,#N/A,FALSE,"4WD"}</definedName>
    <definedName name="FJFJ_1" localSheetId="26" hidden="1">{#N/A,#N/A,FALSE,"단축1";#N/A,#N/A,FALSE,"단축2";#N/A,#N/A,FALSE,"단축3";#N/A,#N/A,FALSE,"장축";#N/A,#N/A,FALSE,"4WD"}</definedName>
    <definedName name="FJFJ_1" localSheetId="0" hidden="1">{#N/A,#N/A,FALSE,"단축1";#N/A,#N/A,FALSE,"단축2";#N/A,#N/A,FALSE,"단축3";#N/A,#N/A,FALSE,"장축";#N/A,#N/A,FALSE,"4WD"}</definedName>
    <definedName name="FJFJ_1" hidden="1">{#N/A,#N/A,FALSE,"단축1";#N/A,#N/A,FALSE,"단축2";#N/A,#N/A,FALSE,"단축3";#N/A,#N/A,FALSE,"장축";#N/A,#N/A,FALSE,"4WD"}</definedName>
    <definedName name="FJFJ_1_1" localSheetId="26" hidden="1">{#N/A,#N/A,FALSE,"단축1";#N/A,#N/A,FALSE,"단축2";#N/A,#N/A,FALSE,"단축3";#N/A,#N/A,FALSE,"장축";#N/A,#N/A,FALSE,"4WD"}</definedName>
    <definedName name="FJFJ_1_1" localSheetId="0" hidden="1">{#N/A,#N/A,FALSE,"단축1";#N/A,#N/A,FALSE,"단축2";#N/A,#N/A,FALSE,"단축3";#N/A,#N/A,FALSE,"장축";#N/A,#N/A,FALSE,"4WD"}</definedName>
    <definedName name="FJFJ_1_1" hidden="1">{#N/A,#N/A,FALSE,"단축1";#N/A,#N/A,FALSE,"단축2";#N/A,#N/A,FALSE,"단축3";#N/A,#N/A,FALSE,"장축";#N/A,#N/A,FALSE,"4WD"}</definedName>
    <definedName name="FJFJ_1_2" localSheetId="26" hidden="1">{#N/A,#N/A,FALSE,"단축1";#N/A,#N/A,FALSE,"단축2";#N/A,#N/A,FALSE,"단축3";#N/A,#N/A,FALSE,"장축";#N/A,#N/A,FALSE,"4WD"}</definedName>
    <definedName name="FJFJ_1_2" localSheetId="0" hidden="1">{#N/A,#N/A,FALSE,"단축1";#N/A,#N/A,FALSE,"단축2";#N/A,#N/A,FALSE,"단축3";#N/A,#N/A,FALSE,"장축";#N/A,#N/A,FALSE,"4WD"}</definedName>
    <definedName name="FJFJ_1_2" hidden="1">{#N/A,#N/A,FALSE,"단축1";#N/A,#N/A,FALSE,"단축2";#N/A,#N/A,FALSE,"단축3";#N/A,#N/A,FALSE,"장축";#N/A,#N/A,FALSE,"4WD"}</definedName>
    <definedName name="FJFJ_1_3" localSheetId="26" hidden="1">{#N/A,#N/A,FALSE,"단축1";#N/A,#N/A,FALSE,"단축2";#N/A,#N/A,FALSE,"단축3";#N/A,#N/A,FALSE,"장축";#N/A,#N/A,FALSE,"4WD"}</definedName>
    <definedName name="FJFJ_1_3" localSheetId="0" hidden="1">{#N/A,#N/A,FALSE,"단축1";#N/A,#N/A,FALSE,"단축2";#N/A,#N/A,FALSE,"단축3";#N/A,#N/A,FALSE,"장축";#N/A,#N/A,FALSE,"4WD"}</definedName>
    <definedName name="FJFJ_1_3" hidden="1">{#N/A,#N/A,FALSE,"단축1";#N/A,#N/A,FALSE,"단축2";#N/A,#N/A,FALSE,"단축3";#N/A,#N/A,FALSE,"장축";#N/A,#N/A,FALSE,"4WD"}</definedName>
    <definedName name="FJFJ_2" localSheetId="26" hidden="1">{#N/A,#N/A,FALSE,"단축1";#N/A,#N/A,FALSE,"단축2";#N/A,#N/A,FALSE,"단축3";#N/A,#N/A,FALSE,"장축";#N/A,#N/A,FALSE,"4WD"}</definedName>
    <definedName name="FJFJ_2" localSheetId="0" hidden="1">{#N/A,#N/A,FALSE,"단축1";#N/A,#N/A,FALSE,"단축2";#N/A,#N/A,FALSE,"단축3";#N/A,#N/A,FALSE,"장축";#N/A,#N/A,FALSE,"4WD"}</definedName>
    <definedName name="FJFJ_2" hidden="1">{#N/A,#N/A,FALSE,"단축1";#N/A,#N/A,FALSE,"단축2";#N/A,#N/A,FALSE,"단축3";#N/A,#N/A,FALSE,"장축";#N/A,#N/A,FALSE,"4WD"}</definedName>
    <definedName name="FJFJ_2_1" localSheetId="26" hidden="1">{#N/A,#N/A,FALSE,"단축1";#N/A,#N/A,FALSE,"단축2";#N/A,#N/A,FALSE,"단축3";#N/A,#N/A,FALSE,"장축";#N/A,#N/A,FALSE,"4WD"}</definedName>
    <definedName name="FJFJ_2_1" localSheetId="0" hidden="1">{#N/A,#N/A,FALSE,"단축1";#N/A,#N/A,FALSE,"단축2";#N/A,#N/A,FALSE,"단축3";#N/A,#N/A,FALSE,"장축";#N/A,#N/A,FALSE,"4WD"}</definedName>
    <definedName name="FJFJ_2_1" hidden="1">{#N/A,#N/A,FALSE,"단축1";#N/A,#N/A,FALSE,"단축2";#N/A,#N/A,FALSE,"단축3";#N/A,#N/A,FALSE,"장축";#N/A,#N/A,FALSE,"4WD"}</definedName>
    <definedName name="FJFJ_2_2" localSheetId="26" hidden="1">{#N/A,#N/A,FALSE,"단축1";#N/A,#N/A,FALSE,"단축2";#N/A,#N/A,FALSE,"단축3";#N/A,#N/A,FALSE,"장축";#N/A,#N/A,FALSE,"4WD"}</definedName>
    <definedName name="FJFJ_2_2" localSheetId="0" hidden="1">{#N/A,#N/A,FALSE,"단축1";#N/A,#N/A,FALSE,"단축2";#N/A,#N/A,FALSE,"단축3";#N/A,#N/A,FALSE,"장축";#N/A,#N/A,FALSE,"4WD"}</definedName>
    <definedName name="FJFJ_2_2" hidden="1">{#N/A,#N/A,FALSE,"단축1";#N/A,#N/A,FALSE,"단축2";#N/A,#N/A,FALSE,"단축3";#N/A,#N/A,FALSE,"장축";#N/A,#N/A,FALSE,"4WD"}</definedName>
    <definedName name="FJFJ_3" localSheetId="26" hidden="1">{#N/A,#N/A,FALSE,"단축1";#N/A,#N/A,FALSE,"단축2";#N/A,#N/A,FALSE,"단축3";#N/A,#N/A,FALSE,"장축";#N/A,#N/A,FALSE,"4WD"}</definedName>
    <definedName name="FJFJ_3" localSheetId="0" hidden="1">{#N/A,#N/A,FALSE,"단축1";#N/A,#N/A,FALSE,"단축2";#N/A,#N/A,FALSE,"단축3";#N/A,#N/A,FALSE,"장축";#N/A,#N/A,FALSE,"4WD"}</definedName>
    <definedName name="FJFJ_3" hidden="1">{#N/A,#N/A,FALSE,"단축1";#N/A,#N/A,FALSE,"단축2";#N/A,#N/A,FALSE,"단축3";#N/A,#N/A,FALSE,"장축";#N/A,#N/A,FALSE,"4WD"}</definedName>
    <definedName name="FJFJ_4" localSheetId="26" hidden="1">{#N/A,#N/A,FALSE,"단축1";#N/A,#N/A,FALSE,"단축2";#N/A,#N/A,FALSE,"단축3";#N/A,#N/A,FALSE,"장축";#N/A,#N/A,FALSE,"4WD"}</definedName>
    <definedName name="FJFJ_4" localSheetId="0" hidden="1">{#N/A,#N/A,FALSE,"단축1";#N/A,#N/A,FALSE,"단축2";#N/A,#N/A,FALSE,"단축3";#N/A,#N/A,FALSE,"장축";#N/A,#N/A,FALSE,"4WD"}</definedName>
    <definedName name="FJFJ_4" hidden="1">{#N/A,#N/A,FALSE,"단축1";#N/A,#N/A,FALSE,"단축2";#N/A,#N/A,FALSE,"단축3";#N/A,#N/A,FALSE,"장축";#N/A,#N/A,FALSE,"4WD"}</definedName>
    <definedName name="FJFJ_5" localSheetId="26" hidden="1">{#N/A,#N/A,FALSE,"단축1";#N/A,#N/A,FALSE,"단축2";#N/A,#N/A,FALSE,"단축3";#N/A,#N/A,FALSE,"장축";#N/A,#N/A,FALSE,"4WD"}</definedName>
    <definedName name="FJFJ_5" localSheetId="0" hidden="1">{#N/A,#N/A,FALSE,"단축1";#N/A,#N/A,FALSE,"단축2";#N/A,#N/A,FALSE,"단축3";#N/A,#N/A,FALSE,"장축";#N/A,#N/A,FALSE,"4WD"}</definedName>
    <definedName name="FJFJ_5" hidden="1">{#N/A,#N/A,FALSE,"단축1";#N/A,#N/A,FALSE,"단축2";#N/A,#N/A,FALSE,"단축3";#N/A,#N/A,FALSE,"장축";#N/A,#N/A,FALSE,"4WD"}</definedName>
    <definedName name="FRFeXToEUR" localSheetId="9" hidden="1">1/EUReXToFRF</definedName>
    <definedName name="FRFeXToEUR" localSheetId="1" hidden="1">1/EUReXToFRF</definedName>
    <definedName name="FRFeXToEUR" localSheetId="26" hidden="1">1/EUReXToFRF</definedName>
    <definedName name="FRFeXToEUR" localSheetId="21" hidden="1">1/EUReXToFRF</definedName>
    <definedName name="FRFeXToEUR" localSheetId="3" hidden="1">1/EUReXToFRF</definedName>
    <definedName name="FRFeXToEUR" localSheetId="28" hidden="1">1/EUReXToFRF</definedName>
    <definedName name="FRFeXToEUR" localSheetId="27" hidden="1">1/EUReXToFRF</definedName>
    <definedName name="FRFeXToEUR" localSheetId="0" hidden="1">1/EUReXToFRF</definedName>
    <definedName name="FRFeXToEUR" hidden="1">1/EUReXToFRF</definedName>
    <definedName name="From">[17]Database!$F$8:$F$17</definedName>
    <definedName name="fsarew" localSheetId="26" hidden="1">{#N/A,#N/A,FALSE,"을지 (4)";#N/A,#N/A,FALSE,"을지 (5)";#N/A,#N/A,FALSE,"을지 (6)"}</definedName>
    <definedName name="fsarew" localSheetId="0" hidden="1">{#N/A,#N/A,FALSE,"을지 (4)";#N/A,#N/A,FALSE,"을지 (5)";#N/A,#N/A,FALSE,"을지 (6)"}</definedName>
    <definedName name="fsarew" hidden="1">{#N/A,#N/A,FALSE,"을지 (4)";#N/A,#N/A,FALSE,"을지 (5)";#N/A,#N/A,FALSE,"을지 (6)"}</definedName>
    <definedName name="fsarew_1" localSheetId="26" hidden="1">{#N/A,#N/A,FALSE,"을지 (4)";#N/A,#N/A,FALSE,"을지 (5)";#N/A,#N/A,FALSE,"을지 (6)"}</definedName>
    <definedName name="fsarew_1" localSheetId="0" hidden="1">{#N/A,#N/A,FALSE,"을지 (4)";#N/A,#N/A,FALSE,"을지 (5)";#N/A,#N/A,FALSE,"을지 (6)"}</definedName>
    <definedName name="fsarew_1" hidden="1">{#N/A,#N/A,FALSE,"을지 (4)";#N/A,#N/A,FALSE,"을지 (5)";#N/A,#N/A,FALSE,"을지 (6)"}</definedName>
    <definedName name="fsarew_1_1" localSheetId="26" hidden="1">{#N/A,#N/A,FALSE,"을지 (4)";#N/A,#N/A,FALSE,"을지 (5)";#N/A,#N/A,FALSE,"을지 (6)"}</definedName>
    <definedName name="fsarew_1_1" localSheetId="0" hidden="1">{#N/A,#N/A,FALSE,"을지 (4)";#N/A,#N/A,FALSE,"을지 (5)";#N/A,#N/A,FALSE,"을지 (6)"}</definedName>
    <definedName name="fsarew_1_1" hidden="1">{#N/A,#N/A,FALSE,"을지 (4)";#N/A,#N/A,FALSE,"을지 (5)";#N/A,#N/A,FALSE,"을지 (6)"}</definedName>
    <definedName name="fsarew_1_2" localSheetId="26" hidden="1">{#N/A,#N/A,FALSE,"을지 (4)";#N/A,#N/A,FALSE,"을지 (5)";#N/A,#N/A,FALSE,"을지 (6)"}</definedName>
    <definedName name="fsarew_1_2" localSheetId="0" hidden="1">{#N/A,#N/A,FALSE,"을지 (4)";#N/A,#N/A,FALSE,"을지 (5)";#N/A,#N/A,FALSE,"을지 (6)"}</definedName>
    <definedName name="fsarew_1_2" hidden="1">{#N/A,#N/A,FALSE,"을지 (4)";#N/A,#N/A,FALSE,"을지 (5)";#N/A,#N/A,FALSE,"을지 (6)"}</definedName>
    <definedName name="fsarew_1_3" localSheetId="26" hidden="1">{#N/A,#N/A,FALSE,"을지 (4)";#N/A,#N/A,FALSE,"을지 (5)";#N/A,#N/A,FALSE,"을지 (6)"}</definedName>
    <definedName name="fsarew_1_3" localSheetId="0" hidden="1">{#N/A,#N/A,FALSE,"을지 (4)";#N/A,#N/A,FALSE,"을지 (5)";#N/A,#N/A,FALSE,"을지 (6)"}</definedName>
    <definedName name="fsarew_1_3" hidden="1">{#N/A,#N/A,FALSE,"을지 (4)";#N/A,#N/A,FALSE,"을지 (5)";#N/A,#N/A,FALSE,"을지 (6)"}</definedName>
    <definedName name="fsarew_2" localSheetId="26" hidden="1">{#N/A,#N/A,FALSE,"을지 (4)";#N/A,#N/A,FALSE,"을지 (5)";#N/A,#N/A,FALSE,"을지 (6)"}</definedName>
    <definedName name="fsarew_2" localSheetId="0" hidden="1">{#N/A,#N/A,FALSE,"을지 (4)";#N/A,#N/A,FALSE,"을지 (5)";#N/A,#N/A,FALSE,"을지 (6)"}</definedName>
    <definedName name="fsarew_2" hidden="1">{#N/A,#N/A,FALSE,"을지 (4)";#N/A,#N/A,FALSE,"을지 (5)";#N/A,#N/A,FALSE,"을지 (6)"}</definedName>
    <definedName name="fsarew_2_1" localSheetId="26" hidden="1">{#N/A,#N/A,FALSE,"을지 (4)";#N/A,#N/A,FALSE,"을지 (5)";#N/A,#N/A,FALSE,"을지 (6)"}</definedName>
    <definedName name="fsarew_2_1" localSheetId="0" hidden="1">{#N/A,#N/A,FALSE,"을지 (4)";#N/A,#N/A,FALSE,"을지 (5)";#N/A,#N/A,FALSE,"을지 (6)"}</definedName>
    <definedName name="fsarew_2_1" hidden="1">{#N/A,#N/A,FALSE,"을지 (4)";#N/A,#N/A,FALSE,"을지 (5)";#N/A,#N/A,FALSE,"을지 (6)"}</definedName>
    <definedName name="fsarew_2_2" localSheetId="26" hidden="1">{#N/A,#N/A,FALSE,"을지 (4)";#N/A,#N/A,FALSE,"을지 (5)";#N/A,#N/A,FALSE,"을지 (6)"}</definedName>
    <definedName name="fsarew_2_2" localSheetId="0" hidden="1">{#N/A,#N/A,FALSE,"을지 (4)";#N/A,#N/A,FALSE,"을지 (5)";#N/A,#N/A,FALSE,"을지 (6)"}</definedName>
    <definedName name="fsarew_2_2" hidden="1">{#N/A,#N/A,FALSE,"을지 (4)";#N/A,#N/A,FALSE,"을지 (5)";#N/A,#N/A,FALSE,"을지 (6)"}</definedName>
    <definedName name="fsarew_3" localSheetId="26" hidden="1">{#N/A,#N/A,FALSE,"을지 (4)";#N/A,#N/A,FALSE,"을지 (5)";#N/A,#N/A,FALSE,"을지 (6)"}</definedName>
    <definedName name="fsarew_3" localSheetId="0" hidden="1">{#N/A,#N/A,FALSE,"을지 (4)";#N/A,#N/A,FALSE,"을지 (5)";#N/A,#N/A,FALSE,"을지 (6)"}</definedName>
    <definedName name="fsarew_3" hidden="1">{#N/A,#N/A,FALSE,"을지 (4)";#N/A,#N/A,FALSE,"을지 (5)";#N/A,#N/A,FALSE,"을지 (6)"}</definedName>
    <definedName name="fsarew_4" localSheetId="26" hidden="1">{#N/A,#N/A,FALSE,"을지 (4)";#N/A,#N/A,FALSE,"을지 (5)";#N/A,#N/A,FALSE,"을지 (6)"}</definedName>
    <definedName name="fsarew_4" localSheetId="0" hidden="1">{#N/A,#N/A,FALSE,"을지 (4)";#N/A,#N/A,FALSE,"을지 (5)";#N/A,#N/A,FALSE,"을지 (6)"}</definedName>
    <definedName name="fsarew_4" hidden="1">{#N/A,#N/A,FALSE,"을지 (4)";#N/A,#N/A,FALSE,"을지 (5)";#N/A,#N/A,FALSE,"을지 (6)"}</definedName>
    <definedName name="fsarew_5" localSheetId="26" hidden="1">{#N/A,#N/A,FALSE,"을지 (4)";#N/A,#N/A,FALSE,"을지 (5)";#N/A,#N/A,FALSE,"을지 (6)"}</definedName>
    <definedName name="fsarew_5" localSheetId="0" hidden="1">{#N/A,#N/A,FALSE,"을지 (4)";#N/A,#N/A,FALSE,"을지 (5)";#N/A,#N/A,FALSE,"을지 (6)"}</definedName>
    <definedName name="fsarew_5" hidden="1">{#N/A,#N/A,FALSE,"을지 (4)";#N/A,#N/A,FALSE,"을지 (5)";#N/A,#N/A,FALSE,"을지 (6)"}</definedName>
    <definedName name="gbf" localSheetId="9" hidden="1">[15]MOTO!#REF!</definedName>
    <definedName name="gbf" localSheetId="1" hidden="1">[15]MOTO!#REF!</definedName>
    <definedName name="gbf" localSheetId="26" hidden="1">[15]MOTO!#REF!</definedName>
    <definedName name="gbf" localSheetId="21" hidden="1">[15]MOTO!#REF!</definedName>
    <definedName name="gbf" localSheetId="3" hidden="1">[15]MOTO!#REF!</definedName>
    <definedName name="gbf" localSheetId="28" hidden="1">[15]MOTO!#REF!</definedName>
    <definedName name="gbf" localSheetId="27" hidden="1">[15]MOTO!#REF!</definedName>
    <definedName name="gbf" localSheetId="0" hidden="1">[15]MOTO!#REF!</definedName>
    <definedName name="gbf" hidden="1">[15]MOTO!#REF!</definedName>
    <definedName name="gbfvbf" localSheetId="9" hidden="1">[15]MOTO!#REF!</definedName>
    <definedName name="gbfvbf" localSheetId="1" hidden="1">[15]MOTO!#REF!</definedName>
    <definedName name="gbfvbf" localSheetId="26" hidden="1">[15]MOTO!#REF!</definedName>
    <definedName name="gbfvbf" localSheetId="21" hidden="1">[15]MOTO!#REF!</definedName>
    <definedName name="gbfvbf" localSheetId="3" hidden="1">[15]MOTO!#REF!</definedName>
    <definedName name="gbfvbf" localSheetId="28" hidden="1">[15]MOTO!#REF!</definedName>
    <definedName name="gbfvbf" localSheetId="27" hidden="1">[15]MOTO!#REF!</definedName>
    <definedName name="gbfvbf" localSheetId="0" hidden="1">[15]MOTO!#REF!</definedName>
    <definedName name="gbfvbf" hidden="1">[15]MOTO!#REF!</definedName>
    <definedName name="gc" localSheetId="9" hidden="1">[15]MOTO!#REF!</definedName>
    <definedName name="gc" localSheetId="1" hidden="1">[15]MOTO!#REF!</definedName>
    <definedName name="gc" localSheetId="26" hidden="1">[15]MOTO!#REF!</definedName>
    <definedName name="gc" localSheetId="21" hidden="1">[15]MOTO!#REF!</definedName>
    <definedName name="gc" localSheetId="3" hidden="1">[15]MOTO!#REF!</definedName>
    <definedName name="gc" localSheetId="28" hidden="1">[15]MOTO!#REF!</definedName>
    <definedName name="gc" localSheetId="27" hidden="1">[15]MOTO!#REF!</definedName>
    <definedName name="gc" localSheetId="0" hidden="1">[15]MOTO!#REF!</definedName>
    <definedName name="gc" hidden="1">[15]MOTO!#REF!</definedName>
    <definedName name="GDFGDF" localSheetId="26" hidden="1">{#N/A,#N/A,TRUE,"Summary";#N/A,#N/A,TRUE,"Balance Sheet";#N/A,#N/A,TRUE,"P &amp; L";#N/A,#N/A,TRUE,"Fixed Assets";#N/A,#N/A,TRUE,"Cash Flows"}</definedName>
    <definedName name="GDFGDF" localSheetId="0" hidden="1">{#N/A,#N/A,TRUE,"Summary";#N/A,#N/A,TRUE,"Balance Sheet";#N/A,#N/A,TRUE,"P &amp; L";#N/A,#N/A,TRUE,"Fixed Assets";#N/A,#N/A,TRUE,"Cash Flows"}</definedName>
    <definedName name="GDFGDF" hidden="1">{#N/A,#N/A,TRUE,"Summary";#N/A,#N/A,TRUE,"Balance Sheet";#N/A,#N/A,TRUE,"P &amp; L";#N/A,#N/A,TRUE,"Fixed Assets";#N/A,#N/A,TRUE,"Cash Flows"}</definedName>
    <definedName name="GDFGDF_1" localSheetId="26" hidden="1">{#N/A,#N/A,TRUE,"Summary";#N/A,#N/A,TRUE,"Balance Sheet";#N/A,#N/A,TRUE,"P &amp; L";#N/A,#N/A,TRUE,"Fixed Assets";#N/A,#N/A,TRUE,"Cash Flows"}</definedName>
    <definedName name="GDFGDF_1" localSheetId="0" hidden="1">{#N/A,#N/A,TRUE,"Summary";#N/A,#N/A,TRUE,"Balance Sheet";#N/A,#N/A,TRUE,"P &amp; L";#N/A,#N/A,TRUE,"Fixed Assets";#N/A,#N/A,TRUE,"Cash Flows"}</definedName>
    <definedName name="GDFGDF_1" hidden="1">{#N/A,#N/A,TRUE,"Summary";#N/A,#N/A,TRUE,"Balance Sheet";#N/A,#N/A,TRUE,"P &amp; L";#N/A,#N/A,TRUE,"Fixed Assets";#N/A,#N/A,TRUE,"Cash Flows"}</definedName>
    <definedName name="GDFGDF_1_1" localSheetId="26" hidden="1">{#N/A,#N/A,TRUE,"Summary";#N/A,#N/A,TRUE,"Balance Sheet";#N/A,#N/A,TRUE,"P &amp; L";#N/A,#N/A,TRUE,"Fixed Assets";#N/A,#N/A,TRUE,"Cash Flows"}</definedName>
    <definedName name="GDFGDF_1_1" localSheetId="0" hidden="1">{#N/A,#N/A,TRUE,"Summary";#N/A,#N/A,TRUE,"Balance Sheet";#N/A,#N/A,TRUE,"P &amp; L";#N/A,#N/A,TRUE,"Fixed Assets";#N/A,#N/A,TRUE,"Cash Flows"}</definedName>
    <definedName name="GDFGDF_1_1" hidden="1">{#N/A,#N/A,TRUE,"Summary";#N/A,#N/A,TRUE,"Balance Sheet";#N/A,#N/A,TRUE,"P &amp; L";#N/A,#N/A,TRUE,"Fixed Assets";#N/A,#N/A,TRUE,"Cash Flows"}</definedName>
    <definedName name="GDFGDF_1_2" localSheetId="26" hidden="1">{#N/A,#N/A,TRUE,"Summary";#N/A,#N/A,TRUE,"Balance Sheet";#N/A,#N/A,TRUE,"P &amp; L";#N/A,#N/A,TRUE,"Fixed Assets";#N/A,#N/A,TRUE,"Cash Flows"}</definedName>
    <definedName name="GDFGDF_1_2" localSheetId="0" hidden="1">{#N/A,#N/A,TRUE,"Summary";#N/A,#N/A,TRUE,"Balance Sheet";#N/A,#N/A,TRUE,"P &amp; L";#N/A,#N/A,TRUE,"Fixed Assets";#N/A,#N/A,TRUE,"Cash Flows"}</definedName>
    <definedName name="GDFGDF_1_2" hidden="1">{#N/A,#N/A,TRUE,"Summary";#N/A,#N/A,TRUE,"Balance Sheet";#N/A,#N/A,TRUE,"P &amp; L";#N/A,#N/A,TRUE,"Fixed Assets";#N/A,#N/A,TRUE,"Cash Flows"}</definedName>
    <definedName name="GDFGDF_1_3" localSheetId="26" hidden="1">{#N/A,#N/A,TRUE,"Summary";#N/A,#N/A,TRUE,"Balance Sheet";#N/A,#N/A,TRUE,"P &amp; L";#N/A,#N/A,TRUE,"Fixed Assets";#N/A,#N/A,TRUE,"Cash Flows"}</definedName>
    <definedName name="GDFGDF_1_3" localSheetId="0" hidden="1">{#N/A,#N/A,TRUE,"Summary";#N/A,#N/A,TRUE,"Balance Sheet";#N/A,#N/A,TRUE,"P &amp; L";#N/A,#N/A,TRUE,"Fixed Assets";#N/A,#N/A,TRUE,"Cash Flows"}</definedName>
    <definedName name="GDFGDF_1_3" hidden="1">{#N/A,#N/A,TRUE,"Summary";#N/A,#N/A,TRUE,"Balance Sheet";#N/A,#N/A,TRUE,"P &amp; L";#N/A,#N/A,TRUE,"Fixed Assets";#N/A,#N/A,TRUE,"Cash Flows"}</definedName>
    <definedName name="GDFGDF_2" localSheetId="26" hidden="1">{#N/A,#N/A,TRUE,"Summary";#N/A,#N/A,TRUE,"Balance Sheet";#N/A,#N/A,TRUE,"P &amp; L";#N/A,#N/A,TRUE,"Fixed Assets";#N/A,#N/A,TRUE,"Cash Flows"}</definedName>
    <definedName name="GDFGDF_2" localSheetId="0" hidden="1">{#N/A,#N/A,TRUE,"Summary";#N/A,#N/A,TRUE,"Balance Sheet";#N/A,#N/A,TRUE,"P &amp; L";#N/A,#N/A,TRUE,"Fixed Assets";#N/A,#N/A,TRUE,"Cash Flows"}</definedName>
    <definedName name="GDFGDF_2" hidden="1">{#N/A,#N/A,TRUE,"Summary";#N/A,#N/A,TRUE,"Balance Sheet";#N/A,#N/A,TRUE,"P &amp; L";#N/A,#N/A,TRUE,"Fixed Assets";#N/A,#N/A,TRUE,"Cash Flows"}</definedName>
    <definedName name="GDFGDF_2_1" localSheetId="26" hidden="1">{#N/A,#N/A,TRUE,"Summary";#N/A,#N/A,TRUE,"Balance Sheet";#N/A,#N/A,TRUE,"P &amp; L";#N/A,#N/A,TRUE,"Fixed Assets";#N/A,#N/A,TRUE,"Cash Flows"}</definedName>
    <definedName name="GDFGDF_2_1" localSheetId="0" hidden="1">{#N/A,#N/A,TRUE,"Summary";#N/A,#N/A,TRUE,"Balance Sheet";#N/A,#N/A,TRUE,"P &amp; L";#N/A,#N/A,TRUE,"Fixed Assets";#N/A,#N/A,TRUE,"Cash Flows"}</definedName>
    <definedName name="GDFGDF_2_1" hidden="1">{#N/A,#N/A,TRUE,"Summary";#N/A,#N/A,TRUE,"Balance Sheet";#N/A,#N/A,TRUE,"P &amp; L";#N/A,#N/A,TRUE,"Fixed Assets";#N/A,#N/A,TRUE,"Cash Flows"}</definedName>
    <definedName name="GDFGDF_2_2" localSheetId="26" hidden="1">{#N/A,#N/A,TRUE,"Summary";#N/A,#N/A,TRUE,"Balance Sheet";#N/A,#N/A,TRUE,"P &amp; L";#N/A,#N/A,TRUE,"Fixed Assets";#N/A,#N/A,TRUE,"Cash Flows"}</definedName>
    <definedName name="GDFGDF_2_2" localSheetId="0" hidden="1">{#N/A,#N/A,TRUE,"Summary";#N/A,#N/A,TRUE,"Balance Sheet";#N/A,#N/A,TRUE,"P &amp; L";#N/A,#N/A,TRUE,"Fixed Assets";#N/A,#N/A,TRUE,"Cash Flows"}</definedName>
    <definedName name="GDFGDF_2_2" hidden="1">{#N/A,#N/A,TRUE,"Summary";#N/A,#N/A,TRUE,"Balance Sheet";#N/A,#N/A,TRUE,"P &amp; L";#N/A,#N/A,TRUE,"Fixed Assets";#N/A,#N/A,TRUE,"Cash Flows"}</definedName>
    <definedName name="GDFGDF_3" localSheetId="26" hidden="1">{#N/A,#N/A,TRUE,"Summary";#N/A,#N/A,TRUE,"Balance Sheet";#N/A,#N/A,TRUE,"P &amp; L";#N/A,#N/A,TRUE,"Fixed Assets";#N/A,#N/A,TRUE,"Cash Flows"}</definedName>
    <definedName name="GDFGDF_3" localSheetId="0" hidden="1">{#N/A,#N/A,TRUE,"Summary";#N/A,#N/A,TRUE,"Balance Sheet";#N/A,#N/A,TRUE,"P &amp; L";#N/A,#N/A,TRUE,"Fixed Assets";#N/A,#N/A,TRUE,"Cash Flows"}</definedName>
    <definedName name="GDFGDF_3" hidden="1">{#N/A,#N/A,TRUE,"Summary";#N/A,#N/A,TRUE,"Balance Sheet";#N/A,#N/A,TRUE,"P &amp; L";#N/A,#N/A,TRUE,"Fixed Assets";#N/A,#N/A,TRUE,"Cash Flows"}</definedName>
    <definedName name="GDFGDF_4" localSheetId="26" hidden="1">{#N/A,#N/A,TRUE,"Summary";#N/A,#N/A,TRUE,"Balance Sheet";#N/A,#N/A,TRUE,"P &amp; L";#N/A,#N/A,TRUE,"Fixed Assets";#N/A,#N/A,TRUE,"Cash Flows"}</definedName>
    <definedName name="GDFGDF_4" localSheetId="0" hidden="1">{#N/A,#N/A,TRUE,"Summary";#N/A,#N/A,TRUE,"Balance Sheet";#N/A,#N/A,TRUE,"P &amp; L";#N/A,#N/A,TRUE,"Fixed Assets";#N/A,#N/A,TRUE,"Cash Flows"}</definedName>
    <definedName name="GDFGDF_4" hidden="1">{#N/A,#N/A,TRUE,"Summary";#N/A,#N/A,TRUE,"Balance Sheet";#N/A,#N/A,TRUE,"P &amp; L";#N/A,#N/A,TRUE,"Fixed Assets";#N/A,#N/A,TRUE,"Cash Flows"}</definedName>
    <definedName name="GDFGDF_5" localSheetId="26" hidden="1">{#N/A,#N/A,TRUE,"Summary";#N/A,#N/A,TRUE,"Balance Sheet";#N/A,#N/A,TRUE,"P &amp; L";#N/A,#N/A,TRUE,"Fixed Assets";#N/A,#N/A,TRUE,"Cash Flows"}</definedName>
    <definedName name="GDFGDF_5" localSheetId="0" hidden="1">{#N/A,#N/A,TRUE,"Summary";#N/A,#N/A,TRUE,"Balance Sheet";#N/A,#N/A,TRUE,"P &amp; L";#N/A,#N/A,TRUE,"Fixed Assets";#N/A,#N/A,TRUE,"Cash Flows"}</definedName>
    <definedName name="GDFGDF_5" hidden="1">{#N/A,#N/A,TRUE,"Summary";#N/A,#N/A,TRUE,"Balance Sheet";#N/A,#N/A,TRUE,"P &amp; L";#N/A,#N/A,TRUE,"Fixed Assets";#N/A,#N/A,TRUE,"Cash Flows"}</definedName>
    <definedName name="gdgf" localSheetId="9" hidden="1">[15]MOTO!#REF!</definedName>
    <definedName name="gdgf" localSheetId="1" hidden="1">[15]MOTO!#REF!</definedName>
    <definedName name="gdgf" localSheetId="26" hidden="1">[15]MOTO!#REF!</definedName>
    <definedName name="gdgf" localSheetId="21" hidden="1">[15]MOTO!#REF!</definedName>
    <definedName name="gdgf" localSheetId="3" hidden="1">[15]MOTO!#REF!</definedName>
    <definedName name="gdgf" localSheetId="28" hidden="1">[15]MOTO!#REF!</definedName>
    <definedName name="gdgf" localSheetId="27" hidden="1">[15]MOTO!#REF!</definedName>
    <definedName name="gdgf" localSheetId="0" hidden="1">[15]MOTO!#REF!</definedName>
    <definedName name="gdgf" hidden="1">[15]MOTO!#REF!</definedName>
    <definedName name="GFDS" localSheetId="26" hidden="1">{#N/A,#N/A,FALSE,"단축1";#N/A,#N/A,FALSE,"단축2";#N/A,#N/A,FALSE,"단축3";#N/A,#N/A,FALSE,"장축";#N/A,#N/A,FALSE,"4WD"}</definedName>
    <definedName name="GFDS" localSheetId="0" hidden="1">{#N/A,#N/A,FALSE,"단축1";#N/A,#N/A,FALSE,"단축2";#N/A,#N/A,FALSE,"단축3";#N/A,#N/A,FALSE,"장축";#N/A,#N/A,FALSE,"4WD"}</definedName>
    <definedName name="GFDS" hidden="1">{#N/A,#N/A,FALSE,"단축1";#N/A,#N/A,FALSE,"단축2";#N/A,#N/A,FALSE,"단축3";#N/A,#N/A,FALSE,"장축";#N/A,#N/A,FALSE,"4WD"}</definedName>
    <definedName name="GFDS_1" localSheetId="26" hidden="1">{#N/A,#N/A,FALSE,"단축1";#N/A,#N/A,FALSE,"단축2";#N/A,#N/A,FALSE,"단축3";#N/A,#N/A,FALSE,"장축";#N/A,#N/A,FALSE,"4WD"}</definedName>
    <definedName name="GFDS_1" localSheetId="0" hidden="1">{#N/A,#N/A,FALSE,"단축1";#N/A,#N/A,FALSE,"단축2";#N/A,#N/A,FALSE,"단축3";#N/A,#N/A,FALSE,"장축";#N/A,#N/A,FALSE,"4WD"}</definedName>
    <definedName name="GFDS_1" hidden="1">{#N/A,#N/A,FALSE,"단축1";#N/A,#N/A,FALSE,"단축2";#N/A,#N/A,FALSE,"단축3";#N/A,#N/A,FALSE,"장축";#N/A,#N/A,FALSE,"4WD"}</definedName>
    <definedName name="GFDS_1_1" localSheetId="26" hidden="1">{#N/A,#N/A,FALSE,"단축1";#N/A,#N/A,FALSE,"단축2";#N/A,#N/A,FALSE,"단축3";#N/A,#N/A,FALSE,"장축";#N/A,#N/A,FALSE,"4WD"}</definedName>
    <definedName name="GFDS_1_1" localSheetId="0" hidden="1">{#N/A,#N/A,FALSE,"단축1";#N/A,#N/A,FALSE,"단축2";#N/A,#N/A,FALSE,"단축3";#N/A,#N/A,FALSE,"장축";#N/A,#N/A,FALSE,"4WD"}</definedName>
    <definedName name="GFDS_1_1" hidden="1">{#N/A,#N/A,FALSE,"단축1";#N/A,#N/A,FALSE,"단축2";#N/A,#N/A,FALSE,"단축3";#N/A,#N/A,FALSE,"장축";#N/A,#N/A,FALSE,"4WD"}</definedName>
    <definedName name="GFDS_1_2" localSheetId="26" hidden="1">{#N/A,#N/A,FALSE,"단축1";#N/A,#N/A,FALSE,"단축2";#N/A,#N/A,FALSE,"단축3";#N/A,#N/A,FALSE,"장축";#N/A,#N/A,FALSE,"4WD"}</definedName>
    <definedName name="GFDS_1_2" localSheetId="0" hidden="1">{#N/A,#N/A,FALSE,"단축1";#N/A,#N/A,FALSE,"단축2";#N/A,#N/A,FALSE,"단축3";#N/A,#N/A,FALSE,"장축";#N/A,#N/A,FALSE,"4WD"}</definedName>
    <definedName name="GFDS_1_2" hidden="1">{#N/A,#N/A,FALSE,"단축1";#N/A,#N/A,FALSE,"단축2";#N/A,#N/A,FALSE,"단축3";#N/A,#N/A,FALSE,"장축";#N/A,#N/A,FALSE,"4WD"}</definedName>
    <definedName name="GFDS_1_3" localSheetId="26" hidden="1">{#N/A,#N/A,FALSE,"단축1";#N/A,#N/A,FALSE,"단축2";#N/A,#N/A,FALSE,"단축3";#N/A,#N/A,FALSE,"장축";#N/A,#N/A,FALSE,"4WD"}</definedName>
    <definedName name="GFDS_1_3" localSheetId="0" hidden="1">{#N/A,#N/A,FALSE,"단축1";#N/A,#N/A,FALSE,"단축2";#N/A,#N/A,FALSE,"단축3";#N/A,#N/A,FALSE,"장축";#N/A,#N/A,FALSE,"4WD"}</definedName>
    <definedName name="GFDS_1_3" hidden="1">{#N/A,#N/A,FALSE,"단축1";#N/A,#N/A,FALSE,"단축2";#N/A,#N/A,FALSE,"단축3";#N/A,#N/A,FALSE,"장축";#N/A,#N/A,FALSE,"4WD"}</definedName>
    <definedName name="GFDS_2" localSheetId="26" hidden="1">{#N/A,#N/A,FALSE,"단축1";#N/A,#N/A,FALSE,"단축2";#N/A,#N/A,FALSE,"단축3";#N/A,#N/A,FALSE,"장축";#N/A,#N/A,FALSE,"4WD"}</definedName>
    <definedName name="GFDS_2" localSheetId="0" hidden="1">{#N/A,#N/A,FALSE,"단축1";#N/A,#N/A,FALSE,"단축2";#N/A,#N/A,FALSE,"단축3";#N/A,#N/A,FALSE,"장축";#N/A,#N/A,FALSE,"4WD"}</definedName>
    <definedName name="GFDS_2" hidden="1">{#N/A,#N/A,FALSE,"단축1";#N/A,#N/A,FALSE,"단축2";#N/A,#N/A,FALSE,"단축3";#N/A,#N/A,FALSE,"장축";#N/A,#N/A,FALSE,"4WD"}</definedName>
    <definedName name="GFDS_2_1" localSheetId="26" hidden="1">{#N/A,#N/A,FALSE,"단축1";#N/A,#N/A,FALSE,"단축2";#N/A,#N/A,FALSE,"단축3";#N/A,#N/A,FALSE,"장축";#N/A,#N/A,FALSE,"4WD"}</definedName>
    <definedName name="GFDS_2_1" localSheetId="0" hidden="1">{#N/A,#N/A,FALSE,"단축1";#N/A,#N/A,FALSE,"단축2";#N/A,#N/A,FALSE,"단축3";#N/A,#N/A,FALSE,"장축";#N/A,#N/A,FALSE,"4WD"}</definedName>
    <definedName name="GFDS_2_1" hidden="1">{#N/A,#N/A,FALSE,"단축1";#N/A,#N/A,FALSE,"단축2";#N/A,#N/A,FALSE,"단축3";#N/A,#N/A,FALSE,"장축";#N/A,#N/A,FALSE,"4WD"}</definedName>
    <definedName name="GFDS_2_2" localSheetId="26" hidden="1">{#N/A,#N/A,FALSE,"단축1";#N/A,#N/A,FALSE,"단축2";#N/A,#N/A,FALSE,"단축3";#N/A,#N/A,FALSE,"장축";#N/A,#N/A,FALSE,"4WD"}</definedName>
    <definedName name="GFDS_2_2" localSheetId="0" hidden="1">{#N/A,#N/A,FALSE,"단축1";#N/A,#N/A,FALSE,"단축2";#N/A,#N/A,FALSE,"단축3";#N/A,#N/A,FALSE,"장축";#N/A,#N/A,FALSE,"4WD"}</definedName>
    <definedName name="GFDS_2_2" hidden="1">{#N/A,#N/A,FALSE,"단축1";#N/A,#N/A,FALSE,"단축2";#N/A,#N/A,FALSE,"단축3";#N/A,#N/A,FALSE,"장축";#N/A,#N/A,FALSE,"4WD"}</definedName>
    <definedName name="GFDS_3" localSheetId="26" hidden="1">{#N/A,#N/A,FALSE,"단축1";#N/A,#N/A,FALSE,"단축2";#N/A,#N/A,FALSE,"단축3";#N/A,#N/A,FALSE,"장축";#N/A,#N/A,FALSE,"4WD"}</definedName>
    <definedName name="GFDS_3" localSheetId="0" hidden="1">{#N/A,#N/A,FALSE,"단축1";#N/A,#N/A,FALSE,"단축2";#N/A,#N/A,FALSE,"단축3";#N/A,#N/A,FALSE,"장축";#N/A,#N/A,FALSE,"4WD"}</definedName>
    <definedName name="GFDS_3" hidden="1">{#N/A,#N/A,FALSE,"단축1";#N/A,#N/A,FALSE,"단축2";#N/A,#N/A,FALSE,"단축3";#N/A,#N/A,FALSE,"장축";#N/A,#N/A,FALSE,"4WD"}</definedName>
    <definedName name="GFDS_4" localSheetId="26" hidden="1">{#N/A,#N/A,FALSE,"단축1";#N/A,#N/A,FALSE,"단축2";#N/A,#N/A,FALSE,"단축3";#N/A,#N/A,FALSE,"장축";#N/A,#N/A,FALSE,"4WD"}</definedName>
    <definedName name="GFDS_4" localSheetId="0" hidden="1">{#N/A,#N/A,FALSE,"단축1";#N/A,#N/A,FALSE,"단축2";#N/A,#N/A,FALSE,"단축3";#N/A,#N/A,FALSE,"장축";#N/A,#N/A,FALSE,"4WD"}</definedName>
    <definedName name="GFDS_4" hidden="1">{#N/A,#N/A,FALSE,"단축1";#N/A,#N/A,FALSE,"단축2";#N/A,#N/A,FALSE,"단축3";#N/A,#N/A,FALSE,"장축";#N/A,#N/A,FALSE,"4WD"}</definedName>
    <definedName name="GFDS_5" localSheetId="26" hidden="1">{#N/A,#N/A,FALSE,"단축1";#N/A,#N/A,FALSE,"단축2";#N/A,#N/A,FALSE,"단축3";#N/A,#N/A,FALSE,"장축";#N/A,#N/A,FALSE,"4WD"}</definedName>
    <definedName name="GFDS_5" localSheetId="0" hidden="1">{#N/A,#N/A,FALSE,"단축1";#N/A,#N/A,FALSE,"단축2";#N/A,#N/A,FALSE,"단축3";#N/A,#N/A,FALSE,"장축";#N/A,#N/A,FALSE,"4WD"}</definedName>
    <definedName name="GFDS_5" hidden="1">{#N/A,#N/A,FALSE,"단축1";#N/A,#N/A,FALSE,"단축2";#N/A,#N/A,FALSE,"단축3";#N/A,#N/A,FALSE,"장축";#N/A,#N/A,FALSE,"4WD"}</definedName>
    <definedName name="ha" localSheetId="26" hidden="1">{#N/A,#N/A,FALSE,"196126-0690";#N/A,#N/A,FALSE,"196126-0690";#N/A,#N/A,FALSE,"1961165-0201"}</definedName>
    <definedName name="ha" localSheetId="0" hidden="1">{#N/A,#N/A,FALSE,"196126-0690";#N/A,#N/A,FALSE,"196126-0690";#N/A,#N/A,FALSE,"1961165-0201"}</definedName>
    <definedName name="ha" hidden="1">{#N/A,#N/A,FALSE,"196126-0690";#N/A,#N/A,FALSE,"196126-0690";#N/A,#N/A,FALSE,"1961165-0201"}</definedName>
    <definedName name="ha_1" localSheetId="26" hidden="1">{#N/A,#N/A,FALSE,"196126-0690";#N/A,#N/A,FALSE,"196126-0690";#N/A,#N/A,FALSE,"1961165-0201"}</definedName>
    <definedName name="ha_1" localSheetId="0" hidden="1">{#N/A,#N/A,FALSE,"196126-0690";#N/A,#N/A,FALSE,"196126-0690";#N/A,#N/A,FALSE,"1961165-0201"}</definedName>
    <definedName name="ha_1" hidden="1">{#N/A,#N/A,FALSE,"196126-0690";#N/A,#N/A,FALSE,"196126-0690";#N/A,#N/A,FALSE,"1961165-0201"}</definedName>
    <definedName name="ha_1_1" localSheetId="26" hidden="1">{#N/A,#N/A,FALSE,"196126-0690";#N/A,#N/A,FALSE,"196126-0690";#N/A,#N/A,FALSE,"1961165-0201"}</definedName>
    <definedName name="ha_1_1" localSheetId="0" hidden="1">{#N/A,#N/A,FALSE,"196126-0690";#N/A,#N/A,FALSE,"196126-0690";#N/A,#N/A,FALSE,"1961165-0201"}</definedName>
    <definedName name="ha_1_1" hidden="1">{#N/A,#N/A,FALSE,"196126-0690";#N/A,#N/A,FALSE,"196126-0690";#N/A,#N/A,FALSE,"1961165-0201"}</definedName>
    <definedName name="ha_1_2" localSheetId="26" hidden="1">{#N/A,#N/A,FALSE,"196126-0690";#N/A,#N/A,FALSE,"196126-0690";#N/A,#N/A,FALSE,"1961165-0201"}</definedName>
    <definedName name="ha_1_2" localSheetId="0" hidden="1">{#N/A,#N/A,FALSE,"196126-0690";#N/A,#N/A,FALSE,"196126-0690";#N/A,#N/A,FALSE,"1961165-0201"}</definedName>
    <definedName name="ha_1_2" hidden="1">{#N/A,#N/A,FALSE,"196126-0690";#N/A,#N/A,FALSE,"196126-0690";#N/A,#N/A,FALSE,"1961165-0201"}</definedName>
    <definedName name="ha_1_3" localSheetId="26" hidden="1">{#N/A,#N/A,FALSE,"196126-0690";#N/A,#N/A,FALSE,"196126-0690";#N/A,#N/A,FALSE,"1961165-0201"}</definedName>
    <definedName name="ha_1_3" localSheetId="0" hidden="1">{#N/A,#N/A,FALSE,"196126-0690";#N/A,#N/A,FALSE,"196126-0690";#N/A,#N/A,FALSE,"1961165-0201"}</definedName>
    <definedName name="ha_1_3" hidden="1">{#N/A,#N/A,FALSE,"196126-0690";#N/A,#N/A,FALSE,"196126-0690";#N/A,#N/A,FALSE,"1961165-0201"}</definedName>
    <definedName name="ha_2" localSheetId="26" hidden="1">{#N/A,#N/A,FALSE,"196126-0690";#N/A,#N/A,FALSE,"196126-0690";#N/A,#N/A,FALSE,"1961165-0201"}</definedName>
    <definedName name="ha_2" localSheetId="0" hidden="1">{#N/A,#N/A,FALSE,"196126-0690";#N/A,#N/A,FALSE,"196126-0690";#N/A,#N/A,FALSE,"1961165-0201"}</definedName>
    <definedName name="ha_2" hidden="1">{#N/A,#N/A,FALSE,"196126-0690";#N/A,#N/A,FALSE,"196126-0690";#N/A,#N/A,FALSE,"1961165-0201"}</definedName>
    <definedName name="ha_2_1" localSheetId="26" hidden="1">{#N/A,#N/A,FALSE,"196126-0690";#N/A,#N/A,FALSE,"196126-0690";#N/A,#N/A,FALSE,"1961165-0201"}</definedName>
    <definedName name="ha_2_1" localSheetId="0" hidden="1">{#N/A,#N/A,FALSE,"196126-0690";#N/A,#N/A,FALSE,"196126-0690";#N/A,#N/A,FALSE,"1961165-0201"}</definedName>
    <definedName name="ha_2_1" hidden="1">{#N/A,#N/A,FALSE,"196126-0690";#N/A,#N/A,FALSE,"196126-0690";#N/A,#N/A,FALSE,"1961165-0201"}</definedName>
    <definedName name="ha_2_2" localSheetId="26" hidden="1">{#N/A,#N/A,FALSE,"196126-0690";#N/A,#N/A,FALSE,"196126-0690";#N/A,#N/A,FALSE,"1961165-0201"}</definedName>
    <definedName name="ha_2_2" localSheetId="0" hidden="1">{#N/A,#N/A,FALSE,"196126-0690";#N/A,#N/A,FALSE,"196126-0690";#N/A,#N/A,FALSE,"1961165-0201"}</definedName>
    <definedName name="ha_2_2" hidden="1">{#N/A,#N/A,FALSE,"196126-0690";#N/A,#N/A,FALSE,"196126-0690";#N/A,#N/A,FALSE,"1961165-0201"}</definedName>
    <definedName name="ha_3" localSheetId="26" hidden="1">{#N/A,#N/A,FALSE,"196126-0690";#N/A,#N/A,FALSE,"196126-0690";#N/A,#N/A,FALSE,"1961165-0201"}</definedName>
    <definedName name="ha_3" localSheetId="0" hidden="1">{#N/A,#N/A,FALSE,"196126-0690";#N/A,#N/A,FALSE,"196126-0690";#N/A,#N/A,FALSE,"1961165-0201"}</definedName>
    <definedName name="ha_3" hidden="1">{#N/A,#N/A,FALSE,"196126-0690";#N/A,#N/A,FALSE,"196126-0690";#N/A,#N/A,FALSE,"1961165-0201"}</definedName>
    <definedName name="ha_4" localSheetId="26" hidden="1">{#N/A,#N/A,FALSE,"196126-0690";#N/A,#N/A,FALSE,"196126-0690";#N/A,#N/A,FALSE,"1961165-0201"}</definedName>
    <definedName name="ha_4" localSheetId="0" hidden="1">{#N/A,#N/A,FALSE,"196126-0690";#N/A,#N/A,FALSE,"196126-0690";#N/A,#N/A,FALSE,"1961165-0201"}</definedName>
    <definedName name="ha_4" hidden="1">{#N/A,#N/A,FALSE,"196126-0690";#N/A,#N/A,FALSE,"196126-0690";#N/A,#N/A,FALSE,"1961165-0201"}</definedName>
    <definedName name="ha_5" localSheetId="26" hidden="1">{#N/A,#N/A,FALSE,"196126-0690";#N/A,#N/A,FALSE,"196126-0690";#N/A,#N/A,FALSE,"1961165-0201"}</definedName>
    <definedName name="ha_5" localSheetId="0" hidden="1">{#N/A,#N/A,FALSE,"196126-0690";#N/A,#N/A,FALSE,"196126-0690";#N/A,#N/A,FALSE,"1961165-0201"}</definedName>
    <definedName name="ha_5" hidden="1">{#N/A,#N/A,FALSE,"196126-0690";#N/A,#N/A,FALSE,"196126-0690";#N/A,#N/A,FALSE,"1961165-0201"}</definedName>
    <definedName name="hav" localSheetId="22" hidden="1">{#N/A,#N/A,FALSE,"196126-0690";#N/A,#N/A,FALSE,"196126-0690";#N/A,#N/A,FALSE,"1961165-0201"}</definedName>
    <definedName name="hav" localSheetId="26" hidden="1">{#N/A,#N/A,FALSE,"196126-0690";#N/A,#N/A,FALSE,"196126-0690";#N/A,#N/A,FALSE,"1961165-0201"}</definedName>
    <definedName name="hav" localSheetId="14" hidden="1">{#N/A,#N/A,FALSE,"196126-0690";#N/A,#N/A,FALSE,"196126-0690";#N/A,#N/A,FALSE,"1961165-0201"}</definedName>
    <definedName name="hav" localSheetId="21" hidden="1">{#N/A,#N/A,FALSE,"196126-0690";#N/A,#N/A,FALSE,"196126-0690";#N/A,#N/A,FALSE,"1961165-0201"}</definedName>
    <definedName name="hav" localSheetId="3" hidden="1">{#N/A,#N/A,FALSE,"196126-0690";#N/A,#N/A,FALSE,"196126-0690";#N/A,#N/A,FALSE,"1961165-0201"}</definedName>
    <definedName name="hav" localSheetId="29" hidden="1">{#N/A,#N/A,FALSE,"196126-0690";#N/A,#N/A,FALSE,"196126-0690";#N/A,#N/A,FALSE,"1961165-0201"}</definedName>
    <definedName name="hav" localSheetId="27" hidden="1">{#N/A,#N/A,FALSE,"196126-0690";#N/A,#N/A,FALSE,"196126-0690";#N/A,#N/A,FALSE,"1961165-0201"}</definedName>
    <definedName name="hav" localSheetId="0" hidden="1">{#N/A,#N/A,FALSE,"196126-0690";#N/A,#N/A,FALSE,"196126-0690";#N/A,#N/A,FALSE,"1961165-0201"}</definedName>
    <definedName name="hav" hidden="1">{#N/A,#N/A,FALSE,"196126-0690";#N/A,#N/A,FALSE,"196126-0690";#N/A,#N/A,FALSE,"1961165-0201"}</definedName>
    <definedName name="hav_1" localSheetId="26" hidden="1">{#N/A,#N/A,FALSE,"196126-0690";#N/A,#N/A,FALSE,"196126-0690";#N/A,#N/A,FALSE,"1961165-0201"}</definedName>
    <definedName name="hav_1" localSheetId="0" hidden="1">{#N/A,#N/A,FALSE,"196126-0690";#N/A,#N/A,FALSE,"196126-0690";#N/A,#N/A,FALSE,"1961165-0201"}</definedName>
    <definedName name="hav_1" hidden="1">{#N/A,#N/A,FALSE,"196126-0690";#N/A,#N/A,FALSE,"196126-0690";#N/A,#N/A,FALSE,"1961165-0201"}</definedName>
    <definedName name="hav_1_1" localSheetId="26" hidden="1">{#N/A,#N/A,FALSE,"196126-0690";#N/A,#N/A,FALSE,"196126-0690";#N/A,#N/A,FALSE,"1961165-0201"}</definedName>
    <definedName name="hav_1_1" localSheetId="0" hidden="1">{#N/A,#N/A,FALSE,"196126-0690";#N/A,#N/A,FALSE,"196126-0690";#N/A,#N/A,FALSE,"1961165-0201"}</definedName>
    <definedName name="hav_1_1" hidden="1">{#N/A,#N/A,FALSE,"196126-0690";#N/A,#N/A,FALSE,"196126-0690";#N/A,#N/A,FALSE,"1961165-0201"}</definedName>
    <definedName name="hav_1_2" localSheetId="26" hidden="1">{#N/A,#N/A,FALSE,"196126-0690";#N/A,#N/A,FALSE,"196126-0690";#N/A,#N/A,FALSE,"1961165-0201"}</definedName>
    <definedName name="hav_1_2" localSheetId="0" hidden="1">{#N/A,#N/A,FALSE,"196126-0690";#N/A,#N/A,FALSE,"196126-0690";#N/A,#N/A,FALSE,"1961165-0201"}</definedName>
    <definedName name="hav_1_2" hidden="1">{#N/A,#N/A,FALSE,"196126-0690";#N/A,#N/A,FALSE,"196126-0690";#N/A,#N/A,FALSE,"1961165-0201"}</definedName>
    <definedName name="hav_1_3" localSheetId="26" hidden="1">{#N/A,#N/A,FALSE,"196126-0690";#N/A,#N/A,FALSE,"196126-0690";#N/A,#N/A,FALSE,"1961165-0201"}</definedName>
    <definedName name="hav_1_3" localSheetId="0" hidden="1">{#N/A,#N/A,FALSE,"196126-0690";#N/A,#N/A,FALSE,"196126-0690";#N/A,#N/A,FALSE,"1961165-0201"}</definedName>
    <definedName name="hav_1_3" hidden="1">{#N/A,#N/A,FALSE,"196126-0690";#N/A,#N/A,FALSE,"196126-0690";#N/A,#N/A,FALSE,"1961165-0201"}</definedName>
    <definedName name="hav_2" localSheetId="26" hidden="1">{#N/A,#N/A,FALSE,"196126-0690";#N/A,#N/A,FALSE,"196126-0690";#N/A,#N/A,FALSE,"1961165-0201"}</definedName>
    <definedName name="hav_2" localSheetId="0" hidden="1">{#N/A,#N/A,FALSE,"196126-0690";#N/A,#N/A,FALSE,"196126-0690";#N/A,#N/A,FALSE,"1961165-0201"}</definedName>
    <definedName name="hav_2" hidden="1">{#N/A,#N/A,FALSE,"196126-0690";#N/A,#N/A,FALSE,"196126-0690";#N/A,#N/A,FALSE,"1961165-0201"}</definedName>
    <definedName name="hav_2_1" localSheetId="26" hidden="1">{#N/A,#N/A,FALSE,"196126-0690";#N/A,#N/A,FALSE,"196126-0690";#N/A,#N/A,FALSE,"1961165-0201"}</definedName>
    <definedName name="hav_2_1" localSheetId="0" hidden="1">{#N/A,#N/A,FALSE,"196126-0690";#N/A,#N/A,FALSE,"196126-0690";#N/A,#N/A,FALSE,"1961165-0201"}</definedName>
    <definedName name="hav_2_1" hidden="1">{#N/A,#N/A,FALSE,"196126-0690";#N/A,#N/A,FALSE,"196126-0690";#N/A,#N/A,FALSE,"1961165-0201"}</definedName>
    <definedName name="hav_2_2" localSheetId="26" hidden="1">{#N/A,#N/A,FALSE,"196126-0690";#N/A,#N/A,FALSE,"196126-0690";#N/A,#N/A,FALSE,"1961165-0201"}</definedName>
    <definedName name="hav_2_2" localSheetId="0" hidden="1">{#N/A,#N/A,FALSE,"196126-0690";#N/A,#N/A,FALSE,"196126-0690";#N/A,#N/A,FALSE,"1961165-0201"}</definedName>
    <definedName name="hav_2_2" hidden="1">{#N/A,#N/A,FALSE,"196126-0690";#N/A,#N/A,FALSE,"196126-0690";#N/A,#N/A,FALSE,"1961165-0201"}</definedName>
    <definedName name="hav_3" localSheetId="26" hidden="1">{#N/A,#N/A,FALSE,"196126-0690";#N/A,#N/A,FALSE,"196126-0690";#N/A,#N/A,FALSE,"1961165-0201"}</definedName>
    <definedName name="hav_3" localSheetId="0" hidden="1">{#N/A,#N/A,FALSE,"196126-0690";#N/A,#N/A,FALSE,"196126-0690";#N/A,#N/A,FALSE,"1961165-0201"}</definedName>
    <definedName name="hav_3" hidden="1">{#N/A,#N/A,FALSE,"196126-0690";#N/A,#N/A,FALSE,"196126-0690";#N/A,#N/A,FALSE,"1961165-0201"}</definedName>
    <definedName name="hav_4" localSheetId="26" hidden="1">{#N/A,#N/A,FALSE,"196126-0690";#N/A,#N/A,FALSE,"196126-0690";#N/A,#N/A,FALSE,"1961165-0201"}</definedName>
    <definedName name="hav_4" localSheetId="0" hidden="1">{#N/A,#N/A,FALSE,"196126-0690";#N/A,#N/A,FALSE,"196126-0690";#N/A,#N/A,FALSE,"1961165-0201"}</definedName>
    <definedName name="hav_4" hidden="1">{#N/A,#N/A,FALSE,"196126-0690";#N/A,#N/A,FALSE,"196126-0690";#N/A,#N/A,FALSE,"1961165-0201"}</definedName>
    <definedName name="hav_5" localSheetId="26" hidden="1">{#N/A,#N/A,FALSE,"196126-0690";#N/A,#N/A,FALSE,"196126-0690";#N/A,#N/A,FALSE,"1961165-0201"}</definedName>
    <definedName name="hav_5" localSheetId="0" hidden="1">{#N/A,#N/A,FALSE,"196126-0690";#N/A,#N/A,FALSE,"196126-0690";#N/A,#N/A,FALSE,"1961165-0201"}</definedName>
    <definedName name="hav_5" hidden="1">{#N/A,#N/A,FALSE,"196126-0690";#N/A,#N/A,FALSE,"196126-0690";#N/A,#N/A,FALSE,"1961165-0201"}</definedName>
    <definedName name="HHHHH" localSheetId="26" hidden="1">{#N/A,#N/A,FALSE,"단축1";#N/A,#N/A,FALSE,"단축2";#N/A,#N/A,FALSE,"단축3";#N/A,#N/A,FALSE,"장축";#N/A,#N/A,FALSE,"4WD"}</definedName>
    <definedName name="HHHHH" localSheetId="0" hidden="1">{#N/A,#N/A,FALSE,"단축1";#N/A,#N/A,FALSE,"단축2";#N/A,#N/A,FALSE,"단축3";#N/A,#N/A,FALSE,"장축";#N/A,#N/A,FALSE,"4WD"}</definedName>
    <definedName name="HHHHH" hidden="1">{#N/A,#N/A,FALSE,"단축1";#N/A,#N/A,FALSE,"단축2";#N/A,#N/A,FALSE,"단축3";#N/A,#N/A,FALSE,"장축";#N/A,#N/A,FALSE,"4WD"}</definedName>
    <definedName name="HHHHH_1" localSheetId="26" hidden="1">{#N/A,#N/A,FALSE,"단축1";#N/A,#N/A,FALSE,"단축2";#N/A,#N/A,FALSE,"단축3";#N/A,#N/A,FALSE,"장축";#N/A,#N/A,FALSE,"4WD"}</definedName>
    <definedName name="HHHHH_1" localSheetId="0" hidden="1">{#N/A,#N/A,FALSE,"단축1";#N/A,#N/A,FALSE,"단축2";#N/A,#N/A,FALSE,"단축3";#N/A,#N/A,FALSE,"장축";#N/A,#N/A,FALSE,"4WD"}</definedName>
    <definedName name="HHHHH_1" hidden="1">{#N/A,#N/A,FALSE,"단축1";#N/A,#N/A,FALSE,"단축2";#N/A,#N/A,FALSE,"단축3";#N/A,#N/A,FALSE,"장축";#N/A,#N/A,FALSE,"4WD"}</definedName>
    <definedName name="HHHHH_1_1" localSheetId="26" hidden="1">{#N/A,#N/A,FALSE,"단축1";#N/A,#N/A,FALSE,"단축2";#N/A,#N/A,FALSE,"단축3";#N/A,#N/A,FALSE,"장축";#N/A,#N/A,FALSE,"4WD"}</definedName>
    <definedName name="HHHHH_1_1" localSheetId="0" hidden="1">{#N/A,#N/A,FALSE,"단축1";#N/A,#N/A,FALSE,"단축2";#N/A,#N/A,FALSE,"단축3";#N/A,#N/A,FALSE,"장축";#N/A,#N/A,FALSE,"4WD"}</definedName>
    <definedName name="HHHHH_1_1" hidden="1">{#N/A,#N/A,FALSE,"단축1";#N/A,#N/A,FALSE,"단축2";#N/A,#N/A,FALSE,"단축3";#N/A,#N/A,FALSE,"장축";#N/A,#N/A,FALSE,"4WD"}</definedName>
    <definedName name="HHHHH_1_2" localSheetId="26" hidden="1">{#N/A,#N/A,FALSE,"단축1";#N/A,#N/A,FALSE,"단축2";#N/A,#N/A,FALSE,"단축3";#N/A,#N/A,FALSE,"장축";#N/A,#N/A,FALSE,"4WD"}</definedName>
    <definedName name="HHHHH_1_2" localSheetId="0" hidden="1">{#N/A,#N/A,FALSE,"단축1";#N/A,#N/A,FALSE,"단축2";#N/A,#N/A,FALSE,"단축3";#N/A,#N/A,FALSE,"장축";#N/A,#N/A,FALSE,"4WD"}</definedName>
    <definedName name="HHHHH_1_2" hidden="1">{#N/A,#N/A,FALSE,"단축1";#N/A,#N/A,FALSE,"단축2";#N/A,#N/A,FALSE,"단축3";#N/A,#N/A,FALSE,"장축";#N/A,#N/A,FALSE,"4WD"}</definedName>
    <definedName name="HHHHH_1_3" localSheetId="26" hidden="1">{#N/A,#N/A,FALSE,"단축1";#N/A,#N/A,FALSE,"단축2";#N/A,#N/A,FALSE,"단축3";#N/A,#N/A,FALSE,"장축";#N/A,#N/A,FALSE,"4WD"}</definedName>
    <definedName name="HHHHH_1_3" localSheetId="0" hidden="1">{#N/A,#N/A,FALSE,"단축1";#N/A,#N/A,FALSE,"단축2";#N/A,#N/A,FALSE,"단축3";#N/A,#N/A,FALSE,"장축";#N/A,#N/A,FALSE,"4WD"}</definedName>
    <definedName name="HHHHH_1_3" hidden="1">{#N/A,#N/A,FALSE,"단축1";#N/A,#N/A,FALSE,"단축2";#N/A,#N/A,FALSE,"단축3";#N/A,#N/A,FALSE,"장축";#N/A,#N/A,FALSE,"4WD"}</definedName>
    <definedName name="HHHHH_2" localSheetId="26" hidden="1">{#N/A,#N/A,FALSE,"단축1";#N/A,#N/A,FALSE,"단축2";#N/A,#N/A,FALSE,"단축3";#N/A,#N/A,FALSE,"장축";#N/A,#N/A,FALSE,"4WD"}</definedName>
    <definedName name="HHHHH_2" localSheetId="0" hidden="1">{#N/A,#N/A,FALSE,"단축1";#N/A,#N/A,FALSE,"단축2";#N/A,#N/A,FALSE,"단축3";#N/A,#N/A,FALSE,"장축";#N/A,#N/A,FALSE,"4WD"}</definedName>
    <definedName name="HHHHH_2" hidden="1">{#N/A,#N/A,FALSE,"단축1";#N/A,#N/A,FALSE,"단축2";#N/A,#N/A,FALSE,"단축3";#N/A,#N/A,FALSE,"장축";#N/A,#N/A,FALSE,"4WD"}</definedName>
    <definedName name="HHHHH_2_1" localSheetId="26" hidden="1">{#N/A,#N/A,FALSE,"단축1";#N/A,#N/A,FALSE,"단축2";#N/A,#N/A,FALSE,"단축3";#N/A,#N/A,FALSE,"장축";#N/A,#N/A,FALSE,"4WD"}</definedName>
    <definedName name="HHHHH_2_1" localSheetId="0" hidden="1">{#N/A,#N/A,FALSE,"단축1";#N/A,#N/A,FALSE,"단축2";#N/A,#N/A,FALSE,"단축3";#N/A,#N/A,FALSE,"장축";#N/A,#N/A,FALSE,"4WD"}</definedName>
    <definedName name="HHHHH_2_1" hidden="1">{#N/A,#N/A,FALSE,"단축1";#N/A,#N/A,FALSE,"단축2";#N/A,#N/A,FALSE,"단축3";#N/A,#N/A,FALSE,"장축";#N/A,#N/A,FALSE,"4WD"}</definedName>
    <definedName name="HHHHH_2_2" localSheetId="26" hidden="1">{#N/A,#N/A,FALSE,"단축1";#N/A,#N/A,FALSE,"단축2";#N/A,#N/A,FALSE,"단축3";#N/A,#N/A,FALSE,"장축";#N/A,#N/A,FALSE,"4WD"}</definedName>
    <definedName name="HHHHH_2_2" localSheetId="0" hidden="1">{#N/A,#N/A,FALSE,"단축1";#N/A,#N/A,FALSE,"단축2";#N/A,#N/A,FALSE,"단축3";#N/A,#N/A,FALSE,"장축";#N/A,#N/A,FALSE,"4WD"}</definedName>
    <definedName name="HHHHH_2_2" hidden="1">{#N/A,#N/A,FALSE,"단축1";#N/A,#N/A,FALSE,"단축2";#N/A,#N/A,FALSE,"단축3";#N/A,#N/A,FALSE,"장축";#N/A,#N/A,FALSE,"4WD"}</definedName>
    <definedName name="HHHHH_3" localSheetId="26" hidden="1">{#N/A,#N/A,FALSE,"단축1";#N/A,#N/A,FALSE,"단축2";#N/A,#N/A,FALSE,"단축3";#N/A,#N/A,FALSE,"장축";#N/A,#N/A,FALSE,"4WD"}</definedName>
    <definedName name="HHHHH_3" localSheetId="0" hidden="1">{#N/A,#N/A,FALSE,"단축1";#N/A,#N/A,FALSE,"단축2";#N/A,#N/A,FALSE,"단축3";#N/A,#N/A,FALSE,"장축";#N/A,#N/A,FALSE,"4WD"}</definedName>
    <definedName name="HHHHH_3" hidden="1">{#N/A,#N/A,FALSE,"단축1";#N/A,#N/A,FALSE,"단축2";#N/A,#N/A,FALSE,"단축3";#N/A,#N/A,FALSE,"장축";#N/A,#N/A,FALSE,"4WD"}</definedName>
    <definedName name="HHHHH_4" localSheetId="26" hidden="1">{#N/A,#N/A,FALSE,"단축1";#N/A,#N/A,FALSE,"단축2";#N/A,#N/A,FALSE,"단축3";#N/A,#N/A,FALSE,"장축";#N/A,#N/A,FALSE,"4WD"}</definedName>
    <definedName name="HHHHH_4" localSheetId="0" hidden="1">{#N/A,#N/A,FALSE,"단축1";#N/A,#N/A,FALSE,"단축2";#N/A,#N/A,FALSE,"단축3";#N/A,#N/A,FALSE,"장축";#N/A,#N/A,FALSE,"4WD"}</definedName>
    <definedName name="HHHHH_4" hidden="1">{#N/A,#N/A,FALSE,"단축1";#N/A,#N/A,FALSE,"단축2";#N/A,#N/A,FALSE,"단축3";#N/A,#N/A,FALSE,"장축";#N/A,#N/A,FALSE,"4WD"}</definedName>
    <definedName name="HHHHH_5" localSheetId="26" hidden="1">{#N/A,#N/A,FALSE,"단축1";#N/A,#N/A,FALSE,"단축2";#N/A,#N/A,FALSE,"단축3";#N/A,#N/A,FALSE,"장축";#N/A,#N/A,FALSE,"4WD"}</definedName>
    <definedName name="HHHHH_5" localSheetId="0" hidden="1">{#N/A,#N/A,FALSE,"단축1";#N/A,#N/A,FALSE,"단축2";#N/A,#N/A,FALSE,"단축3";#N/A,#N/A,FALSE,"장축";#N/A,#N/A,FALSE,"4WD"}</definedName>
    <definedName name="HHHHH_5" hidden="1">{#N/A,#N/A,FALSE,"단축1";#N/A,#N/A,FALSE,"단축2";#N/A,#N/A,FALSE,"단축3";#N/A,#N/A,FALSE,"장축";#N/A,#N/A,FALSE,"4WD"}</definedName>
    <definedName name="HHHHHHHHHH" localSheetId="26" hidden="1">{#N/A,#N/A,FALSE,"단축1";#N/A,#N/A,FALSE,"단축2";#N/A,#N/A,FALSE,"단축3";#N/A,#N/A,FALSE,"장축";#N/A,#N/A,FALSE,"4WD"}</definedName>
    <definedName name="HHHHHHHHHH" localSheetId="0" hidden="1">{#N/A,#N/A,FALSE,"단축1";#N/A,#N/A,FALSE,"단축2";#N/A,#N/A,FALSE,"단축3";#N/A,#N/A,FALSE,"장축";#N/A,#N/A,FALSE,"4WD"}</definedName>
    <definedName name="HHHHHHHHHH" hidden="1">{#N/A,#N/A,FALSE,"단축1";#N/A,#N/A,FALSE,"단축2";#N/A,#N/A,FALSE,"단축3";#N/A,#N/A,FALSE,"장축";#N/A,#N/A,FALSE,"4WD"}</definedName>
    <definedName name="HHHHHHHHHH_1" localSheetId="26" hidden="1">{#N/A,#N/A,FALSE,"단축1";#N/A,#N/A,FALSE,"단축2";#N/A,#N/A,FALSE,"단축3";#N/A,#N/A,FALSE,"장축";#N/A,#N/A,FALSE,"4WD"}</definedName>
    <definedName name="HHHHHHHHHH_1" localSheetId="0" hidden="1">{#N/A,#N/A,FALSE,"단축1";#N/A,#N/A,FALSE,"단축2";#N/A,#N/A,FALSE,"단축3";#N/A,#N/A,FALSE,"장축";#N/A,#N/A,FALSE,"4WD"}</definedName>
    <definedName name="HHHHHHHHHH_1" hidden="1">{#N/A,#N/A,FALSE,"단축1";#N/A,#N/A,FALSE,"단축2";#N/A,#N/A,FALSE,"단축3";#N/A,#N/A,FALSE,"장축";#N/A,#N/A,FALSE,"4WD"}</definedName>
    <definedName name="HHHHHHHHHH_1_1" localSheetId="26" hidden="1">{#N/A,#N/A,FALSE,"단축1";#N/A,#N/A,FALSE,"단축2";#N/A,#N/A,FALSE,"단축3";#N/A,#N/A,FALSE,"장축";#N/A,#N/A,FALSE,"4WD"}</definedName>
    <definedName name="HHHHHHHHHH_1_1" localSheetId="0" hidden="1">{#N/A,#N/A,FALSE,"단축1";#N/A,#N/A,FALSE,"단축2";#N/A,#N/A,FALSE,"단축3";#N/A,#N/A,FALSE,"장축";#N/A,#N/A,FALSE,"4WD"}</definedName>
    <definedName name="HHHHHHHHHH_1_1" hidden="1">{#N/A,#N/A,FALSE,"단축1";#N/A,#N/A,FALSE,"단축2";#N/A,#N/A,FALSE,"단축3";#N/A,#N/A,FALSE,"장축";#N/A,#N/A,FALSE,"4WD"}</definedName>
    <definedName name="HHHHHHHHHH_1_2" localSheetId="26" hidden="1">{#N/A,#N/A,FALSE,"단축1";#N/A,#N/A,FALSE,"단축2";#N/A,#N/A,FALSE,"단축3";#N/A,#N/A,FALSE,"장축";#N/A,#N/A,FALSE,"4WD"}</definedName>
    <definedName name="HHHHHHHHHH_1_2" localSheetId="0" hidden="1">{#N/A,#N/A,FALSE,"단축1";#N/A,#N/A,FALSE,"단축2";#N/A,#N/A,FALSE,"단축3";#N/A,#N/A,FALSE,"장축";#N/A,#N/A,FALSE,"4WD"}</definedName>
    <definedName name="HHHHHHHHHH_1_2" hidden="1">{#N/A,#N/A,FALSE,"단축1";#N/A,#N/A,FALSE,"단축2";#N/A,#N/A,FALSE,"단축3";#N/A,#N/A,FALSE,"장축";#N/A,#N/A,FALSE,"4WD"}</definedName>
    <definedName name="HHHHHHHHHH_1_3" localSheetId="26" hidden="1">{#N/A,#N/A,FALSE,"단축1";#N/A,#N/A,FALSE,"단축2";#N/A,#N/A,FALSE,"단축3";#N/A,#N/A,FALSE,"장축";#N/A,#N/A,FALSE,"4WD"}</definedName>
    <definedName name="HHHHHHHHHH_1_3" localSheetId="0" hidden="1">{#N/A,#N/A,FALSE,"단축1";#N/A,#N/A,FALSE,"단축2";#N/A,#N/A,FALSE,"단축3";#N/A,#N/A,FALSE,"장축";#N/A,#N/A,FALSE,"4WD"}</definedName>
    <definedName name="HHHHHHHHHH_1_3" hidden="1">{#N/A,#N/A,FALSE,"단축1";#N/A,#N/A,FALSE,"단축2";#N/A,#N/A,FALSE,"단축3";#N/A,#N/A,FALSE,"장축";#N/A,#N/A,FALSE,"4WD"}</definedName>
    <definedName name="HHHHHHHHHH_2" localSheetId="26" hidden="1">{#N/A,#N/A,FALSE,"단축1";#N/A,#N/A,FALSE,"단축2";#N/A,#N/A,FALSE,"단축3";#N/A,#N/A,FALSE,"장축";#N/A,#N/A,FALSE,"4WD"}</definedName>
    <definedName name="HHHHHHHHHH_2" localSheetId="0" hidden="1">{#N/A,#N/A,FALSE,"단축1";#N/A,#N/A,FALSE,"단축2";#N/A,#N/A,FALSE,"단축3";#N/A,#N/A,FALSE,"장축";#N/A,#N/A,FALSE,"4WD"}</definedName>
    <definedName name="HHHHHHHHHH_2" hidden="1">{#N/A,#N/A,FALSE,"단축1";#N/A,#N/A,FALSE,"단축2";#N/A,#N/A,FALSE,"단축3";#N/A,#N/A,FALSE,"장축";#N/A,#N/A,FALSE,"4WD"}</definedName>
    <definedName name="HHHHHHHHHH_2_1" localSheetId="26" hidden="1">{#N/A,#N/A,FALSE,"단축1";#N/A,#N/A,FALSE,"단축2";#N/A,#N/A,FALSE,"단축3";#N/A,#N/A,FALSE,"장축";#N/A,#N/A,FALSE,"4WD"}</definedName>
    <definedName name="HHHHHHHHHH_2_1" localSheetId="0" hidden="1">{#N/A,#N/A,FALSE,"단축1";#N/A,#N/A,FALSE,"단축2";#N/A,#N/A,FALSE,"단축3";#N/A,#N/A,FALSE,"장축";#N/A,#N/A,FALSE,"4WD"}</definedName>
    <definedName name="HHHHHHHHHH_2_1" hidden="1">{#N/A,#N/A,FALSE,"단축1";#N/A,#N/A,FALSE,"단축2";#N/A,#N/A,FALSE,"단축3";#N/A,#N/A,FALSE,"장축";#N/A,#N/A,FALSE,"4WD"}</definedName>
    <definedName name="HHHHHHHHHH_2_2" localSheetId="26" hidden="1">{#N/A,#N/A,FALSE,"단축1";#N/A,#N/A,FALSE,"단축2";#N/A,#N/A,FALSE,"단축3";#N/A,#N/A,FALSE,"장축";#N/A,#N/A,FALSE,"4WD"}</definedName>
    <definedName name="HHHHHHHHHH_2_2" localSheetId="0" hidden="1">{#N/A,#N/A,FALSE,"단축1";#N/A,#N/A,FALSE,"단축2";#N/A,#N/A,FALSE,"단축3";#N/A,#N/A,FALSE,"장축";#N/A,#N/A,FALSE,"4WD"}</definedName>
    <definedName name="HHHHHHHHHH_2_2" hidden="1">{#N/A,#N/A,FALSE,"단축1";#N/A,#N/A,FALSE,"단축2";#N/A,#N/A,FALSE,"단축3";#N/A,#N/A,FALSE,"장축";#N/A,#N/A,FALSE,"4WD"}</definedName>
    <definedName name="HHHHHHHHHH_3" localSheetId="26" hidden="1">{#N/A,#N/A,FALSE,"단축1";#N/A,#N/A,FALSE,"단축2";#N/A,#N/A,FALSE,"단축3";#N/A,#N/A,FALSE,"장축";#N/A,#N/A,FALSE,"4WD"}</definedName>
    <definedName name="HHHHHHHHHH_3" localSheetId="0" hidden="1">{#N/A,#N/A,FALSE,"단축1";#N/A,#N/A,FALSE,"단축2";#N/A,#N/A,FALSE,"단축3";#N/A,#N/A,FALSE,"장축";#N/A,#N/A,FALSE,"4WD"}</definedName>
    <definedName name="HHHHHHHHHH_3" hidden="1">{#N/A,#N/A,FALSE,"단축1";#N/A,#N/A,FALSE,"단축2";#N/A,#N/A,FALSE,"단축3";#N/A,#N/A,FALSE,"장축";#N/A,#N/A,FALSE,"4WD"}</definedName>
    <definedName name="HHHHHHHHHH_4" localSheetId="26" hidden="1">{#N/A,#N/A,FALSE,"단축1";#N/A,#N/A,FALSE,"단축2";#N/A,#N/A,FALSE,"단축3";#N/A,#N/A,FALSE,"장축";#N/A,#N/A,FALSE,"4WD"}</definedName>
    <definedName name="HHHHHHHHHH_4" localSheetId="0" hidden="1">{#N/A,#N/A,FALSE,"단축1";#N/A,#N/A,FALSE,"단축2";#N/A,#N/A,FALSE,"단축3";#N/A,#N/A,FALSE,"장축";#N/A,#N/A,FALSE,"4WD"}</definedName>
    <definedName name="HHHHHHHHHH_4" hidden="1">{#N/A,#N/A,FALSE,"단축1";#N/A,#N/A,FALSE,"단축2";#N/A,#N/A,FALSE,"단축3";#N/A,#N/A,FALSE,"장축";#N/A,#N/A,FALSE,"4WD"}</definedName>
    <definedName name="HHHHHHHHHH_5" localSheetId="26" hidden="1">{#N/A,#N/A,FALSE,"단축1";#N/A,#N/A,FALSE,"단축2";#N/A,#N/A,FALSE,"단축3";#N/A,#N/A,FALSE,"장축";#N/A,#N/A,FALSE,"4WD"}</definedName>
    <definedName name="HHHHHHHHHH_5" localSheetId="0" hidden="1">{#N/A,#N/A,FALSE,"단축1";#N/A,#N/A,FALSE,"단축2";#N/A,#N/A,FALSE,"단축3";#N/A,#N/A,FALSE,"장축";#N/A,#N/A,FALSE,"4WD"}</definedName>
    <definedName name="HHHHHHHHHH_5" hidden="1">{#N/A,#N/A,FALSE,"단축1";#N/A,#N/A,FALSE,"단축2";#N/A,#N/A,FALSE,"단축3";#N/A,#N/A,FALSE,"장축";#N/A,#N/A,FALSE,"4WD"}</definedName>
    <definedName name="HTML_CodePage" localSheetId="26" hidden="1">1256</definedName>
    <definedName name="HTML_CodePage" localSheetId="3" hidden="1">1256</definedName>
    <definedName name="HTML_CodePage" localSheetId="0" hidden="1">1256</definedName>
    <definedName name="HTML_CodePage" hidden="1">1252</definedName>
    <definedName name="HTML_Control" localSheetId="22" hidden="1">{"'Verr-enseig-ex'!$M$22:$M$23"}</definedName>
    <definedName name="HTML_Control" localSheetId="26" hidden="1">{"'V.STEEL'!$AK$64:$AK$66"}</definedName>
    <definedName name="HTML_Control" localSheetId="14" hidden="1">{"'Verr-enseig-ex'!$M$22:$M$23"}</definedName>
    <definedName name="HTML_Control" localSheetId="21" hidden="1">{"'V.STEEL'!$AK$64:$AK$66"}</definedName>
    <definedName name="HTML_Control" localSheetId="3" hidden="1">{"'V.STEEL'!$AK$64:$AK$66"}</definedName>
    <definedName name="HTML_Control" localSheetId="29" hidden="1">{"'Verr-enseig-ex'!$M$22:$M$23"}</definedName>
    <definedName name="HTML_Control" localSheetId="28" hidden="1">{"'V.STEEL'!$AK$64:$AK$66"}</definedName>
    <definedName name="HTML_Control" localSheetId="27" hidden="1">{"'V.STEEL'!$AK$64:$AK$66"}</definedName>
    <definedName name="HTML_Control" localSheetId="0" hidden="1">{"'V.STEEL'!$AK$64:$AK$66"}</definedName>
    <definedName name="HTML_Control" hidden="1">{"'Verr-enseig-ex'!$M$22:$M$23"}</definedName>
    <definedName name="HTML_Control_1" localSheetId="26" hidden="1">{"'Verr-enseig-ex'!$M$22:$M$23"}</definedName>
    <definedName name="HTML_Control_1" localSheetId="0" hidden="1">{"'Verr-enseig-ex'!$M$22:$M$23"}</definedName>
    <definedName name="HTML_Control_1" hidden="1">{"'Verr-enseig-ex'!$M$22:$M$23"}</definedName>
    <definedName name="HTML_Control_1_1" localSheetId="26" hidden="1">{"'Verr-enseig-ex'!$M$22:$M$23"}</definedName>
    <definedName name="HTML_Control_1_1" localSheetId="0" hidden="1">{"'Verr-enseig-ex'!$M$22:$M$23"}</definedName>
    <definedName name="HTML_Control_1_1" hidden="1">{"'Verr-enseig-ex'!$M$22:$M$23"}</definedName>
    <definedName name="HTML_Control_1_2" localSheetId="26" hidden="1">{"'Verr-enseig-ex'!$M$22:$M$23"}</definedName>
    <definedName name="HTML_Control_1_2" localSheetId="0" hidden="1">{"'Verr-enseig-ex'!$M$22:$M$23"}</definedName>
    <definedName name="HTML_Control_1_2" hidden="1">{"'Verr-enseig-ex'!$M$22:$M$23"}</definedName>
    <definedName name="HTML_Control_1_3" localSheetId="26" hidden="1">{"'Verr-enseig-ex'!$M$22:$M$23"}</definedName>
    <definedName name="HTML_Control_1_3" localSheetId="0" hidden="1">{"'Verr-enseig-ex'!$M$22:$M$23"}</definedName>
    <definedName name="HTML_Control_1_3" hidden="1">{"'Verr-enseig-ex'!$M$22:$M$23"}</definedName>
    <definedName name="HTML_Control_2" localSheetId="26" hidden="1">{"'Verr-enseig-ex'!$M$22:$M$23"}</definedName>
    <definedName name="HTML_Control_2" localSheetId="0" hidden="1">{"'Verr-enseig-ex'!$M$22:$M$23"}</definedName>
    <definedName name="HTML_Control_2" hidden="1">{"'Verr-enseig-ex'!$M$22:$M$23"}</definedName>
    <definedName name="HTML_Control_2_1" localSheetId="26" hidden="1">{"'Verr-enseig-ex'!$M$22:$M$23"}</definedName>
    <definedName name="HTML_Control_2_1" localSheetId="0" hidden="1">{"'Verr-enseig-ex'!$M$22:$M$23"}</definedName>
    <definedName name="HTML_Control_2_1" hidden="1">{"'Verr-enseig-ex'!$M$22:$M$23"}</definedName>
    <definedName name="HTML_Control_2_2" localSheetId="26" hidden="1">{"'Verr-enseig-ex'!$M$22:$M$23"}</definedName>
    <definedName name="HTML_Control_2_2" localSheetId="0" hidden="1">{"'Verr-enseig-ex'!$M$22:$M$23"}</definedName>
    <definedName name="HTML_Control_2_2" hidden="1">{"'Verr-enseig-ex'!$M$22:$M$23"}</definedName>
    <definedName name="HTML_Control_3" localSheetId="26" hidden="1">{"'Verr-enseig-ex'!$M$22:$M$23"}</definedName>
    <definedName name="HTML_Control_3" localSheetId="0" hidden="1">{"'Verr-enseig-ex'!$M$22:$M$23"}</definedName>
    <definedName name="HTML_Control_3" hidden="1">{"'Verr-enseig-ex'!$M$22:$M$23"}</definedName>
    <definedName name="HTML_Control_4" localSheetId="26" hidden="1">{"'Verr-enseig-ex'!$M$22:$M$23"}</definedName>
    <definedName name="HTML_Control_4" localSheetId="0" hidden="1">{"'Verr-enseig-ex'!$M$22:$M$23"}</definedName>
    <definedName name="HTML_Control_4" hidden="1">{"'Verr-enseig-ex'!$M$22:$M$23"}</definedName>
    <definedName name="HTML_Control_5" localSheetId="26" hidden="1">{"'Verr-enseig-ex'!$M$22:$M$23"}</definedName>
    <definedName name="HTML_Control_5" localSheetId="0" hidden="1">{"'Verr-enseig-ex'!$M$22:$M$23"}</definedName>
    <definedName name="HTML_Control_5" hidden="1">{"'Verr-enseig-ex'!$M$22:$M$23"}</definedName>
    <definedName name="HTML_Description" hidden="1">""</definedName>
    <definedName name="HTML_Email" hidden="1">""</definedName>
    <definedName name="HTML_Header" localSheetId="26" hidden="1">"V.STEEL"</definedName>
    <definedName name="HTML_Header" localSheetId="3" hidden="1">"V.STEEL"</definedName>
    <definedName name="HTML_Header" localSheetId="0" hidden="1">"V.STEEL"</definedName>
    <definedName name="HTML_Header" hidden="1">"Verr-enseig-ex"</definedName>
    <definedName name="HTML_LastUpdate" localSheetId="26" hidden="1">"1/17/00"</definedName>
    <definedName name="HTML_LastUpdate" localSheetId="3" hidden="1">"1/17/00"</definedName>
    <definedName name="HTML_LastUpdate" localSheetId="0" hidden="1">"1/17/00"</definedName>
    <definedName name="HTML_LastUpdate" hidden="1">"28/07/99"</definedName>
    <definedName name="HTML_LineAfter" hidden="1">FALSE</definedName>
    <definedName name="HTML_LineBefore" hidden="1">FALSE</definedName>
    <definedName name="HTML_Name" localSheetId="26" hidden="1">"Pre-installed User"</definedName>
    <definedName name="HTML_Name" localSheetId="3" hidden="1">"Pre-installed User"</definedName>
    <definedName name="HTML_Name" localSheetId="0" hidden="1">"Pre-installed User"</definedName>
    <definedName name="HTML_Name" hidden="1">"Lee H. Troup"</definedName>
    <definedName name="HTML_OBDlg2" hidden="1">TRUE</definedName>
    <definedName name="HTML_OBDlg4" hidden="1">TRUE</definedName>
    <definedName name="HTML_OS" hidden="1">0</definedName>
    <definedName name="HTML_PathFile" localSheetId="26" hidden="1">"\\Kst\c\QA4\SUNIL\rej\MyHTML.htm"</definedName>
    <definedName name="HTML_PathFile" localSheetId="3" hidden="1">"\\Kst\c\QA4\SUNIL\rej\MyHTML.htm"</definedName>
    <definedName name="HTML_PathFile" localSheetId="0" hidden="1">"\\Kst\c\QA4\SUNIL\rej\MyHTML.htm"</definedName>
    <definedName name="HTML_PathFile" hidden="1">"C:\Mes documents\MonHTML.htm"</definedName>
    <definedName name="HTML_Title" localSheetId="26" hidden="1">"V REJ P-19"</definedName>
    <definedName name="HTML_Title" localSheetId="3" hidden="1">"V REJ P-19"</definedName>
    <definedName name="HTML_Title" localSheetId="0" hidden="1">"V REJ P-19"</definedName>
    <definedName name="HTML_Title" hidden="1">"Problem-solving"</definedName>
    <definedName name="HTML1_1" hidden="1">"'[Quadro Macroeconomico.xls]pesi'!$A$1:$E$9"</definedName>
    <definedName name="HTML1_10" hidden="1">""</definedName>
    <definedName name="HTML1_11" hidden="1">1</definedName>
    <definedName name="HTML1_12" hidden="1">"C:\pubblica\Quadromacroeconomico\Tabelle\pippo.htm"</definedName>
    <definedName name="HTML1_2" hidden="1">1</definedName>
    <definedName name="HTML1_3" hidden="1">"Quadro Macroeconomico"</definedName>
    <definedName name="HTML1_4" hidden="1">"pesi"</definedName>
    <definedName name="HTML1_5" hidden="1">""</definedName>
    <definedName name="HTML1_6" hidden="1">-4146</definedName>
    <definedName name="HTML1_7" hidden="1">-4146</definedName>
    <definedName name="HTML1_8" hidden="1">"02/07/96"</definedName>
    <definedName name="HTML1_9" hidden="1">"Giorgio Poli"</definedName>
    <definedName name="HTMLCount" hidden="1">1</definedName>
    <definedName name="ic" localSheetId="26" hidden="1">{#N/A,#N/A,FALSE,"단축1";#N/A,#N/A,FALSE,"단축2";#N/A,#N/A,FALSE,"단축3";#N/A,#N/A,FALSE,"장축";#N/A,#N/A,FALSE,"4WD"}</definedName>
    <definedName name="ic" localSheetId="0" hidden="1">{#N/A,#N/A,FALSE,"단축1";#N/A,#N/A,FALSE,"단축2";#N/A,#N/A,FALSE,"단축3";#N/A,#N/A,FALSE,"장축";#N/A,#N/A,FALSE,"4WD"}</definedName>
    <definedName name="ic" hidden="1">{#N/A,#N/A,FALSE,"단축1";#N/A,#N/A,FALSE,"단축2";#N/A,#N/A,FALSE,"단축3";#N/A,#N/A,FALSE,"장축";#N/A,#N/A,FALSE,"4WD"}</definedName>
    <definedName name="ic_1" localSheetId="26" hidden="1">{#N/A,#N/A,FALSE,"단축1";#N/A,#N/A,FALSE,"단축2";#N/A,#N/A,FALSE,"단축3";#N/A,#N/A,FALSE,"장축";#N/A,#N/A,FALSE,"4WD"}</definedName>
    <definedName name="ic_1" localSheetId="0" hidden="1">{#N/A,#N/A,FALSE,"단축1";#N/A,#N/A,FALSE,"단축2";#N/A,#N/A,FALSE,"단축3";#N/A,#N/A,FALSE,"장축";#N/A,#N/A,FALSE,"4WD"}</definedName>
    <definedName name="ic_1" hidden="1">{#N/A,#N/A,FALSE,"단축1";#N/A,#N/A,FALSE,"단축2";#N/A,#N/A,FALSE,"단축3";#N/A,#N/A,FALSE,"장축";#N/A,#N/A,FALSE,"4WD"}</definedName>
    <definedName name="ic_1_1" localSheetId="26" hidden="1">{#N/A,#N/A,FALSE,"단축1";#N/A,#N/A,FALSE,"단축2";#N/A,#N/A,FALSE,"단축3";#N/A,#N/A,FALSE,"장축";#N/A,#N/A,FALSE,"4WD"}</definedName>
    <definedName name="ic_1_1" localSheetId="0" hidden="1">{#N/A,#N/A,FALSE,"단축1";#N/A,#N/A,FALSE,"단축2";#N/A,#N/A,FALSE,"단축3";#N/A,#N/A,FALSE,"장축";#N/A,#N/A,FALSE,"4WD"}</definedName>
    <definedName name="ic_1_1" hidden="1">{#N/A,#N/A,FALSE,"단축1";#N/A,#N/A,FALSE,"단축2";#N/A,#N/A,FALSE,"단축3";#N/A,#N/A,FALSE,"장축";#N/A,#N/A,FALSE,"4WD"}</definedName>
    <definedName name="ic_1_2" localSheetId="26" hidden="1">{#N/A,#N/A,FALSE,"단축1";#N/A,#N/A,FALSE,"단축2";#N/A,#N/A,FALSE,"단축3";#N/A,#N/A,FALSE,"장축";#N/A,#N/A,FALSE,"4WD"}</definedName>
    <definedName name="ic_1_2" localSheetId="0" hidden="1">{#N/A,#N/A,FALSE,"단축1";#N/A,#N/A,FALSE,"단축2";#N/A,#N/A,FALSE,"단축3";#N/A,#N/A,FALSE,"장축";#N/A,#N/A,FALSE,"4WD"}</definedName>
    <definedName name="ic_1_2" hidden="1">{#N/A,#N/A,FALSE,"단축1";#N/A,#N/A,FALSE,"단축2";#N/A,#N/A,FALSE,"단축3";#N/A,#N/A,FALSE,"장축";#N/A,#N/A,FALSE,"4WD"}</definedName>
    <definedName name="ic_1_3" localSheetId="26" hidden="1">{#N/A,#N/A,FALSE,"단축1";#N/A,#N/A,FALSE,"단축2";#N/A,#N/A,FALSE,"단축3";#N/A,#N/A,FALSE,"장축";#N/A,#N/A,FALSE,"4WD"}</definedName>
    <definedName name="ic_1_3" localSheetId="0" hidden="1">{#N/A,#N/A,FALSE,"단축1";#N/A,#N/A,FALSE,"단축2";#N/A,#N/A,FALSE,"단축3";#N/A,#N/A,FALSE,"장축";#N/A,#N/A,FALSE,"4WD"}</definedName>
    <definedName name="ic_1_3" hidden="1">{#N/A,#N/A,FALSE,"단축1";#N/A,#N/A,FALSE,"단축2";#N/A,#N/A,FALSE,"단축3";#N/A,#N/A,FALSE,"장축";#N/A,#N/A,FALSE,"4WD"}</definedName>
    <definedName name="ic_2" localSheetId="26" hidden="1">{#N/A,#N/A,FALSE,"단축1";#N/A,#N/A,FALSE,"단축2";#N/A,#N/A,FALSE,"단축3";#N/A,#N/A,FALSE,"장축";#N/A,#N/A,FALSE,"4WD"}</definedName>
    <definedName name="ic_2" localSheetId="0" hidden="1">{#N/A,#N/A,FALSE,"단축1";#N/A,#N/A,FALSE,"단축2";#N/A,#N/A,FALSE,"단축3";#N/A,#N/A,FALSE,"장축";#N/A,#N/A,FALSE,"4WD"}</definedName>
    <definedName name="ic_2" hidden="1">{#N/A,#N/A,FALSE,"단축1";#N/A,#N/A,FALSE,"단축2";#N/A,#N/A,FALSE,"단축3";#N/A,#N/A,FALSE,"장축";#N/A,#N/A,FALSE,"4WD"}</definedName>
    <definedName name="ic_2_1" localSheetId="26" hidden="1">{#N/A,#N/A,FALSE,"단축1";#N/A,#N/A,FALSE,"단축2";#N/A,#N/A,FALSE,"단축3";#N/A,#N/A,FALSE,"장축";#N/A,#N/A,FALSE,"4WD"}</definedName>
    <definedName name="ic_2_1" localSheetId="0" hidden="1">{#N/A,#N/A,FALSE,"단축1";#N/A,#N/A,FALSE,"단축2";#N/A,#N/A,FALSE,"단축3";#N/A,#N/A,FALSE,"장축";#N/A,#N/A,FALSE,"4WD"}</definedName>
    <definedName name="ic_2_1" hidden="1">{#N/A,#N/A,FALSE,"단축1";#N/A,#N/A,FALSE,"단축2";#N/A,#N/A,FALSE,"단축3";#N/A,#N/A,FALSE,"장축";#N/A,#N/A,FALSE,"4WD"}</definedName>
    <definedName name="ic_2_2" localSheetId="26" hidden="1">{#N/A,#N/A,FALSE,"단축1";#N/A,#N/A,FALSE,"단축2";#N/A,#N/A,FALSE,"단축3";#N/A,#N/A,FALSE,"장축";#N/A,#N/A,FALSE,"4WD"}</definedName>
    <definedName name="ic_2_2" localSheetId="0" hidden="1">{#N/A,#N/A,FALSE,"단축1";#N/A,#N/A,FALSE,"단축2";#N/A,#N/A,FALSE,"단축3";#N/A,#N/A,FALSE,"장축";#N/A,#N/A,FALSE,"4WD"}</definedName>
    <definedName name="ic_2_2" hidden="1">{#N/A,#N/A,FALSE,"단축1";#N/A,#N/A,FALSE,"단축2";#N/A,#N/A,FALSE,"단축3";#N/A,#N/A,FALSE,"장축";#N/A,#N/A,FALSE,"4WD"}</definedName>
    <definedName name="ic_3" localSheetId="26" hidden="1">{#N/A,#N/A,FALSE,"단축1";#N/A,#N/A,FALSE,"단축2";#N/A,#N/A,FALSE,"단축3";#N/A,#N/A,FALSE,"장축";#N/A,#N/A,FALSE,"4WD"}</definedName>
    <definedName name="ic_3" localSheetId="0" hidden="1">{#N/A,#N/A,FALSE,"단축1";#N/A,#N/A,FALSE,"단축2";#N/A,#N/A,FALSE,"단축3";#N/A,#N/A,FALSE,"장축";#N/A,#N/A,FALSE,"4WD"}</definedName>
    <definedName name="ic_3" hidden="1">{#N/A,#N/A,FALSE,"단축1";#N/A,#N/A,FALSE,"단축2";#N/A,#N/A,FALSE,"단축3";#N/A,#N/A,FALSE,"장축";#N/A,#N/A,FALSE,"4WD"}</definedName>
    <definedName name="ic_4" localSheetId="26" hidden="1">{#N/A,#N/A,FALSE,"단축1";#N/A,#N/A,FALSE,"단축2";#N/A,#N/A,FALSE,"단축3";#N/A,#N/A,FALSE,"장축";#N/A,#N/A,FALSE,"4WD"}</definedName>
    <definedName name="ic_4" localSheetId="0" hidden="1">{#N/A,#N/A,FALSE,"단축1";#N/A,#N/A,FALSE,"단축2";#N/A,#N/A,FALSE,"단축3";#N/A,#N/A,FALSE,"장축";#N/A,#N/A,FALSE,"4WD"}</definedName>
    <definedName name="ic_4" hidden="1">{#N/A,#N/A,FALSE,"단축1";#N/A,#N/A,FALSE,"단축2";#N/A,#N/A,FALSE,"단축3";#N/A,#N/A,FALSE,"장축";#N/A,#N/A,FALSE,"4WD"}</definedName>
    <definedName name="ic_5" localSheetId="26" hidden="1">{#N/A,#N/A,FALSE,"단축1";#N/A,#N/A,FALSE,"단축2";#N/A,#N/A,FALSE,"단축3";#N/A,#N/A,FALSE,"장축";#N/A,#N/A,FALSE,"4WD"}</definedName>
    <definedName name="ic_5" localSheetId="0" hidden="1">{#N/A,#N/A,FALSE,"단축1";#N/A,#N/A,FALSE,"단축2";#N/A,#N/A,FALSE,"단축3";#N/A,#N/A,FALSE,"장축";#N/A,#N/A,FALSE,"4WD"}</definedName>
    <definedName name="ic_5" hidden="1">{#N/A,#N/A,FALSE,"단축1";#N/A,#N/A,FALSE,"단축2";#N/A,#N/A,FALSE,"단축3";#N/A,#N/A,FALSE,"장축";#N/A,#N/A,FALSE,"4WD"}</definedName>
    <definedName name="IEPeXToEUR" localSheetId="9" hidden="1">1/EUReXToIEP</definedName>
    <definedName name="IEPeXToEUR" localSheetId="1" hidden="1">1/EUReXToIEP</definedName>
    <definedName name="IEPeXToEUR" localSheetId="26" hidden="1">1/EUReXToIEP</definedName>
    <definedName name="IEPeXToEUR" localSheetId="21" hidden="1">1/EUReXToIEP</definedName>
    <definedName name="IEPeXToEUR" localSheetId="3" hidden="1">1/EUReXToIEP</definedName>
    <definedName name="IEPeXToEUR" localSheetId="28" hidden="1">1/EUReXToIEP</definedName>
    <definedName name="IEPeXToEUR" localSheetId="27" hidden="1">1/EUReXToIEP</definedName>
    <definedName name="IEPeXToEUR" localSheetId="0" hidden="1">1/EUReXToIEP</definedName>
    <definedName name="IEPeXToEUR" hidden="1">1/EUReXToIEP</definedName>
    <definedName name="IIII" localSheetId="26" hidden="1">{#N/A,#N/A,FALSE,"단축1";#N/A,#N/A,FALSE,"단축2";#N/A,#N/A,FALSE,"단축3";#N/A,#N/A,FALSE,"장축";#N/A,#N/A,FALSE,"4WD"}</definedName>
    <definedName name="IIII" localSheetId="0" hidden="1">{#N/A,#N/A,FALSE,"단축1";#N/A,#N/A,FALSE,"단축2";#N/A,#N/A,FALSE,"단축3";#N/A,#N/A,FALSE,"장축";#N/A,#N/A,FALSE,"4WD"}</definedName>
    <definedName name="IIII" hidden="1">{#N/A,#N/A,FALSE,"단축1";#N/A,#N/A,FALSE,"단축2";#N/A,#N/A,FALSE,"단축3";#N/A,#N/A,FALSE,"장축";#N/A,#N/A,FALSE,"4WD"}</definedName>
    <definedName name="IIII_1" localSheetId="26" hidden="1">{#N/A,#N/A,FALSE,"단축1";#N/A,#N/A,FALSE,"단축2";#N/A,#N/A,FALSE,"단축3";#N/A,#N/A,FALSE,"장축";#N/A,#N/A,FALSE,"4WD"}</definedName>
    <definedName name="IIII_1" localSheetId="0" hidden="1">{#N/A,#N/A,FALSE,"단축1";#N/A,#N/A,FALSE,"단축2";#N/A,#N/A,FALSE,"단축3";#N/A,#N/A,FALSE,"장축";#N/A,#N/A,FALSE,"4WD"}</definedName>
    <definedName name="IIII_1" hidden="1">{#N/A,#N/A,FALSE,"단축1";#N/A,#N/A,FALSE,"단축2";#N/A,#N/A,FALSE,"단축3";#N/A,#N/A,FALSE,"장축";#N/A,#N/A,FALSE,"4WD"}</definedName>
    <definedName name="IIII_1_1" localSheetId="26" hidden="1">{#N/A,#N/A,FALSE,"단축1";#N/A,#N/A,FALSE,"단축2";#N/A,#N/A,FALSE,"단축3";#N/A,#N/A,FALSE,"장축";#N/A,#N/A,FALSE,"4WD"}</definedName>
    <definedName name="IIII_1_1" localSheetId="0" hidden="1">{#N/A,#N/A,FALSE,"단축1";#N/A,#N/A,FALSE,"단축2";#N/A,#N/A,FALSE,"단축3";#N/A,#N/A,FALSE,"장축";#N/A,#N/A,FALSE,"4WD"}</definedName>
    <definedName name="IIII_1_1" hidden="1">{#N/A,#N/A,FALSE,"단축1";#N/A,#N/A,FALSE,"단축2";#N/A,#N/A,FALSE,"단축3";#N/A,#N/A,FALSE,"장축";#N/A,#N/A,FALSE,"4WD"}</definedName>
    <definedName name="IIII_1_2" localSheetId="26" hidden="1">{#N/A,#N/A,FALSE,"단축1";#N/A,#N/A,FALSE,"단축2";#N/A,#N/A,FALSE,"단축3";#N/A,#N/A,FALSE,"장축";#N/A,#N/A,FALSE,"4WD"}</definedName>
    <definedName name="IIII_1_2" localSheetId="0" hidden="1">{#N/A,#N/A,FALSE,"단축1";#N/A,#N/A,FALSE,"단축2";#N/A,#N/A,FALSE,"단축3";#N/A,#N/A,FALSE,"장축";#N/A,#N/A,FALSE,"4WD"}</definedName>
    <definedName name="IIII_1_2" hidden="1">{#N/A,#N/A,FALSE,"단축1";#N/A,#N/A,FALSE,"단축2";#N/A,#N/A,FALSE,"단축3";#N/A,#N/A,FALSE,"장축";#N/A,#N/A,FALSE,"4WD"}</definedName>
    <definedName name="IIII_1_3" localSheetId="26" hidden="1">{#N/A,#N/A,FALSE,"단축1";#N/A,#N/A,FALSE,"단축2";#N/A,#N/A,FALSE,"단축3";#N/A,#N/A,FALSE,"장축";#N/A,#N/A,FALSE,"4WD"}</definedName>
    <definedName name="IIII_1_3" localSheetId="0" hidden="1">{#N/A,#N/A,FALSE,"단축1";#N/A,#N/A,FALSE,"단축2";#N/A,#N/A,FALSE,"단축3";#N/A,#N/A,FALSE,"장축";#N/A,#N/A,FALSE,"4WD"}</definedName>
    <definedName name="IIII_1_3" hidden="1">{#N/A,#N/A,FALSE,"단축1";#N/A,#N/A,FALSE,"단축2";#N/A,#N/A,FALSE,"단축3";#N/A,#N/A,FALSE,"장축";#N/A,#N/A,FALSE,"4WD"}</definedName>
    <definedName name="IIII_2" localSheetId="26" hidden="1">{#N/A,#N/A,FALSE,"단축1";#N/A,#N/A,FALSE,"단축2";#N/A,#N/A,FALSE,"단축3";#N/A,#N/A,FALSE,"장축";#N/A,#N/A,FALSE,"4WD"}</definedName>
    <definedName name="IIII_2" localSheetId="0" hidden="1">{#N/A,#N/A,FALSE,"단축1";#N/A,#N/A,FALSE,"단축2";#N/A,#N/A,FALSE,"단축3";#N/A,#N/A,FALSE,"장축";#N/A,#N/A,FALSE,"4WD"}</definedName>
    <definedName name="IIII_2" hidden="1">{#N/A,#N/A,FALSE,"단축1";#N/A,#N/A,FALSE,"단축2";#N/A,#N/A,FALSE,"단축3";#N/A,#N/A,FALSE,"장축";#N/A,#N/A,FALSE,"4WD"}</definedName>
    <definedName name="IIII_2_1" localSheetId="26" hidden="1">{#N/A,#N/A,FALSE,"단축1";#N/A,#N/A,FALSE,"단축2";#N/A,#N/A,FALSE,"단축3";#N/A,#N/A,FALSE,"장축";#N/A,#N/A,FALSE,"4WD"}</definedName>
    <definedName name="IIII_2_1" localSheetId="0" hidden="1">{#N/A,#N/A,FALSE,"단축1";#N/A,#N/A,FALSE,"단축2";#N/A,#N/A,FALSE,"단축3";#N/A,#N/A,FALSE,"장축";#N/A,#N/A,FALSE,"4WD"}</definedName>
    <definedName name="IIII_2_1" hidden="1">{#N/A,#N/A,FALSE,"단축1";#N/A,#N/A,FALSE,"단축2";#N/A,#N/A,FALSE,"단축3";#N/A,#N/A,FALSE,"장축";#N/A,#N/A,FALSE,"4WD"}</definedName>
    <definedName name="IIII_2_2" localSheetId="26" hidden="1">{#N/A,#N/A,FALSE,"단축1";#N/A,#N/A,FALSE,"단축2";#N/A,#N/A,FALSE,"단축3";#N/A,#N/A,FALSE,"장축";#N/A,#N/A,FALSE,"4WD"}</definedName>
    <definedName name="IIII_2_2" localSheetId="0" hidden="1">{#N/A,#N/A,FALSE,"단축1";#N/A,#N/A,FALSE,"단축2";#N/A,#N/A,FALSE,"단축3";#N/A,#N/A,FALSE,"장축";#N/A,#N/A,FALSE,"4WD"}</definedName>
    <definedName name="IIII_2_2" hidden="1">{#N/A,#N/A,FALSE,"단축1";#N/A,#N/A,FALSE,"단축2";#N/A,#N/A,FALSE,"단축3";#N/A,#N/A,FALSE,"장축";#N/A,#N/A,FALSE,"4WD"}</definedName>
    <definedName name="IIII_3" localSheetId="26" hidden="1">{#N/A,#N/A,FALSE,"단축1";#N/A,#N/A,FALSE,"단축2";#N/A,#N/A,FALSE,"단축3";#N/A,#N/A,FALSE,"장축";#N/A,#N/A,FALSE,"4WD"}</definedName>
    <definedName name="IIII_3" localSheetId="0" hidden="1">{#N/A,#N/A,FALSE,"단축1";#N/A,#N/A,FALSE,"단축2";#N/A,#N/A,FALSE,"단축3";#N/A,#N/A,FALSE,"장축";#N/A,#N/A,FALSE,"4WD"}</definedName>
    <definedName name="IIII_3" hidden="1">{#N/A,#N/A,FALSE,"단축1";#N/A,#N/A,FALSE,"단축2";#N/A,#N/A,FALSE,"단축3";#N/A,#N/A,FALSE,"장축";#N/A,#N/A,FALSE,"4WD"}</definedName>
    <definedName name="IIII_4" localSheetId="26" hidden="1">{#N/A,#N/A,FALSE,"단축1";#N/A,#N/A,FALSE,"단축2";#N/A,#N/A,FALSE,"단축3";#N/A,#N/A,FALSE,"장축";#N/A,#N/A,FALSE,"4WD"}</definedName>
    <definedName name="IIII_4" localSheetId="0" hidden="1">{#N/A,#N/A,FALSE,"단축1";#N/A,#N/A,FALSE,"단축2";#N/A,#N/A,FALSE,"단축3";#N/A,#N/A,FALSE,"장축";#N/A,#N/A,FALSE,"4WD"}</definedName>
    <definedName name="IIII_4" hidden="1">{#N/A,#N/A,FALSE,"단축1";#N/A,#N/A,FALSE,"단축2";#N/A,#N/A,FALSE,"단축3";#N/A,#N/A,FALSE,"장축";#N/A,#N/A,FALSE,"4WD"}</definedName>
    <definedName name="IIII_5" localSheetId="26" hidden="1">{#N/A,#N/A,FALSE,"단축1";#N/A,#N/A,FALSE,"단축2";#N/A,#N/A,FALSE,"단축3";#N/A,#N/A,FALSE,"장축";#N/A,#N/A,FALSE,"4WD"}</definedName>
    <definedName name="IIII_5" localSheetId="0" hidden="1">{#N/A,#N/A,FALSE,"단축1";#N/A,#N/A,FALSE,"단축2";#N/A,#N/A,FALSE,"단축3";#N/A,#N/A,FALSE,"장축";#N/A,#N/A,FALSE,"4WD"}</definedName>
    <definedName name="IIII_5" hidden="1">{#N/A,#N/A,FALSE,"단축1";#N/A,#N/A,FALSE,"단축2";#N/A,#N/A,FALSE,"단축3";#N/A,#N/A,FALSE,"장축";#N/A,#N/A,FALSE,"4WD"}</definedName>
    <definedName name="ITLeXToEUR" localSheetId="9" hidden="1">1/EUReXToITL</definedName>
    <definedName name="ITLeXToEUR" localSheetId="1" hidden="1">1/EUReXToITL</definedName>
    <definedName name="ITLeXToEUR" localSheetId="26" hidden="1">1/EUReXToITL</definedName>
    <definedName name="ITLeXToEUR" localSheetId="21" hidden="1">1/EUReXToITL</definedName>
    <definedName name="ITLeXToEUR" localSheetId="3" hidden="1">1/EUReXToITL</definedName>
    <definedName name="ITLeXToEUR" localSheetId="28" hidden="1">1/EUReXToITL</definedName>
    <definedName name="ITLeXToEUR" localSheetId="27" hidden="1">1/EUReXToITL</definedName>
    <definedName name="ITLeXToEUR" localSheetId="0" hidden="1">1/EUReXToITL</definedName>
    <definedName name="ITLeXToEUR" hidden="1">1/EUReXToITL</definedName>
    <definedName name="JJ" localSheetId="9" hidden="1">[15]MOTO!#REF!</definedName>
    <definedName name="JJ" localSheetId="1" hidden="1">[15]MOTO!#REF!</definedName>
    <definedName name="JJ" localSheetId="26" hidden="1">[15]MOTO!#REF!</definedName>
    <definedName name="JJ" localSheetId="21" hidden="1">[15]MOTO!#REF!</definedName>
    <definedName name="JJ" localSheetId="3" hidden="1">[15]MOTO!#REF!</definedName>
    <definedName name="JJ" localSheetId="28" hidden="1">[15]MOTO!#REF!</definedName>
    <definedName name="JJ" localSheetId="27" hidden="1">[15]MOTO!#REF!</definedName>
    <definedName name="JJ" localSheetId="0" hidden="1">[15]MOTO!#REF!</definedName>
    <definedName name="JJ" hidden="1">[15]MOTO!#REF!</definedName>
    <definedName name="jjj" localSheetId="26" hidden="1">{#N/A,#N/A,FALSE,"단축1";#N/A,#N/A,FALSE,"단축2";#N/A,#N/A,FALSE,"단축3";#N/A,#N/A,FALSE,"장축";#N/A,#N/A,FALSE,"4WD"}</definedName>
    <definedName name="jjj" localSheetId="0" hidden="1">{#N/A,#N/A,FALSE,"단축1";#N/A,#N/A,FALSE,"단축2";#N/A,#N/A,FALSE,"단축3";#N/A,#N/A,FALSE,"장축";#N/A,#N/A,FALSE,"4WD"}</definedName>
    <definedName name="jjj" hidden="1">{#N/A,#N/A,FALSE,"단축1";#N/A,#N/A,FALSE,"단축2";#N/A,#N/A,FALSE,"단축3";#N/A,#N/A,FALSE,"장축";#N/A,#N/A,FALSE,"4WD"}</definedName>
    <definedName name="jjj_1" localSheetId="26" hidden="1">{#N/A,#N/A,FALSE,"단축1";#N/A,#N/A,FALSE,"단축2";#N/A,#N/A,FALSE,"단축3";#N/A,#N/A,FALSE,"장축";#N/A,#N/A,FALSE,"4WD"}</definedName>
    <definedName name="jjj_1" localSheetId="0" hidden="1">{#N/A,#N/A,FALSE,"단축1";#N/A,#N/A,FALSE,"단축2";#N/A,#N/A,FALSE,"단축3";#N/A,#N/A,FALSE,"장축";#N/A,#N/A,FALSE,"4WD"}</definedName>
    <definedName name="jjj_1" hidden="1">{#N/A,#N/A,FALSE,"단축1";#N/A,#N/A,FALSE,"단축2";#N/A,#N/A,FALSE,"단축3";#N/A,#N/A,FALSE,"장축";#N/A,#N/A,FALSE,"4WD"}</definedName>
    <definedName name="jjj_1_1" localSheetId="26" hidden="1">{#N/A,#N/A,FALSE,"단축1";#N/A,#N/A,FALSE,"단축2";#N/A,#N/A,FALSE,"단축3";#N/A,#N/A,FALSE,"장축";#N/A,#N/A,FALSE,"4WD"}</definedName>
    <definedName name="jjj_1_1" localSheetId="0" hidden="1">{#N/A,#N/A,FALSE,"단축1";#N/A,#N/A,FALSE,"단축2";#N/A,#N/A,FALSE,"단축3";#N/A,#N/A,FALSE,"장축";#N/A,#N/A,FALSE,"4WD"}</definedName>
    <definedName name="jjj_1_1" hidden="1">{#N/A,#N/A,FALSE,"단축1";#N/A,#N/A,FALSE,"단축2";#N/A,#N/A,FALSE,"단축3";#N/A,#N/A,FALSE,"장축";#N/A,#N/A,FALSE,"4WD"}</definedName>
    <definedName name="jjj_1_2" localSheetId="26" hidden="1">{#N/A,#N/A,FALSE,"단축1";#N/A,#N/A,FALSE,"단축2";#N/A,#N/A,FALSE,"단축3";#N/A,#N/A,FALSE,"장축";#N/A,#N/A,FALSE,"4WD"}</definedName>
    <definedName name="jjj_1_2" localSheetId="0" hidden="1">{#N/A,#N/A,FALSE,"단축1";#N/A,#N/A,FALSE,"단축2";#N/A,#N/A,FALSE,"단축3";#N/A,#N/A,FALSE,"장축";#N/A,#N/A,FALSE,"4WD"}</definedName>
    <definedName name="jjj_1_2" hidden="1">{#N/A,#N/A,FALSE,"단축1";#N/A,#N/A,FALSE,"단축2";#N/A,#N/A,FALSE,"단축3";#N/A,#N/A,FALSE,"장축";#N/A,#N/A,FALSE,"4WD"}</definedName>
    <definedName name="jjj_1_3" localSheetId="26" hidden="1">{#N/A,#N/A,FALSE,"단축1";#N/A,#N/A,FALSE,"단축2";#N/A,#N/A,FALSE,"단축3";#N/A,#N/A,FALSE,"장축";#N/A,#N/A,FALSE,"4WD"}</definedName>
    <definedName name="jjj_1_3" localSheetId="0" hidden="1">{#N/A,#N/A,FALSE,"단축1";#N/A,#N/A,FALSE,"단축2";#N/A,#N/A,FALSE,"단축3";#N/A,#N/A,FALSE,"장축";#N/A,#N/A,FALSE,"4WD"}</definedName>
    <definedName name="jjj_1_3" hidden="1">{#N/A,#N/A,FALSE,"단축1";#N/A,#N/A,FALSE,"단축2";#N/A,#N/A,FALSE,"단축3";#N/A,#N/A,FALSE,"장축";#N/A,#N/A,FALSE,"4WD"}</definedName>
    <definedName name="jjj_2" localSheetId="26" hidden="1">{#N/A,#N/A,FALSE,"단축1";#N/A,#N/A,FALSE,"단축2";#N/A,#N/A,FALSE,"단축3";#N/A,#N/A,FALSE,"장축";#N/A,#N/A,FALSE,"4WD"}</definedName>
    <definedName name="jjj_2" localSheetId="0" hidden="1">{#N/A,#N/A,FALSE,"단축1";#N/A,#N/A,FALSE,"단축2";#N/A,#N/A,FALSE,"단축3";#N/A,#N/A,FALSE,"장축";#N/A,#N/A,FALSE,"4WD"}</definedName>
    <definedName name="jjj_2" hidden="1">{#N/A,#N/A,FALSE,"단축1";#N/A,#N/A,FALSE,"단축2";#N/A,#N/A,FALSE,"단축3";#N/A,#N/A,FALSE,"장축";#N/A,#N/A,FALSE,"4WD"}</definedName>
    <definedName name="jjj_2_1" localSheetId="26" hidden="1">{#N/A,#N/A,FALSE,"단축1";#N/A,#N/A,FALSE,"단축2";#N/A,#N/A,FALSE,"단축3";#N/A,#N/A,FALSE,"장축";#N/A,#N/A,FALSE,"4WD"}</definedName>
    <definedName name="jjj_2_1" localSheetId="0" hidden="1">{#N/A,#N/A,FALSE,"단축1";#N/A,#N/A,FALSE,"단축2";#N/A,#N/A,FALSE,"단축3";#N/A,#N/A,FALSE,"장축";#N/A,#N/A,FALSE,"4WD"}</definedName>
    <definedName name="jjj_2_1" hidden="1">{#N/A,#N/A,FALSE,"단축1";#N/A,#N/A,FALSE,"단축2";#N/A,#N/A,FALSE,"단축3";#N/A,#N/A,FALSE,"장축";#N/A,#N/A,FALSE,"4WD"}</definedName>
    <definedName name="jjj_2_2" localSheetId="26" hidden="1">{#N/A,#N/A,FALSE,"단축1";#N/A,#N/A,FALSE,"단축2";#N/A,#N/A,FALSE,"단축3";#N/A,#N/A,FALSE,"장축";#N/A,#N/A,FALSE,"4WD"}</definedName>
    <definedName name="jjj_2_2" localSheetId="0" hidden="1">{#N/A,#N/A,FALSE,"단축1";#N/A,#N/A,FALSE,"단축2";#N/A,#N/A,FALSE,"단축3";#N/A,#N/A,FALSE,"장축";#N/A,#N/A,FALSE,"4WD"}</definedName>
    <definedName name="jjj_2_2" hidden="1">{#N/A,#N/A,FALSE,"단축1";#N/A,#N/A,FALSE,"단축2";#N/A,#N/A,FALSE,"단축3";#N/A,#N/A,FALSE,"장축";#N/A,#N/A,FALSE,"4WD"}</definedName>
    <definedName name="jjj_3" localSheetId="26" hidden="1">{#N/A,#N/A,FALSE,"단축1";#N/A,#N/A,FALSE,"단축2";#N/A,#N/A,FALSE,"단축3";#N/A,#N/A,FALSE,"장축";#N/A,#N/A,FALSE,"4WD"}</definedName>
    <definedName name="jjj_3" localSheetId="0" hidden="1">{#N/A,#N/A,FALSE,"단축1";#N/A,#N/A,FALSE,"단축2";#N/A,#N/A,FALSE,"단축3";#N/A,#N/A,FALSE,"장축";#N/A,#N/A,FALSE,"4WD"}</definedName>
    <definedName name="jjj_3" hidden="1">{#N/A,#N/A,FALSE,"단축1";#N/A,#N/A,FALSE,"단축2";#N/A,#N/A,FALSE,"단축3";#N/A,#N/A,FALSE,"장축";#N/A,#N/A,FALSE,"4WD"}</definedName>
    <definedName name="jjj_4" localSheetId="26" hidden="1">{#N/A,#N/A,FALSE,"단축1";#N/A,#N/A,FALSE,"단축2";#N/A,#N/A,FALSE,"단축3";#N/A,#N/A,FALSE,"장축";#N/A,#N/A,FALSE,"4WD"}</definedName>
    <definedName name="jjj_4" localSheetId="0" hidden="1">{#N/A,#N/A,FALSE,"단축1";#N/A,#N/A,FALSE,"단축2";#N/A,#N/A,FALSE,"단축3";#N/A,#N/A,FALSE,"장축";#N/A,#N/A,FALSE,"4WD"}</definedName>
    <definedName name="jjj_4" hidden="1">{#N/A,#N/A,FALSE,"단축1";#N/A,#N/A,FALSE,"단축2";#N/A,#N/A,FALSE,"단축3";#N/A,#N/A,FALSE,"장축";#N/A,#N/A,FALSE,"4WD"}</definedName>
    <definedName name="jjj_5" localSheetId="26" hidden="1">{#N/A,#N/A,FALSE,"단축1";#N/A,#N/A,FALSE,"단축2";#N/A,#N/A,FALSE,"단축3";#N/A,#N/A,FALSE,"장축";#N/A,#N/A,FALSE,"4WD"}</definedName>
    <definedName name="jjj_5" localSheetId="0" hidden="1">{#N/A,#N/A,FALSE,"단축1";#N/A,#N/A,FALSE,"단축2";#N/A,#N/A,FALSE,"단축3";#N/A,#N/A,FALSE,"장축";#N/A,#N/A,FALSE,"4WD"}</definedName>
    <definedName name="jjj_5" hidden="1">{#N/A,#N/A,FALSE,"단축1";#N/A,#N/A,FALSE,"단축2";#N/A,#N/A,FALSE,"단축3";#N/A,#N/A,FALSE,"장축";#N/A,#N/A,FALSE,"4WD"}</definedName>
    <definedName name="jkjh" localSheetId="26" hidden="1">{#N/A,#N/A,FALSE,"196126-0690";#N/A,#N/A,FALSE,"196126-0690";#N/A,#N/A,FALSE,"1961165-0201"}</definedName>
    <definedName name="jkjh" localSheetId="0" hidden="1">{#N/A,#N/A,FALSE,"196126-0690";#N/A,#N/A,FALSE,"196126-0690";#N/A,#N/A,FALSE,"1961165-0201"}</definedName>
    <definedName name="jkjh" hidden="1">{#N/A,#N/A,FALSE,"196126-0690";#N/A,#N/A,FALSE,"196126-0690";#N/A,#N/A,FALSE,"1961165-0201"}</definedName>
    <definedName name="jkjh_1" localSheetId="26" hidden="1">{#N/A,#N/A,FALSE,"196126-0690";#N/A,#N/A,FALSE,"196126-0690";#N/A,#N/A,FALSE,"1961165-0201"}</definedName>
    <definedName name="jkjh_1" localSheetId="0" hidden="1">{#N/A,#N/A,FALSE,"196126-0690";#N/A,#N/A,FALSE,"196126-0690";#N/A,#N/A,FALSE,"1961165-0201"}</definedName>
    <definedName name="jkjh_1" hidden="1">{#N/A,#N/A,FALSE,"196126-0690";#N/A,#N/A,FALSE,"196126-0690";#N/A,#N/A,FALSE,"1961165-0201"}</definedName>
    <definedName name="jkjh_1_1" localSheetId="26" hidden="1">{#N/A,#N/A,FALSE,"196126-0690";#N/A,#N/A,FALSE,"196126-0690";#N/A,#N/A,FALSE,"1961165-0201"}</definedName>
    <definedName name="jkjh_1_1" localSheetId="0" hidden="1">{#N/A,#N/A,FALSE,"196126-0690";#N/A,#N/A,FALSE,"196126-0690";#N/A,#N/A,FALSE,"1961165-0201"}</definedName>
    <definedName name="jkjh_1_1" hidden="1">{#N/A,#N/A,FALSE,"196126-0690";#N/A,#N/A,FALSE,"196126-0690";#N/A,#N/A,FALSE,"1961165-0201"}</definedName>
    <definedName name="jkjh_1_2" localSheetId="26" hidden="1">{#N/A,#N/A,FALSE,"196126-0690";#N/A,#N/A,FALSE,"196126-0690";#N/A,#N/A,FALSE,"1961165-0201"}</definedName>
    <definedName name="jkjh_1_2" localSheetId="0" hidden="1">{#N/A,#N/A,FALSE,"196126-0690";#N/A,#N/A,FALSE,"196126-0690";#N/A,#N/A,FALSE,"1961165-0201"}</definedName>
    <definedName name="jkjh_1_2" hidden="1">{#N/A,#N/A,FALSE,"196126-0690";#N/A,#N/A,FALSE,"196126-0690";#N/A,#N/A,FALSE,"1961165-0201"}</definedName>
    <definedName name="jkjh_1_3" localSheetId="26" hidden="1">{#N/A,#N/A,FALSE,"196126-0690";#N/A,#N/A,FALSE,"196126-0690";#N/A,#N/A,FALSE,"1961165-0201"}</definedName>
    <definedName name="jkjh_1_3" localSheetId="0" hidden="1">{#N/A,#N/A,FALSE,"196126-0690";#N/A,#N/A,FALSE,"196126-0690";#N/A,#N/A,FALSE,"1961165-0201"}</definedName>
    <definedName name="jkjh_1_3" hidden="1">{#N/A,#N/A,FALSE,"196126-0690";#N/A,#N/A,FALSE,"196126-0690";#N/A,#N/A,FALSE,"1961165-0201"}</definedName>
    <definedName name="jkjh_2" localSheetId="26" hidden="1">{#N/A,#N/A,FALSE,"196126-0690";#N/A,#N/A,FALSE,"196126-0690";#N/A,#N/A,FALSE,"1961165-0201"}</definedName>
    <definedName name="jkjh_2" localSheetId="0" hidden="1">{#N/A,#N/A,FALSE,"196126-0690";#N/A,#N/A,FALSE,"196126-0690";#N/A,#N/A,FALSE,"1961165-0201"}</definedName>
    <definedName name="jkjh_2" hidden="1">{#N/A,#N/A,FALSE,"196126-0690";#N/A,#N/A,FALSE,"196126-0690";#N/A,#N/A,FALSE,"1961165-0201"}</definedName>
    <definedName name="jkjh_2_1" localSheetId="26" hidden="1">{#N/A,#N/A,FALSE,"196126-0690";#N/A,#N/A,FALSE,"196126-0690";#N/A,#N/A,FALSE,"1961165-0201"}</definedName>
    <definedName name="jkjh_2_1" localSheetId="0" hidden="1">{#N/A,#N/A,FALSE,"196126-0690";#N/A,#N/A,FALSE,"196126-0690";#N/A,#N/A,FALSE,"1961165-0201"}</definedName>
    <definedName name="jkjh_2_1" hidden="1">{#N/A,#N/A,FALSE,"196126-0690";#N/A,#N/A,FALSE,"196126-0690";#N/A,#N/A,FALSE,"1961165-0201"}</definedName>
    <definedName name="jkjh_2_2" localSheetId="26" hidden="1">{#N/A,#N/A,FALSE,"196126-0690";#N/A,#N/A,FALSE,"196126-0690";#N/A,#N/A,FALSE,"1961165-0201"}</definedName>
    <definedName name="jkjh_2_2" localSheetId="0" hidden="1">{#N/A,#N/A,FALSE,"196126-0690";#N/A,#N/A,FALSE,"196126-0690";#N/A,#N/A,FALSE,"1961165-0201"}</definedName>
    <definedName name="jkjh_2_2" hidden="1">{#N/A,#N/A,FALSE,"196126-0690";#N/A,#N/A,FALSE,"196126-0690";#N/A,#N/A,FALSE,"1961165-0201"}</definedName>
    <definedName name="jkjh_3" localSheetId="26" hidden="1">{#N/A,#N/A,FALSE,"196126-0690";#N/A,#N/A,FALSE,"196126-0690";#N/A,#N/A,FALSE,"1961165-0201"}</definedName>
    <definedName name="jkjh_3" localSheetId="0" hidden="1">{#N/A,#N/A,FALSE,"196126-0690";#N/A,#N/A,FALSE,"196126-0690";#N/A,#N/A,FALSE,"1961165-0201"}</definedName>
    <definedName name="jkjh_3" hidden="1">{#N/A,#N/A,FALSE,"196126-0690";#N/A,#N/A,FALSE,"196126-0690";#N/A,#N/A,FALSE,"1961165-0201"}</definedName>
    <definedName name="jkjh_4" localSheetId="26" hidden="1">{#N/A,#N/A,FALSE,"196126-0690";#N/A,#N/A,FALSE,"196126-0690";#N/A,#N/A,FALSE,"1961165-0201"}</definedName>
    <definedName name="jkjh_4" localSheetId="0" hidden="1">{#N/A,#N/A,FALSE,"196126-0690";#N/A,#N/A,FALSE,"196126-0690";#N/A,#N/A,FALSE,"1961165-0201"}</definedName>
    <definedName name="jkjh_4" hidden="1">{#N/A,#N/A,FALSE,"196126-0690";#N/A,#N/A,FALSE,"196126-0690";#N/A,#N/A,FALSE,"1961165-0201"}</definedName>
    <definedName name="jkjh_5" localSheetId="26" hidden="1">{#N/A,#N/A,FALSE,"196126-0690";#N/A,#N/A,FALSE,"196126-0690";#N/A,#N/A,FALSE,"1961165-0201"}</definedName>
    <definedName name="jkjh_5" localSheetId="0" hidden="1">{#N/A,#N/A,FALSE,"196126-0690";#N/A,#N/A,FALSE,"196126-0690";#N/A,#N/A,FALSE,"1961165-0201"}</definedName>
    <definedName name="jkjh_5" hidden="1">{#N/A,#N/A,FALSE,"196126-0690";#N/A,#N/A,FALSE,"196126-0690";#N/A,#N/A,FALSE,"1961165-0201"}</definedName>
    <definedName name="jmgkdjgkdfjgkf" localSheetId="26" hidden="1">{#N/A,#N/A,FALSE,"Cash Flows";#N/A,#N/A,FALSE,"Fixed Assets";#N/A,#N/A,FALSE,"Balance Sheet";#N/A,#N/A,FALSE,"P &amp; L"}</definedName>
    <definedName name="jmgkdjgkdfjgkf" localSheetId="21" hidden="1">{#N/A,#N/A,FALSE,"Cash Flows";#N/A,#N/A,FALSE,"Fixed Assets";#N/A,#N/A,FALSE,"Balance Sheet";#N/A,#N/A,FALSE,"P &amp; L"}</definedName>
    <definedName name="jmgkdjgkdfjgkf" localSheetId="3" hidden="1">{#N/A,#N/A,FALSE,"Cash Flows";#N/A,#N/A,FALSE,"Fixed Assets";#N/A,#N/A,FALSE,"Balance Sheet";#N/A,#N/A,FALSE,"P &amp; L"}</definedName>
    <definedName name="jmgkdjgkdfjgkf" localSheetId="27" hidden="1">{#N/A,#N/A,FALSE,"Cash Flows";#N/A,#N/A,FALSE,"Fixed Assets";#N/A,#N/A,FALSE,"Balance Sheet";#N/A,#N/A,FALSE,"P &amp; L"}</definedName>
    <definedName name="jmgkdjgkdfjgkf" localSheetId="0" hidden="1">{#N/A,#N/A,FALSE,"Cash Flows";#N/A,#N/A,FALSE,"Fixed Assets";#N/A,#N/A,FALSE,"Balance Sheet";#N/A,#N/A,FALSE,"P &amp; L"}</definedName>
    <definedName name="jmgkdjgkdfjgkf" hidden="1">{#N/A,#N/A,FALSE,"Cash Flows";#N/A,#N/A,FALSE,"Fixed Assets";#N/A,#N/A,FALSE,"Balance Sheet";#N/A,#N/A,FALSE,"P &amp; L"}</definedName>
    <definedName name="jmgkdjgkdfjgkf_1" localSheetId="26" hidden="1">{#N/A,#N/A,FALSE,"Cash Flows";#N/A,#N/A,FALSE,"Fixed Assets";#N/A,#N/A,FALSE,"Balance Sheet";#N/A,#N/A,FALSE,"P &amp; L"}</definedName>
    <definedName name="jmgkdjgkdfjgkf_1" localSheetId="0" hidden="1">{#N/A,#N/A,FALSE,"Cash Flows";#N/A,#N/A,FALSE,"Fixed Assets";#N/A,#N/A,FALSE,"Balance Sheet";#N/A,#N/A,FALSE,"P &amp; L"}</definedName>
    <definedName name="jmgkdjgkdfjgkf_1" hidden="1">{#N/A,#N/A,FALSE,"Cash Flows";#N/A,#N/A,FALSE,"Fixed Assets";#N/A,#N/A,FALSE,"Balance Sheet";#N/A,#N/A,FALSE,"P &amp; L"}</definedName>
    <definedName name="jmgkdjgkdfjgkf_1_1" localSheetId="26" hidden="1">{#N/A,#N/A,FALSE,"Cash Flows";#N/A,#N/A,FALSE,"Fixed Assets";#N/A,#N/A,FALSE,"Balance Sheet";#N/A,#N/A,FALSE,"P &amp; L"}</definedName>
    <definedName name="jmgkdjgkdfjgkf_1_1" localSheetId="0" hidden="1">{#N/A,#N/A,FALSE,"Cash Flows";#N/A,#N/A,FALSE,"Fixed Assets";#N/A,#N/A,FALSE,"Balance Sheet";#N/A,#N/A,FALSE,"P &amp; L"}</definedName>
    <definedName name="jmgkdjgkdfjgkf_1_1" hidden="1">{#N/A,#N/A,FALSE,"Cash Flows";#N/A,#N/A,FALSE,"Fixed Assets";#N/A,#N/A,FALSE,"Balance Sheet";#N/A,#N/A,FALSE,"P &amp; L"}</definedName>
    <definedName name="jmgkdjgkdfjgkf_1_2" localSheetId="26" hidden="1">{#N/A,#N/A,FALSE,"Cash Flows";#N/A,#N/A,FALSE,"Fixed Assets";#N/A,#N/A,FALSE,"Balance Sheet";#N/A,#N/A,FALSE,"P &amp; L"}</definedName>
    <definedName name="jmgkdjgkdfjgkf_1_2" localSheetId="0" hidden="1">{#N/A,#N/A,FALSE,"Cash Flows";#N/A,#N/A,FALSE,"Fixed Assets";#N/A,#N/A,FALSE,"Balance Sheet";#N/A,#N/A,FALSE,"P &amp; L"}</definedName>
    <definedName name="jmgkdjgkdfjgkf_1_2" hidden="1">{#N/A,#N/A,FALSE,"Cash Flows";#N/A,#N/A,FALSE,"Fixed Assets";#N/A,#N/A,FALSE,"Balance Sheet";#N/A,#N/A,FALSE,"P &amp; L"}</definedName>
    <definedName name="jmgkdjgkdfjgkf_1_3" localSheetId="26" hidden="1">{#N/A,#N/A,FALSE,"Cash Flows";#N/A,#N/A,FALSE,"Fixed Assets";#N/A,#N/A,FALSE,"Balance Sheet";#N/A,#N/A,FALSE,"P &amp; L"}</definedName>
    <definedName name="jmgkdjgkdfjgkf_1_3" localSheetId="0" hidden="1">{#N/A,#N/A,FALSE,"Cash Flows";#N/A,#N/A,FALSE,"Fixed Assets";#N/A,#N/A,FALSE,"Balance Sheet";#N/A,#N/A,FALSE,"P &amp; L"}</definedName>
    <definedName name="jmgkdjgkdfjgkf_1_3" hidden="1">{#N/A,#N/A,FALSE,"Cash Flows";#N/A,#N/A,FALSE,"Fixed Assets";#N/A,#N/A,FALSE,"Balance Sheet";#N/A,#N/A,FALSE,"P &amp; L"}</definedName>
    <definedName name="jmgkdjgkdfjgkf_2" localSheetId="26" hidden="1">{#N/A,#N/A,FALSE,"Cash Flows";#N/A,#N/A,FALSE,"Fixed Assets";#N/A,#N/A,FALSE,"Balance Sheet";#N/A,#N/A,FALSE,"P &amp; L"}</definedName>
    <definedName name="jmgkdjgkdfjgkf_2" localSheetId="0" hidden="1">{#N/A,#N/A,FALSE,"Cash Flows";#N/A,#N/A,FALSE,"Fixed Assets";#N/A,#N/A,FALSE,"Balance Sheet";#N/A,#N/A,FALSE,"P &amp; L"}</definedName>
    <definedName name="jmgkdjgkdfjgkf_2" hidden="1">{#N/A,#N/A,FALSE,"Cash Flows";#N/A,#N/A,FALSE,"Fixed Assets";#N/A,#N/A,FALSE,"Balance Sheet";#N/A,#N/A,FALSE,"P &amp; L"}</definedName>
    <definedName name="jmgkdjgkdfjgkf_2_1" localSheetId="26" hidden="1">{#N/A,#N/A,FALSE,"Cash Flows";#N/A,#N/A,FALSE,"Fixed Assets";#N/A,#N/A,FALSE,"Balance Sheet";#N/A,#N/A,FALSE,"P &amp; L"}</definedName>
    <definedName name="jmgkdjgkdfjgkf_2_1" localSheetId="0" hidden="1">{#N/A,#N/A,FALSE,"Cash Flows";#N/A,#N/A,FALSE,"Fixed Assets";#N/A,#N/A,FALSE,"Balance Sheet";#N/A,#N/A,FALSE,"P &amp; L"}</definedName>
    <definedName name="jmgkdjgkdfjgkf_2_1" hidden="1">{#N/A,#N/A,FALSE,"Cash Flows";#N/A,#N/A,FALSE,"Fixed Assets";#N/A,#N/A,FALSE,"Balance Sheet";#N/A,#N/A,FALSE,"P &amp; L"}</definedName>
    <definedName name="jmgkdjgkdfjgkf_2_2" localSheetId="26" hidden="1">{#N/A,#N/A,FALSE,"Cash Flows";#N/A,#N/A,FALSE,"Fixed Assets";#N/A,#N/A,FALSE,"Balance Sheet";#N/A,#N/A,FALSE,"P &amp; L"}</definedName>
    <definedName name="jmgkdjgkdfjgkf_2_2" localSheetId="0" hidden="1">{#N/A,#N/A,FALSE,"Cash Flows";#N/A,#N/A,FALSE,"Fixed Assets";#N/A,#N/A,FALSE,"Balance Sheet";#N/A,#N/A,FALSE,"P &amp; L"}</definedName>
    <definedName name="jmgkdjgkdfjgkf_2_2" hidden="1">{#N/A,#N/A,FALSE,"Cash Flows";#N/A,#N/A,FALSE,"Fixed Assets";#N/A,#N/A,FALSE,"Balance Sheet";#N/A,#N/A,FALSE,"P &amp; L"}</definedName>
    <definedName name="jmgkdjgkdfjgkf_3" localSheetId="26" hidden="1">{#N/A,#N/A,FALSE,"Cash Flows";#N/A,#N/A,FALSE,"Fixed Assets";#N/A,#N/A,FALSE,"Balance Sheet";#N/A,#N/A,FALSE,"P &amp; L"}</definedName>
    <definedName name="jmgkdjgkdfjgkf_3" localSheetId="0" hidden="1">{#N/A,#N/A,FALSE,"Cash Flows";#N/A,#N/A,FALSE,"Fixed Assets";#N/A,#N/A,FALSE,"Balance Sheet";#N/A,#N/A,FALSE,"P &amp; L"}</definedName>
    <definedName name="jmgkdjgkdfjgkf_3" hidden="1">{#N/A,#N/A,FALSE,"Cash Flows";#N/A,#N/A,FALSE,"Fixed Assets";#N/A,#N/A,FALSE,"Balance Sheet";#N/A,#N/A,FALSE,"P &amp; L"}</definedName>
    <definedName name="jmgkdjgkdfjgkf_4" localSheetId="26" hidden="1">{#N/A,#N/A,FALSE,"Cash Flows";#N/A,#N/A,FALSE,"Fixed Assets";#N/A,#N/A,FALSE,"Balance Sheet";#N/A,#N/A,FALSE,"P &amp; L"}</definedName>
    <definedName name="jmgkdjgkdfjgkf_4" localSheetId="0" hidden="1">{#N/A,#N/A,FALSE,"Cash Flows";#N/A,#N/A,FALSE,"Fixed Assets";#N/A,#N/A,FALSE,"Balance Sheet";#N/A,#N/A,FALSE,"P &amp; L"}</definedName>
    <definedName name="jmgkdjgkdfjgkf_4" hidden="1">{#N/A,#N/A,FALSE,"Cash Flows";#N/A,#N/A,FALSE,"Fixed Assets";#N/A,#N/A,FALSE,"Balance Sheet";#N/A,#N/A,FALSE,"P &amp; L"}</definedName>
    <definedName name="jmgkdjgkdfjgkf_5" localSheetId="26" hidden="1">{#N/A,#N/A,FALSE,"Cash Flows";#N/A,#N/A,FALSE,"Fixed Assets";#N/A,#N/A,FALSE,"Balance Sheet";#N/A,#N/A,FALSE,"P &amp; L"}</definedName>
    <definedName name="jmgkdjgkdfjgkf_5" localSheetId="0" hidden="1">{#N/A,#N/A,FALSE,"Cash Flows";#N/A,#N/A,FALSE,"Fixed Assets";#N/A,#N/A,FALSE,"Balance Sheet";#N/A,#N/A,FALSE,"P &amp; L"}</definedName>
    <definedName name="jmgkdjgkdfjgkf_5" hidden="1">{#N/A,#N/A,FALSE,"Cash Flows";#N/A,#N/A,FALSE,"Fixed Assets";#N/A,#N/A,FALSE,"Balance Sheet";#N/A,#N/A,FALSE,"P &amp; L"}</definedName>
    <definedName name="juan" localSheetId="22" hidden="1">{#N/A,#N/A,FALSE,"SUMMARY";#N/A,#N/A,FALSE,"TOTAL AF";#N/A,#N/A,FALSE,"May A"}</definedName>
    <definedName name="juan" localSheetId="14" hidden="1">{#N/A,#N/A,FALSE,"SUMMARY";#N/A,#N/A,FALSE,"TOTAL AF";#N/A,#N/A,FALSE,"May A"}</definedName>
    <definedName name="juan" localSheetId="29" hidden="1">{#N/A,#N/A,FALSE,"SUMMARY";#N/A,#N/A,FALSE,"TOTAL AF";#N/A,#N/A,FALSE,"May A"}</definedName>
    <definedName name="juan" hidden="1">{#N/A,#N/A,FALSE,"SUMMARY";#N/A,#N/A,FALSE,"TOTAL AF";#N/A,#N/A,FALSE,"May A"}</definedName>
    <definedName name="juan_1" localSheetId="22" hidden="1">{#N/A,#N/A,FALSE,"SUMMARY";#N/A,#N/A,FALSE,"TOTAL AF";#N/A,#N/A,FALSE,"May A"}</definedName>
    <definedName name="juan_1" localSheetId="14" hidden="1">{#N/A,#N/A,FALSE,"SUMMARY";#N/A,#N/A,FALSE,"TOTAL AF";#N/A,#N/A,FALSE,"May A"}</definedName>
    <definedName name="juan_1" localSheetId="29" hidden="1">{#N/A,#N/A,FALSE,"SUMMARY";#N/A,#N/A,FALSE,"TOTAL AF";#N/A,#N/A,FALSE,"May A"}</definedName>
    <definedName name="juan_1" hidden="1">{#N/A,#N/A,FALSE,"SUMMARY";#N/A,#N/A,FALSE,"TOTAL AF";#N/A,#N/A,FALSE,"May A"}</definedName>
    <definedName name="KIA" localSheetId="26" hidden="1">{#N/A,#N/A,FALSE,"단축1";#N/A,#N/A,FALSE,"단축2";#N/A,#N/A,FALSE,"단축3";#N/A,#N/A,FALSE,"장축";#N/A,#N/A,FALSE,"4WD"}</definedName>
    <definedName name="KIA" localSheetId="0" hidden="1">{#N/A,#N/A,FALSE,"단축1";#N/A,#N/A,FALSE,"단축2";#N/A,#N/A,FALSE,"단축3";#N/A,#N/A,FALSE,"장축";#N/A,#N/A,FALSE,"4WD"}</definedName>
    <definedName name="KIA" hidden="1">{#N/A,#N/A,FALSE,"단축1";#N/A,#N/A,FALSE,"단축2";#N/A,#N/A,FALSE,"단축3";#N/A,#N/A,FALSE,"장축";#N/A,#N/A,FALSE,"4WD"}</definedName>
    <definedName name="KIA_1" localSheetId="26" hidden="1">{#N/A,#N/A,FALSE,"단축1";#N/A,#N/A,FALSE,"단축2";#N/A,#N/A,FALSE,"단축3";#N/A,#N/A,FALSE,"장축";#N/A,#N/A,FALSE,"4WD"}</definedName>
    <definedName name="KIA_1" localSheetId="0" hidden="1">{#N/A,#N/A,FALSE,"단축1";#N/A,#N/A,FALSE,"단축2";#N/A,#N/A,FALSE,"단축3";#N/A,#N/A,FALSE,"장축";#N/A,#N/A,FALSE,"4WD"}</definedName>
    <definedName name="KIA_1" hidden="1">{#N/A,#N/A,FALSE,"단축1";#N/A,#N/A,FALSE,"단축2";#N/A,#N/A,FALSE,"단축3";#N/A,#N/A,FALSE,"장축";#N/A,#N/A,FALSE,"4WD"}</definedName>
    <definedName name="KIA_1_1" localSheetId="26" hidden="1">{#N/A,#N/A,FALSE,"단축1";#N/A,#N/A,FALSE,"단축2";#N/A,#N/A,FALSE,"단축3";#N/A,#N/A,FALSE,"장축";#N/A,#N/A,FALSE,"4WD"}</definedName>
    <definedName name="KIA_1_1" localSheetId="0" hidden="1">{#N/A,#N/A,FALSE,"단축1";#N/A,#N/A,FALSE,"단축2";#N/A,#N/A,FALSE,"단축3";#N/A,#N/A,FALSE,"장축";#N/A,#N/A,FALSE,"4WD"}</definedName>
    <definedName name="KIA_1_1" hidden="1">{#N/A,#N/A,FALSE,"단축1";#N/A,#N/A,FALSE,"단축2";#N/A,#N/A,FALSE,"단축3";#N/A,#N/A,FALSE,"장축";#N/A,#N/A,FALSE,"4WD"}</definedName>
    <definedName name="KIA_1_2" localSheetId="26" hidden="1">{#N/A,#N/A,FALSE,"단축1";#N/A,#N/A,FALSE,"단축2";#N/A,#N/A,FALSE,"단축3";#N/A,#N/A,FALSE,"장축";#N/A,#N/A,FALSE,"4WD"}</definedName>
    <definedName name="KIA_1_2" localSheetId="0" hidden="1">{#N/A,#N/A,FALSE,"단축1";#N/A,#N/A,FALSE,"단축2";#N/A,#N/A,FALSE,"단축3";#N/A,#N/A,FALSE,"장축";#N/A,#N/A,FALSE,"4WD"}</definedName>
    <definedName name="KIA_1_2" hidden="1">{#N/A,#N/A,FALSE,"단축1";#N/A,#N/A,FALSE,"단축2";#N/A,#N/A,FALSE,"단축3";#N/A,#N/A,FALSE,"장축";#N/A,#N/A,FALSE,"4WD"}</definedName>
    <definedName name="KIA_1_3" localSheetId="26" hidden="1">{#N/A,#N/A,FALSE,"단축1";#N/A,#N/A,FALSE,"단축2";#N/A,#N/A,FALSE,"단축3";#N/A,#N/A,FALSE,"장축";#N/A,#N/A,FALSE,"4WD"}</definedName>
    <definedName name="KIA_1_3" localSheetId="0" hidden="1">{#N/A,#N/A,FALSE,"단축1";#N/A,#N/A,FALSE,"단축2";#N/A,#N/A,FALSE,"단축3";#N/A,#N/A,FALSE,"장축";#N/A,#N/A,FALSE,"4WD"}</definedName>
    <definedName name="KIA_1_3" hidden="1">{#N/A,#N/A,FALSE,"단축1";#N/A,#N/A,FALSE,"단축2";#N/A,#N/A,FALSE,"단축3";#N/A,#N/A,FALSE,"장축";#N/A,#N/A,FALSE,"4WD"}</definedName>
    <definedName name="KIA_2" localSheetId="26" hidden="1">{#N/A,#N/A,FALSE,"단축1";#N/A,#N/A,FALSE,"단축2";#N/A,#N/A,FALSE,"단축3";#N/A,#N/A,FALSE,"장축";#N/A,#N/A,FALSE,"4WD"}</definedName>
    <definedName name="KIA_2" localSheetId="0" hidden="1">{#N/A,#N/A,FALSE,"단축1";#N/A,#N/A,FALSE,"단축2";#N/A,#N/A,FALSE,"단축3";#N/A,#N/A,FALSE,"장축";#N/A,#N/A,FALSE,"4WD"}</definedName>
    <definedName name="KIA_2" hidden="1">{#N/A,#N/A,FALSE,"단축1";#N/A,#N/A,FALSE,"단축2";#N/A,#N/A,FALSE,"단축3";#N/A,#N/A,FALSE,"장축";#N/A,#N/A,FALSE,"4WD"}</definedName>
    <definedName name="KIA_2_1" localSheetId="26" hidden="1">{#N/A,#N/A,FALSE,"단축1";#N/A,#N/A,FALSE,"단축2";#N/A,#N/A,FALSE,"단축3";#N/A,#N/A,FALSE,"장축";#N/A,#N/A,FALSE,"4WD"}</definedName>
    <definedName name="KIA_2_1" localSheetId="0" hidden="1">{#N/A,#N/A,FALSE,"단축1";#N/A,#N/A,FALSE,"단축2";#N/A,#N/A,FALSE,"단축3";#N/A,#N/A,FALSE,"장축";#N/A,#N/A,FALSE,"4WD"}</definedName>
    <definedName name="KIA_2_1" hidden="1">{#N/A,#N/A,FALSE,"단축1";#N/A,#N/A,FALSE,"단축2";#N/A,#N/A,FALSE,"단축3";#N/A,#N/A,FALSE,"장축";#N/A,#N/A,FALSE,"4WD"}</definedName>
    <definedName name="KIA_2_2" localSheetId="26" hidden="1">{#N/A,#N/A,FALSE,"단축1";#N/A,#N/A,FALSE,"단축2";#N/A,#N/A,FALSE,"단축3";#N/A,#N/A,FALSE,"장축";#N/A,#N/A,FALSE,"4WD"}</definedName>
    <definedName name="KIA_2_2" localSheetId="0" hidden="1">{#N/A,#N/A,FALSE,"단축1";#N/A,#N/A,FALSE,"단축2";#N/A,#N/A,FALSE,"단축3";#N/A,#N/A,FALSE,"장축";#N/A,#N/A,FALSE,"4WD"}</definedName>
    <definedName name="KIA_2_2" hidden="1">{#N/A,#N/A,FALSE,"단축1";#N/A,#N/A,FALSE,"단축2";#N/A,#N/A,FALSE,"단축3";#N/A,#N/A,FALSE,"장축";#N/A,#N/A,FALSE,"4WD"}</definedName>
    <definedName name="KIA_3" localSheetId="26" hidden="1">{#N/A,#N/A,FALSE,"단축1";#N/A,#N/A,FALSE,"단축2";#N/A,#N/A,FALSE,"단축3";#N/A,#N/A,FALSE,"장축";#N/A,#N/A,FALSE,"4WD"}</definedName>
    <definedName name="KIA_3" localSheetId="0" hidden="1">{#N/A,#N/A,FALSE,"단축1";#N/A,#N/A,FALSE,"단축2";#N/A,#N/A,FALSE,"단축3";#N/A,#N/A,FALSE,"장축";#N/A,#N/A,FALSE,"4WD"}</definedName>
    <definedName name="KIA_3" hidden="1">{#N/A,#N/A,FALSE,"단축1";#N/A,#N/A,FALSE,"단축2";#N/A,#N/A,FALSE,"단축3";#N/A,#N/A,FALSE,"장축";#N/A,#N/A,FALSE,"4WD"}</definedName>
    <definedName name="KIA_4" localSheetId="26" hidden="1">{#N/A,#N/A,FALSE,"단축1";#N/A,#N/A,FALSE,"단축2";#N/A,#N/A,FALSE,"단축3";#N/A,#N/A,FALSE,"장축";#N/A,#N/A,FALSE,"4WD"}</definedName>
    <definedName name="KIA_4" localSheetId="0" hidden="1">{#N/A,#N/A,FALSE,"단축1";#N/A,#N/A,FALSE,"단축2";#N/A,#N/A,FALSE,"단축3";#N/A,#N/A,FALSE,"장축";#N/A,#N/A,FALSE,"4WD"}</definedName>
    <definedName name="KIA_4" hidden="1">{#N/A,#N/A,FALSE,"단축1";#N/A,#N/A,FALSE,"단축2";#N/A,#N/A,FALSE,"단축3";#N/A,#N/A,FALSE,"장축";#N/A,#N/A,FALSE,"4WD"}</definedName>
    <definedName name="KIA_5" localSheetId="26" hidden="1">{#N/A,#N/A,FALSE,"단축1";#N/A,#N/A,FALSE,"단축2";#N/A,#N/A,FALSE,"단축3";#N/A,#N/A,FALSE,"장축";#N/A,#N/A,FALSE,"4WD"}</definedName>
    <definedName name="KIA_5" localSheetId="0" hidden="1">{#N/A,#N/A,FALSE,"단축1";#N/A,#N/A,FALSE,"단축2";#N/A,#N/A,FALSE,"단축3";#N/A,#N/A,FALSE,"장축";#N/A,#N/A,FALSE,"4WD"}</definedName>
    <definedName name="KIA_5" hidden="1">{#N/A,#N/A,FALSE,"단축1";#N/A,#N/A,FALSE,"단축2";#N/A,#N/A,FALSE,"단축3";#N/A,#N/A,FALSE,"장축";#N/A,#N/A,FALSE,"4WD"}</definedName>
    <definedName name="KIM" localSheetId="26" hidden="1">{#N/A,#N/A,FALSE,"단축1";#N/A,#N/A,FALSE,"단축2";#N/A,#N/A,FALSE,"단축3";#N/A,#N/A,FALSE,"장축";#N/A,#N/A,FALSE,"4WD"}</definedName>
    <definedName name="KIM" localSheetId="0" hidden="1">{#N/A,#N/A,FALSE,"단축1";#N/A,#N/A,FALSE,"단축2";#N/A,#N/A,FALSE,"단축3";#N/A,#N/A,FALSE,"장축";#N/A,#N/A,FALSE,"4WD"}</definedName>
    <definedName name="KIM" hidden="1">{#N/A,#N/A,FALSE,"단축1";#N/A,#N/A,FALSE,"단축2";#N/A,#N/A,FALSE,"단축3";#N/A,#N/A,FALSE,"장축";#N/A,#N/A,FALSE,"4WD"}</definedName>
    <definedName name="KIM_1" localSheetId="26" hidden="1">{#N/A,#N/A,FALSE,"단축1";#N/A,#N/A,FALSE,"단축2";#N/A,#N/A,FALSE,"단축3";#N/A,#N/A,FALSE,"장축";#N/A,#N/A,FALSE,"4WD"}</definedName>
    <definedName name="KIM_1" localSheetId="0" hidden="1">{#N/A,#N/A,FALSE,"단축1";#N/A,#N/A,FALSE,"단축2";#N/A,#N/A,FALSE,"단축3";#N/A,#N/A,FALSE,"장축";#N/A,#N/A,FALSE,"4WD"}</definedName>
    <definedName name="KIM_1" hidden="1">{#N/A,#N/A,FALSE,"단축1";#N/A,#N/A,FALSE,"단축2";#N/A,#N/A,FALSE,"단축3";#N/A,#N/A,FALSE,"장축";#N/A,#N/A,FALSE,"4WD"}</definedName>
    <definedName name="KIM_1_1" localSheetId="26" hidden="1">{#N/A,#N/A,FALSE,"단축1";#N/A,#N/A,FALSE,"단축2";#N/A,#N/A,FALSE,"단축3";#N/A,#N/A,FALSE,"장축";#N/A,#N/A,FALSE,"4WD"}</definedName>
    <definedName name="KIM_1_1" localSheetId="0" hidden="1">{#N/A,#N/A,FALSE,"단축1";#N/A,#N/A,FALSE,"단축2";#N/A,#N/A,FALSE,"단축3";#N/A,#N/A,FALSE,"장축";#N/A,#N/A,FALSE,"4WD"}</definedName>
    <definedName name="KIM_1_1" hidden="1">{#N/A,#N/A,FALSE,"단축1";#N/A,#N/A,FALSE,"단축2";#N/A,#N/A,FALSE,"단축3";#N/A,#N/A,FALSE,"장축";#N/A,#N/A,FALSE,"4WD"}</definedName>
    <definedName name="KIM_1_2" localSheetId="26" hidden="1">{#N/A,#N/A,FALSE,"단축1";#N/A,#N/A,FALSE,"단축2";#N/A,#N/A,FALSE,"단축3";#N/A,#N/A,FALSE,"장축";#N/A,#N/A,FALSE,"4WD"}</definedName>
    <definedName name="KIM_1_2" localSheetId="0" hidden="1">{#N/A,#N/A,FALSE,"단축1";#N/A,#N/A,FALSE,"단축2";#N/A,#N/A,FALSE,"단축3";#N/A,#N/A,FALSE,"장축";#N/A,#N/A,FALSE,"4WD"}</definedName>
    <definedName name="KIM_1_2" hidden="1">{#N/A,#N/A,FALSE,"단축1";#N/A,#N/A,FALSE,"단축2";#N/A,#N/A,FALSE,"단축3";#N/A,#N/A,FALSE,"장축";#N/A,#N/A,FALSE,"4WD"}</definedName>
    <definedName name="KIM_1_3" localSheetId="26" hidden="1">{#N/A,#N/A,FALSE,"단축1";#N/A,#N/A,FALSE,"단축2";#N/A,#N/A,FALSE,"단축3";#N/A,#N/A,FALSE,"장축";#N/A,#N/A,FALSE,"4WD"}</definedName>
    <definedName name="KIM_1_3" localSheetId="0" hidden="1">{#N/A,#N/A,FALSE,"단축1";#N/A,#N/A,FALSE,"단축2";#N/A,#N/A,FALSE,"단축3";#N/A,#N/A,FALSE,"장축";#N/A,#N/A,FALSE,"4WD"}</definedName>
    <definedName name="KIM_1_3" hidden="1">{#N/A,#N/A,FALSE,"단축1";#N/A,#N/A,FALSE,"단축2";#N/A,#N/A,FALSE,"단축3";#N/A,#N/A,FALSE,"장축";#N/A,#N/A,FALSE,"4WD"}</definedName>
    <definedName name="KIM_2" localSheetId="26" hidden="1">{#N/A,#N/A,FALSE,"단축1";#N/A,#N/A,FALSE,"단축2";#N/A,#N/A,FALSE,"단축3";#N/A,#N/A,FALSE,"장축";#N/A,#N/A,FALSE,"4WD"}</definedName>
    <definedName name="KIM_2" localSheetId="0" hidden="1">{#N/A,#N/A,FALSE,"단축1";#N/A,#N/A,FALSE,"단축2";#N/A,#N/A,FALSE,"단축3";#N/A,#N/A,FALSE,"장축";#N/A,#N/A,FALSE,"4WD"}</definedName>
    <definedName name="KIM_2" hidden="1">{#N/A,#N/A,FALSE,"단축1";#N/A,#N/A,FALSE,"단축2";#N/A,#N/A,FALSE,"단축3";#N/A,#N/A,FALSE,"장축";#N/A,#N/A,FALSE,"4WD"}</definedName>
    <definedName name="KIM_2_1" localSheetId="26" hidden="1">{#N/A,#N/A,FALSE,"단축1";#N/A,#N/A,FALSE,"단축2";#N/A,#N/A,FALSE,"단축3";#N/A,#N/A,FALSE,"장축";#N/A,#N/A,FALSE,"4WD"}</definedName>
    <definedName name="KIM_2_1" localSheetId="0" hidden="1">{#N/A,#N/A,FALSE,"단축1";#N/A,#N/A,FALSE,"단축2";#N/A,#N/A,FALSE,"단축3";#N/A,#N/A,FALSE,"장축";#N/A,#N/A,FALSE,"4WD"}</definedName>
    <definedName name="KIM_2_1" hidden="1">{#N/A,#N/A,FALSE,"단축1";#N/A,#N/A,FALSE,"단축2";#N/A,#N/A,FALSE,"단축3";#N/A,#N/A,FALSE,"장축";#N/A,#N/A,FALSE,"4WD"}</definedName>
    <definedName name="KIM_2_2" localSheetId="26" hidden="1">{#N/A,#N/A,FALSE,"단축1";#N/A,#N/A,FALSE,"단축2";#N/A,#N/A,FALSE,"단축3";#N/A,#N/A,FALSE,"장축";#N/A,#N/A,FALSE,"4WD"}</definedName>
    <definedName name="KIM_2_2" localSheetId="0" hidden="1">{#N/A,#N/A,FALSE,"단축1";#N/A,#N/A,FALSE,"단축2";#N/A,#N/A,FALSE,"단축3";#N/A,#N/A,FALSE,"장축";#N/A,#N/A,FALSE,"4WD"}</definedName>
    <definedName name="KIM_2_2" hidden="1">{#N/A,#N/A,FALSE,"단축1";#N/A,#N/A,FALSE,"단축2";#N/A,#N/A,FALSE,"단축3";#N/A,#N/A,FALSE,"장축";#N/A,#N/A,FALSE,"4WD"}</definedName>
    <definedName name="KIM_3" localSheetId="26" hidden="1">{#N/A,#N/A,FALSE,"단축1";#N/A,#N/A,FALSE,"단축2";#N/A,#N/A,FALSE,"단축3";#N/A,#N/A,FALSE,"장축";#N/A,#N/A,FALSE,"4WD"}</definedName>
    <definedName name="KIM_3" localSheetId="0" hidden="1">{#N/A,#N/A,FALSE,"단축1";#N/A,#N/A,FALSE,"단축2";#N/A,#N/A,FALSE,"단축3";#N/A,#N/A,FALSE,"장축";#N/A,#N/A,FALSE,"4WD"}</definedName>
    <definedName name="KIM_3" hidden="1">{#N/A,#N/A,FALSE,"단축1";#N/A,#N/A,FALSE,"단축2";#N/A,#N/A,FALSE,"단축3";#N/A,#N/A,FALSE,"장축";#N/A,#N/A,FALSE,"4WD"}</definedName>
    <definedName name="KIM_4" localSheetId="26" hidden="1">{#N/A,#N/A,FALSE,"단축1";#N/A,#N/A,FALSE,"단축2";#N/A,#N/A,FALSE,"단축3";#N/A,#N/A,FALSE,"장축";#N/A,#N/A,FALSE,"4WD"}</definedName>
    <definedName name="KIM_4" localSheetId="0" hidden="1">{#N/A,#N/A,FALSE,"단축1";#N/A,#N/A,FALSE,"단축2";#N/A,#N/A,FALSE,"단축3";#N/A,#N/A,FALSE,"장축";#N/A,#N/A,FALSE,"4WD"}</definedName>
    <definedName name="KIM_4" hidden="1">{#N/A,#N/A,FALSE,"단축1";#N/A,#N/A,FALSE,"단축2";#N/A,#N/A,FALSE,"단축3";#N/A,#N/A,FALSE,"장축";#N/A,#N/A,FALSE,"4WD"}</definedName>
    <definedName name="KIM_5" localSheetId="26" hidden="1">{#N/A,#N/A,FALSE,"단축1";#N/A,#N/A,FALSE,"단축2";#N/A,#N/A,FALSE,"단축3";#N/A,#N/A,FALSE,"장축";#N/A,#N/A,FALSE,"4WD"}</definedName>
    <definedName name="KIM_5" localSheetId="0" hidden="1">{#N/A,#N/A,FALSE,"단축1";#N/A,#N/A,FALSE,"단축2";#N/A,#N/A,FALSE,"단축3";#N/A,#N/A,FALSE,"장축";#N/A,#N/A,FALSE,"4WD"}</definedName>
    <definedName name="KIM_5" hidden="1">{#N/A,#N/A,FALSE,"단축1";#N/A,#N/A,FALSE,"단축2";#N/A,#N/A,FALSE,"단축3";#N/A,#N/A,FALSE,"장축";#N/A,#N/A,FALSE,"4WD"}</definedName>
    <definedName name="kinji" localSheetId="9" hidden="1">[12]MOTO!#REF!</definedName>
    <definedName name="kinji" localSheetId="1" hidden="1">[12]MOTO!#REF!</definedName>
    <definedName name="kinji" localSheetId="23" hidden="1">[12]MOTO!#REF!</definedName>
    <definedName name="kinji" localSheetId="22" hidden="1">[12]MOTO!#REF!</definedName>
    <definedName name="kinji" localSheetId="26" hidden="1">[12]MOTO!#REF!</definedName>
    <definedName name="kinji" localSheetId="14" hidden="1">[12]MOTO!#REF!</definedName>
    <definedName name="kinji" localSheetId="21" hidden="1">[12]MOTO!#REF!</definedName>
    <definedName name="kinji" localSheetId="3" hidden="1">[12]MOTO!#REF!</definedName>
    <definedName name="kinji" localSheetId="29" hidden="1">[12]MOTO!#REF!</definedName>
    <definedName name="kinji" localSheetId="28" hidden="1">[12]MOTO!#REF!</definedName>
    <definedName name="kinji" localSheetId="27" hidden="1">[12]MOTO!#REF!</definedName>
    <definedName name="kinji" localSheetId="0" hidden="1">[12]MOTO!#REF!</definedName>
    <definedName name="kinji" hidden="1">[12]MOTO!#REF!</definedName>
    <definedName name="KKKKKK" localSheetId="26" hidden="1">{#N/A,#N/A,FALSE,"단축1";#N/A,#N/A,FALSE,"단축2";#N/A,#N/A,FALSE,"단축3";#N/A,#N/A,FALSE,"장축";#N/A,#N/A,FALSE,"4WD"}</definedName>
    <definedName name="KKKKKK" localSheetId="0" hidden="1">{#N/A,#N/A,FALSE,"단축1";#N/A,#N/A,FALSE,"단축2";#N/A,#N/A,FALSE,"단축3";#N/A,#N/A,FALSE,"장축";#N/A,#N/A,FALSE,"4WD"}</definedName>
    <definedName name="KKKKKK" hidden="1">{#N/A,#N/A,FALSE,"단축1";#N/A,#N/A,FALSE,"단축2";#N/A,#N/A,FALSE,"단축3";#N/A,#N/A,FALSE,"장축";#N/A,#N/A,FALSE,"4WD"}</definedName>
    <definedName name="KKKKKK_1" localSheetId="26" hidden="1">{#N/A,#N/A,FALSE,"단축1";#N/A,#N/A,FALSE,"단축2";#N/A,#N/A,FALSE,"단축3";#N/A,#N/A,FALSE,"장축";#N/A,#N/A,FALSE,"4WD"}</definedName>
    <definedName name="KKKKKK_1" localSheetId="0" hidden="1">{#N/A,#N/A,FALSE,"단축1";#N/A,#N/A,FALSE,"단축2";#N/A,#N/A,FALSE,"단축3";#N/A,#N/A,FALSE,"장축";#N/A,#N/A,FALSE,"4WD"}</definedName>
    <definedName name="KKKKKK_1" hidden="1">{#N/A,#N/A,FALSE,"단축1";#N/A,#N/A,FALSE,"단축2";#N/A,#N/A,FALSE,"단축3";#N/A,#N/A,FALSE,"장축";#N/A,#N/A,FALSE,"4WD"}</definedName>
    <definedName name="KKKKKK_1_1" localSheetId="26" hidden="1">{#N/A,#N/A,FALSE,"단축1";#N/A,#N/A,FALSE,"단축2";#N/A,#N/A,FALSE,"단축3";#N/A,#N/A,FALSE,"장축";#N/A,#N/A,FALSE,"4WD"}</definedName>
    <definedName name="KKKKKK_1_1" localSheetId="0" hidden="1">{#N/A,#N/A,FALSE,"단축1";#N/A,#N/A,FALSE,"단축2";#N/A,#N/A,FALSE,"단축3";#N/A,#N/A,FALSE,"장축";#N/A,#N/A,FALSE,"4WD"}</definedName>
    <definedName name="KKKKKK_1_1" hidden="1">{#N/A,#N/A,FALSE,"단축1";#N/A,#N/A,FALSE,"단축2";#N/A,#N/A,FALSE,"단축3";#N/A,#N/A,FALSE,"장축";#N/A,#N/A,FALSE,"4WD"}</definedName>
    <definedName name="KKKKKK_1_2" localSheetId="26" hidden="1">{#N/A,#N/A,FALSE,"단축1";#N/A,#N/A,FALSE,"단축2";#N/A,#N/A,FALSE,"단축3";#N/A,#N/A,FALSE,"장축";#N/A,#N/A,FALSE,"4WD"}</definedName>
    <definedName name="KKKKKK_1_2" localSheetId="0" hidden="1">{#N/A,#N/A,FALSE,"단축1";#N/A,#N/A,FALSE,"단축2";#N/A,#N/A,FALSE,"단축3";#N/A,#N/A,FALSE,"장축";#N/A,#N/A,FALSE,"4WD"}</definedName>
    <definedName name="KKKKKK_1_2" hidden="1">{#N/A,#N/A,FALSE,"단축1";#N/A,#N/A,FALSE,"단축2";#N/A,#N/A,FALSE,"단축3";#N/A,#N/A,FALSE,"장축";#N/A,#N/A,FALSE,"4WD"}</definedName>
    <definedName name="KKKKKK_1_3" localSheetId="26" hidden="1">{#N/A,#N/A,FALSE,"단축1";#N/A,#N/A,FALSE,"단축2";#N/A,#N/A,FALSE,"단축3";#N/A,#N/A,FALSE,"장축";#N/A,#N/A,FALSE,"4WD"}</definedName>
    <definedName name="KKKKKK_1_3" localSheetId="0" hidden="1">{#N/A,#N/A,FALSE,"단축1";#N/A,#N/A,FALSE,"단축2";#N/A,#N/A,FALSE,"단축3";#N/A,#N/A,FALSE,"장축";#N/A,#N/A,FALSE,"4WD"}</definedName>
    <definedName name="KKKKKK_1_3" hidden="1">{#N/A,#N/A,FALSE,"단축1";#N/A,#N/A,FALSE,"단축2";#N/A,#N/A,FALSE,"단축3";#N/A,#N/A,FALSE,"장축";#N/A,#N/A,FALSE,"4WD"}</definedName>
    <definedName name="KKKKKK_2" localSheetId="26" hidden="1">{#N/A,#N/A,FALSE,"단축1";#N/A,#N/A,FALSE,"단축2";#N/A,#N/A,FALSE,"단축3";#N/A,#N/A,FALSE,"장축";#N/A,#N/A,FALSE,"4WD"}</definedName>
    <definedName name="KKKKKK_2" localSheetId="0" hidden="1">{#N/A,#N/A,FALSE,"단축1";#N/A,#N/A,FALSE,"단축2";#N/A,#N/A,FALSE,"단축3";#N/A,#N/A,FALSE,"장축";#N/A,#N/A,FALSE,"4WD"}</definedName>
    <definedName name="KKKKKK_2" hidden="1">{#N/A,#N/A,FALSE,"단축1";#N/A,#N/A,FALSE,"단축2";#N/A,#N/A,FALSE,"단축3";#N/A,#N/A,FALSE,"장축";#N/A,#N/A,FALSE,"4WD"}</definedName>
    <definedName name="KKKKKK_2_1" localSheetId="26" hidden="1">{#N/A,#N/A,FALSE,"단축1";#N/A,#N/A,FALSE,"단축2";#N/A,#N/A,FALSE,"단축3";#N/A,#N/A,FALSE,"장축";#N/A,#N/A,FALSE,"4WD"}</definedName>
    <definedName name="KKKKKK_2_1" localSheetId="0" hidden="1">{#N/A,#N/A,FALSE,"단축1";#N/A,#N/A,FALSE,"단축2";#N/A,#N/A,FALSE,"단축3";#N/A,#N/A,FALSE,"장축";#N/A,#N/A,FALSE,"4WD"}</definedName>
    <definedName name="KKKKKK_2_1" hidden="1">{#N/A,#N/A,FALSE,"단축1";#N/A,#N/A,FALSE,"단축2";#N/A,#N/A,FALSE,"단축3";#N/A,#N/A,FALSE,"장축";#N/A,#N/A,FALSE,"4WD"}</definedName>
    <definedName name="KKKKKK_2_2" localSheetId="26" hidden="1">{#N/A,#N/A,FALSE,"단축1";#N/A,#N/A,FALSE,"단축2";#N/A,#N/A,FALSE,"단축3";#N/A,#N/A,FALSE,"장축";#N/A,#N/A,FALSE,"4WD"}</definedName>
    <definedName name="KKKKKK_2_2" localSheetId="0" hidden="1">{#N/A,#N/A,FALSE,"단축1";#N/A,#N/A,FALSE,"단축2";#N/A,#N/A,FALSE,"단축3";#N/A,#N/A,FALSE,"장축";#N/A,#N/A,FALSE,"4WD"}</definedName>
    <definedName name="KKKKKK_2_2" hidden="1">{#N/A,#N/A,FALSE,"단축1";#N/A,#N/A,FALSE,"단축2";#N/A,#N/A,FALSE,"단축3";#N/A,#N/A,FALSE,"장축";#N/A,#N/A,FALSE,"4WD"}</definedName>
    <definedName name="KKKKKK_3" localSheetId="26" hidden="1">{#N/A,#N/A,FALSE,"단축1";#N/A,#N/A,FALSE,"단축2";#N/A,#N/A,FALSE,"단축3";#N/A,#N/A,FALSE,"장축";#N/A,#N/A,FALSE,"4WD"}</definedName>
    <definedName name="KKKKKK_3" localSheetId="0" hidden="1">{#N/A,#N/A,FALSE,"단축1";#N/A,#N/A,FALSE,"단축2";#N/A,#N/A,FALSE,"단축3";#N/A,#N/A,FALSE,"장축";#N/A,#N/A,FALSE,"4WD"}</definedName>
    <definedName name="KKKKKK_3" hidden="1">{#N/A,#N/A,FALSE,"단축1";#N/A,#N/A,FALSE,"단축2";#N/A,#N/A,FALSE,"단축3";#N/A,#N/A,FALSE,"장축";#N/A,#N/A,FALSE,"4WD"}</definedName>
    <definedName name="KKKKKK_4" localSheetId="26" hidden="1">{#N/A,#N/A,FALSE,"단축1";#N/A,#N/A,FALSE,"단축2";#N/A,#N/A,FALSE,"단축3";#N/A,#N/A,FALSE,"장축";#N/A,#N/A,FALSE,"4WD"}</definedName>
    <definedName name="KKKKKK_4" localSheetId="0" hidden="1">{#N/A,#N/A,FALSE,"단축1";#N/A,#N/A,FALSE,"단축2";#N/A,#N/A,FALSE,"단축3";#N/A,#N/A,FALSE,"장축";#N/A,#N/A,FALSE,"4WD"}</definedName>
    <definedName name="KKKKKK_4" hidden="1">{#N/A,#N/A,FALSE,"단축1";#N/A,#N/A,FALSE,"단축2";#N/A,#N/A,FALSE,"단축3";#N/A,#N/A,FALSE,"장축";#N/A,#N/A,FALSE,"4WD"}</definedName>
    <definedName name="KKKKKK_5" localSheetId="26" hidden="1">{#N/A,#N/A,FALSE,"단축1";#N/A,#N/A,FALSE,"단축2";#N/A,#N/A,FALSE,"단축3";#N/A,#N/A,FALSE,"장축";#N/A,#N/A,FALSE,"4WD"}</definedName>
    <definedName name="KKKKKK_5" localSheetId="0" hidden="1">{#N/A,#N/A,FALSE,"단축1";#N/A,#N/A,FALSE,"단축2";#N/A,#N/A,FALSE,"단축3";#N/A,#N/A,FALSE,"장축";#N/A,#N/A,FALSE,"4WD"}</definedName>
    <definedName name="KKKKKK_5" hidden="1">{#N/A,#N/A,FALSE,"단축1";#N/A,#N/A,FALSE,"단축2";#N/A,#N/A,FALSE,"단축3";#N/A,#N/A,FALSE,"장축";#N/A,#N/A,FALSE,"4WD"}</definedName>
    <definedName name="labour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labour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labour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labour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labour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labour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labour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limcount" hidden="1">1</definedName>
    <definedName name="LKJ" localSheetId="26" hidden="1">{#N/A,#N/A,FALSE,"을지 (4)";#N/A,#N/A,FALSE,"을지 (5)";#N/A,#N/A,FALSE,"을지 (6)"}</definedName>
    <definedName name="LKJ" localSheetId="0" hidden="1">{#N/A,#N/A,FALSE,"을지 (4)";#N/A,#N/A,FALSE,"을지 (5)";#N/A,#N/A,FALSE,"을지 (6)"}</definedName>
    <definedName name="LKJ" hidden="1">{#N/A,#N/A,FALSE,"을지 (4)";#N/A,#N/A,FALSE,"을지 (5)";#N/A,#N/A,FALSE,"을지 (6)"}</definedName>
    <definedName name="LKJ_1" localSheetId="26" hidden="1">{#N/A,#N/A,FALSE,"을지 (4)";#N/A,#N/A,FALSE,"을지 (5)";#N/A,#N/A,FALSE,"을지 (6)"}</definedName>
    <definedName name="LKJ_1" localSheetId="0" hidden="1">{#N/A,#N/A,FALSE,"을지 (4)";#N/A,#N/A,FALSE,"을지 (5)";#N/A,#N/A,FALSE,"을지 (6)"}</definedName>
    <definedName name="LKJ_1" hidden="1">{#N/A,#N/A,FALSE,"을지 (4)";#N/A,#N/A,FALSE,"을지 (5)";#N/A,#N/A,FALSE,"을지 (6)"}</definedName>
    <definedName name="LKJ_1_1" localSheetId="26" hidden="1">{#N/A,#N/A,FALSE,"을지 (4)";#N/A,#N/A,FALSE,"을지 (5)";#N/A,#N/A,FALSE,"을지 (6)"}</definedName>
    <definedName name="LKJ_1_1" localSheetId="0" hidden="1">{#N/A,#N/A,FALSE,"을지 (4)";#N/A,#N/A,FALSE,"을지 (5)";#N/A,#N/A,FALSE,"을지 (6)"}</definedName>
    <definedName name="LKJ_1_1" hidden="1">{#N/A,#N/A,FALSE,"을지 (4)";#N/A,#N/A,FALSE,"을지 (5)";#N/A,#N/A,FALSE,"을지 (6)"}</definedName>
    <definedName name="LKJ_1_2" localSheetId="26" hidden="1">{#N/A,#N/A,FALSE,"을지 (4)";#N/A,#N/A,FALSE,"을지 (5)";#N/A,#N/A,FALSE,"을지 (6)"}</definedName>
    <definedName name="LKJ_1_2" localSheetId="0" hidden="1">{#N/A,#N/A,FALSE,"을지 (4)";#N/A,#N/A,FALSE,"을지 (5)";#N/A,#N/A,FALSE,"을지 (6)"}</definedName>
    <definedName name="LKJ_1_2" hidden="1">{#N/A,#N/A,FALSE,"을지 (4)";#N/A,#N/A,FALSE,"을지 (5)";#N/A,#N/A,FALSE,"을지 (6)"}</definedName>
    <definedName name="LKJ_1_3" localSheetId="26" hidden="1">{#N/A,#N/A,FALSE,"을지 (4)";#N/A,#N/A,FALSE,"을지 (5)";#N/A,#N/A,FALSE,"을지 (6)"}</definedName>
    <definedName name="LKJ_1_3" localSheetId="0" hidden="1">{#N/A,#N/A,FALSE,"을지 (4)";#N/A,#N/A,FALSE,"을지 (5)";#N/A,#N/A,FALSE,"을지 (6)"}</definedName>
    <definedName name="LKJ_1_3" hidden="1">{#N/A,#N/A,FALSE,"을지 (4)";#N/A,#N/A,FALSE,"을지 (5)";#N/A,#N/A,FALSE,"을지 (6)"}</definedName>
    <definedName name="LKJ_2" localSheetId="26" hidden="1">{#N/A,#N/A,FALSE,"을지 (4)";#N/A,#N/A,FALSE,"을지 (5)";#N/A,#N/A,FALSE,"을지 (6)"}</definedName>
    <definedName name="LKJ_2" localSheetId="0" hidden="1">{#N/A,#N/A,FALSE,"을지 (4)";#N/A,#N/A,FALSE,"을지 (5)";#N/A,#N/A,FALSE,"을지 (6)"}</definedName>
    <definedName name="LKJ_2" hidden="1">{#N/A,#N/A,FALSE,"을지 (4)";#N/A,#N/A,FALSE,"을지 (5)";#N/A,#N/A,FALSE,"을지 (6)"}</definedName>
    <definedName name="LKJ_2_1" localSheetId="26" hidden="1">{#N/A,#N/A,FALSE,"을지 (4)";#N/A,#N/A,FALSE,"을지 (5)";#N/A,#N/A,FALSE,"을지 (6)"}</definedName>
    <definedName name="LKJ_2_1" localSheetId="0" hidden="1">{#N/A,#N/A,FALSE,"을지 (4)";#N/A,#N/A,FALSE,"을지 (5)";#N/A,#N/A,FALSE,"을지 (6)"}</definedName>
    <definedName name="LKJ_2_1" hidden="1">{#N/A,#N/A,FALSE,"을지 (4)";#N/A,#N/A,FALSE,"을지 (5)";#N/A,#N/A,FALSE,"을지 (6)"}</definedName>
    <definedName name="LKJ_2_2" localSheetId="26" hidden="1">{#N/A,#N/A,FALSE,"을지 (4)";#N/A,#N/A,FALSE,"을지 (5)";#N/A,#N/A,FALSE,"을지 (6)"}</definedName>
    <definedName name="LKJ_2_2" localSheetId="0" hidden="1">{#N/A,#N/A,FALSE,"을지 (4)";#N/A,#N/A,FALSE,"을지 (5)";#N/A,#N/A,FALSE,"을지 (6)"}</definedName>
    <definedName name="LKJ_2_2" hidden="1">{#N/A,#N/A,FALSE,"을지 (4)";#N/A,#N/A,FALSE,"을지 (5)";#N/A,#N/A,FALSE,"을지 (6)"}</definedName>
    <definedName name="LKJ_3" localSheetId="26" hidden="1">{#N/A,#N/A,FALSE,"을지 (4)";#N/A,#N/A,FALSE,"을지 (5)";#N/A,#N/A,FALSE,"을지 (6)"}</definedName>
    <definedName name="LKJ_3" localSheetId="0" hidden="1">{#N/A,#N/A,FALSE,"을지 (4)";#N/A,#N/A,FALSE,"을지 (5)";#N/A,#N/A,FALSE,"을지 (6)"}</definedName>
    <definedName name="LKJ_3" hidden="1">{#N/A,#N/A,FALSE,"을지 (4)";#N/A,#N/A,FALSE,"을지 (5)";#N/A,#N/A,FALSE,"을지 (6)"}</definedName>
    <definedName name="LKJ_4" localSheetId="26" hidden="1">{#N/A,#N/A,FALSE,"을지 (4)";#N/A,#N/A,FALSE,"을지 (5)";#N/A,#N/A,FALSE,"을지 (6)"}</definedName>
    <definedName name="LKJ_4" localSheetId="0" hidden="1">{#N/A,#N/A,FALSE,"을지 (4)";#N/A,#N/A,FALSE,"을지 (5)";#N/A,#N/A,FALSE,"을지 (6)"}</definedName>
    <definedName name="LKJ_4" hidden="1">{#N/A,#N/A,FALSE,"을지 (4)";#N/A,#N/A,FALSE,"을지 (5)";#N/A,#N/A,FALSE,"을지 (6)"}</definedName>
    <definedName name="LKJ_5" localSheetId="26" hidden="1">{#N/A,#N/A,FALSE,"을지 (4)";#N/A,#N/A,FALSE,"을지 (5)";#N/A,#N/A,FALSE,"을지 (6)"}</definedName>
    <definedName name="LKJ_5" localSheetId="0" hidden="1">{#N/A,#N/A,FALSE,"을지 (4)";#N/A,#N/A,FALSE,"을지 (5)";#N/A,#N/A,FALSE,"을지 (6)"}</definedName>
    <definedName name="LKJ_5" hidden="1">{#N/A,#N/A,FALSE,"을지 (4)";#N/A,#N/A,FALSE,"을지 (5)";#N/A,#N/A,FALSE,"을지 (6)"}</definedName>
    <definedName name="LLLL" localSheetId="26" hidden="1">{#N/A,#N/A,FALSE,"단축1";#N/A,#N/A,FALSE,"단축2";#N/A,#N/A,FALSE,"단축3";#N/A,#N/A,FALSE,"장축";#N/A,#N/A,FALSE,"4WD"}</definedName>
    <definedName name="LLLL" localSheetId="0" hidden="1">{#N/A,#N/A,FALSE,"단축1";#N/A,#N/A,FALSE,"단축2";#N/A,#N/A,FALSE,"단축3";#N/A,#N/A,FALSE,"장축";#N/A,#N/A,FALSE,"4WD"}</definedName>
    <definedName name="LLLL" hidden="1">{#N/A,#N/A,FALSE,"단축1";#N/A,#N/A,FALSE,"단축2";#N/A,#N/A,FALSE,"단축3";#N/A,#N/A,FALSE,"장축";#N/A,#N/A,FALSE,"4WD"}</definedName>
    <definedName name="LLLL_1" localSheetId="26" hidden="1">{#N/A,#N/A,FALSE,"단축1";#N/A,#N/A,FALSE,"단축2";#N/A,#N/A,FALSE,"단축3";#N/A,#N/A,FALSE,"장축";#N/A,#N/A,FALSE,"4WD"}</definedName>
    <definedName name="LLLL_1" localSheetId="0" hidden="1">{#N/A,#N/A,FALSE,"단축1";#N/A,#N/A,FALSE,"단축2";#N/A,#N/A,FALSE,"단축3";#N/A,#N/A,FALSE,"장축";#N/A,#N/A,FALSE,"4WD"}</definedName>
    <definedName name="LLLL_1" hidden="1">{#N/A,#N/A,FALSE,"단축1";#N/A,#N/A,FALSE,"단축2";#N/A,#N/A,FALSE,"단축3";#N/A,#N/A,FALSE,"장축";#N/A,#N/A,FALSE,"4WD"}</definedName>
    <definedName name="LLLL_1_1" localSheetId="26" hidden="1">{#N/A,#N/A,FALSE,"단축1";#N/A,#N/A,FALSE,"단축2";#N/A,#N/A,FALSE,"단축3";#N/A,#N/A,FALSE,"장축";#N/A,#N/A,FALSE,"4WD"}</definedName>
    <definedName name="LLLL_1_1" localSheetId="0" hidden="1">{#N/A,#N/A,FALSE,"단축1";#N/A,#N/A,FALSE,"단축2";#N/A,#N/A,FALSE,"단축3";#N/A,#N/A,FALSE,"장축";#N/A,#N/A,FALSE,"4WD"}</definedName>
    <definedName name="LLLL_1_1" hidden="1">{#N/A,#N/A,FALSE,"단축1";#N/A,#N/A,FALSE,"단축2";#N/A,#N/A,FALSE,"단축3";#N/A,#N/A,FALSE,"장축";#N/A,#N/A,FALSE,"4WD"}</definedName>
    <definedName name="LLLL_1_2" localSheetId="26" hidden="1">{#N/A,#N/A,FALSE,"단축1";#N/A,#N/A,FALSE,"단축2";#N/A,#N/A,FALSE,"단축3";#N/A,#N/A,FALSE,"장축";#N/A,#N/A,FALSE,"4WD"}</definedName>
    <definedName name="LLLL_1_2" localSheetId="0" hidden="1">{#N/A,#N/A,FALSE,"단축1";#N/A,#N/A,FALSE,"단축2";#N/A,#N/A,FALSE,"단축3";#N/A,#N/A,FALSE,"장축";#N/A,#N/A,FALSE,"4WD"}</definedName>
    <definedName name="LLLL_1_2" hidden="1">{#N/A,#N/A,FALSE,"단축1";#N/A,#N/A,FALSE,"단축2";#N/A,#N/A,FALSE,"단축3";#N/A,#N/A,FALSE,"장축";#N/A,#N/A,FALSE,"4WD"}</definedName>
    <definedName name="LLLL_1_3" localSheetId="26" hidden="1">{#N/A,#N/A,FALSE,"단축1";#N/A,#N/A,FALSE,"단축2";#N/A,#N/A,FALSE,"단축3";#N/A,#N/A,FALSE,"장축";#N/A,#N/A,FALSE,"4WD"}</definedName>
    <definedName name="LLLL_1_3" localSheetId="0" hidden="1">{#N/A,#N/A,FALSE,"단축1";#N/A,#N/A,FALSE,"단축2";#N/A,#N/A,FALSE,"단축3";#N/A,#N/A,FALSE,"장축";#N/A,#N/A,FALSE,"4WD"}</definedName>
    <definedName name="LLLL_1_3" hidden="1">{#N/A,#N/A,FALSE,"단축1";#N/A,#N/A,FALSE,"단축2";#N/A,#N/A,FALSE,"단축3";#N/A,#N/A,FALSE,"장축";#N/A,#N/A,FALSE,"4WD"}</definedName>
    <definedName name="LLLL_2" localSheetId="26" hidden="1">{#N/A,#N/A,FALSE,"단축1";#N/A,#N/A,FALSE,"단축2";#N/A,#N/A,FALSE,"단축3";#N/A,#N/A,FALSE,"장축";#N/A,#N/A,FALSE,"4WD"}</definedName>
    <definedName name="LLLL_2" localSheetId="0" hidden="1">{#N/A,#N/A,FALSE,"단축1";#N/A,#N/A,FALSE,"단축2";#N/A,#N/A,FALSE,"단축3";#N/A,#N/A,FALSE,"장축";#N/A,#N/A,FALSE,"4WD"}</definedName>
    <definedName name="LLLL_2" hidden="1">{#N/A,#N/A,FALSE,"단축1";#N/A,#N/A,FALSE,"단축2";#N/A,#N/A,FALSE,"단축3";#N/A,#N/A,FALSE,"장축";#N/A,#N/A,FALSE,"4WD"}</definedName>
    <definedName name="LLLL_2_1" localSheetId="26" hidden="1">{#N/A,#N/A,FALSE,"단축1";#N/A,#N/A,FALSE,"단축2";#N/A,#N/A,FALSE,"단축3";#N/A,#N/A,FALSE,"장축";#N/A,#N/A,FALSE,"4WD"}</definedName>
    <definedName name="LLLL_2_1" localSheetId="0" hidden="1">{#N/A,#N/A,FALSE,"단축1";#N/A,#N/A,FALSE,"단축2";#N/A,#N/A,FALSE,"단축3";#N/A,#N/A,FALSE,"장축";#N/A,#N/A,FALSE,"4WD"}</definedName>
    <definedName name="LLLL_2_1" hidden="1">{#N/A,#N/A,FALSE,"단축1";#N/A,#N/A,FALSE,"단축2";#N/A,#N/A,FALSE,"단축3";#N/A,#N/A,FALSE,"장축";#N/A,#N/A,FALSE,"4WD"}</definedName>
    <definedName name="LLLL_2_2" localSheetId="26" hidden="1">{#N/A,#N/A,FALSE,"단축1";#N/A,#N/A,FALSE,"단축2";#N/A,#N/A,FALSE,"단축3";#N/A,#N/A,FALSE,"장축";#N/A,#N/A,FALSE,"4WD"}</definedName>
    <definedName name="LLLL_2_2" localSheetId="0" hidden="1">{#N/A,#N/A,FALSE,"단축1";#N/A,#N/A,FALSE,"단축2";#N/A,#N/A,FALSE,"단축3";#N/A,#N/A,FALSE,"장축";#N/A,#N/A,FALSE,"4WD"}</definedName>
    <definedName name="LLLL_2_2" hidden="1">{#N/A,#N/A,FALSE,"단축1";#N/A,#N/A,FALSE,"단축2";#N/A,#N/A,FALSE,"단축3";#N/A,#N/A,FALSE,"장축";#N/A,#N/A,FALSE,"4WD"}</definedName>
    <definedName name="LLLL_3" localSheetId="26" hidden="1">{#N/A,#N/A,FALSE,"단축1";#N/A,#N/A,FALSE,"단축2";#N/A,#N/A,FALSE,"단축3";#N/A,#N/A,FALSE,"장축";#N/A,#N/A,FALSE,"4WD"}</definedName>
    <definedName name="LLLL_3" localSheetId="0" hidden="1">{#N/A,#N/A,FALSE,"단축1";#N/A,#N/A,FALSE,"단축2";#N/A,#N/A,FALSE,"단축3";#N/A,#N/A,FALSE,"장축";#N/A,#N/A,FALSE,"4WD"}</definedName>
    <definedName name="LLLL_3" hidden="1">{#N/A,#N/A,FALSE,"단축1";#N/A,#N/A,FALSE,"단축2";#N/A,#N/A,FALSE,"단축3";#N/A,#N/A,FALSE,"장축";#N/A,#N/A,FALSE,"4WD"}</definedName>
    <definedName name="LLLL_4" localSheetId="26" hidden="1">{#N/A,#N/A,FALSE,"단축1";#N/A,#N/A,FALSE,"단축2";#N/A,#N/A,FALSE,"단축3";#N/A,#N/A,FALSE,"장축";#N/A,#N/A,FALSE,"4WD"}</definedName>
    <definedName name="LLLL_4" localSheetId="0" hidden="1">{#N/A,#N/A,FALSE,"단축1";#N/A,#N/A,FALSE,"단축2";#N/A,#N/A,FALSE,"단축3";#N/A,#N/A,FALSE,"장축";#N/A,#N/A,FALSE,"4WD"}</definedName>
    <definedName name="LLLL_4" hidden="1">{#N/A,#N/A,FALSE,"단축1";#N/A,#N/A,FALSE,"단축2";#N/A,#N/A,FALSE,"단축3";#N/A,#N/A,FALSE,"장축";#N/A,#N/A,FALSE,"4WD"}</definedName>
    <definedName name="LLLL_5" localSheetId="26" hidden="1">{#N/A,#N/A,FALSE,"단축1";#N/A,#N/A,FALSE,"단축2";#N/A,#N/A,FALSE,"단축3";#N/A,#N/A,FALSE,"장축";#N/A,#N/A,FALSE,"4WD"}</definedName>
    <definedName name="LLLL_5" localSheetId="0" hidden="1">{#N/A,#N/A,FALSE,"단축1";#N/A,#N/A,FALSE,"단축2";#N/A,#N/A,FALSE,"단축3";#N/A,#N/A,FALSE,"장축";#N/A,#N/A,FALSE,"4WD"}</definedName>
    <definedName name="LLLL_5" hidden="1">{#N/A,#N/A,FALSE,"단축1";#N/A,#N/A,FALSE,"단축2";#N/A,#N/A,FALSE,"단축3";#N/A,#N/A,FALSE,"장축";#N/A,#N/A,FALSE,"4WD"}</definedName>
    <definedName name="lps" localSheetId="26" hidden="1">{#N/A,#N/A,FALSE,"단축1";#N/A,#N/A,FALSE,"단축2";#N/A,#N/A,FALSE,"단축3";#N/A,#N/A,FALSE,"장축";#N/A,#N/A,FALSE,"4WD"}</definedName>
    <definedName name="lps" localSheetId="0" hidden="1">{#N/A,#N/A,FALSE,"단축1";#N/A,#N/A,FALSE,"단축2";#N/A,#N/A,FALSE,"단축3";#N/A,#N/A,FALSE,"장축";#N/A,#N/A,FALSE,"4WD"}</definedName>
    <definedName name="lps" hidden="1">{#N/A,#N/A,FALSE,"단축1";#N/A,#N/A,FALSE,"단축2";#N/A,#N/A,FALSE,"단축3";#N/A,#N/A,FALSE,"장축";#N/A,#N/A,FALSE,"4WD"}</definedName>
    <definedName name="lps_1" localSheetId="26" hidden="1">{#N/A,#N/A,FALSE,"단축1";#N/A,#N/A,FALSE,"단축2";#N/A,#N/A,FALSE,"단축3";#N/A,#N/A,FALSE,"장축";#N/A,#N/A,FALSE,"4WD"}</definedName>
    <definedName name="lps_1" localSheetId="0" hidden="1">{#N/A,#N/A,FALSE,"단축1";#N/A,#N/A,FALSE,"단축2";#N/A,#N/A,FALSE,"단축3";#N/A,#N/A,FALSE,"장축";#N/A,#N/A,FALSE,"4WD"}</definedName>
    <definedName name="lps_1" hidden="1">{#N/A,#N/A,FALSE,"단축1";#N/A,#N/A,FALSE,"단축2";#N/A,#N/A,FALSE,"단축3";#N/A,#N/A,FALSE,"장축";#N/A,#N/A,FALSE,"4WD"}</definedName>
    <definedName name="lps_1_1" localSheetId="26" hidden="1">{#N/A,#N/A,FALSE,"단축1";#N/A,#N/A,FALSE,"단축2";#N/A,#N/A,FALSE,"단축3";#N/A,#N/A,FALSE,"장축";#N/A,#N/A,FALSE,"4WD"}</definedName>
    <definedName name="lps_1_1" localSheetId="0" hidden="1">{#N/A,#N/A,FALSE,"단축1";#N/A,#N/A,FALSE,"단축2";#N/A,#N/A,FALSE,"단축3";#N/A,#N/A,FALSE,"장축";#N/A,#N/A,FALSE,"4WD"}</definedName>
    <definedName name="lps_1_1" hidden="1">{#N/A,#N/A,FALSE,"단축1";#N/A,#N/A,FALSE,"단축2";#N/A,#N/A,FALSE,"단축3";#N/A,#N/A,FALSE,"장축";#N/A,#N/A,FALSE,"4WD"}</definedName>
    <definedName name="lps_1_2" localSheetId="26" hidden="1">{#N/A,#N/A,FALSE,"단축1";#N/A,#N/A,FALSE,"단축2";#N/A,#N/A,FALSE,"단축3";#N/A,#N/A,FALSE,"장축";#N/A,#N/A,FALSE,"4WD"}</definedName>
    <definedName name="lps_1_2" localSheetId="0" hidden="1">{#N/A,#N/A,FALSE,"단축1";#N/A,#N/A,FALSE,"단축2";#N/A,#N/A,FALSE,"단축3";#N/A,#N/A,FALSE,"장축";#N/A,#N/A,FALSE,"4WD"}</definedName>
    <definedName name="lps_1_2" hidden="1">{#N/A,#N/A,FALSE,"단축1";#N/A,#N/A,FALSE,"단축2";#N/A,#N/A,FALSE,"단축3";#N/A,#N/A,FALSE,"장축";#N/A,#N/A,FALSE,"4WD"}</definedName>
    <definedName name="lps_1_3" localSheetId="26" hidden="1">{#N/A,#N/A,FALSE,"단축1";#N/A,#N/A,FALSE,"단축2";#N/A,#N/A,FALSE,"단축3";#N/A,#N/A,FALSE,"장축";#N/A,#N/A,FALSE,"4WD"}</definedName>
    <definedName name="lps_1_3" localSheetId="0" hidden="1">{#N/A,#N/A,FALSE,"단축1";#N/A,#N/A,FALSE,"단축2";#N/A,#N/A,FALSE,"단축3";#N/A,#N/A,FALSE,"장축";#N/A,#N/A,FALSE,"4WD"}</definedName>
    <definedName name="lps_1_3" hidden="1">{#N/A,#N/A,FALSE,"단축1";#N/A,#N/A,FALSE,"단축2";#N/A,#N/A,FALSE,"단축3";#N/A,#N/A,FALSE,"장축";#N/A,#N/A,FALSE,"4WD"}</definedName>
    <definedName name="lps_2" localSheetId="26" hidden="1">{#N/A,#N/A,FALSE,"단축1";#N/A,#N/A,FALSE,"단축2";#N/A,#N/A,FALSE,"단축3";#N/A,#N/A,FALSE,"장축";#N/A,#N/A,FALSE,"4WD"}</definedName>
    <definedName name="lps_2" localSheetId="0" hidden="1">{#N/A,#N/A,FALSE,"단축1";#N/A,#N/A,FALSE,"단축2";#N/A,#N/A,FALSE,"단축3";#N/A,#N/A,FALSE,"장축";#N/A,#N/A,FALSE,"4WD"}</definedName>
    <definedName name="lps_2" hidden="1">{#N/A,#N/A,FALSE,"단축1";#N/A,#N/A,FALSE,"단축2";#N/A,#N/A,FALSE,"단축3";#N/A,#N/A,FALSE,"장축";#N/A,#N/A,FALSE,"4WD"}</definedName>
    <definedName name="lps_2_1" localSheetId="26" hidden="1">{#N/A,#N/A,FALSE,"단축1";#N/A,#N/A,FALSE,"단축2";#N/A,#N/A,FALSE,"단축3";#N/A,#N/A,FALSE,"장축";#N/A,#N/A,FALSE,"4WD"}</definedName>
    <definedName name="lps_2_1" localSheetId="0" hidden="1">{#N/A,#N/A,FALSE,"단축1";#N/A,#N/A,FALSE,"단축2";#N/A,#N/A,FALSE,"단축3";#N/A,#N/A,FALSE,"장축";#N/A,#N/A,FALSE,"4WD"}</definedName>
    <definedName name="lps_2_1" hidden="1">{#N/A,#N/A,FALSE,"단축1";#N/A,#N/A,FALSE,"단축2";#N/A,#N/A,FALSE,"단축3";#N/A,#N/A,FALSE,"장축";#N/A,#N/A,FALSE,"4WD"}</definedName>
    <definedName name="lps_2_2" localSheetId="26" hidden="1">{#N/A,#N/A,FALSE,"단축1";#N/A,#N/A,FALSE,"단축2";#N/A,#N/A,FALSE,"단축3";#N/A,#N/A,FALSE,"장축";#N/A,#N/A,FALSE,"4WD"}</definedName>
    <definedName name="lps_2_2" localSheetId="0" hidden="1">{#N/A,#N/A,FALSE,"단축1";#N/A,#N/A,FALSE,"단축2";#N/A,#N/A,FALSE,"단축3";#N/A,#N/A,FALSE,"장축";#N/A,#N/A,FALSE,"4WD"}</definedName>
    <definedName name="lps_2_2" hidden="1">{#N/A,#N/A,FALSE,"단축1";#N/A,#N/A,FALSE,"단축2";#N/A,#N/A,FALSE,"단축3";#N/A,#N/A,FALSE,"장축";#N/A,#N/A,FALSE,"4WD"}</definedName>
    <definedName name="lps_3" localSheetId="26" hidden="1">{#N/A,#N/A,FALSE,"단축1";#N/A,#N/A,FALSE,"단축2";#N/A,#N/A,FALSE,"단축3";#N/A,#N/A,FALSE,"장축";#N/A,#N/A,FALSE,"4WD"}</definedName>
    <definedName name="lps_3" localSheetId="0" hidden="1">{#N/A,#N/A,FALSE,"단축1";#N/A,#N/A,FALSE,"단축2";#N/A,#N/A,FALSE,"단축3";#N/A,#N/A,FALSE,"장축";#N/A,#N/A,FALSE,"4WD"}</definedName>
    <definedName name="lps_3" hidden="1">{#N/A,#N/A,FALSE,"단축1";#N/A,#N/A,FALSE,"단축2";#N/A,#N/A,FALSE,"단축3";#N/A,#N/A,FALSE,"장축";#N/A,#N/A,FALSE,"4WD"}</definedName>
    <definedName name="lps_4" localSheetId="26" hidden="1">{#N/A,#N/A,FALSE,"단축1";#N/A,#N/A,FALSE,"단축2";#N/A,#N/A,FALSE,"단축3";#N/A,#N/A,FALSE,"장축";#N/A,#N/A,FALSE,"4WD"}</definedName>
    <definedName name="lps_4" localSheetId="0" hidden="1">{#N/A,#N/A,FALSE,"단축1";#N/A,#N/A,FALSE,"단축2";#N/A,#N/A,FALSE,"단축3";#N/A,#N/A,FALSE,"장축";#N/A,#N/A,FALSE,"4WD"}</definedName>
    <definedName name="lps_4" hidden="1">{#N/A,#N/A,FALSE,"단축1";#N/A,#N/A,FALSE,"단축2";#N/A,#N/A,FALSE,"단축3";#N/A,#N/A,FALSE,"장축";#N/A,#N/A,FALSE,"4WD"}</definedName>
    <definedName name="lps_5" localSheetId="26" hidden="1">{#N/A,#N/A,FALSE,"단축1";#N/A,#N/A,FALSE,"단축2";#N/A,#N/A,FALSE,"단축3";#N/A,#N/A,FALSE,"장축";#N/A,#N/A,FALSE,"4WD"}</definedName>
    <definedName name="lps_5" localSheetId="0" hidden="1">{#N/A,#N/A,FALSE,"단축1";#N/A,#N/A,FALSE,"단축2";#N/A,#N/A,FALSE,"단축3";#N/A,#N/A,FALSE,"장축";#N/A,#N/A,FALSE,"4WD"}</definedName>
    <definedName name="lps_5" hidden="1">{#N/A,#N/A,FALSE,"단축1";#N/A,#N/A,FALSE,"단축2";#N/A,#N/A,FALSE,"단축3";#N/A,#N/A,FALSE,"장축";#N/A,#N/A,FALSE,"4WD"}</definedName>
    <definedName name="LPS2_1" localSheetId="26" hidden="1">{#N/A,#N/A,FALSE,"단축1";#N/A,#N/A,FALSE,"단축2";#N/A,#N/A,FALSE,"단축3";#N/A,#N/A,FALSE,"장축";#N/A,#N/A,FALSE,"4WD"}</definedName>
    <definedName name="LPS2_1" localSheetId="0" hidden="1">{#N/A,#N/A,FALSE,"단축1";#N/A,#N/A,FALSE,"단축2";#N/A,#N/A,FALSE,"단축3";#N/A,#N/A,FALSE,"장축";#N/A,#N/A,FALSE,"4WD"}</definedName>
    <definedName name="LPS2_1" hidden="1">{#N/A,#N/A,FALSE,"단축1";#N/A,#N/A,FALSE,"단축2";#N/A,#N/A,FALSE,"단축3";#N/A,#N/A,FALSE,"장축";#N/A,#N/A,FALSE,"4WD"}</definedName>
    <definedName name="LPS2_1_1" localSheetId="26" hidden="1">{#N/A,#N/A,FALSE,"단축1";#N/A,#N/A,FALSE,"단축2";#N/A,#N/A,FALSE,"단축3";#N/A,#N/A,FALSE,"장축";#N/A,#N/A,FALSE,"4WD"}</definedName>
    <definedName name="LPS2_1_1" localSheetId="0" hidden="1">{#N/A,#N/A,FALSE,"단축1";#N/A,#N/A,FALSE,"단축2";#N/A,#N/A,FALSE,"단축3";#N/A,#N/A,FALSE,"장축";#N/A,#N/A,FALSE,"4WD"}</definedName>
    <definedName name="LPS2_1_1" hidden="1">{#N/A,#N/A,FALSE,"단축1";#N/A,#N/A,FALSE,"단축2";#N/A,#N/A,FALSE,"단축3";#N/A,#N/A,FALSE,"장축";#N/A,#N/A,FALSE,"4WD"}</definedName>
    <definedName name="LPS2_1_2" localSheetId="26" hidden="1">{#N/A,#N/A,FALSE,"단축1";#N/A,#N/A,FALSE,"단축2";#N/A,#N/A,FALSE,"단축3";#N/A,#N/A,FALSE,"장축";#N/A,#N/A,FALSE,"4WD"}</definedName>
    <definedName name="LPS2_1_2" localSheetId="0" hidden="1">{#N/A,#N/A,FALSE,"단축1";#N/A,#N/A,FALSE,"단축2";#N/A,#N/A,FALSE,"단축3";#N/A,#N/A,FALSE,"장축";#N/A,#N/A,FALSE,"4WD"}</definedName>
    <definedName name="LPS2_1_2" hidden="1">{#N/A,#N/A,FALSE,"단축1";#N/A,#N/A,FALSE,"단축2";#N/A,#N/A,FALSE,"단축3";#N/A,#N/A,FALSE,"장축";#N/A,#N/A,FALSE,"4WD"}</definedName>
    <definedName name="LPS2_1_3" localSheetId="26" hidden="1">{#N/A,#N/A,FALSE,"단축1";#N/A,#N/A,FALSE,"단축2";#N/A,#N/A,FALSE,"단축3";#N/A,#N/A,FALSE,"장축";#N/A,#N/A,FALSE,"4WD"}</definedName>
    <definedName name="LPS2_1_3" localSheetId="0" hidden="1">{#N/A,#N/A,FALSE,"단축1";#N/A,#N/A,FALSE,"단축2";#N/A,#N/A,FALSE,"단축3";#N/A,#N/A,FALSE,"장축";#N/A,#N/A,FALSE,"4WD"}</definedName>
    <definedName name="LPS2_1_3" hidden="1">{#N/A,#N/A,FALSE,"단축1";#N/A,#N/A,FALSE,"단축2";#N/A,#N/A,FALSE,"단축3";#N/A,#N/A,FALSE,"장축";#N/A,#N/A,FALSE,"4WD"}</definedName>
    <definedName name="LPS2_2" localSheetId="26" hidden="1">{#N/A,#N/A,FALSE,"단축1";#N/A,#N/A,FALSE,"단축2";#N/A,#N/A,FALSE,"단축3";#N/A,#N/A,FALSE,"장축";#N/A,#N/A,FALSE,"4WD"}</definedName>
    <definedName name="LPS2_2" localSheetId="0" hidden="1">{#N/A,#N/A,FALSE,"단축1";#N/A,#N/A,FALSE,"단축2";#N/A,#N/A,FALSE,"단축3";#N/A,#N/A,FALSE,"장축";#N/A,#N/A,FALSE,"4WD"}</definedName>
    <definedName name="LPS2_2" hidden="1">{#N/A,#N/A,FALSE,"단축1";#N/A,#N/A,FALSE,"단축2";#N/A,#N/A,FALSE,"단축3";#N/A,#N/A,FALSE,"장축";#N/A,#N/A,FALSE,"4WD"}</definedName>
    <definedName name="LPS2_2_1" localSheetId="26" hidden="1">{#N/A,#N/A,FALSE,"단축1";#N/A,#N/A,FALSE,"단축2";#N/A,#N/A,FALSE,"단축3";#N/A,#N/A,FALSE,"장축";#N/A,#N/A,FALSE,"4WD"}</definedName>
    <definedName name="LPS2_2_1" localSheetId="0" hidden="1">{#N/A,#N/A,FALSE,"단축1";#N/A,#N/A,FALSE,"단축2";#N/A,#N/A,FALSE,"단축3";#N/A,#N/A,FALSE,"장축";#N/A,#N/A,FALSE,"4WD"}</definedName>
    <definedName name="LPS2_2_1" hidden="1">{#N/A,#N/A,FALSE,"단축1";#N/A,#N/A,FALSE,"단축2";#N/A,#N/A,FALSE,"단축3";#N/A,#N/A,FALSE,"장축";#N/A,#N/A,FALSE,"4WD"}</definedName>
    <definedName name="LPS2_2_2" localSheetId="26" hidden="1">{#N/A,#N/A,FALSE,"단축1";#N/A,#N/A,FALSE,"단축2";#N/A,#N/A,FALSE,"단축3";#N/A,#N/A,FALSE,"장축";#N/A,#N/A,FALSE,"4WD"}</definedName>
    <definedName name="LPS2_2_2" localSheetId="0" hidden="1">{#N/A,#N/A,FALSE,"단축1";#N/A,#N/A,FALSE,"단축2";#N/A,#N/A,FALSE,"단축3";#N/A,#N/A,FALSE,"장축";#N/A,#N/A,FALSE,"4WD"}</definedName>
    <definedName name="LPS2_2_2" hidden="1">{#N/A,#N/A,FALSE,"단축1";#N/A,#N/A,FALSE,"단축2";#N/A,#N/A,FALSE,"단축3";#N/A,#N/A,FALSE,"장축";#N/A,#N/A,FALSE,"4WD"}</definedName>
    <definedName name="LPS2_3" localSheetId="26" hidden="1">{#N/A,#N/A,FALSE,"단축1";#N/A,#N/A,FALSE,"단축2";#N/A,#N/A,FALSE,"단축3";#N/A,#N/A,FALSE,"장축";#N/A,#N/A,FALSE,"4WD"}</definedName>
    <definedName name="LPS2_3" localSheetId="0" hidden="1">{#N/A,#N/A,FALSE,"단축1";#N/A,#N/A,FALSE,"단축2";#N/A,#N/A,FALSE,"단축3";#N/A,#N/A,FALSE,"장축";#N/A,#N/A,FALSE,"4WD"}</definedName>
    <definedName name="LPS2_3" hidden="1">{#N/A,#N/A,FALSE,"단축1";#N/A,#N/A,FALSE,"단축2";#N/A,#N/A,FALSE,"단축3";#N/A,#N/A,FALSE,"장축";#N/A,#N/A,FALSE,"4WD"}</definedName>
    <definedName name="LPS2_4" localSheetId="26" hidden="1">{#N/A,#N/A,FALSE,"단축1";#N/A,#N/A,FALSE,"단축2";#N/A,#N/A,FALSE,"단축3";#N/A,#N/A,FALSE,"장축";#N/A,#N/A,FALSE,"4WD"}</definedName>
    <definedName name="LPS2_4" localSheetId="0" hidden="1">{#N/A,#N/A,FALSE,"단축1";#N/A,#N/A,FALSE,"단축2";#N/A,#N/A,FALSE,"단축3";#N/A,#N/A,FALSE,"장축";#N/A,#N/A,FALSE,"4WD"}</definedName>
    <definedName name="LPS2_4" hidden="1">{#N/A,#N/A,FALSE,"단축1";#N/A,#N/A,FALSE,"단축2";#N/A,#N/A,FALSE,"단축3";#N/A,#N/A,FALSE,"장축";#N/A,#N/A,FALSE,"4WD"}</definedName>
    <definedName name="LPS2_5" localSheetId="26" hidden="1">{#N/A,#N/A,FALSE,"단축1";#N/A,#N/A,FALSE,"단축2";#N/A,#N/A,FALSE,"단축3";#N/A,#N/A,FALSE,"장축";#N/A,#N/A,FALSE,"4WD"}</definedName>
    <definedName name="LPS2_5" localSheetId="0" hidden="1">{#N/A,#N/A,FALSE,"단축1";#N/A,#N/A,FALSE,"단축2";#N/A,#N/A,FALSE,"단축3";#N/A,#N/A,FALSE,"장축";#N/A,#N/A,FALSE,"4WD"}</definedName>
    <definedName name="LPS2_5" hidden="1">{#N/A,#N/A,FALSE,"단축1";#N/A,#N/A,FALSE,"단축2";#N/A,#N/A,FALSE,"단축3";#N/A,#N/A,FALSE,"장축";#N/A,#N/A,FALSE,"4WD"}</definedName>
    <definedName name="LUFeXToEUR" localSheetId="9" hidden="1">1/EUReXToLUF</definedName>
    <definedName name="LUFeXToEUR" localSheetId="1" hidden="1">1/EUReXToLUF</definedName>
    <definedName name="LUFeXToEUR" localSheetId="26" hidden="1">1/EUReXToLUF</definedName>
    <definedName name="LUFeXToEUR" localSheetId="21" hidden="1">1/EUReXToLUF</definedName>
    <definedName name="LUFeXToEUR" localSheetId="3" hidden="1">1/EUReXToLUF</definedName>
    <definedName name="LUFeXToEUR" localSheetId="28" hidden="1">1/EUReXToLUF</definedName>
    <definedName name="LUFeXToEUR" localSheetId="27" hidden="1">1/EUReXToLUF</definedName>
    <definedName name="LUFeXToEUR" localSheetId="0" hidden="1">1/EUReXToLUF</definedName>
    <definedName name="LUFeXToEUR" hidden="1">1/EUReXToLUF</definedName>
    <definedName name="majda" localSheetId="22" hidden="1">{#N/A,#N/A,FALSE,"Cash Flows";#N/A,#N/A,FALSE,"Fixed Assets";#N/A,#N/A,FALSE,"Balance Sheet";#N/A,#N/A,FALSE,"P &amp; L"}</definedName>
    <definedName name="majda" localSheetId="26" hidden="1">{#N/A,#N/A,FALSE,"Cash Flows";#N/A,#N/A,FALSE,"Fixed Assets";#N/A,#N/A,FALSE,"Balance Sheet";#N/A,#N/A,FALSE,"P &amp; L"}</definedName>
    <definedName name="majda" localSheetId="14" hidden="1">{#N/A,#N/A,FALSE,"Cash Flows";#N/A,#N/A,FALSE,"Fixed Assets";#N/A,#N/A,FALSE,"Balance Sheet";#N/A,#N/A,FALSE,"P &amp; L"}</definedName>
    <definedName name="majda" localSheetId="21" hidden="1">{#N/A,#N/A,FALSE,"Cash Flows";#N/A,#N/A,FALSE,"Fixed Assets";#N/A,#N/A,FALSE,"Balance Sheet";#N/A,#N/A,FALSE,"P &amp; L"}</definedName>
    <definedName name="majda" localSheetId="3" hidden="1">{#N/A,#N/A,FALSE,"Cash Flows";#N/A,#N/A,FALSE,"Fixed Assets";#N/A,#N/A,FALSE,"Balance Sheet";#N/A,#N/A,FALSE,"P &amp; L"}</definedName>
    <definedName name="majda" localSheetId="29" hidden="1">{#N/A,#N/A,FALSE,"Cash Flows";#N/A,#N/A,FALSE,"Fixed Assets";#N/A,#N/A,FALSE,"Balance Sheet";#N/A,#N/A,FALSE,"P &amp; L"}</definedName>
    <definedName name="majda" localSheetId="27" hidden="1">{#N/A,#N/A,FALSE,"Cash Flows";#N/A,#N/A,FALSE,"Fixed Assets";#N/A,#N/A,FALSE,"Balance Sheet";#N/A,#N/A,FALSE,"P &amp; L"}</definedName>
    <definedName name="majda" localSheetId="0" hidden="1">{#N/A,#N/A,FALSE,"Cash Flows";#N/A,#N/A,FALSE,"Fixed Assets";#N/A,#N/A,FALSE,"Balance Sheet";#N/A,#N/A,FALSE,"P &amp; L"}</definedName>
    <definedName name="majda" hidden="1">{#N/A,#N/A,FALSE,"Cash Flows";#N/A,#N/A,FALSE,"Fixed Assets";#N/A,#N/A,FALSE,"Balance Sheet";#N/A,#N/A,FALSE,"P &amp; L"}</definedName>
    <definedName name="majda_1" localSheetId="26" hidden="1">{#N/A,#N/A,FALSE,"Cash Flows";#N/A,#N/A,FALSE,"Fixed Assets";#N/A,#N/A,FALSE,"Balance Sheet";#N/A,#N/A,FALSE,"P &amp; L"}</definedName>
    <definedName name="majda_1" localSheetId="0" hidden="1">{#N/A,#N/A,FALSE,"Cash Flows";#N/A,#N/A,FALSE,"Fixed Assets";#N/A,#N/A,FALSE,"Balance Sheet";#N/A,#N/A,FALSE,"P &amp; L"}</definedName>
    <definedName name="majda_1" hidden="1">{#N/A,#N/A,FALSE,"Cash Flows";#N/A,#N/A,FALSE,"Fixed Assets";#N/A,#N/A,FALSE,"Balance Sheet";#N/A,#N/A,FALSE,"P &amp; L"}</definedName>
    <definedName name="majda_1_1" localSheetId="26" hidden="1">{#N/A,#N/A,FALSE,"Cash Flows";#N/A,#N/A,FALSE,"Fixed Assets";#N/A,#N/A,FALSE,"Balance Sheet";#N/A,#N/A,FALSE,"P &amp; L"}</definedName>
    <definedName name="majda_1_1" localSheetId="0" hidden="1">{#N/A,#N/A,FALSE,"Cash Flows";#N/A,#N/A,FALSE,"Fixed Assets";#N/A,#N/A,FALSE,"Balance Sheet";#N/A,#N/A,FALSE,"P &amp; L"}</definedName>
    <definedName name="majda_1_1" hidden="1">{#N/A,#N/A,FALSE,"Cash Flows";#N/A,#N/A,FALSE,"Fixed Assets";#N/A,#N/A,FALSE,"Balance Sheet";#N/A,#N/A,FALSE,"P &amp; L"}</definedName>
    <definedName name="majda_1_2" localSheetId="26" hidden="1">{#N/A,#N/A,FALSE,"Cash Flows";#N/A,#N/A,FALSE,"Fixed Assets";#N/A,#N/A,FALSE,"Balance Sheet";#N/A,#N/A,FALSE,"P &amp; L"}</definedName>
    <definedName name="majda_1_2" localSheetId="0" hidden="1">{#N/A,#N/A,FALSE,"Cash Flows";#N/A,#N/A,FALSE,"Fixed Assets";#N/A,#N/A,FALSE,"Balance Sheet";#N/A,#N/A,FALSE,"P &amp; L"}</definedName>
    <definedName name="majda_1_2" hidden="1">{#N/A,#N/A,FALSE,"Cash Flows";#N/A,#N/A,FALSE,"Fixed Assets";#N/A,#N/A,FALSE,"Balance Sheet";#N/A,#N/A,FALSE,"P &amp; L"}</definedName>
    <definedName name="majda_1_3" localSheetId="26" hidden="1">{#N/A,#N/A,FALSE,"Cash Flows";#N/A,#N/A,FALSE,"Fixed Assets";#N/A,#N/A,FALSE,"Balance Sheet";#N/A,#N/A,FALSE,"P &amp; L"}</definedName>
    <definedName name="majda_1_3" localSheetId="0" hidden="1">{#N/A,#N/A,FALSE,"Cash Flows";#N/A,#N/A,FALSE,"Fixed Assets";#N/A,#N/A,FALSE,"Balance Sheet";#N/A,#N/A,FALSE,"P &amp; L"}</definedName>
    <definedName name="majda_1_3" hidden="1">{#N/A,#N/A,FALSE,"Cash Flows";#N/A,#N/A,FALSE,"Fixed Assets";#N/A,#N/A,FALSE,"Balance Sheet";#N/A,#N/A,FALSE,"P &amp; L"}</definedName>
    <definedName name="majda_2" localSheetId="26" hidden="1">{#N/A,#N/A,FALSE,"Cash Flows";#N/A,#N/A,FALSE,"Fixed Assets";#N/A,#N/A,FALSE,"Balance Sheet";#N/A,#N/A,FALSE,"P &amp; L"}</definedName>
    <definedName name="majda_2" localSheetId="0" hidden="1">{#N/A,#N/A,FALSE,"Cash Flows";#N/A,#N/A,FALSE,"Fixed Assets";#N/A,#N/A,FALSE,"Balance Sheet";#N/A,#N/A,FALSE,"P &amp; L"}</definedName>
    <definedName name="majda_2" hidden="1">{#N/A,#N/A,FALSE,"Cash Flows";#N/A,#N/A,FALSE,"Fixed Assets";#N/A,#N/A,FALSE,"Balance Sheet";#N/A,#N/A,FALSE,"P &amp; L"}</definedName>
    <definedName name="majda_2_1" localSheetId="26" hidden="1">{#N/A,#N/A,FALSE,"Cash Flows";#N/A,#N/A,FALSE,"Fixed Assets";#N/A,#N/A,FALSE,"Balance Sheet";#N/A,#N/A,FALSE,"P &amp; L"}</definedName>
    <definedName name="majda_2_1" localSheetId="0" hidden="1">{#N/A,#N/A,FALSE,"Cash Flows";#N/A,#N/A,FALSE,"Fixed Assets";#N/A,#N/A,FALSE,"Balance Sheet";#N/A,#N/A,FALSE,"P &amp; L"}</definedName>
    <definedName name="majda_2_1" hidden="1">{#N/A,#N/A,FALSE,"Cash Flows";#N/A,#N/A,FALSE,"Fixed Assets";#N/A,#N/A,FALSE,"Balance Sheet";#N/A,#N/A,FALSE,"P &amp; L"}</definedName>
    <definedName name="majda_2_2" localSheetId="26" hidden="1">{#N/A,#N/A,FALSE,"Cash Flows";#N/A,#N/A,FALSE,"Fixed Assets";#N/A,#N/A,FALSE,"Balance Sheet";#N/A,#N/A,FALSE,"P &amp; L"}</definedName>
    <definedName name="majda_2_2" localSheetId="0" hidden="1">{#N/A,#N/A,FALSE,"Cash Flows";#N/A,#N/A,FALSE,"Fixed Assets";#N/A,#N/A,FALSE,"Balance Sheet";#N/A,#N/A,FALSE,"P &amp; L"}</definedName>
    <definedName name="majda_2_2" hidden="1">{#N/A,#N/A,FALSE,"Cash Flows";#N/A,#N/A,FALSE,"Fixed Assets";#N/A,#N/A,FALSE,"Balance Sheet";#N/A,#N/A,FALSE,"P &amp; L"}</definedName>
    <definedName name="majda_3" localSheetId="26" hidden="1">{#N/A,#N/A,FALSE,"Cash Flows";#N/A,#N/A,FALSE,"Fixed Assets";#N/A,#N/A,FALSE,"Balance Sheet";#N/A,#N/A,FALSE,"P &amp; L"}</definedName>
    <definedName name="majda_3" localSheetId="0" hidden="1">{#N/A,#N/A,FALSE,"Cash Flows";#N/A,#N/A,FALSE,"Fixed Assets";#N/A,#N/A,FALSE,"Balance Sheet";#N/A,#N/A,FALSE,"P &amp; L"}</definedName>
    <definedName name="majda_3" hidden="1">{#N/A,#N/A,FALSE,"Cash Flows";#N/A,#N/A,FALSE,"Fixed Assets";#N/A,#N/A,FALSE,"Balance Sheet";#N/A,#N/A,FALSE,"P &amp; L"}</definedName>
    <definedName name="majda_4" localSheetId="26" hidden="1">{#N/A,#N/A,FALSE,"Cash Flows";#N/A,#N/A,FALSE,"Fixed Assets";#N/A,#N/A,FALSE,"Balance Sheet";#N/A,#N/A,FALSE,"P &amp; L"}</definedName>
    <definedName name="majda_4" localSheetId="0" hidden="1">{#N/A,#N/A,FALSE,"Cash Flows";#N/A,#N/A,FALSE,"Fixed Assets";#N/A,#N/A,FALSE,"Balance Sheet";#N/A,#N/A,FALSE,"P &amp; L"}</definedName>
    <definedName name="majda_4" hidden="1">{#N/A,#N/A,FALSE,"Cash Flows";#N/A,#N/A,FALSE,"Fixed Assets";#N/A,#N/A,FALSE,"Balance Sheet";#N/A,#N/A,FALSE,"P &amp; L"}</definedName>
    <definedName name="majda_5" localSheetId="26" hidden="1">{#N/A,#N/A,FALSE,"Cash Flows";#N/A,#N/A,FALSE,"Fixed Assets";#N/A,#N/A,FALSE,"Balance Sheet";#N/A,#N/A,FALSE,"P &amp; L"}</definedName>
    <definedName name="majda_5" localSheetId="0" hidden="1">{#N/A,#N/A,FALSE,"Cash Flows";#N/A,#N/A,FALSE,"Fixed Assets";#N/A,#N/A,FALSE,"Balance Sheet";#N/A,#N/A,FALSE,"P &amp; L"}</definedName>
    <definedName name="majda_5" hidden="1">{#N/A,#N/A,FALSE,"Cash Flows";#N/A,#N/A,FALSE,"Fixed Assets";#N/A,#N/A,FALSE,"Balance Sheet";#N/A,#N/A,FALSE,"P &amp; L"}</definedName>
    <definedName name="mbj" localSheetId="26" hidden="1">{#N/A,#N/A,FALSE,"Cash Flows";#N/A,#N/A,FALSE,"Fixed Assets";#N/A,#N/A,FALSE,"Balance Sheet";#N/A,#N/A,FALSE,"P &amp; L"}</definedName>
    <definedName name="mbj" localSheetId="0" hidden="1">{#N/A,#N/A,FALSE,"Cash Flows";#N/A,#N/A,FALSE,"Fixed Assets";#N/A,#N/A,FALSE,"Balance Sheet";#N/A,#N/A,FALSE,"P &amp; L"}</definedName>
    <definedName name="mbj" hidden="1">{#N/A,#N/A,FALSE,"Cash Flows";#N/A,#N/A,FALSE,"Fixed Assets";#N/A,#N/A,FALSE,"Balance Sheet";#N/A,#N/A,FALSE,"P &amp; L"}</definedName>
    <definedName name="mbj_1" localSheetId="26" hidden="1">{#N/A,#N/A,FALSE,"Cash Flows";#N/A,#N/A,FALSE,"Fixed Assets";#N/A,#N/A,FALSE,"Balance Sheet";#N/A,#N/A,FALSE,"P &amp; L"}</definedName>
    <definedName name="mbj_1" localSheetId="0" hidden="1">{#N/A,#N/A,FALSE,"Cash Flows";#N/A,#N/A,FALSE,"Fixed Assets";#N/A,#N/A,FALSE,"Balance Sheet";#N/A,#N/A,FALSE,"P &amp; L"}</definedName>
    <definedName name="mbj_1" hidden="1">{#N/A,#N/A,FALSE,"Cash Flows";#N/A,#N/A,FALSE,"Fixed Assets";#N/A,#N/A,FALSE,"Balance Sheet";#N/A,#N/A,FALSE,"P &amp; L"}</definedName>
    <definedName name="mbj_1_1" localSheetId="26" hidden="1">{#N/A,#N/A,FALSE,"Cash Flows";#N/A,#N/A,FALSE,"Fixed Assets";#N/A,#N/A,FALSE,"Balance Sheet";#N/A,#N/A,FALSE,"P &amp; L"}</definedName>
    <definedName name="mbj_1_1" localSheetId="0" hidden="1">{#N/A,#N/A,FALSE,"Cash Flows";#N/A,#N/A,FALSE,"Fixed Assets";#N/A,#N/A,FALSE,"Balance Sheet";#N/A,#N/A,FALSE,"P &amp; L"}</definedName>
    <definedName name="mbj_1_1" hidden="1">{#N/A,#N/A,FALSE,"Cash Flows";#N/A,#N/A,FALSE,"Fixed Assets";#N/A,#N/A,FALSE,"Balance Sheet";#N/A,#N/A,FALSE,"P &amp; L"}</definedName>
    <definedName name="mbj_1_2" localSheetId="26" hidden="1">{#N/A,#N/A,FALSE,"Cash Flows";#N/A,#N/A,FALSE,"Fixed Assets";#N/A,#N/A,FALSE,"Balance Sheet";#N/A,#N/A,FALSE,"P &amp; L"}</definedName>
    <definedName name="mbj_1_2" localSheetId="0" hidden="1">{#N/A,#N/A,FALSE,"Cash Flows";#N/A,#N/A,FALSE,"Fixed Assets";#N/A,#N/A,FALSE,"Balance Sheet";#N/A,#N/A,FALSE,"P &amp; L"}</definedName>
    <definedName name="mbj_1_2" hidden="1">{#N/A,#N/A,FALSE,"Cash Flows";#N/A,#N/A,FALSE,"Fixed Assets";#N/A,#N/A,FALSE,"Balance Sheet";#N/A,#N/A,FALSE,"P &amp; L"}</definedName>
    <definedName name="mbj_1_3" localSheetId="26" hidden="1">{#N/A,#N/A,FALSE,"Cash Flows";#N/A,#N/A,FALSE,"Fixed Assets";#N/A,#N/A,FALSE,"Balance Sheet";#N/A,#N/A,FALSE,"P &amp; L"}</definedName>
    <definedName name="mbj_1_3" localSheetId="0" hidden="1">{#N/A,#N/A,FALSE,"Cash Flows";#N/A,#N/A,FALSE,"Fixed Assets";#N/A,#N/A,FALSE,"Balance Sheet";#N/A,#N/A,FALSE,"P &amp; L"}</definedName>
    <definedName name="mbj_1_3" hidden="1">{#N/A,#N/A,FALSE,"Cash Flows";#N/A,#N/A,FALSE,"Fixed Assets";#N/A,#N/A,FALSE,"Balance Sheet";#N/A,#N/A,FALSE,"P &amp; L"}</definedName>
    <definedName name="mbj_2" localSheetId="26" hidden="1">{#N/A,#N/A,FALSE,"Cash Flows";#N/A,#N/A,FALSE,"Fixed Assets";#N/A,#N/A,FALSE,"Balance Sheet";#N/A,#N/A,FALSE,"P &amp; L"}</definedName>
    <definedName name="mbj_2" localSheetId="0" hidden="1">{#N/A,#N/A,FALSE,"Cash Flows";#N/A,#N/A,FALSE,"Fixed Assets";#N/A,#N/A,FALSE,"Balance Sheet";#N/A,#N/A,FALSE,"P &amp; L"}</definedName>
    <definedName name="mbj_2" hidden="1">{#N/A,#N/A,FALSE,"Cash Flows";#N/A,#N/A,FALSE,"Fixed Assets";#N/A,#N/A,FALSE,"Balance Sheet";#N/A,#N/A,FALSE,"P &amp; L"}</definedName>
    <definedName name="mbj_2_1" localSheetId="26" hidden="1">{#N/A,#N/A,FALSE,"Cash Flows";#N/A,#N/A,FALSE,"Fixed Assets";#N/A,#N/A,FALSE,"Balance Sheet";#N/A,#N/A,FALSE,"P &amp; L"}</definedName>
    <definedName name="mbj_2_1" localSheetId="0" hidden="1">{#N/A,#N/A,FALSE,"Cash Flows";#N/A,#N/A,FALSE,"Fixed Assets";#N/A,#N/A,FALSE,"Balance Sheet";#N/A,#N/A,FALSE,"P &amp; L"}</definedName>
    <definedName name="mbj_2_1" hidden="1">{#N/A,#N/A,FALSE,"Cash Flows";#N/A,#N/A,FALSE,"Fixed Assets";#N/A,#N/A,FALSE,"Balance Sheet";#N/A,#N/A,FALSE,"P &amp; L"}</definedName>
    <definedName name="mbj_2_2" localSheetId="26" hidden="1">{#N/A,#N/A,FALSE,"Cash Flows";#N/A,#N/A,FALSE,"Fixed Assets";#N/A,#N/A,FALSE,"Balance Sheet";#N/A,#N/A,FALSE,"P &amp; L"}</definedName>
    <definedName name="mbj_2_2" localSheetId="0" hidden="1">{#N/A,#N/A,FALSE,"Cash Flows";#N/A,#N/A,FALSE,"Fixed Assets";#N/A,#N/A,FALSE,"Balance Sheet";#N/A,#N/A,FALSE,"P &amp; L"}</definedName>
    <definedName name="mbj_2_2" hidden="1">{#N/A,#N/A,FALSE,"Cash Flows";#N/A,#N/A,FALSE,"Fixed Assets";#N/A,#N/A,FALSE,"Balance Sheet";#N/A,#N/A,FALSE,"P &amp; L"}</definedName>
    <definedName name="mbj_3" localSheetId="26" hidden="1">{#N/A,#N/A,FALSE,"Cash Flows";#N/A,#N/A,FALSE,"Fixed Assets";#N/A,#N/A,FALSE,"Balance Sheet";#N/A,#N/A,FALSE,"P &amp; L"}</definedName>
    <definedName name="mbj_3" localSheetId="0" hidden="1">{#N/A,#N/A,FALSE,"Cash Flows";#N/A,#N/A,FALSE,"Fixed Assets";#N/A,#N/A,FALSE,"Balance Sheet";#N/A,#N/A,FALSE,"P &amp; L"}</definedName>
    <definedName name="mbj_3" hidden="1">{#N/A,#N/A,FALSE,"Cash Flows";#N/A,#N/A,FALSE,"Fixed Assets";#N/A,#N/A,FALSE,"Balance Sheet";#N/A,#N/A,FALSE,"P &amp; L"}</definedName>
    <definedName name="mbj_4" localSheetId="26" hidden="1">{#N/A,#N/A,FALSE,"Cash Flows";#N/A,#N/A,FALSE,"Fixed Assets";#N/A,#N/A,FALSE,"Balance Sheet";#N/A,#N/A,FALSE,"P &amp; L"}</definedName>
    <definedName name="mbj_4" localSheetId="0" hidden="1">{#N/A,#N/A,FALSE,"Cash Flows";#N/A,#N/A,FALSE,"Fixed Assets";#N/A,#N/A,FALSE,"Balance Sheet";#N/A,#N/A,FALSE,"P &amp; L"}</definedName>
    <definedName name="mbj_4" hidden="1">{#N/A,#N/A,FALSE,"Cash Flows";#N/A,#N/A,FALSE,"Fixed Assets";#N/A,#N/A,FALSE,"Balance Sheet";#N/A,#N/A,FALSE,"P &amp; L"}</definedName>
    <definedName name="mbj_5" localSheetId="26" hidden="1">{#N/A,#N/A,FALSE,"Cash Flows";#N/A,#N/A,FALSE,"Fixed Assets";#N/A,#N/A,FALSE,"Balance Sheet";#N/A,#N/A,FALSE,"P &amp; L"}</definedName>
    <definedName name="mbj_5" localSheetId="0" hidden="1">{#N/A,#N/A,FALSE,"Cash Flows";#N/A,#N/A,FALSE,"Fixed Assets";#N/A,#N/A,FALSE,"Balance Sheet";#N/A,#N/A,FALSE,"P &amp; L"}</definedName>
    <definedName name="mbj_5" hidden="1">{#N/A,#N/A,FALSE,"Cash Flows";#N/A,#N/A,FALSE,"Fixed Assets";#N/A,#N/A,FALSE,"Balance Sheet";#N/A,#N/A,FALSE,"P &amp; L"}</definedName>
    <definedName name="mj" localSheetId="9" hidden="1">[1]MOTO!#REF!</definedName>
    <definedName name="mj" localSheetId="1" hidden="1">[1]MOTO!#REF!</definedName>
    <definedName name="mj" localSheetId="23" hidden="1">[1]MOTO!#REF!</definedName>
    <definedName name="mj" localSheetId="22" hidden="1">[1]MOTO!#REF!</definedName>
    <definedName name="mj" localSheetId="26" hidden="1">[18]MOTO!#REF!</definedName>
    <definedName name="mj" localSheetId="14" hidden="1">[1]MOTO!#REF!</definedName>
    <definedName name="mj" localSheetId="21" hidden="1">[18]MOTO!#REF!</definedName>
    <definedName name="mj" localSheetId="3" hidden="1">[18]MOTO!#REF!</definedName>
    <definedName name="mj" localSheetId="29" hidden="1">[1]MOTO!#REF!</definedName>
    <definedName name="mj" localSheetId="28" hidden="1">[18]MOTO!#REF!</definedName>
    <definedName name="mj" localSheetId="27" hidden="1">[18]MOTO!#REF!</definedName>
    <definedName name="mj" localSheetId="0" hidden="1">[18]MOTO!#REF!</definedName>
    <definedName name="mj" hidden="1">[1]MOTO!#REF!</definedName>
    <definedName name="mmm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mm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mm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mm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mm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mm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mm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nb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nb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nb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nb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nb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nb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nb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muroi" localSheetId="9" hidden="1">[12]MOTO!#REF!</definedName>
    <definedName name="muroi" localSheetId="1" hidden="1">[12]MOTO!#REF!</definedName>
    <definedName name="muroi" localSheetId="23" hidden="1">[12]MOTO!#REF!</definedName>
    <definedName name="muroi" localSheetId="22" hidden="1">[12]MOTO!#REF!</definedName>
    <definedName name="muroi" localSheetId="26" hidden="1">[12]MOTO!#REF!</definedName>
    <definedName name="muroi" localSheetId="14" hidden="1">[12]MOTO!#REF!</definedName>
    <definedName name="muroi" localSheetId="21" hidden="1">[12]MOTO!#REF!</definedName>
    <definedName name="muroi" localSheetId="3" hidden="1">[12]MOTO!#REF!</definedName>
    <definedName name="muroi" localSheetId="29" hidden="1">[12]MOTO!#REF!</definedName>
    <definedName name="muroi" localSheetId="28" hidden="1">[12]MOTO!#REF!</definedName>
    <definedName name="muroi" localSheetId="27" hidden="1">[12]MOTO!#REF!</definedName>
    <definedName name="muroi" localSheetId="0" hidden="1">[12]MOTO!#REF!</definedName>
    <definedName name="muroi" hidden="1">[12]MOTO!#REF!</definedName>
    <definedName name="new_wrn.sales._.Forecast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_wrn.sales._.Forecast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_wrn.sales._.Forecast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_wrn.sales._.Forecast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_wrn.sales._.Forecast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_wrn.sales._.Forecast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_wrn.sales._.Forecast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Sales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Sales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Sales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Sales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Sales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Sales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ewSales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NLGeXToEUR" localSheetId="9" hidden="1">1/EUReXToNLG</definedName>
    <definedName name="NLGeXToEUR" localSheetId="1" hidden="1">1/EUReXToNLG</definedName>
    <definedName name="NLGeXToEUR" localSheetId="26" hidden="1">1/EUReXToNLG</definedName>
    <definedName name="NLGeXToEUR" localSheetId="21" hidden="1">1/EUReXToNLG</definedName>
    <definedName name="NLGeXToEUR" localSheetId="3" hidden="1">1/EUReXToNLG</definedName>
    <definedName name="NLGeXToEUR" localSheetId="28" hidden="1">1/EUReXToNLG</definedName>
    <definedName name="NLGeXToEUR" localSheetId="27" hidden="1">1/EUReXToNLG</definedName>
    <definedName name="NLGeXToEUR" localSheetId="0" hidden="1">1/EUReXToNLG</definedName>
    <definedName name="NLGeXToEUR" hidden="1">1/EUReXToNLG</definedName>
    <definedName name="Order2" hidden="1">1</definedName>
    <definedName name="PACKAGE3" localSheetId="26" hidden="1">{#N/A,#N/A,FALSE,"단축1";#N/A,#N/A,FALSE,"단축2";#N/A,#N/A,FALSE,"단축3";#N/A,#N/A,FALSE,"장축";#N/A,#N/A,FALSE,"4WD"}</definedName>
    <definedName name="PACKAGE3" localSheetId="0" hidden="1">{#N/A,#N/A,FALSE,"단축1";#N/A,#N/A,FALSE,"단축2";#N/A,#N/A,FALSE,"단축3";#N/A,#N/A,FALSE,"장축";#N/A,#N/A,FALSE,"4WD"}</definedName>
    <definedName name="PACKAGE3" hidden="1">{#N/A,#N/A,FALSE,"단축1";#N/A,#N/A,FALSE,"단축2";#N/A,#N/A,FALSE,"단축3";#N/A,#N/A,FALSE,"장축";#N/A,#N/A,FALSE,"4WD"}</definedName>
    <definedName name="PACKAGE3_1" localSheetId="26" hidden="1">{#N/A,#N/A,FALSE,"단축1";#N/A,#N/A,FALSE,"단축2";#N/A,#N/A,FALSE,"단축3";#N/A,#N/A,FALSE,"장축";#N/A,#N/A,FALSE,"4WD"}</definedName>
    <definedName name="PACKAGE3_1" localSheetId="0" hidden="1">{#N/A,#N/A,FALSE,"단축1";#N/A,#N/A,FALSE,"단축2";#N/A,#N/A,FALSE,"단축3";#N/A,#N/A,FALSE,"장축";#N/A,#N/A,FALSE,"4WD"}</definedName>
    <definedName name="PACKAGE3_1" hidden="1">{#N/A,#N/A,FALSE,"단축1";#N/A,#N/A,FALSE,"단축2";#N/A,#N/A,FALSE,"단축3";#N/A,#N/A,FALSE,"장축";#N/A,#N/A,FALSE,"4WD"}</definedName>
    <definedName name="PACKAGE3_1_1" localSheetId="26" hidden="1">{#N/A,#N/A,FALSE,"단축1";#N/A,#N/A,FALSE,"단축2";#N/A,#N/A,FALSE,"단축3";#N/A,#N/A,FALSE,"장축";#N/A,#N/A,FALSE,"4WD"}</definedName>
    <definedName name="PACKAGE3_1_1" localSheetId="0" hidden="1">{#N/A,#N/A,FALSE,"단축1";#N/A,#N/A,FALSE,"단축2";#N/A,#N/A,FALSE,"단축3";#N/A,#N/A,FALSE,"장축";#N/A,#N/A,FALSE,"4WD"}</definedName>
    <definedName name="PACKAGE3_1_1" hidden="1">{#N/A,#N/A,FALSE,"단축1";#N/A,#N/A,FALSE,"단축2";#N/A,#N/A,FALSE,"단축3";#N/A,#N/A,FALSE,"장축";#N/A,#N/A,FALSE,"4WD"}</definedName>
    <definedName name="PACKAGE3_1_2" localSheetId="26" hidden="1">{#N/A,#N/A,FALSE,"단축1";#N/A,#N/A,FALSE,"단축2";#N/A,#N/A,FALSE,"단축3";#N/A,#N/A,FALSE,"장축";#N/A,#N/A,FALSE,"4WD"}</definedName>
    <definedName name="PACKAGE3_1_2" localSheetId="0" hidden="1">{#N/A,#N/A,FALSE,"단축1";#N/A,#N/A,FALSE,"단축2";#N/A,#N/A,FALSE,"단축3";#N/A,#N/A,FALSE,"장축";#N/A,#N/A,FALSE,"4WD"}</definedName>
    <definedName name="PACKAGE3_1_2" hidden="1">{#N/A,#N/A,FALSE,"단축1";#N/A,#N/A,FALSE,"단축2";#N/A,#N/A,FALSE,"단축3";#N/A,#N/A,FALSE,"장축";#N/A,#N/A,FALSE,"4WD"}</definedName>
    <definedName name="PACKAGE3_1_3" localSheetId="26" hidden="1">{#N/A,#N/A,FALSE,"단축1";#N/A,#N/A,FALSE,"단축2";#N/A,#N/A,FALSE,"단축3";#N/A,#N/A,FALSE,"장축";#N/A,#N/A,FALSE,"4WD"}</definedName>
    <definedName name="PACKAGE3_1_3" localSheetId="0" hidden="1">{#N/A,#N/A,FALSE,"단축1";#N/A,#N/A,FALSE,"단축2";#N/A,#N/A,FALSE,"단축3";#N/A,#N/A,FALSE,"장축";#N/A,#N/A,FALSE,"4WD"}</definedName>
    <definedName name="PACKAGE3_1_3" hidden="1">{#N/A,#N/A,FALSE,"단축1";#N/A,#N/A,FALSE,"단축2";#N/A,#N/A,FALSE,"단축3";#N/A,#N/A,FALSE,"장축";#N/A,#N/A,FALSE,"4WD"}</definedName>
    <definedName name="PACKAGE3_2" localSheetId="26" hidden="1">{#N/A,#N/A,FALSE,"단축1";#N/A,#N/A,FALSE,"단축2";#N/A,#N/A,FALSE,"단축3";#N/A,#N/A,FALSE,"장축";#N/A,#N/A,FALSE,"4WD"}</definedName>
    <definedName name="PACKAGE3_2" localSheetId="0" hidden="1">{#N/A,#N/A,FALSE,"단축1";#N/A,#N/A,FALSE,"단축2";#N/A,#N/A,FALSE,"단축3";#N/A,#N/A,FALSE,"장축";#N/A,#N/A,FALSE,"4WD"}</definedName>
    <definedName name="PACKAGE3_2" hidden="1">{#N/A,#N/A,FALSE,"단축1";#N/A,#N/A,FALSE,"단축2";#N/A,#N/A,FALSE,"단축3";#N/A,#N/A,FALSE,"장축";#N/A,#N/A,FALSE,"4WD"}</definedName>
    <definedName name="PACKAGE3_2_1" localSheetId="26" hidden="1">{#N/A,#N/A,FALSE,"단축1";#N/A,#N/A,FALSE,"단축2";#N/A,#N/A,FALSE,"단축3";#N/A,#N/A,FALSE,"장축";#N/A,#N/A,FALSE,"4WD"}</definedName>
    <definedName name="PACKAGE3_2_1" localSheetId="0" hidden="1">{#N/A,#N/A,FALSE,"단축1";#N/A,#N/A,FALSE,"단축2";#N/A,#N/A,FALSE,"단축3";#N/A,#N/A,FALSE,"장축";#N/A,#N/A,FALSE,"4WD"}</definedName>
    <definedName name="PACKAGE3_2_1" hidden="1">{#N/A,#N/A,FALSE,"단축1";#N/A,#N/A,FALSE,"단축2";#N/A,#N/A,FALSE,"단축3";#N/A,#N/A,FALSE,"장축";#N/A,#N/A,FALSE,"4WD"}</definedName>
    <definedName name="PACKAGE3_2_2" localSheetId="26" hidden="1">{#N/A,#N/A,FALSE,"단축1";#N/A,#N/A,FALSE,"단축2";#N/A,#N/A,FALSE,"단축3";#N/A,#N/A,FALSE,"장축";#N/A,#N/A,FALSE,"4WD"}</definedName>
    <definedName name="PACKAGE3_2_2" localSheetId="0" hidden="1">{#N/A,#N/A,FALSE,"단축1";#N/A,#N/A,FALSE,"단축2";#N/A,#N/A,FALSE,"단축3";#N/A,#N/A,FALSE,"장축";#N/A,#N/A,FALSE,"4WD"}</definedName>
    <definedName name="PACKAGE3_2_2" hidden="1">{#N/A,#N/A,FALSE,"단축1";#N/A,#N/A,FALSE,"단축2";#N/A,#N/A,FALSE,"단축3";#N/A,#N/A,FALSE,"장축";#N/A,#N/A,FALSE,"4WD"}</definedName>
    <definedName name="PACKAGE3_3" localSheetId="26" hidden="1">{#N/A,#N/A,FALSE,"단축1";#N/A,#N/A,FALSE,"단축2";#N/A,#N/A,FALSE,"단축3";#N/A,#N/A,FALSE,"장축";#N/A,#N/A,FALSE,"4WD"}</definedName>
    <definedName name="PACKAGE3_3" localSheetId="0" hidden="1">{#N/A,#N/A,FALSE,"단축1";#N/A,#N/A,FALSE,"단축2";#N/A,#N/A,FALSE,"단축3";#N/A,#N/A,FALSE,"장축";#N/A,#N/A,FALSE,"4WD"}</definedName>
    <definedName name="PACKAGE3_3" hidden="1">{#N/A,#N/A,FALSE,"단축1";#N/A,#N/A,FALSE,"단축2";#N/A,#N/A,FALSE,"단축3";#N/A,#N/A,FALSE,"장축";#N/A,#N/A,FALSE,"4WD"}</definedName>
    <definedName name="PACKAGE3_4" localSheetId="26" hidden="1">{#N/A,#N/A,FALSE,"단축1";#N/A,#N/A,FALSE,"단축2";#N/A,#N/A,FALSE,"단축3";#N/A,#N/A,FALSE,"장축";#N/A,#N/A,FALSE,"4WD"}</definedName>
    <definedName name="PACKAGE3_4" localSheetId="0" hidden="1">{#N/A,#N/A,FALSE,"단축1";#N/A,#N/A,FALSE,"단축2";#N/A,#N/A,FALSE,"단축3";#N/A,#N/A,FALSE,"장축";#N/A,#N/A,FALSE,"4WD"}</definedName>
    <definedName name="PACKAGE3_4" hidden="1">{#N/A,#N/A,FALSE,"단축1";#N/A,#N/A,FALSE,"단축2";#N/A,#N/A,FALSE,"단축3";#N/A,#N/A,FALSE,"장축";#N/A,#N/A,FALSE,"4WD"}</definedName>
    <definedName name="PACKAGE3_5" localSheetId="26" hidden="1">{#N/A,#N/A,FALSE,"단축1";#N/A,#N/A,FALSE,"단축2";#N/A,#N/A,FALSE,"단축3";#N/A,#N/A,FALSE,"장축";#N/A,#N/A,FALSE,"4WD"}</definedName>
    <definedName name="PACKAGE3_5" localSheetId="0" hidden="1">{#N/A,#N/A,FALSE,"단축1";#N/A,#N/A,FALSE,"단축2";#N/A,#N/A,FALSE,"단축3";#N/A,#N/A,FALSE,"장축";#N/A,#N/A,FALSE,"4WD"}</definedName>
    <definedName name="PACKAGE3_5" hidden="1">{#N/A,#N/A,FALSE,"단축1";#N/A,#N/A,FALSE,"단축2";#N/A,#N/A,FALSE,"단축3";#N/A,#N/A,FALSE,"장축";#N/A,#N/A,FALSE,"4WD"}</definedName>
    <definedName name="POLAND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POLAND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POLAND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POLAND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POLAND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POLAND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POLAND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poWERDETAIL" localSheetId="9" hidden="1">#REF!</definedName>
    <definedName name="poWERDETAIL" localSheetId="26" hidden="1">#REF!</definedName>
    <definedName name="poWERDETAIL" localSheetId="0" hidden="1">#REF!</definedName>
    <definedName name="poWERDETAIL" hidden="1">#REF!</definedName>
    <definedName name="ppp" localSheetId="9" hidden="1">[18]MOTO!#REF!</definedName>
    <definedName name="ppp" localSheetId="1" hidden="1">[18]MOTO!#REF!</definedName>
    <definedName name="ppp" localSheetId="26" hidden="1">[18]MOTO!#REF!</definedName>
    <definedName name="ppp" localSheetId="21" hidden="1">[18]MOTO!#REF!</definedName>
    <definedName name="ppp" localSheetId="3" hidden="1">[18]MOTO!#REF!</definedName>
    <definedName name="ppp" localSheetId="28" hidden="1">[18]MOTO!#REF!</definedName>
    <definedName name="ppp" localSheetId="27" hidden="1">[18]MOTO!#REF!</definedName>
    <definedName name="ppp" localSheetId="0" hidden="1">[18]MOTO!#REF!</definedName>
    <definedName name="ppp" hidden="1">[18]MOTO!#REF!</definedName>
    <definedName name="precoat" localSheetId="26" hidden="1">{#N/A,#N/A,FALSE,"Cash Flows";#N/A,#N/A,FALSE,"Fixed Assets";#N/A,#N/A,FALSE,"Balance Sheet";#N/A,#N/A,FALSE,"P &amp; L"}</definedName>
    <definedName name="precoat" localSheetId="0" hidden="1">{#N/A,#N/A,FALSE,"Cash Flows";#N/A,#N/A,FALSE,"Fixed Assets";#N/A,#N/A,FALSE,"Balance Sheet";#N/A,#N/A,FALSE,"P &amp; L"}</definedName>
    <definedName name="precoat" hidden="1">{#N/A,#N/A,FALSE,"Cash Flows";#N/A,#N/A,FALSE,"Fixed Assets";#N/A,#N/A,FALSE,"Balance Sheet";#N/A,#N/A,FALSE,"P &amp; L"}</definedName>
    <definedName name="precoat_1" localSheetId="26" hidden="1">{#N/A,#N/A,FALSE,"Cash Flows";#N/A,#N/A,FALSE,"Fixed Assets";#N/A,#N/A,FALSE,"Balance Sheet";#N/A,#N/A,FALSE,"P &amp; L"}</definedName>
    <definedName name="precoat_1" localSheetId="0" hidden="1">{#N/A,#N/A,FALSE,"Cash Flows";#N/A,#N/A,FALSE,"Fixed Assets";#N/A,#N/A,FALSE,"Balance Sheet";#N/A,#N/A,FALSE,"P &amp; L"}</definedName>
    <definedName name="precoat_1" hidden="1">{#N/A,#N/A,FALSE,"Cash Flows";#N/A,#N/A,FALSE,"Fixed Assets";#N/A,#N/A,FALSE,"Balance Sheet";#N/A,#N/A,FALSE,"P &amp; L"}</definedName>
    <definedName name="precoat_1_1" localSheetId="26" hidden="1">{#N/A,#N/A,FALSE,"Cash Flows";#N/A,#N/A,FALSE,"Fixed Assets";#N/A,#N/A,FALSE,"Balance Sheet";#N/A,#N/A,FALSE,"P &amp; L"}</definedName>
    <definedName name="precoat_1_1" localSheetId="0" hidden="1">{#N/A,#N/A,FALSE,"Cash Flows";#N/A,#N/A,FALSE,"Fixed Assets";#N/A,#N/A,FALSE,"Balance Sheet";#N/A,#N/A,FALSE,"P &amp; L"}</definedName>
    <definedName name="precoat_1_1" hidden="1">{#N/A,#N/A,FALSE,"Cash Flows";#N/A,#N/A,FALSE,"Fixed Assets";#N/A,#N/A,FALSE,"Balance Sheet";#N/A,#N/A,FALSE,"P &amp; L"}</definedName>
    <definedName name="precoat_1_2" localSheetId="26" hidden="1">{#N/A,#N/A,FALSE,"Cash Flows";#N/A,#N/A,FALSE,"Fixed Assets";#N/A,#N/A,FALSE,"Balance Sheet";#N/A,#N/A,FALSE,"P &amp; L"}</definedName>
    <definedName name="precoat_1_2" localSheetId="0" hidden="1">{#N/A,#N/A,FALSE,"Cash Flows";#N/A,#N/A,FALSE,"Fixed Assets";#N/A,#N/A,FALSE,"Balance Sheet";#N/A,#N/A,FALSE,"P &amp; L"}</definedName>
    <definedName name="precoat_1_2" hidden="1">{#N/A,#N/A,FALSE,"Cash Flows";#N/A,#N/A,FALSE,"Fixed Assets";#N/A,#N/A,FALSE,"Balance Sheet";#N/A,#N/A,FALSE,"P &amp; L"}</definedName>
    <definedName name="precoat_1_3" localSheetId="26" hidden="1">{#N/A,#N/A,FALSE,"Cash Flows";#N/A,#N/A,FALSE,"Fixed Assets";#N/A,#N/A,FALSE,"Balance Sheet";#N/A,#N/A,FALSE,"P &amp; L"}</definedName>
    <definedName name="precoat_1_3" localSheetId="0" hidden="1">{#N/A,#N/A,FALSE,"Cash Flows";#N/A,#N/A,FALSE,"Fixed Assets";#N/A,#N/A,FALSE,"Balance Sheet";#N/A,#N/A,FALSE,"P &amp; L"}</definedName>
    <definedName name="precoat_1_3" hidden="1">{#N/A,#N/A,FALSE,"Cash Flows";#N/A,#N/A,FALSE,"Fixed Assets";#N/A,#N/A,FALSE,"Balance Sheet";#N/A,#N/A,FALSE,"P &amp; L"}</definedName>
    <definedName name="precoat_2" localSheetId="26" hidden="1">{#N/A,#N/A,FALSE,"Cash Flows";#N/A,#N/A,FALSE,"Fixed Assets";#N/A,#N/A,FALSE,"Balance Sheet";#N/A,#N/A,FALSE,"P &amp; L"}</definedName>
    <definedName name="precoat_2" localSheetId="0" hidden="1">{#N/A,#N/A,FALSE,"Cash Flows";#N/A,#N/A,FALSE,"Fixed Assets";#N/A,#N/A,FALSE,"Balance Sheet";#N/A,#N/A,FALSE,"P &amp; L"}</definedName>
    <definedName name="precoat_2" hidden="1">{#N/A,#N/A,FALSE,"Cash Flows";#N/A,#N/A,FALSE,"Fixed Assets";#N/A,#N/A,FALSE,"Balance Sheet";#N/A,#N/A,FALSE,"P &amp; L"}</definedName>
    <definedName name="precoat_2_1" localSheetId="26" hidden="1">{#N/A,#N/A,FALSE,"Cash Flows";#N/A,#N/A,FALSE,"Fixed Assets";#N/A,#N/A,FALSE,"Balance Sheet";#N/A,#N/A,FALSE,"P &amp; L"}</definedName>
    <definedName name="precoat_2_1" localSheetId="0" hidden="1">{#N/A,#N/A,FALSE,"Cash Flows";#N/A,#N/A,FALSE,"Fixed Assets";#N/A,#N/A,FALSE,"Balance Sheet";#N/A,#N/A,FALSE,"P &amp; L"}</definedName>
    <definedName name="precoat_2_1" hidden="1">{#N/A,#N/A,FALSE,"Cash Flows";#N/A,#N/A,FALSE,"Fixed Assets";#N/A,#N/A,FALSE,"Balance Sheet";#N/A,#N/A,FALSE,"P &amp; L"}</definedName>
    <definedName name="precoat_2_2" localSheetId="26" hidden="1">{#N/A,#N/A,FALSE,"Cash Flows";#N/A,#N/A,FALSE,"Fixed Assets";#N/A,#N/A,FALSE,"Balance Sheet";#N/A,#N/A,FALSE,"P &amp; L"}</definedName>
    <definedName name="precoat_2_2" localSheetId="0" hidden="1">{#N/A,#N/A,FALSE,"Cash Flows";#N/A,#N/A,FALSE,"Fixed Assets";#N/A,#N/A,FALSE,"Balance Sheet";#N/A,#N/A,FALSE,"P &amp; L"}</definedName>
    <definedName name="precoat_2_2" hidden="1">{#N/A,#N/A,FALSE,"Cash Flows";#N/A,#N/A,FALSE,"Fixed Assets";#N/A,#N/A,FALSE,"Balance Sheet";#N/A,#N/A,FALSE,"P &amp; L"}</definedName>
    <definedName name="precoat_3" localSheetId="26" hidden="1">{#N/A,#N/A,FALSE,"Cash Flows";#N/A,#N/A,FALSE,"Fixed Assets";#N/A,#N/A,FALSE,"Balance Sheet";#N/A,#N/A,FALSE,"P &amp; L"}</definedName>
    <definedName name="precoat_3" localSheetId="0" hidden="1">{#N/A,#N/A,FALSE,"Cash Flows";#N/A,#N/A,FALSE,"Fixed Assets";#N/A,#N/A,FALSE,"Balance Sheet";#N/A,#N/A,FALSE,"P &amp; L"}</definedName>
    <definedName name="precoat_3" hidden="1">{#N/A,#N/A,FALSE,"Cash Flows";#N/A,#N/A,FALSE,"Fixed Assets";#N/A,#N/A,FALSE,"Balance Sheet";#N/A,#N/A,FALSE,"P &amp; L"}</definedName>
    <definedName name="precoat_4" localSheetId="26" hidden="1">{#N/A,#N/A,FALSE,"Cash Flows";#N/A,#N/A,FALSE,"Fixed Assets";#N/A,#N/A,FALSE,"Balance Sheet";#N/A,#N/A,FALSE,"P &amp; L"}</definedName>
    <definedName name="precoat_4" localSheetId="0" hidden="1">{#N/A,#N/A,FALSE,"Cash Flows";#N/A,#N/A,FALSE,"Fixed Assets";#N/A,#N/A,FALSE,"Balance Sheet";#N/A,#N/A,FALSE,"P &amp; L"}</definedName>
    <definedName name="precoat_4" hidden="1">{#N/A,#N/A,FALSE,"Cash Flows";#N/A,#N/A,FALSE,"Fixed Assets";#N/A,#N/A,FALSE,"Balance Sheet";#N/A,#N/A,FALSE,"P &amp; L"}</definedName>
    <definedName name="precoat_5" localSheetId="26" hidden="1">{#N/A,#N/A,FALSE,"Cash Flows";#N/A,#N/A,FALSE,"Fixed Assets";#N/A,#N/A,FALSE,"Balance Sheet";#N/A,#N/A,FALSE,"P &amp; L"}</definedName>
    <definedName name="precoat_5" localSheetId="0" hidden="1">{#N/A,#N/A,FALSE,"Cash Flows";#N/A,#N/A,FALSE,"Fixed Assets";#N/A,#N/A,FALSE,"Balance Sheet";#N/A,#N/A,FALSE,"P &amp; L"}</definedName>
    <definedName name="precoat_5" hidden="1">{#N/A,#N/A,FALSE,"Cash Flows";#N/A,#N/A,FALSE,"Fixed Assets";#N/A,#N/A,FALSE,"Balance Sheet";#N/A,#N/A,FALSE,"P &amp; L"}</definedName>
    <definedName name="PTEeXToEUR" localSheetId="9" hidden="1">1/EUReXToPTE</definedName>
    <definedName name="PTEeXToEUR" localSheetId="1" hidden="1">1/EUReXToPTE</definedName>
    <definedName name="PTEeXToEUR" localSheetId="26" hidden="1">1/EUReXToPTE</definedName>
    <definedName name="PTEeXToEUR" localSheetId="21" hidden="1">1/EUReXToPTE</definedName>
    <definedName name="PTEeXToEUR" localSheetId="3" hidden="1">1/EUReXToPTE</definedName>
    <definedName name="PTEeXToEUR" localSheetId="28" hidden="1">1/EUReXToPTE</definedName>
    <definedName name="PTEeXToEUR" localSheetId="27" hidden="1">1/EUReXToPTE</definedName>
    <definedName name="PTEeXToEUR" localSheetId="0" hidden="1">1/EUReXToPTE</definedName>
    <definedName name="PTEeXToEUR" hidden="1">1/EUReXToPTE</definedName>
    <definedName name="Q" localSheetId="22" hidden="1">{#N/A,#N/A,FALSE,"196126-0690";#N/A,#N/A,FALSE,"196126-0690";#N/A,#N/A,FALSE,"1961165-0201"}</definedName>
    <definedName name="Q" localSheetId="26" hidden="1">{#N/A,#N/A,FALSE,"196126-0690";#N/A,#N/A,FALSE,"196126-0690";#N/A,#N/A,FALSE,"1961165-0201"}</definedName>
    <definedName name="Q" localSheetId="14" hidden="1">{#N/A,#N/A,FALSE,"196126-0690";#N/A,#N/A,FALSE,"196126-0690";#N/A,#N/A,FALSE,"1961165-0201"}</definedName>
    <definedName name="Q" localSheetId="21" hidden="1">{#N/A,#N/A,FALSE,"196126-0690";#N/A,#N/A,FALSE,"196126-0690";#N/A,#N/A,FALSE,"1961165-0201"}</definedName>
    <definedName name="Q" localSheetId="3" hidden="1">{#N/A,#N/A,FALSE,"196126-0690";#N/A,#N/A,FALSE,"196126-0690";#N/A,#N/A,FALSE,"1961165-0201"}</definedName>
    <definedName name="Q" localSheetId="27" hidden="1">{#N/A,#N/A,FALSE,"196126-0690";#N/A,#N/A,FALSE,"196126-0690";#N/A,#N/A,FALSE,"1961165-0201"}</definedName>
    <definedName name="Q" localSheetId="0" hidden="1">{#N/A,#N/A,FALSE,"196126-0690";#N/A,#N/A,FALSE,"196126-0690";#N/A,#N/A,FALSE,"1961165-0201"}</definedName>
    <definedName name="Q" hidden="1">{#N/A,#N/A,FALSE,"196126-0690";#N/A,#N/A,FALSE,"196126-0690";#N/A,#N/A,FALSE,"1961165-0201"}</definedName>
    <definedName name="QAW" localSheetId="26" hidden="1">{#N/A,#N/A,FALSE,"을지 (4)";#N/A,#N/A,FALSE,"을지 (5)";#N/A,#N/A,FALSE,"을지 (6)"}</definedName>
    <definedName name="QAW" localSheetId="0" hidden="1">{#N/A,#N/A,FALSE,"을지 (4)";#N/A,#N/A,FALSE,"을지 (5)";#N/A,#N/A,FALSE,"을지 (6)"}</definedName>
    <definedName name="QAW" hidden="1">{#N/A,#N/A,FALSE,"을지 (4)";#N/A,#N/A,FALSE,"을지 (5)";#N/A,#N/A,FALSE,"을지 (6)"}</definedName>
    <definedName name="QAW_1" localSheetId="26" hidden="1">{#N/A,#N/A,FALSE,"을지 (4)";#N/A,#N/A,FALSE,"을지 (5)";#N/A,#N/A,FALSE,"을지 (6)"}</definedName>
    <definedName name="QAW_1" localSheetId="0" hidden="1">{#N/A,#N/A,FALSE,"을지 (4)";#N/A,#N/A,FALSE,"을지 (5)";#N/A,#N/A,FALSE,"을지 (6)"}</definedName>
    <definedName name="QAW_1" hidden="1">{#N/A,#N/A,FALSE,"을지 (4)";#N/A,#N/A,FALSE,"을지 (5)";#N/A,#N/A,FALSE,"을지 (6)"}</definedName>
    <definedName name="QAW_1_1" localSheetId="26" hidden="1">{#N/A,#N/A,FALSE,"을지 (4)";#N/A,#N/A,FALSE,"을지 (5)";#N/A,#N/A,FALSE,"을지 (6)"}</definedName>
    <definedName name="QAW_1_1" localSheetId="0" hidden="1">{#N/A,#N/A,FALSE,"을지 (4)";#N/A,#N/A,FALSE,"을지 (5)";#N/A,#N/A,FALSE,"을지 (6)"}</definedName>
    <definedName name="QAW_1_1" hidden="1">{#N/A,#N/A,FALSE,"을지 (4)";#N/A,#N/A,FALSE,"을지 (5)";#N/A,#N/A,FALSE,"을지 (6)"}</definedName>
    <definedName name="QAW_1_2" localSheetId="26" hidden="1">{#N/A,#N/A,FALSE,"을지 (4)";#N/A,#N/A,FALSE,"을지 (5)";#N/A,#N/A,FALSE,"을지 (6)"}</definedName>
    <definedName name="QAW_1_2" localSheetId="0" hidden="1">{#N/A,#N/A,FALSE,"을지 (4)";#N/A,#N/A,FALSE,"을지 (5)";#N/A,#N/A,FALSE,"을지 (6)"}</definedName>
    <definedName name="QAW_1_2" hidden="1">{#N/A,#N/A,FALSE,"을지 (4)";#N/A,#N/A,FALSE,"을지 (5)";#N/A,#N/A,FALSE,"을지 (6)"}</definedName>
    <definedName name="QAW_1_3" localSheetId="26" hidden="1">{#N/A,#N/A,FALSE,"을지 (4)";#N/A,#N/A,FALSE,"을지 (5)";#N/A,#N/A,FALSE,"을지 (6)"}</definedName>
    <definedName name="QAW_1_3" localSheetId="0" hidden="1">{#N/A,#N/A,FALSE,"을지 (4)";#N/A,#N/A,FALSE,"을지 (5)";#N/A,#N/A,FALSE,"을지 (6)"}</definedName>
    <definedName name="QAW_1_3" hidden="1">{#N/A,#N/A,FALSE,"을지 (4)";#N/A,#N/A,FALSE,"을지 (5)";#N/A,#N/A,FALSE,"을지 (6)"}</definedName>
    <definedName name="QAW_2" localSheetId="26" hidden="1">{#N/A,#N/A,FALSE,"을지 (4)";#N/A,#N/A,FALSE,"을지 (5)";#N/A,#N/A,FALSE,"을지 (6)"}</definedName>
    <definedName name="QAW_2" localSheetId="0" hidden="1">{#N/A,#N/A,FALSE,"을지 (4)";#N/A,#N/A,FALSE,"을지 (5)";#N/A,#N/A,FALSE,"을지 (6)"}</definedName>
    <definedName name="QAW_2" hidden="1">{#N/A,#N/A,FALSE,"을지 (4)";#N/A,#N/A,FALSE,"을지 (5)";#N/A,#N/A,FALSE,"을지 (6)"}</definedName>
    <definedName name="QAW_2_1" localSheetId="26" hidden="1">{#N/A,#N/A,FALSE,"을지 (4)";#N/A,#N/A,FALSE,"을지 (5)";#N/A,#N/A,FALSE,"을지 (6)"}</definedName>
    <definedName name="QAW_2_1" localSheetId="0" hidden="1">{#N/A,#N/A,FALSE,"을지 (4)";#N/A,#N/A,FALSE,"을지 (5)";#N/A,#N/A,FALSE,"을지 (6)"}</definedName>
    <definedName name="QAW_2_1" hidden="1">{#N/A,#N/A,FALSE,"을지 (4)";#N/A,#N/A,FALSE,"을지 (5)";#N/A,#N/A,FALSE,"을지 (6)"}</definedName>
    <definedName name="QAW_2_2" localSheetId="26" hidden="1">{#N/A,#N/A,FALSE,"을지 (4)";#N/A,#N/A,FALSE,"을지 (5)";#N/A,#N/A,FALSE,"을지 (6)"}</definedName>
    <definedName name="QAW_2_2" localSheetId="0" hidden="1">{#N/A,#N/A,FALSE,"을지 (4)";#N/A,#N/A,FALSE,"을지 (5)";#N/A,#N/A,FALSE,"을지 (6)"}</definedName>
    <definedName name="QAW_2_2" hidden="1">{#N/A,#N/A,FALSE,"을지 (4)";#N/A,#N/A,FALSE,"을지 (5)";#N/A,#N/A,FALSE,"을지 (6)"}</definedName>
    <definedName name="QAW_3" localSheetId="26" hidden="1">{#N/A,#N/A,FALSE,"을지 (4)";#N/A,#N/A,FALSE,"을지 (5)";#N/A,#N/A,FALSE,"을지 (6)"}</definedName>
    <definedName name="QAW_3" localSheetId="0" hidden="1">{#N/A,#N/A,FALSE,"을지 (4)";#N/A,#N/A,FALSE,"을지 (5)";#N/A,#N/A,FALSE,"을지 (6)"}</definedName>
    <definedName name="QAW_3" hidden="1">{#N/A,#N/A,FALSE,"을지 (4)";#N/A,#N/A,FALSE,"을지 (5)";#N/A,#N/A,FALSE,"을지 (6)"}</definedName>
    <definedName name="QAW_4" localSheetId="26" hidden="1">{#N/A,#N/A,FALSE,"을지 (4)";#N/A,#N/A,FALSE,"을지 (5)";#N/A,#N/A,FALSE,"을지 (6)"}</definedName>
    <definedName name="QAW_4" localSheetId="0" hidden="1">{#N/A,#N/A,FALSE,"을지 (4)";#N/A,#N/A,FALSE,"을지 (5)";#N/A,#N/A,FALSE,"을지 (6)"}</definedName>
    <definedName name="QAW_4" hidden="1">{#N/A,#N/A,FALSE,"을지 (4)";#N/A,#N/A,FALSE,"을지 (5)";#N/A,#N/A,FALSE,"을지 (6)"}</definedName>
    <definedName name="QAW_5" localSheetId="26" hidden="1">{#N/A,#N/A,FALSE,"을지 (4)";#N/A,#N/A,FALSE,"을지 (5)";#N/A,#N/A,FALSE,"을지 (6)"}</definedName>
    <definedName name="QAW_5" localSheetId="0" hidden="1">{#N/A,#N/A,FALSE,"을지 (4)";#N/A,#N/A,FALSE,"을지 (5)";#N/A,#N/A,FALSE,"을지 (6)"}</definedName>
    <definedName name="QAW_5" hidden="1">{#N/A,#N/A,FALSE,"을지 (4)";#N/A,#N/A,FALSE,"을지 (5)";#N/A,#N/A,FALSE,"을지 (6)"}</definedName>
    <definedName name="QE" localSheetId="26" hidden="1">{#N/A,#N/A,FALSE,"초도품";#N/A,#N/A,FALSE,"초도품 (2)";#N/A,#N/A,FALSE,"초도품 (3)";#N/A,#N/A,FALSE,"초도품 (4)";#N/A,#N/A,FALSE,"초도품 (5)";#N/A,#N/A,FALSE,"초도품 (6)"}</definedName>
    <definedName name="QE" localSheetId="0" hidden="1">{#N/A,#N/A,FALSE,"초도품";#N/A,#N/A,FALSE,"초도품 (2)";#N/A,#N/A,FALSE,"초도품 (3)";#N/A,#N/A,FALSE,"초도품 (4)";#N/A,#N/A,FALSE,"초도품 (5)";#N/A,#N/A,FALSE,"초도품 (6)"}</definedName>
    <definedName name="QE" hidden="1">{#N/A,#N/A,FALSE,"초도품";#N/A,#N/A,FALSE,"초도품 (2)";#N/A,#N/A,FALSE,"초도품 (3)";#N/A,#N/A,FALSE,"초도품 (4)";#N/A,#N/A,FALSE,"초도품 (5)";#N/A,#N/A,FALSE,"초도품 (6)"}</definedName>
    <definedName name="QE_1" localSheetId="26" hidden="1">{#N/A,#N/A,FALSE,"초도품";#N/A,#N/A,FALSE,"초도품 (2)";#N/A,#N/A,FALSE,"초도품 (3)";#N/A,#N/A,FALSE,"초도품 (4)";#N/A,#N/A,FALSE,"초도품 (5)";#N/A,#N/A,FALSE,"초도품 (6)"}</definedName>
    <definedName name="QE_1" localSheetId="0" hidden="1">{#N/A,#N/A,FALSE,"초도품";#N/A,#N/A,FALSE,"초도품 (2)";#N/A,#N/A,FALSE,"초도품 (3)";#N/A,#N/A,FALSE,"초도품 (4)";#N/A,#N/A,FALSE,"초도품 (5)";#N/A,#N/A,FALSE,"초도품 (6)"}</definedName>
    <definedName name="QE_1" hidden="1">{#N/A,#N/A,FALSE,"초도품";#N/A,#N/A,FALSE,"초도품 (2)";#N/A,#N/A,FALSE,"초도품 (3)";#N/A,#N/A,FALSE,"초도품 (4)";#N/A,#N/A,FALSE,"초도품 (5)";#N/A,#N/A,FALSE,"초도품 (6)"}</definedName>
    <definedName name="QE_1_1" localSheetId="26" hidden="1">{#N/A,#N/A,FALSE,"초도품";#N/A,#N/A,FALSE,"초도품 (2)";#N/A,#N/A,FALSE,"초도품 (3)";#N/A,#N/A,FALSE,"초도품 (4)";#N/A,#N/A,FALSE,"초도품 (5)";#N/A,#N/A,FALSE,"초도품 (6)"}</definedName>
    <definedName name="QE_1_1" localSheetId="0" hidden="1">{#N/A,#N/A,FALSE,"초도품";#N/A,#N/A,FALSE,"초도품 (2)";#N/A,#N/A,FALSE,"초도품 (3)";#N/A,#N/A,FALSE,"초도품 (4)";#N/A,#N/A,FALSE,"초도품 (5)";#N/A,#N/A,FALSE,"초도품 (6)"}</definedName>
    <definedName name="QE_1_1" hidden="1">{#N/A,#N/A,FALSE,"초도품";#N/A,#N/A,FALSE,"초도품 (2)";#N/A,#N/A,FALSE,"초도품 (3)";#N/A,#N/A,FALSE,"초도품 (4)";#N/A,#N/A,FALSE,"초도품 (5)";#N/A,#N/A,FALSE,"초도품 (6)"}</definedName>
    <definedName name="QE_1_2" localSheetId="26" hidden="1">{#N/A,#N/A,FALSE,"초도품";#N/A,#N/A,FALSE,"초도품 (2)";#N/A,#N/A,FALSE,"초도품 (3)";#N/A,#N/A,FALSE,"초도품 (4)";#N/A,#N/A,FALSE,"초도품 (5)";#N/A,#N/A,FALSE,"초도품 (6)"}</definedName>
    <definedName name="QE_1_2" localSheetId="0" hidden="1">{#N/A,#N/A,FALSE,"초도품";#N/A,#N/A,FALSE,"초도품 (2)";#N/A,#N/A,FALSE,"초도품 (3)";#N/A,#N/A,FALSE,"초도품 (4)";#N/A,#N/A,FALSE,"초도품 (5)";#N/A,#N/A,FALSE,"초도품 (6)"}</definedName>
    <definedName name="QE_1_2" hidden="1">{#N/A,#N/A,FALSE,"초도품";#N/A,#N/A,FALSE,"초도품 (2)";#N/A,#N/A,FALSE,"초도품 (3)";#N/A,#N/A,FALSE,"초도품 (4)";#N/A,#N/A,FALSE,"초도품 (5)";#N/A,#N/A,FALSE,"초도품 (6)"}</definedName>
    <definedName name="QE_1_3" localSheetId="26" hidden="1">{#N/A,#N/A,FALSE,"초도품";#N/A,#N/A,FALSE,"초도품 (2)";#N/A,#N/A,FALSE,"초도품 (3)";#N/A,#N/A,FALSE,"초도품 (4)";#N/A,#N/A,FALSE,"초도품 (5)";#N/A,#N/A,FALSE,"초도품 (6)"}</definedName>
    <definedName name="QE_1_3" localSheetId="0" hidden="1">{#N/A,#N/A,FALSE,"초도품";#N/A,#N/A,FALSE,"초도품 (2)";#N/A,#N/A,FALSE,"초도품 (3)";#N/A,#N/A,FALSE,"초도품 (4)";#N/A,#N/A,FALSE,"초도품 (5)";#N/A,#N/A,FALSE,"초도품 (6)"}</definedName>
    <definedName name="QE_1_3" hidden="1">{#N/A,#N/A,FALSE,"초도품";#N/A,#N/A,FALSE,"초도품 (2)";#N/A,#N/A,FALSE,"초도품 (3)";#N/A,#N/A,FALSE,"초도품 (4)";#N/A,#N/A,FALSE,"초도품 (5)";#N/A,#N/A,FALSE,"초도품 (6)"}</definedName>
    <definedName name="QE_2" localSheetId="26" hidden="1">{#N/A,#N/A,FALSE,"초도품";#N/A,#N/A,FALSE,"초도품 (2)";#N/A,#N/A,FALSE,"초도품 (3)";#N/A,#N/A,FALSE,"초도품 (4)";#N/A,#N/A,FALSE,"초도품 (5)";#N/A,#N/A,FALSE,"초도품 (6)"}</definedName>
    <definedName name="QE_2" localSheetId="0" hidden="1">{#N/A,#N/A,FALSE,"초도품";#N/A,#N/A,FALSE,"초도품 (2)";#N/A,#N/A,FALSE,"초도품 (3)";#N/A,#N/A,FALSE,"초도품 (4)";#N/A,#N/A,FALSE,"초도품 (5)";#N/A,#N/A,FALSE,"초도품 (6)"}</definedName>
    <definedName name="QE_2" hidden="1">{#N/A,#N/A,FALSE,"초도품";#N/A,#N/A,FALSE,"초도품 (2)";#N/A,#N/A,FALSE,"초도품 (3)";#N/A,#N/A,FALSE,"초도품 (4)";#N/A,#N/A,FALSE,"초도품 (5)";#N/A,#N/A,FALSE,"초도품 (6)"}</definedName>
    <definedName name="QE_2_1" localSheetId="26" hidden="1">{#N/A,#N/A,FALSE,"초도품";#N/A,#N/A,FALSE,"초도품 (2)";#N/A,#N/A,FALSE,"초도품 (3)";#N/A,#N/A,FALSE,"초도품 (4)";#N/A,#N/A,FALSE,"초도품 (5)";#N/A,#N/A,FALSE,"초도품 (6)"}</definedName>
    <definedName name="QE_2_1" localSheetId="0" hidden="1">{#N/A,#N/A,FALSE,"초도품";#N/A,#N/A,FALSE,"초도품 (2)";#N/A,#N/A,FALSE,"초도품 (3)";#N/A,#N/A,FALSE,"초도품 (4)";#N/A,#N/A,FALSE,"초도품 (5)";#N/A,#N/A,FALSE,"초도품 (6)"}</definedName>
    <definedName name="QE_2_1" hidden="1">{#N/A,#N/A,FALSE,"초도품";#N/A,#N/A,FALSE,"초도품 (2)";#N/A,#N/A,FALSE,"초도품 (3)";#N/A,#N/A,FALSE,"초도품 (4)";#N/A,#N/A,FALSE,"초도품 (5)";#N/A,#N/A,FALSE,"초도품 (6)"}</definedName>
    <definedName name="QE_2_2" localSheetId="26" hidden="1">{#N/A,#N/A,FALSE,"초도품";#N/A,#N/A,FALSE,"초도품 (2)";#N/A,#N/A,FALSE,"초도품 (3)";#N/A,#N/A,FALSE,"초도품 (4)";#N/A,#N/A,FALSE,"초도품 (5)";#N/A,#N/A,FALSE,"초도품 (6)"}</definedName>
    <definedName name="QE_2_2" localSheetId="0" hidden="1">{#N/A,#N/A,FALSE,"초도품";#N/A,#N/A,FALSE,"초도품 (2)";#N/A,#N/A,FALSE,"초도품 (3)";#N/A,#N/A,FALSE,"초도품 (4)";#N/A,#N/A,FALSE,"초도품 (5)";#N/A,#N/A,FALSE,"초도품 (6)"}</definedName>
    <definedName name="QE_2_2" hidden="1">{#N/A,#N/A,FALSE,"초도품";#N/A,#N/A,FALSE,"초도품 (2)";#N/A,#N/A,FALSE,"초도품 (3)";#N/A,#N/A,FALSE,"초도품 (4)";#N/A,#N/A,FALSE,"초도품 (5)";#N/A,#N/A,FALSE,"초도품 (6)"}</definedName>
    <definedName name="QE_3" localSheetId="26" hidden="1">{#N/A,#N/A,FALSE,"초도품";#N/A,#N/A,FALSE,"초도품 (2)";#N/A,#N/A,FALSE,"초도품 (3)";#N/A,#N/A,FALSE,"초도품 (4)";#N/A,#N/A,FALSE,"초도품 (5)";#N/A,#N/A,FALSE,"초도품 (6)"}</definedName>
    <definedName name="QE_3" localSheetId="0" hidden="1">{#N/A,#N/A,FALSE,"초도품";#N/A,#N/A,FALSE,"초도품 (2)";#N/A,#N/A,FALSE,"초도품 (3)";#N/A,#N/A,FALSE,"초도품 (4)";#N/A,#N/A,FALSE,"초도품 (5)";#N/A,#N/A,FALSE,"초도품 (6)"}</definedName>
    <definedName name="QE_3" hidden="1">{#N/A,#N/A,FALSE,"초도품";#N/A,#N/A,FALSE,"초도품 (2)";#N/A,#N/A,FALSE,"초도품 (3)";#N/A,#N/A,FALSE,"초도품 (4)";#N/A,#N/A,FALSE,"초도품 (5)";#N/A,#N/A,FALSE,"초도품 (6)"}</definedName>
    <definedName name="QE_4" localSheetId="26" hidden="1">{#N/A,#N/A,FALSE,"초도품";#N/A,#N/A,FALSE,"초도품 (2)";#N/A,#N/A,FALSE,"초도품 (3)";#N/A,#N/A,FALSE,"초도품 (4)";#N/A,#N/A,FALSE,"초도품 (5)";#N/A,#N/A,FALSE,"초도품 (6)"}</definedName>
    <definedName name="QE_4" localSheetId="0" hidden="1">{#N/A,#N/A,FALSE,"초도품";#N/A,#N/A,FALSE,"초도품 (2)";#N/A,#N/A,FALSE,"초도품 (3)";#N/A,#N/A,FALSE,"초도품 (4)";#N/A,#N/A,FALSE,"초도품 (5)";#N/A,#N/A,FALSE,"초도품 (6)"}</definedName>
    <definedName name="QE_4" hidden="1">{#N/A,#N/A,FALSE,"초도품";#N/A,#N/A,FALSE,"초도품 (2)";#N/A,#N/A,FALSE,"초도품 (3)";#N/A,#N/A,FALSE,"초도품 (4)";#N/A,#N/A,FALSE,"초도품 (5)";#N/A,#N/A,FALSE,"초도품 (6)"}</definedName>
    <definedName name="QE_5" localSheetId="26" hidden="1">{#N/A,#N/A,FALSE,"초도품";#N/A,#N/A,FALSE,"초도품 (2)";#N/A,#N/A,FALSE,"초도품 (3)";#N/A,#N/A,FALSE,"초도품 (4)";#N/A,#N/A,FALSE,"초도품 (5)";#N/A,#N/A,FALSE,"초도품 (6)"}</definedName>
    <definedName name="QE_5" localSheetId="0" hidden="1">{#N/A,#N/A,FALSE,"초도품";#N/A,#N/A,FALSE,"초도품 (2)";#N/A,#N/A,FALSE,"초도품 (3)";#N/A,#N/A,FALSE,"초도품 (4)";#N/A,#N/A,FALSE,"초도품 (5)";#N/A,#N/A,FALSE,"초도품 (6)"}</definedName>
    <definedName name="QE_5" hidden="1">{#N/A,#N/A,FALSE,"초도품";#N/A,#N/A,FALSE,"초도품 (2)";#N/A,#N/A,FALSE,"초도품 (3)";#N/A,#N/A,FALSE,"초도품 (4)";#N/A,#N/A,FALSE,"초도품 (5)";#N/A,#N/A,FALSE,"초도품 (6)"}</definedName>
    <definedName name="qewqeqwerq" localSheetId="26" hidden="1">{#N/A,#N/A,FALSE,"Cash Flows";#N/A,#N/A,FALSE,"Fixed Assets";#N/A,#N/A,FALSE,"Balance Sheet";#N/A,#N/A,FALSE,"P &amp; L"}</definedName>
    <definedName name="qewqeqwerq" localSheetId="21" hidden="1">{#N/A,#N/A,FALSE,"Cash Flows";#N/A,#N/A,FALSE,"Fixed Assets";#N/A,#N/A,FALSE,"Balance Sheet";#N/A,#N/A,FALSE,"P &amp; L"}</definedName>
    <definedName name="qewqeqwerq" localSheetId="3" hidden="1">{#N/A,#N/A,FALSE,"Cash Flows";#N/A,#N/A,FALSE,"Fixed Assets";#N/A,#N/A,FALSE,"Balance Sheet";#N/A,#N/A,FALSE,"P &amp; L"}</definedName>
    <definedName name="qewqeqwerq" localSheetId="27" hidden="1">{#N/A,#N/A,FALSE,"Cash Flows";#N/A,#N/A,FALSE,"Fixed Assets";#N/A,#N/A,FALSE,"Balance Sheet";#N/A,#N/A,FALSE,"P &amp; L"}</definedName>
    <definedName name="qewqeqwerq" localSheetId="0" hidden="1">{#N/A,#N/A,FALSE,"Cash Flows";#N/A,#N/A,FALSE,"Fixed Assets";#N/A,#N/A,FALSE,"Balance Sheet";#N/A,#N/A,FALSE,"P &amp; L"}</definedName>
    <definedName name="qewqeqwerq" hidden="1">{#N/A,#N/A,FALSE,"Cash Flows";#N/A,#N/A,FALSE,"Fixed Assets";#N/A,#N/A,FALSE,"Balance Sheet";#N/A,#N/A,FALSE,"P &amp; L"}</definedName>
    <definedName name="qewqeqwerq_1" localSheetId="26" hidden="1">{#N/A,#N/A,FALSE,"Cash Flows";#N/A,#N/A,FALSE,"Fixed Assets";#N/A,#N/A,FALSE,"Balance Sheet";#N/A,#N/A,FALSE,"P &amp; L"}</definedName>
    <definedName name="qewqeqwerq_1" localSheetId="0" hidden="1">{#N/A,#N/A,FALSE,"Cash Flows";#N/A,#N/A,FALSE,"Fixed Assets";#N/A,#N/A,FALSE,"Balance Sheet";#N/A,#N/A,FALSE,"P &amp; L"}</definedName>
    <definedName name="qewqeqwerq_1" hidden="1">{#N/A,#N/A,FALSE,"Cash Flows";#N/A,#N/A,FALSE,"Fixed Assets";#N/A,#N/A,FALSE,"Balance Sheet";#N/A,#N/A,FALSE,"P &amp; L"}</definedName>
    <definedName name="qewqeqwerq_1_1" localSheetId="26" hidden="1">{#N/A,#N/A,FALSE,"Cash Flows";#N/A,#N/A,FALSE,"Fixed Assets";#N/A,#N/A,FALSE,"Balance Sheet";#N/A,#N/A,FALSE,"P &amp; L"}</definedName>
    <definedName name="qewqeqwerq_1_1" localSheetId="0" hidden="1">{#N/A,#N/A,FALSE,"Cash Flows";#N/A,#N/A,FALSE,"Fixed Assets";#N/A,#N/A,FALSE,"Balance Sheet";#N/A,#N/A,FALSE,"P &amp; L"}</definedName>
    <definedName name="qewqeqwerq_1_1" hidden="1">{#N/A,#N/A,FALSE,"Cash Flows";#N/A,#N/A,FALSE,"Fixed Assets";#N/A,#N/A,FALSE,"Balance Sheet";#N/A,#N/A,FALSE,"P &amp; L"}</definedName>
    <definedName name="qewqeqwerq_1_2" localSheetId="26" hidden="1">{#N/A,#N/A,FALSE,"Cash Flows";#N/A,#N/A,FALSE,"Fixed Assets";#N/A,#N/A,FALSE,"Balance Sheet";#N/A,#N/A,FALSE,"P &amp; L"}</definedName>
    <definedName name="qewqeqwerq_1_2" localSheetId="0" hidden="1">{#N/A,#N/A,FALSE,"Cash Flows";#N/A,#N/A,FALSE,"Fixed Assets";#N/A,#N/A,FALSE,"Balance Sheet";#N/A,#N/A,FALSE,"P &amp; L"}</definedName>
    <definedName name="qewqeqwerq_1_2" hidden="1">{#N/A,#N/A,FALSE,"Cash Flows";#N/A,#N/A,FALSE,"Fixed Assets";#N/A,#N/A,FALSE,"Balance Sheet";#N/A,#N/A,FALSE,"P &amp; L"}</definedName>
    <definedName name="qewqeqwerq_1_3" localSheetId="26" hidden="1">{#N/A,#N/A,FALSE,"Cash Flows";#N/A,#N/A,FALSE,"Fixed Assets";#N/A,#N/A,FALSE,"Balance Sheet";#N/A,#N/A,FALSE,"P &amp; L"}</definedName>
    <definedName name="qewqeqwerq_1_3" localSheetId="0" hidden="1">{#N/A,#N/A,FALSE,"Cash Flows";#N/A,#N/A,FALSE,"Fixed Assets";#N/A,#N/A,FALSE,"Balance Sheet";#N/A,#N/A,FALSE,"P &amp; L"}</definedName>
    <definedName name="qewqeqwerq_1_3" hidden="1">{#N/A,#N/A,FALSE,"Cash Flows";#N/A,#N/A,FALSE,"Fixed Assets";#N/A,#N/A,FALSE,"Balance Sheet";#N/A,#N/A,FALSE,"P &amp; L"}</definedName>
    <definedName name="qewqeqwerq_2" localSheetId="26" hidden="1">{#N/A,#N/A,FALSE,"Cash Flows";#N/A,#N/A,FALSE,"Fixed Assets";#N/A,#N/A,FALSE,"Balance Sheet";#N/A,#N/A,FALSE,"P &amp; L"}</definedName>
    <definedName name="qewqeqwerq_2" localSheetId="0" hidden="1">{#N/A,#N/A,FALSE,"Cash Flows";#N/A,#N/A,FALSE,"Fixed Assets";#N/A,#N/A,FALSE,"Balance Sheet";#N/A,#N/A,FALSE,"P &amp; L"}</definedName>
    <definedName name="qewqeqwerq_2" hidden="1">{#N/A,#N/A,FALSE,"Cash Flows";#N/A,#N/A,FALSE,"Fixed Assets";#N/A,#N/A,FALSE,"Balance Sheet";#N/A,#N/A,FALSE,"P &amp; L"}</definedName>
    <definedName name="qewqeqwerq_2_1" localSheetId="26" hidden="1">{#N/A,#N/A,FALSE,"Cash Flows";#N/A,#N/A,FALSE,"Fixed Assets";#N/A,#N/A,FALSE,"Balance Sheet";#N/A,#N/A,FALSE,"P &amp; L"}</definedName>
    <definedName name="qewqeqwerq_2_1" localSheetId="0" hidden="1">{#N/A,#N/A,FALSE,"Cash Flows";#N/A,#N/A,FALSE,"Fixed Assets";#N/A,#N/A,FALSE,"Balance Sheet";#N/A,#N/A,FALSE,"P &amp; L"}</definedName>
    <definedName name="qewqeqwerq_2_1" hidden="1">{#N/A,#N/A,FALSE,"Cash Flows";#N/A,#N/A,FALSE,"Fixed Assets";#N/A,#N/A,FALSE,"Balance Sheet";#N/A,#N/A,FALSE,"P &amp; L"}</definedName>
    <definedName name="qewqeqwerq_2_2" localSheetId="26" hidden="1">{#N/A,#N/A,FALSE,"Cash Flows";#N/A,#N/A,FALSE,"Fixed Assets";#N/A,#N/A,FALSE,"Balance Sheet";#N/A,#N/A,FALSE,"P &amp; L"}</definedName>
    <definedName name="qewqeqwerq_2_2" localSheetId="0" hidden="1">{#N/A,#N/A,FALSE,"Cash Flows";#N/A,#N/A,FALSE,"Fixed Assets";#N/A,#N/A,FALSE,"Balance Sheet";#N/A,#N/A,FALSE,"P &amp; L"}</definedName>
    <definedName name="qewqeqwerq_2_2" hidden="1">{#N/A,#N/A,FALSE,"Cash Flows";#N/A,#N/A,FALSE,"Fixed Assets";#N/A,#N/A,FALSE,"Balance Sheet";#N/A,#N/A,FALSE,"P &amp; L"}</definedName>
    <definedName name="qewqeqwerq_3" localSheetId="26" hidden="1">{#N/A,#N/A,FALSE,"Cash Flows";#N/A,#N/A,FALSE,"Fixed Assets";#N/A,#N/A,FALSE,"Balance Sheet";#N/A,#N/A,FALSE,"P &amp; L"}</definedName>
    <definedName name="qewqeqwerq_3" localSheetId="0" hidden="1">{#N/A,#N/A,FALSE,"Cash Flows";#N/A,#N/A,FALSE,"Fixed Assets";#N/A,#N/A,FALSE,"Balance Sheet";#N/A,#N/A,FALSE,"P &amp; L"}</definedName>
    <definedName name="qewqeqwerq_3" hidden="1">{#N/A,#N/A,FALSE,"Cash Flows";#N/A,#N/A,FALSE,"Fixed Assets";#N/A,#N/A,FALSE,"Balance Sheet";#N/A,#N/A,FALSE,"P &amp; L"}</definedName>
    <definedName name="qewqeqwerq_4" localSheetId="26" hidden="1">{#N/A,#N/A,FALSE,"Cash Flows";#N/A,#N/A,FALSE,"Fixed Assets";#N/A,#N/A,FALSE,"Balance Sheet";#N/A,#N/A,FALSE,"P &amp; L"}</definedName>
    <definedName name="qewqeqwerq_4" localSheetId="0" hidden="1">{#N/A,#N/A,FALSE,"Cash Flows";#N/A,#N/A,FALSE,"Fixed Assets";#N/A,#N/A,FALSE,"Balance Sheet";#N/A,#N/A,FALSE,"P &amp; L"}</definedName>
    <definedName name="qewqeqwerq_4" hidden="1">{#N/A,#N/A,FALSE,"Cash Flows";#N/A,#N/A,FALSE,"Fixed Assets";#N/A,#N/A,FALSE,"Balance Sheet";#N/A,#N/A,FALSE,"P &amp; L"}</definedName>
    <definedName name="qewqeqwerq_5" localSheetId="26" hidden="1">{#N/A,#N/A,FALSE,"Cash Flows";#N/A,#N/A,FALSE,"Fixed Assets";#N/A,#N/A,FALSE,"Balance Sheet";#N/A,#N/A,FALSE,"P &amp; L"}</definedName>
    <definedName name="qewqeqwerq_5" localSheetId="0" hidden="1">{#N/A,#N/A,FALSE,"Cash Flows";#N/A,#N/A,FALSE,"Fixed Assets";#N/A,#N/A,FALSE,"Balance Sheet";#N/A,#N/A,FALSE,"P &amp; L"}</definedName>
    <definedName name="qewqeqwerq_5" hidden="1">{#N/A,#N/A,FALSE,"Cash Flows";#N/A,#N/A,FALSE,"Fixed Assets";#N/A,#N/A,FALSE,"Balance Sheet";#N/A,#N/A,FALSE,"P &amp; L"}</definedName>
    <definedName name="QSS" localSheetId="26" hidden="1">{#N/A,#N/A,FALSE,"을지 (4)";#N/A,#N/A,FALSE,"을지 (5)";#N/A,#N/A,FALSE,"을지 (6)"}</definedName>
    <definedName name="QSS" localSheetId="0" hidden="1">{#N/A,#N/A,FALSE,"을지 (4)";#N/A,#N/A,FALSE,"을지 (5)";#N/A,#N/A,FALSE,"을지 (6)"}</definedName>
    <definedName name="QSS" hidden="1">{#N/A,#N/A,FALSE,"을지 (4)";#N/A,#N/A,FALSE,"을지 (5)";#N/A,#N/A,FALSE,"을지 (6)"}</definedName>
    <definedName name="QSS_1" localSheetId="26" hidden="1">{#N/A,#N/A,FALSE,"을지 (4)";#N/A,#N/A,FALSE,"을지 (5)";#N/A,#N/A,FALSE,"을지 (6)"}</definedName>
    <definedName name="QSS_1" localSheetId="0" hidden="1">{#N/A,#N/A,FALSE,"을지 (4)";#N/A,#N/A,FALSE,"을지 (5)";#N/A,#N/A,FALSE,"을지 (6)"}</definedName>
    <definedName name="QSS_1" hidden="1">{#N/A,#N/A,FALSE,"을지 (4)";#N/A,#N/A,FALSE,"을지 (5)";#N/A,#N/A,FALSE,"을지 (6)"}</definedName>
    <definedName name="QSS_1_1" localSheetId="26" hidden="1">{#N/A,#N/A,FALSE,"을지 (4)";#N/A,#N/A,FALSE,"을지 (5)";#N/A,#N/A,FALSE,"을지 (6)"}</definedName>
    <definedName name="QSS_1_1" localSheetId="0" hidden="1">{#N/A,#N/A,FALSE,"을지 (4)";#N/A,#N/A,FALSE,"을지 (5)";#N/A,#N/A,FALSE,"을지 (6)"}</definedName>
    <definedName name="QSS_1_1" hidden="1">{#N/A,#N/A,FALSE,"을지 (4)";#N/A,#N/A,FALSE,"을지 (5)";#N/A,#N/A,FALSE,"을지 (6)"}</definedName>
    <definedName name="QSS_1_2" localSheetId="26" hidden="1">{#N/A,#N/A,FALSE,"을지 (4)";#N/A,#N/A,FALSE,"을지 (5)";#N/A,#N/A,FALSE,"을지 (6)"}</definedName>
    <definedName name="QSS_1_2" localSheetId="0" hidden="1">{#N/A,#N/A,FALSE,"을지 (4)";#N/A,#N/A,FALSE,"을지 (5)";#N/A,#N/A,FALSE,"을지 (6)"}</definedName>
    <definedName name="QSS_1_2" hidden="1">{#N/A,#N/A,FALSE,"을지 (4)";#N/A,#N/A,FALSE,"을지 (5)";#N/A,#N/A,FALSE,"을지 (6)"}</definedName>
    <definedName name="QSS_1_3" localSheetId="26" hidden="1">{#N/A,#N/A,FALSE,"을지 (4)";#N/A,#N/A,FALSE,"을지 (5)";#N/A,#N/A,FALSE,"을지 (6)"}</definedName>
    <definedName name="QSS_1_3" localSheetId="0" hidden="1">{#N/A,#N/A,FALSE,"을지 (4)";#N/A,#N/A,FALSE,"을지 (5)";#N/A,#N/A,FALSE,"을지 (6)"}</definedName>
    <definedName name="QSS_1_3" hidden="1">{#N/A,#N/A,FALSE,"을지 (4)";#N/A,#N/A,FALSE,"을지 (5)";#N/A,#N/A,FALSE,"을지 (6)"}</definedName>
    <definedName name="QSS_2" localSheetId="26" hidden="1">{#N/A,#N/A,FALSE,"을지 (4)";#N/A,#N/A,FALSE,"을지 (5)";#N/A,#N/A,FALSE,"을지 (6)"}</definedName>
    <definedName name="QSS_2" localSheetId="0" hidden="1">{#N/A,#N/A,FALSE,"을지 (4)";#N/A,#N/A,FALSE,"을지 (5)";#N/A,#N/A,FALSE,"을지 (6)"}</definedName>
    <definedName name="QSS_2" hidden="1">{#N/A,#N/A,FALSE,"을지 (4)";#N/A,#N/A,FALSE,"을지 (5)";#N/A,#N/A,FALSE,"을지 (6)"}</definedName>
    <definedName name="QSS_2_1" localSheetId="26" hidden="1">{#N/A,#N/A,FALSE,"을지 (4)";#N/A,#N/A,FALSE,"을지 (5)";#N/A,#N/A,FALSE,"을지 (6)"}</definedName>
    <definedName name="QSS_2_1" localSheetId="0" hidden="1">{#N/A,#N/A,FALSE,"을지 (4)";#N/A,#N/A,FALSE,"을지 (5)";#N/A,#N/A,FALSE,"을지 (6)"}</definedName>
    <definedName name="QSS_2_1" hidden="1">{#N/A,#N/A,FALSE,"을지 (4)";#N/A,#N/A,FALSE,"을지 (5)";#N/A,#N/A,FALSE,"을지 (6)"}</definedName>
    <definedName name="QSS_2_2" localSheetId="26" hidden="1">{#N/A,#N/A,FALSE,"을지 (4)";#N/A,#N/A,FALSE,"을지 (5)";#N/A,#N/A,FALSE,"을지 (6)"}</definedName>
    <definedName name="QSS_2_2" localSheetId="0" hidden="1">{#N/A,#N/A,FALSE,"을지 (4)";#N/A,#N/A,FALSE,"을지 (5)";#N/A,#N/A,FALSE,"을지 (6)"}</definedName>
    <definedName name="QSS_2_2" hidden="1">{#N/A,#N/A,FALSE,"을지 (4)";#N/A,#N/A,FALSE,"을지 (5)";#N/A,#N/A,FALSE,"을지 (6)"}</definedName>
    <definedName name="QSS_3" localSheetId="26" hidden="1">{#N/A,#N/A,FALSE,"을지 (4)";#N/A,#N/A,FALSE,"을지 (5)";#N/A,#N/A,FALSE,"을지 (6)"}</definedName>
    <definedName name="QSS_3" localSheetId="0" hidden="1">{#N/A,#N/A,FALSE,"을지 (4)";#N/A,#N/A,FALSE,"을지 (5)";#N/A,#N/A,FALSE,"을지 (6)"}</definedName>
    <definedName name="QSS_3" hidden="1">{#N/A,#N/A,FALSE,"을지 (4)";#N/A,#N/A,FALSE,"을지 (5)";#N/A,#N/A,FALSE,"을지 (6)"}</definedName>
    <definedName name="QSS_4" localSheetId="26" hidden="1">{#N/A,#N/A,FALSE,"을지 (4)";#N/A,#N/A,FALSE,"을지 (5)";#N/A,#N/A,FALSE,"을지 (6)"}</definedName>
    <definedName name="QSS_4" localSheetId="0" hidden="1">{#N/A,#N/A,FALSE,"을지 (4)";#N/A,#N/A,FALSE,"을지 (5)";#N/A,#N/A,FALSE,"을지 (6)"}</definedName>
    <definedName name="QSS_4" hidden="1">{#N/A,#N/A,FALSE,"을지 (4)";#N/A,#N/A,FALSE,"을지 (5)";#N/A,#N/A,FALSE,"을지 (6)"}</definedName>
    <definedName name="QSS_5" localSheetId="26" hidden="1">{#N/A,#N/A,FALSE,"을지 (4)";#N/A,#N/A,FALSE,"을지 (5)";#N/A,#N/A,FALSE,"을지 (6)"}</definedName>
    <definedName name="QSS_5" localSheetId="0" hidden="1">{#N/A,#N/A,FALSE,"을지 (4)";#N/A,#N/A,FALSE,"을지 (5)";#N/A,#N/A,FALSE,"을지 (6)"}</definedName>
    <definedName name="QSS_5" hidden="1">{#N/A,#N/A,FALSE,"을지 (4)";#N/A,#N/A,FALSE,"을지 (5)";#N/A,#N/A,FALSE,"을지 (6)"}</definedName>
    <definedName name="quary" localSheetId="26" hidden="1">{#N/A,#N/A,FALSE,"196126-0690";#N/A,#N/A,FALSE,"196126-0690";#N/A,#N/A,FALSE,"1961165-0201"}</definedName>
    <definedName name="quary" localSheetId="0" hidden="1">{#N/A,#N/A,FALSE,"196126-0690";#N/A,#N/A,FALSE,"196126-0690";#N/A,#N/A,FALSE,"1961165-0201"}</definedName>
    <definedName name="quary" hidden="1">{#N/A,#N/A,FALSE,"196126-0690";#N/A,#N/A,FALSE,"196126-0690";#N/A,#N/A,FALSE,"1961165-0201"}</definedName>
    <definedName name="quary_1" localSheetId="26" hidden="1">{#N/A,#N/A,FALSE,"196126-0690";#N/A,#N/A,FALSE,"196126-0690";#N/A,#N/A,FALSE,"1961165-0201"}</definedName>
    <definedName name="quary_1" localSheetId="0" hidden="1">{#N/A,#N/A,FALSE,"196126-0690";#N/A,#N/A,FALSE,"196126-0690";#N/A,#N/A,FALSE,"1961165-0201"}</definedName>
    <definedName name="quary_1" hidden="1">{#N/A,#N/A,FALSE,"196126-0690";#N/A,#N/A,FALSE,"196126-0690";#N/A,#N/A,FALSE,"1961165-0201"}</definedName>
    <definedName name="quary_1_1" localSheetId="26" hidden="1">{#N/A,#N/A,FALSE,"196126-0690";#N/A,#N/A,FALSE,"196126-0690";#N/A,#N/A,FALSE,"1961165-0201"}</definedName>
    <definedName name="quary_1_1" localSheetId="0" hidden="1">{#N/A,#N/A,FALSE,"196126-0690";#N/A,#N/A,FALSE,"196126-0690";#N/A,#N/A,FALSE,"1961165-0201"}</definedName>
    <definedName name="quary_1_1" hidden="1">{#N/A,#N/A,FALSE,"196126-0690";#N/A,#N/A,FALSE,"196126-0690";#N/A,#N/A,FALSE,"1961165-0201"}</definedName>
    <definedName name="quary_1_2" localSheetId="26" hidden="1">{#N/A,#N/A,FALSE,"196126-0690";#N/A,#N/A,FALSE,"196126-0690";#N/A,#N/A,FALSE,"1961165-0201"}</definedName>
    <definedName name="quary_1_2" localSheetId="0" hidden="1">{#N/A,#N/A,FALSE,"196126-0690";#N/A,#N/A,FALSE,"196126-0690";#N/A,#N/A,FALSE,"1961165-0201"}</definedName>
    <definedName name="quary_1_2" hidden="1">{#N/A,#N/A,FALSE,"196126-0690";#N/A,#N/A,FALSE,"196126-0690";#N/A,#N/A,FALSE,"1961165-0201"}</definedName>
    <definedName name="quary_1_3" localSheetId="26" hidden="1">{#N/A,#N/A,FALSE,"196126-0690";#N/A,#N/A,FALSE,"196126-0690";#N/A,#N/A,FALSE,"1961165-0201"}</definedName>
    <definedName name="quary_1_3" localSheetId="0" hidden="1">{#N/A,#N/A,FALSE,"196126-0690";#N/A,#N/A,FALSE,"196126-0690";#N/A,#N/A,FALSE,"1961165-0201"}</definedName>
    <definedName name="quary_1_3" hidden="1">{#N/A,#N/A,FALSE,"196126-0690";#N/A,#N/A,FALSE,"196126-0690";#N/A,#N/A,FALSE,"1961165-0201"}</definedName>
    <definedName name="quary_2" localSheetId="26" hidden="1">{#N/A,#N/A,FALSE,"196126-0690";#N/A,#N/A,FALSE,"196126-0690";#N/A,#N/A,FALSE,"1961165-0201"}</definedName>
    <definedName name="quary_2" localSheetId="0" hidden="1">{#N/A,#N/A,FALSE,"196126-0690";#N/A,#N/A,FALSE,"196126-0690";#N/A,#N/A,FALSE,"1961165-0201"}</definedName>
    <definedName name="quary_2" hidden="1">{#N/A,#N/A,FALSE,"196126-0690";#N/A,#N/A,FALSE,"196126-0690";#N/A,#N/A,FALSE,"1961165-0201"}</definedName>
    <definedName name="quary_2_1" localSheetId="26" hidden="1">{#N/A,#N/A,FALSE,"196126-0690";#N/A,#N/A,FALSE,"196126-0690";#N/A,#N/A,FALSE,"1961165-0201"}</definedName>
    <definedName name="quary_2_1" localSheetId="0" hidden="1">{#N/A,#N/A,FALSE,"196126-0690";#N/A,#N/A,FALSE,"196126-0690";#N/A,#N/A,FALSE,"1961165-0201"}</definedName>
    <definedName name="quary_2_1" hidden="1">{#N/A,#N/A,FALSE,"196126-0690";#N/A,#N/A,FALSE,"196126-0690";#N/A,#N/A,FALSE,"1961165-0201"}</definedName>
    <definedName name="quary_2_2" localSheetId="26" hidden="1">{#N/A,#N/A,FALSE,"196126-0690";#N/A,#N/A,FALSE,"196126-0690";#N/A,#N/A,FALSE,"1961165-0201"}</definedName>
    <definedName name="quary_2_2" localSheetId="0" hidden="1">{#N/A,#N/A,FALSE,"196126-0690";#N/A,#N/A,FALSE,"196126-0690";#N/A,#N/A,FALSE,"1961165-0201"}</definedName>
    <definedName name="quary_2_2" hidden="1">{#N/A,#N/A,FALSE,"196126-0690";#N/A,#N/A,FALSE,"196126-0690";#N/A,#N/A,FALSE,"1961165-0201"}</definedName>
    <definedName name="quary_3" localSheetId="26" hidden="1">{#N/A,#N/A,FALSE,"196126-0690";#N/A,#N/A,FALSE,"196126-0690";#N/A,#N/A,FALSE,"1961165-0201"}</definedName>
    <definedName name="quary_3" localSheetId="0" hidden="1">{#N/A,#N/A,FALSE,"196126-0690";#N/A,#N/A,FALSE,"196126-0690";#N/A,#N/A,FALSE,"1961165-0201"}</definedName>
    <definedName name="quary_3" hidden="1">{#N/A,#N/A,FALSE,"196126-0690";#N/A,#N/A,FALSE,"196126-0690";#N/A,#N/A,FALSE,"1961165-0201"}</definedName>
    <definedName name="quary_4" localSheetId="26" hidden="1">{#N/A,#N/A,FALSE,"196126-0690";#N/A,#N/A,FALSE,"196126-0690";#N/A,#N/A,FALSE,"1961165-0201"}</definedName>
    <definedName name="quary_4" localSheetId="0" hidden="1">{#N/A,#N/A,FALSE,"196126-0690";#N/A,#N/A,FALSE,"196126-0690";#N/A,#N/A,FALSE,"1961165-0201"}</definedName>
    <definedName name="quary_4" hidden="1">{#N/A,#N/A,FALSE,"196126-0690";#N/A,#N/A,FALSE,"196126-0690";#N/A,#N/A,FALSE,"1961165-0201"}</definedName>
    <definedName name="quary_5" localSheetId="26" hidden="1">{#N/A,#N/A,FALSE,"196126-0690";#N/A,#N/A,FALSE,"196126-0690";#N/A,#N/A,FALSE,"1961165-0201"}</definedName>
    <definedName name="quary_5" localSheetId="0" hidden="1">{#N/A,#N/A,FALSE,"196126-0690";#N/A,#N/A,FALSE,"196126-0690";#N/A,#N/A,FALSE,"1961165-0201"}</definedName>
    <definedName name="quary_5" hidden="1">{#N/A,#N/A,FALSE,"196126-0690";#N/A,#N/A,FALSE,"196126-0690";#N/A,#N/A,FALSE,"1961165-0201"}</definedName>
    <definedName name="QW" localSheetId="26" hidden="1">{#N/A,#N/A,FALSE,"을지 (4)";#N/A,#N/A,FALSE,"을지 (5)";#N/A,#N/A,FALSE,"을지 (6)"}</definedName>
    <definedName name="QW" localSheetId="0" hidden="1">{#N/A,#N/A,FALSE,"을지 (4)";#N/A,#N/A,FALSE,"을지 (5)";#N/A,#N/A,FALSE,"을지 (6)"}</definedName>
    <definedName name="QW" hidden="1">{#N/A,#N/A,FALSE,"을지 (4)";#N/A,#N/A,FALSE,"을지 (5)";#N/A,#N/A,FALSE,"을지 (6)"}</definedName>
    <definedName name="QW_1" localSheetId="26" hidden="1">{#N/A,#N/A,FALSE,"을지 (4)";#N/A,#N/A,FALSE,"을지 (5)";#N/A,#N/A,FALSE,"을지 (6)"}</definedName>
    <definedName name="QW_1" localSheetId="0" hidden="1">{#N/A,#N/A,FALSE,"을지 (4)";#N/A,#N/A,FALSE,"을지 (5)";#N/A,#N/A,FALSE,"을지 (6)"}</definedName>
    <definedName name="QW_1" hidden="1">{#N/A,#N/A,FALSE,"을지 (4)";#N/A,#N/A,FALSE,"을지 (5)";#N/A,#N/A,FALSE,"을지 (6)"}</definedName>
    <definedName name="QW_1_1" localSheetId="26" hidden="1">{#N/A,#N/A,FALSE,"을지 (4)";#N/A,#N/A,FALSE,"을지 (5)";#N/A,#N/A,FALSE,"을지 (6)"}</definedName>
    <definedName name="QW_1_1" localSheetId="0" hidden="1">{#N/A,#N/A,FALSE,"을지 (4)";#N/A,#N/A,FALSE,"을지 (5)";#N/A,#N/A,FALSE,"을지 (6)"}</definedName>
    <definedName name="QW_1_1" hidden="1">{#N/A,#N/A,FALSE,"을지 (4)";#N/A,#N/A,FALSE,"을지 (5)";#N/A,#N/A,FALSE,"을지 (6)"}</definedName>
    <definedName name="QW_1_2" localSheetId="26" hidden="1">{#N/A,#N/A,FALSE,"을지 (4)";#N/A,#N/A,FALSE,"을지 (5)";#N/A,#N/A,FALSE,"을지 (6)"}</definedName>
    <definedName name="QW_1_2" localSheetId="0" hidden="1">{#N/A,#N/A,FALSE,"을지 (4)";#N/A,#N/A,FALSE,"을지 (5)";#N/A,#N/A,FALSE,"을지 (6)"}</definedName>
    <definedName name="QW_1_2" hidden="1">{#N/A,#N/A,FALSE,"을지 (4)";#N/A,#N/A,FALSE,"을지 (5)";#N/A,#N/A,FALSE,"을지 (6)"}</definedName>
    <definedName name="QW_1_3" localSheetId="26" hidden="1">{#N/A,#N/A,FALSE,"을지 (4)";#N/A,#N/A,FALSE,"을지 (5)";#N/A,#N/A,FALSE,"을지 (6)"}</definedName>
    <definedName name="QW_1_3" localSheetId="0" hidden="1">{#N/A,#N/A,FALSE,"을지 (4)";#N/A,#N/A,FALSE,"을지 (5)";#N/A,#N/A,FALSE,"을지 (6)"}</definedName>
    <definedName name="QW_1_3" hidden="1">{#N/A,#N/A,FALSE,"을지 (4)";#N/A,#N/A,FALSE,"을지 (5)";#N/A,#N/A,FALSE,"을지 (6)"}</definedName>
    <definedName name="QW_2" localSheetId="26" hidden="1">{#N/A,#N/A,FALSE,"을지 (4)";#N/A,#N/A,FALSE,"을지 (5)";#N/A,#N/A,FALSE,"을지 (6)"}</definedName>
    <definedName name="QW_2" localSheetId="0" hidden="1">{#N/A,#N/A,FALSE,"을지 (4)";#N/A,#N/A,FALSE,"을지 (5)";#N/A,#N/A,FALSE,"을지 (6)"}</definedName>
    <definedName name="QW_2" hidden="1">{#N/A,#N/A,FALSE,"을지 (4)";#N/A,#N/A,FALSE,"을지 (5)";#N/A,#N/A,FALSE,"을지 (6)"}</definedName>
    <definedName name="QW_2_1" localSheetId="26" hidden="1">{#N/A,#N/A,FALSE,"을지 (4)";#N/A,#N/A,FALSE,"을지 (5)";#N/A,#N/A,FALSE,"을지 (6)"}</definedName>
    <definedName name="QW_2_1" localSheetId="0" hidden="1">{#N/A,#N/A,FALSE,"을지 (4)";#N/A,#N/A,FALSE,"을지 (5)";#N/A,#N/A,FALSE,"을지 (6)"}</definedName>
    <definedName name="QW_2_1" hidden="1">{#N/A,#N/A,FALSE,"을지 (4)";#N/A,#N/A,FALSE,"을지 (5)";#N/A,#N/A,FALSE,"을지 (6)"}</definedName>
    <definedName name="QW_2_2" localSheetId="26" hidden="1">{#N/A,#N/A,FALSE,"을지 (4)";#N/A,#N/A,FALSE,"을지 (5)";#N/A,#N/A,FALSE,"을지 (6)"}</definedName>
    <definedName name="QW_2_2" localSheetId="0" hidden="1">{#N/A,#N/A,FALSE,"을지 (4)";#N/A,#N/A,FALSE,"을지 (5)";#N/A,#N/A,FALSE,"을지 (6)"}</definedName>
    <definedName name="QW_2_2" hidden="1">{#N/A,#N/A,FALSE,"을지 (4)";#N/A,#N/A,FALSE,"을지 (5)";#N/A,#N/A,FALSE,"을지 (6)"}</definedName>
    <definedName name="QW_3" localSheetId="26" hidden="1">{#N/A,#N/A,FALSE,"을지 (4)";#N/A,#N/A,FALSE,"을지 (5)";#N/A,#N/A,FALSE,"을지 (6)"}</definedName>
    <definedName name="QW_3" localSheetId="0" hidden="1">{#N/A,#N/A,FALSE,"을지 (4)";#N/A,#N/A,FALSE,"을지 (5)";#N/A,#N/A,FALSE,"을지 (6)"}</definedName>
    <definedName name="QW_3" hidden="1">{#N/A,#N/A,FALSE,"을지 (4)";#N/A,#N/A,FALSE,"을지 (5)";#N/A,#N/A,FALSE,"을지 (6)"}</definedName>
    <definedName name="QW_4" localSheetId="26" hidden="1">{#N/A,#N/A,FALSE,"을지 (4)";#N/A,#N/A,FALSE,"을지 (5)";#N/A,#N/A,FALSE,"을지 (6)"}</definedName>
    <definedName name="QW_4" localSheetId="0" hidden="1">{#N/A,#N/A,FALSE,"을지 (4)";#N/A,#N/A,FALSE,"을지 (5)";#N/A,#N/A,FALSE,"을지 (6)"}</definedName>
    <definedName name="QW_4" hidden="1">{#N/A,#N/A,FALSE,"을지 (4)";#N/A,#N/A,FALSE,"을지 (5)";#N/A,#N/A,FALSE,"을지 (6)"}</definedName>
    <definedName name="QW_5" localSheetId="26" hidden="1">{#N/A,#N/A,FALSE,"을지 (4)";#N/A,#N/A,FALSE,"을지 (5)";#N/A,#N/A,FALSE,"을지 (6)"}</definedName>
    <definedName name="QW_5" localSheetId="0" hidden="1">{#N/A,#N/A,FALSE,"을지 (4)";#N/A,#N/A,FALSE,"을지 (5)";#N/A,#N/A,FALSE,"을지 (6)"}</definedName>
    <definedName name="QW_5" hidden="1">{#N/A,#N/A,FALSE,"을지 (4)";#N/A,#N/A,FALSE,"을지 (5)";#N/A,#N/A,FALSE,"을지 (6)"}</definedName>
    <definedName name="QWA" localSheetId="26" hidden="1">{#N/A,#N/A,FALSE,"을지 (4)";#N/A,#N/A,FALSE,"을지 (5)";#N/A,#N/A,FALSE,"을지 (6)"}</definedName>
    <definedName name="QWA" localSheetId="0" hidden="1">{#N/A,#N/A,FALSE,"을지 (4)";#N/A,#N/A,FALSE,"을지 (5)";#N/A,#N/A,FALSE,"을지 (6)"}</definedName>
    <definedName name="QWA" hidden="1">{#N/A,#N/A,FALSE,"을지 (4)";#N/A,#N/A,FALSE,"을지 (5)";#N/A,#N/A,FALSE,"을지 (6)"}</definedName>
    <definedName name="QWA_1" localSheetId="26" hidden="1">{#N/A,#N/A,FALSE,"을지 (4)";#N/A,#N/A,FALSE,"을지 (5)";#N/A,#N/A,FALSE,"을지 (6)"}</definedName>
    <definedName name="QWA_1" localSheetId="0" hidden="1">{#N/A,#N/A,FALSE,"을지 (4)";#N/A,#N/A,FALSE,"을지 (5)";#N/A,#N/A,FALSE,"을지 (6)"}</definedName>
    <definedName name="QWA_1" hidden="1">{#N/A,#N/A,FALSE,"을지 (4)";#N/A,#N/A,FALSE,"을지 (5)";#N/A,#N/A,FALSE,"을지 (6)"}</definedName>
    <definedName name="QWA_1_1" localSheetId="26" hidden="1">{#N/A,#N/A,FALSE,"을지 (4)";#N/A,#N/A,FALSE,"을지 (5)";#N/A,#N/A,FALSE,"을지 (6)"}</definedName>
    <definedName name="QWA_1_1" localSheetId="0" hidden="1">{#N/A,#N/A,FALSE,"을지 (4)";#N/A,#N/A,FALSE,"을지 (5)";#N/A,#N/A,FALSE,"을지 (6)"}</definedName>
    <definedName name="QWA_1_1" hidden="1">{#N/A,#N/A,FALSE,"을지 (4)";#N/A,#N/A,FALSE,"을지 (5)";#N/A,#N/A,FALSE,"을지 (6)"}</definedName>
    <definedName name="QWA_1_2" localSheetId="26" hidden="1">{#N/A,#N/A,FALSE,"을지 (4)";#N/A,#N/A,FALSE,"을지 (5)";#N/A,#N/A,FALSE,"을지 (6)"}</definedName>
    <definedName name="QWA_1_2" localSheetId="0" hidden="1">{#N/A,#N/A,FALSE,"을지 (4)";#N/A,#N/A,FALSE,"을지 (5)";#N/A,#N/A,FALSE,"을지 (6)"}</definedName>
    <definedName name="QWA_1_2" hidden="1">{#N/A,#N/A,FALSE,"을지 (4)";#N/A,#N/A,FALSE,"을지 (5)";#N/A,#N/A,FALSE,"을지 (6)"}</definedName>
    <definedName name="QWA_1_3" localSheetId="26" hidden="1">{#N/A,#N/A,FALSE,"을지 (4)";#N/A,#N/A,FALSE,"을지 (5)";#N/A,#N/A,FALSE,"을지 (6)"}</definedName>
    <definedName name="QWA_1_3" localSheetId="0" hidden="1">{#N/A,#N/A,FALSE,"을지 (4)";#N/A,#N/A,FALSE,"을지 (5)";#N/A,#N/A,FALSE,"을지 (6)"}</definedName>
    <definedName name="QWA_1_3" hidden="1">{#N/A,#N/A,FALSE,"을지 (4)";#N/A,#N/A,FALSE,"을지 (5)";#N/A,#N/A,FALSE,"을지 (6)"}</definedName>
    <definedName name="QWA_2" localSheetId="26" hidden="1">{#N/A,#N/A,FALSE,"을지 (4)";#N/A,#N/A,FALSE,"을지 (5)";#N/A,#N/A,FALSE,"을지 (6)"}</definedName>
    <definedName name="QWA_2" localSheetId="0" hidden="1">{#N/A,#N/A,FALSE,"을지 (4)";#N/A,#N/A,FALSE,"을지 (5)";#N/A,#N/A,FALSE,"을지 (6)"}</definedName>
    <definedName name="QWA_2" hidden="1">{#N/A,#N/A,FALSE,"을지 (4)";#N/A,#N/A,FALSE,"을지 (5)";#N/A,#N/A,FALSE,"을지 (6)"}</definedName>
    <definedName name="QWA_2_1" localSheetId="26" hidden="1">{#N/A,#N/A,FALSE,"을지 (4)";#N/A,#N/A,FALSE,"을지 (5)";#N/A,#N/A,FALSE,"을지 (6)"}</definedName>
    <definedName name="QWA_2_1" localSheetId="0" hidden="1">{#N/A,#N/A,FALSE,"을지 (4)";#N/A,#N/A,FALSE,"을지 (5)";#N/A,#N/A,FALSE,"을지 (6)"}</definedName>
    <definedName name="QWA_2_1" hidden="1">{#N/A,#N/A,FALSE,"을지 (4)";#N/A,#N/A,FALSE,"을지 (5)";#N/A,#N/A,FALSE,"을지 (6)"}</definedName>
    <definedName name="QWA_2_2" localSheetId="26" hidden="1">{#N/A,#N/A,FALSE,"을지 (4)";#N/A,#N/A,FALSE,"을지 (5)";#N/A,#N/A,FALSE,"을지 (6)"}</definedName>
    <definedName name="QWA_2_2" localSheetId="0" hidden="1">{#N/A,#N/A,FALSE,"을지 (4)";#N/A,#N/A,FALSE,"을지 (5)";#N/A,#N/A,FALSE,"을지 (6)"}</definedName>
    <definedName name="QWA_2_2" hidden="1">{#N/A,#N/A,FALSE,"을지 (4)";#N/A,#N/A,FALSE,"을지 (5)";#N/A,#N/A,FALSE,"을지 (6)"}</definedName>
    <definedName name="QWA_3" localSheetId="26" hidden="1">{#N/A,#N/A,FALSE,"을지 (4)";#N/A,#N/A,FALSE,"을지 (5)";#N/A,#N/A,FALSE,"을지 (6)"}</definedName>
    <definedName name="QWA_3" localSheetId="0" hidden="1">{#N/A,#N/A,FALSE,"을지 (4)";#N/A,#N/A,FALSE,"을지 (5)";#N/A,#N/A,FALSE,"을지 (6)"}</definedName>
    <definedName name="QWA_3" hidden="1">{#N/A,#N/A,FALSE,"을지 (4)";#N/A,#N/A,FALSE,"을지 (5)";#N/A,#N/A,FALSE,"을지 (6)"}</definedName>
    <definedName name="QWA_4" localSheetId="26" hidden="1">{#N/A,#N/A,FALSE,"을지 (4)";#N/A,#N/A,FALSE,"을지 (5)";#N/A,#N/A,FALSE,"을지 (6)"}</definedName>
    <definedName name="QWA_4" localSheetId="0" hidden="1">{#N/A,#N/A,FALSE,"을지 (4)";#N/A,#N/A,FALSE,"을지 (5)";#N/A,#N/A,FALSE,"을지 (6)"}</definedName>
    <definedName name="QWA_4" hidden="1">{#N/A,#N/A,FALSE,"을지 (4)";#N/A,#N/A,FALSE,"을지 (5)";#N/A,#N/A,FALSE,"을지 (6)"}</definedName>
    <definedName name="QWA_5" localSheetId="26" hidden="1">{#N/A,#N/A,FALSE,"을지 (4)";#N/A,#N/A,FALSE,"을지 (5)";#N/A,#N/A,FALSE,"을지 (6)"}</definedName>
    <definedName name="QWA_5" localSheetId="0" hidden="1">{#N/A,#N/A,FALSE,"을지 (4)";#N/A,#N/A,FALSE,"을지 (5)";#N/A,#N/A,FALSE,"을지 (6)"}</definedName>
    <definedName name="QWA_5" hidden="1">{#N/A,#N/A,FALSE,"을지 (4)";#N/A,#N/A,FALSE,"을지 (5)";#N/A,#N/A,FALSE,"을지 (6)"}</definedName>
    <definedName name="QWE" localSheetId="26" hidden="1">{#N/A,#N/A,FALSE,"을지 (4)";#N/A,#N/A,FALSE,"을지 (5)";#N/A,#N/A,FALSE,"을지 (6)"}</definedName>
    <definedName name="QWE" localSheetId="0" hidden="1">{#N/A,#N/A,FALSE,"을지 (4)";#N/A,#N/A,FALSE,"을지 (5)";#N/A,#N/A,FALSE,"을지 (6)"}</definedName>
    <definedName name="QWE" hidden="1">{#N/A,#N/A,FALSE,"을지 (4)";#N/A,#N/A,FALSE,"을지 (5)";#N/A,#N/A,FALSE,"을지 (6)"}</definedName>
    <definedName name="QWE_1" localSheetId="26" hidden="1">{#N/A,#N/A,FALSE,"을지 (4)";#N/A,#N/A,FALSE,"을지 (5)";#N/A,#N/A,FALSE,"을지 (6)"}</definedName>
    <definedName name="QWE_1" localSheetId="0" hidden="1">{#N/A,#N/A,FALSE,"을지 (4)";#N/A,#N/A,FALSE,"을지 (5)";#N/A,#N/A,FALSE,"을지 (6)"}</definedName>
    <definedName name="QWE_1" hidden="1">{#N/A,#N/A,FALSE,"을지 (4)";#N/A,#N/A,FALSE,"을지 (5)";#N/A,#N/A,FALSE,"을지 (6)"}</definedName>
    <definedName name="QWE_1_1" localSheetId="26" hidden="1">{#N/A,#N/A,FALSE,"을지 (4)";#N/A,#N/A,FALSE,"을지 (5)";#N/A,#N/A,FALSE,"을지 (6)"}</definedName>
    <definedName name="QWE_1_1" localSheetId="0" hidden="1">{#N/A,#N/A,FALSE,"을지 (4)";#N/A,#N/A,FALSE,"을지 (5)";#N/A,#N/A,FALSE,"을지 (6)"}</definedName>
    <definedName name="QWE_1_1" hidden="1">{#N/A,#N/A,FALSE,"을지 (4)";#N/A,#N/A,FALSE,"을지 (5)";#N/A,#N/A,FALSE,"을지 (6)"}</definedName>
    <definedName name="QWE_1_2" localSheetId="26" hidden="1">{#N/A,#N/A,FALSE,"을지 (4)";#N/A,#N/A,FALSE,"을지 (5)";#N/A,#N/A,FALSE,"을지 (6)"}</definedName>
    <definedName name="QWE_1_2" localSheetId="0" hidden="1">{#N/A,#N/A,FALSE,"을지 (4)";#N/A,#N/A,FALSE,"을지 (5)";#N/A,#N/A,FALSE,"을지 (6)"}</definedName>
    <definedName name="QWE_1_2" hidden="1">{#N/A,#N/A,FALSE,"을지 (4)";#N/A,#N/A,FALSE,"을지 (5)";#N/A,#N/A,FALSE,"을지 (6)"}</definedName>
    <definedName name="QWE_1_3" localSheetId="26" hidden="1">{#N/A,#N/A,FALSE,"을지 (4)";#N/A,#N/A,FALSE,"을지 (5)";#N/A,#N/A,FALSE,"을지 (6)"}</definedName>
    <definedName name="QWE_1_3" localSheetId="0" hidden="1">{#N/A,#N/A,FALSE,"을지 (4)";#N/A,#N/A,FALSE,"을지 (5)";#N/A,#N/A,FALSE,"을지 (6)"}</definedName>
    <definedName name="QWE_1_3" hidden="1">{#N/A,#N/A,FALSE,"을지 (4)";#N/A,#N/A,FALSE,"을지 (5)";#N/A,#N/A,FALSE,"을지 (6)"}</definedName>
    <definedName name="QWE_2" localSheetId="26" hidden="1">{#N/A,#N/A,FALSE,"을지 (4)";#N/A,#N/A,FALSE,"을지 (5)";#N/A,#N/A,FALSE,"을지 (6)"}</definedName>
    <definedName name="QWE_2" localSheetId="0" hidden="1">{#N/A,#N/A,FALSE,"을지 (4)";#N/A,#N/A,FALSE,"을지 (5)";#N/A,#N/A,FALSE,"을지 (6)"}</definedName>
    <definedName name="QWE_2" hidden="1">{#N/A,#N/A,FALSE,"을지 (4)";#N/A,#N/A,FALSE,"을지 (5)";#N/A,#N/A,FALSE,"을지 (6)"}</definedName>
    <definedName name="QWE_2_1" localSheetId="26" hidden="1">{#N/A,#N/A,FALSE,"을지 (4)";#N/A,#N/A,FALSE,"을지 (5)";#N/A,#N/A,FALSE,"을지 (6)"}</definedName>
    <definedName name="QWE_2_1" localSheetId="0" hidden="1">{#N/A,#N/A,FALSE,"을지 (4)";#N/A,#N/A,FALSE,"을지 (5)";#N/A,#N/A,FALSE,"을지 (6)"}</definedName>
    <definedName name="QWE_2_1" hidden="1">{#N/A,#N/A,FALSE,"을지 (4)";#N/A,#N/A,FALSE,"을지 (5)";#N/A,#N/A,FALSE,"을지 (6)"}</definedName>
    <definedName name="QWE_2_2" localSheetId="26" hidden="1">{#N/A,#N/A,FALSE,"을지 (4)";#N/A,#N/A,FALSE,"을지 (5)";#N/A,#N/A,FALSE,"을지 (6)"}</definedName>
    <definedName name="QWE_2_2" localSheetId="0" hidden="1">{#N/A,#N/A,FALSE,"을지 (4)";#N/A,#N/A,FALSE,"을지 (5)";#N/A,#N/A,FALSE,"을지 (6)"}</definedName>
    <definedName name="QWE_2_2" hidden="1">{#N/A,#N/A,FALSE,"을지 (4)";#N/A,#N/A,FALSE,"을지 (5)";#N/A,#N/A,FALSE,"을지 (6)"}</definedName>
    <definedName name="QWE_3" localSheetId="26" hidden="1">{#N/A,#N/A,FALSE,"을지 (4)";#N/A,#N/A,FALSE,"을지 (5)";#N/A,#N/A,FALSE,"을지 (6)"}</definedName>
    <definedName name="QWE_3" localSheetId="0" hidden="1">{#N/A,#N/A,FALSE,"을지 (4)";#N/A,#N/A,FALSE,"을지 (5)";#N/A,#N/A,FALSE,"을지 (6)"}</definedName>
    <definedName name="QWE_3" hidden="1">{#N/A,#N/A,FALSE,"을지 (4)";#N/A,#N/A,FALSE,"을지 (5)";#N/A,#N/A,FALSE,"을지 (6)"}</definedName>
    <definedName name="QWE_4" localSheetId="26" hidden="1">{#N/A,#N/A,FALSE,"을지 (4)";#N/A,#N/A,FALSE,"을지 (5)";#N/A,#N/A,FALSE,"을지 (6)"}</definedName>
    <definedName name="QWE_4" localSheetId="0" hidden="1">{#N/A,#N/A,FALSE,"을지 (4)";#N/A,#N/A,FALSE,"을지 (5)";#N/A,#N/A,FALSE,"을지 (6)"}</definedName>
    <definedName name="QWE_4" hidden="1">{#N/A,#N/A,FALSE,"을지 (4)";#N/A,#N/A,FALSE,"을지 (5)";#N/A,#N/A,FALSE,"을지 (6)"}</definedName>
    <definedName name="QWE_5" localSheetId="26" hidden="1">{#N/A,#N/A,FALSE,"을지 (4)";#N/A,#N/A,FALSE,"을지 (5)";#N/A,#N/A,FALSE,"을지 (6)"}</definedName>
    <definedName name="QWE_5" localSheetId="0" hidden="1">{#N/A,#N/A,FALSE,"을지 (4)";#N/A,#N/A,FALSE,"을지 (5)";#N/A,#N/A,FALSE,"을지 (6)"}</definedName>
    <definedName name="QWE_5" hidden="1">{#N/A,#N/A,FALSE,"을지 (4)";#N/A,#N/A,FALSE,"을지 (5)";#N/A,#N/A,FALSE,"을지 (6)"}</definedName>
    <definedName name="R_COVER" localSheetId="26" hidden="1">{#N/A,#N/A,FALSE,"단축1";#N/A,#N/A,FALSE,"단축2";#N/A,#N/A,FALSE,"단축3";#N/A,#N/A,FALSE,"장축";#N/A,#N/A,FALSE,"4WD"}</definedName>
    <definedName name="R_COVER" localSheetId="0" hidden="1">{#N/A,#N/A,FALSE,"단축1";#N/A,#N/A,FALSE,"단축2";#N/A,#N/A,FALSE,"단축3";#N/A,#N/A,FALSE,"장축";#N/A,#N/A,FALSE,"4WD"}</definedName>
    <definedName name="R_COVER" hidden="1">{#N/A,#N/A,FALSE,"단축1";#N/A,#N/A,FALSE,"단축2";#N/A,#N/A,FALSE,"단축3";#N/A,#N/A,FALSE,"장축";#N/A,#N/A,FALSE,"4WD"}</definedName>
    <definedName name="R_COVER_1" localSheetId="26" hidden="1">{#N/A,#N/A,FALSE,"단축1";#N/A,#N/A,FALSE,"단축2";#N/A,#N/A,FALSE,"단축3";#N/A,#N/A,FALSE,"장축";#N/A,#N/A,FALSE,"4WD"}</definedName>
    <definedName name="R_COVER_1" localSheetId="0" hidden="1">{#N/A,#N/A,FALSE,"단축1";#N/A,#N/A,FALSE,"단축2";#N/A,#N/A,FALSE,"단축3";#N/A,#N/A,FALSE,"장축";#N/A,#N/A,FALSE,"4WD"}</definedName>
    <definedName name="R_COVER_1" hidden="1">{#N/A,#N/A,FALSE,"단축1";#N/A,#N/A,FALSE,"단축2";#N/A,#N/A,FALSE,"단축3";#N/A,#N/A,FALSE,"장축";#N/A,#N/A,FALSE,"4WD"}</definedName>
    <definedName name="R_COVER_1_1" localSheetId="26" hidden="1">{#N/A,#N/A,FALSE,"단축1";#N/A,#N/A,FALSE,"단축2";#N/A,#N/A,FALSE,"단축3";#N/A,#N/A,FALSE,"장축";#N/A,#N/A,FALSE,"4WD"}</definedName>
    <definedName name="R_COVER_1_1" localSheetId="0" hidden="1">{#N/A,#N/A,FALSE,"단축1";#N/A,#N/A,FALSE,"단축2";#N/A,#N/A,FALSE,"단축3";#N/A,#N/A,FALSE,"장축";#N/A,#N/A,FALSE,"4WD"}</definedName>
    <definedName name="R_COVER_1_1" hidden="1">{#N/A,#N/A,FALSE,"단축1";#N/A,#N/A,FALSE,"단축2";#N/A,#N/A,FALSE,"단축3";#N/A,#N/A,FALSE,"장축";#N/A,#N/A,FALSE,"4WD"}</definedName>
    <definedName name="R_COVER_1_2" localSheetId="26" hidden="1">{#N/A,#N/A,FALSE,"단축1";#N/A,#N/A,FALSE,"단축2";#N/A,#N/A,FALSE,"단축3";#N/A,#N/A,FALSE,"장축";#N/A,#N/A,FALSE,"4WD"}</definedName>
    <definedName name="R_COVER_1_2" localSheetId="0" hidden="1">{#N/A,#N/A,FALSE,"단축1";#N/A,#N/A,FALSE,"단축2";#N/A,#N/A,FALSE,"단축3";#N/A,#N/A,FALSE,"장축";#N/A,#N/A,FALSE,"4WD"}</definedName>
    <definedName name="R_COVER_1_2" hidden="1">{#N/A,#N/A,FALSE,"단축1";#N/A,#N/A,FALSE,"단축2";#N/A,#N/A,FALSE,"단축3";#N/A,#N/A,FALSE,"장축";#N/A,#N/A,FALSE,"4WD"}</definedName>
    <definedName name="R_COVER_1_3" localSheetId="26" hidden="1">{#N/A,#N/A,FALSE,"단축1";#N/A,#N/A,FALSE,"단축2";#N/A,#N/A,FALSE,"단축3";#N/A,#N/A,FALSE,"장축";#N/A,#N/A,FALSE,"4WD"}</definedName>
    <definedName name="R_COVER_1_3" localSheetId="0" hidden="1">{#N/A,#N/A,FALSE,"단축1";#N/A,#N/A,FALSE,"단축2";#N/A,#N/A,FALSE,"단축3";#N/A,#N/A,FALSE,"장축";#N/A,#N/A,FALSE,"4WD"}</definedName>
    <definedName name="R_COVER_1_3" hidden="1">{#N/A,#N/A,FALSE,"단축1";#N/A,#N/A,FALSE,"단축2";#N/A,#N/A,FALSE,"단축3";#N/A,#N/A,FALSE,"장축";#N/A,#N/A,FALSE,"4WD"}</definedName>
    <definedName name="R_COVER_2" localSheetId="26" hidden="1">{#N/A,#N/A,FALSE,"단축1";#N/A,#N/A,FALSE,"단축2";#N/A,#N/A,FALSE,"단축3";#N/A,#N/A,FALSE,"장축";#N/A,#N/A,FALSE,"4WD"}</definedName>
    <definedName name="R_COVER_2" localSheetId="0" hidden="1">{#N/A,#N/A,FALSE,"단축1";#N/A,#N/A,FALSE,"단축2";#N/A,#N/A,FALSE,"단축3";#N/A,#N/A,FALSE,"장축";#N/A,#N/A,FALSE,"4WD"}</definedName>
    <definedName name="R_COVER_2" hidden="1">{#N/A,#N/A,FALSE,"단축1";#N/A,#N/A,FALSE,"단축2";#N/A,#N/A,FALSE,"단축3";#N/A,#N/A,FALSE,"장축";#N/A,#N/A,FALSE,"4WD"}</definedName>
    <definedName name="R_COVER_2_1" localSheetId="26" hidden="1">{#N/A,#N/A,FALSE,"단축1";#N/A,#N/A,FALSE,"단축2";#N/A,#N/A,FALSE,"단축3";#N/A,#N/A,FALSE,"장축";#N/A,#N/A,FALSE,"4WD"}</definedName>
    <definedName name="R_COVER_2_1" localSheetId="0" hidden="1">{#N/A,#N/A,FALSE,"단축1";#N/A,#N/A,FALSE,"단축2";#N/A,#N/A,FALSE,"단축3";#N/A,#N/A,FALSE,"장축";#N/A,#N/A,FALSE,"4WD"}</definedName>
    <definedName name="R_COVER_2_1" hidden="1">{#N/A,#N/A,FALSE,"단축1";#N/A,#N/A,FALSE,"단축2";#N/A,#N/A,FALSE,"단축3";#N/A,#N/A,FALSE,"장축";#N/A,#N/A,FALSE,"4WD"}</definedName>
    <definedName name="R_COVER_2_2" localSheetId="26" hidden="1">{#N/A,#N/A,FALSE,"단축1";#N/A,#N/A,FALSE,"단축2";#N/A,#N/A,FALSE,"단축3";#N/A,#N/A,FALSE,"장축";#N/A,#N/A,FALSE,"4WD"}</definedName>
    <definedName name="R_COVER_2_2" localSheetId="0" hidden="1">{#N/A,#N/A,FALSE,"단축1";#N/A,#N/A,FALSE,"단축2";#N/A,#N/A,FALSE,"단축3";#N/A,#N/A,FALSE,"장축";#N/A,#N/A,FALSE,"4WD"}</definedName>
    <definedName name="R_COVER_2_2" hidden="1">{#N/A,#N/A,FALSE,"단축1";#N/A,#N/A,FALSE,"단축2";#N/A,#N/A,FALSE,"단축3";#N/A,#N/A,FALSE,"장축";#N/A,#N/A,FALSE,"4WD"}</definedName>
    <definedName name="R_COVER_3" localSheetId="26" hidden="1">{#N/A,#N/A,FALSE,"단축1";#N/A,#N/A,FALSE,"단축2";#N/A,#N/A,FALSE,"단축3";#N/A,#N/A,FALSE,"장축";#N/A,#N/A,FALSE,"4WD"}</definedName>
    <definedName name="R_COVER_3" localSheetId="0" hidden="1">{#N/A,#N/A,FALSE,"단축1";#N/A,#N/A,FALSE,"단축2";#N/A,#N/A,FALSE,"단축3";#N/A,#N/A,FALSE,"장축";#N/A,#N/A,FALSE,"4WD"}</definedName>
    <definedName name="R_COVER_3" hidden="1">{#N/A,#N/A,FALSE,"단축1";#N/A,#N/A,FALSE,"단축2";#N/A,#N/A,FALSE,"단축3";#N/A,#N/A,FALSE,"장축";#N/A,#N/A,FALSE,"4WD"}</definedName>
    <definedName name="R_COVER_4" localSheetId="26" hidden="1">{#N/A,#N/A,FALSE,"단축1";#N/A,#N/A,FALSE,"단축2";#N/A,#N/A,FALSE,"단축3";#N/A,#N/A,FALSE,"장축";#N/A,#N/A,FALSE,"4WD"}</definedName>
    <definedName name="R_COVER_4" localSheetId="0" hidden="1">{#N/A,#N/A,FALSE,"단축1";#N/A,#N/A,FALSE,"단축2";#N/A,#N/A,FALSE,"단축3";#N/A,#N/A,FALSE,"장축";#N/A,#N/A,FALSE,"4WD"}</definedName>
    <definedName name="R_COVER_4" hidden="1">{#N/A,#N/A,FALSE,"단축1";#N/A,#N/A,FALSE,"단축2";#N/A,#N/A,FALSE,"단축3";#N/A,#N/A,FALSE,"장축";#N/A,#N/A,FALSE,"4WD"}</definedName>
    <definedName name="R_COVER_5" localSheetId="26" hidden="1">{#N/A,#N/A,FALSE,"단축1";#N/A,#N/A,FALSE,"단축2";#N/A,#N/A,FALSE,"단축3";#N/A,#N/A,FALSE,"장축";#N/A,#N/A,FALSE,"4WD"}</definedName>
    <definedName name="R_COVER_5" localSheetId="0" hidden="1">{#N/A,#N/A,FALSE,"단축1";#N/A,#N/A,FALSE,"단축2";#N/A,#N/A,FALSE,"단축3";#N/A,#N/A,FALSE,"장축";#N/A,#N/A,FALSE,"4WD"}</definedName>
    <definedName name="R_COVER_5" hidden="1">{#N/A,#N/A,FALSE,"단축1";#N/A,#N/A,FALSE,"단축2";#N/A,#N/A,FALSE,"단축3";#N/A,#N/A,FALSE,"장축";#N/A,#N/A,FALSE,"4WD"}</definedName>
    <definedName name="RAR" localSheetId="26" hidden="1">{#N/A,#N/A,FALSE,"196126-0690";#N/A,#N/A,FALSE,"196126-0690";#N/A,#N/A,FALSE,"1961165-0201"}</definedName>
    <definedName name="RAR" localSheetId="0" hidden="1">{#N/A,#N/A,FALSE,"196126-0690";#N/A,#N/A,FALSE,"196126-0690";#N/A,#N/A,FALSE,"1961165-0201"}</definedName>
    <definedName name="RAR" hidden="1">{#N/A,#N/A,FALSE,"196126-0690";#N/A,#N/A,FALSE,"196126-0690";#N/A,#N/A,FALSE,"1961165-0201"}</definedName>
    <definedName name="RAR_1" localSheetId="26" hidden="1">{#N/A,#N/A,FALSE,"196126-0690";#N/A,#N/A,FALSE,"196126-0690";#N/A,#N/A,FALSE,"1961165-0201"}</definedName>
    <definedName name="RAR_1" localSheetId="0" hidden="1">{#N/A,#N/A,FALSE,"196126-0690";#N/A,#N/A,FALSE,"196126-0690";#N/A,#N/A,FALSE,"1961165-0201"}</definedName>
    <definedName name="RAR_1" hidden="1">{#N/A,#N/A,FALSE,"196126-0690";#N/A,#N/A,FALSE,"196126-0690";#N/A,#N/A,FALSE,"1961165-0201"}</definedName>
    <definedName name="RAR_1_1" localSheetId="26" hidden="1">{#N/A,#N/A,FALSE,"196126-0690";#N/A,#N/A,FALSE,"196126-0690";#N/A,#N/A,FALSE,"1961165-0201"}</definedName>
    <definedName name="RAR_1_1" localSheetId="0" hidden="1">{#N/A,#N/A,FALSE,"196126-0690";#N/A,#N/A,FALSE,"196126-0690";#N/A,#N/A,FALSE,"1961165-0201"}</definedName>
    <definedName name="RAR_1_1" hidden="1">{#N/A,#N/A,FALSE,"196126-0690";#N/A,#N/A,FALSE,"196126-0690";#N/A,#N/A,FALSE,"1961165-0201"}</definedName>
    <definedName name="RAR_1_2" localSheetId="26" hidden="1">{#N/A,#N/A,FALSE,"196126-0690";#N/A,#N/A,FALSE,"196126-0690";#N/A,#N/A,FALSE,"1961165-0201"}</definedName>
    <definedName name="RAR_1_2" localSheetId="0" hidden="1">{#N/A,#N/A,FALSE,"196126-0690";#N/A,#N/A,FALSE,"196126-0690";#N/A,#N/A,FALSE,"1961165-0201"}</definedName>
    <definedName name="RAR_1_2" hidden="1">{#N/A,#N/A,FALSE,"196126-0690";#N/A,#N/A,FALSE,"196126-0690";#N/A,#N/A,FALSE,"1961165-0201"}</definedName>
    <definedName name="RAR_1_3" localSheetId="26" hidden="1">{#N/A,#N/A,FALSE,"196126-0690";#N/A,#N/A,FALSE,"196126-0690";#N/A,#N/A,FALSE,"1961165-0201"}</definedName>
    <definedName name="RAR_1_3" localSheetId="0" hidden="1">{#N/A,#N/A,FALSE,"196126-0690";#N/A,#N/A,FALSE,"196126-0690";#N/A,#N/A,FALSE,"1961165-0201"}</definedName>
    <definedName name="RAR_1_3" hidden="1">{#N/A,#N/A,FALSE,"196126-0690";#N/A,#N/A,FALSE,"196126-0690";#N/A,#N/A,FALSE,"1961165-0201"}</definedName>
    <definedName name="RAR_2" localSheetId="26" hidden="1">{#N/A,#N/A,FALSE,"196126-0690";#N/A,#N/A,FALSE,"196126-0690";#N/A,#N/A,FALSE,"1961165-0201"}</definedName>
    <definedName name="RAR_2" localSheetId="0" hidden="1">{#N/A,#N/A,FALSE,"196126-0690";#N/A,#N/A,FALSE,"196126-0690";#N/A,#N/A,FALSE,"1961165-0201"}</definedName>
    <definedName name="RAR_2" hidden="1">{#N/A,#N/A,FALSE,"196126-0690";#N/A,#N/A,FALSE,"196126-0690";#N/A,#N/A,FALSE,"1961165-0201"}</definedName>
    <definedName name="RAR_2_1" localSheetId="26" hidden="1">{#N/A,#N/A,FALSE,"196126-0690";#N/A,#N/A,FALSE,"196126-0690";#N/A,#N/A,FALSE,"1961165-0201"}</definedName>
    <definedName name="RAR_2_1" localSheetId="0" hidden="1">{#N/A,#N/A,FALSE,"196126-0690";#N/A,#N/A,FALSE,"196126-0690";#N/A,#N/A,FALSE,"1961165-0201"}</definedName>
    <definedName name="RAR_2_1" hidden="1">{#N/A,#N/A,FALSE,"196126-0690";#N/A,#N/A,FALSE,"196126-0690";#N/A,#N/A,FALSE,"1961165-0201"}</definedName>
    <definedName name="RAR_2_2" localSheetId="26" hidden="1">{#N/A,#N/A,FALSE,"196126-0690";#N/A,#N/A,FALSE,"196126-0690";#N/A,#N/A,FALSE,"1961165-0201"}</definedName>
    <definedName name="RAR_2_2" localSheetId="0" hidden="1">{#N/A,#N/A,FALSE,"196126-0690";#N/A,#N/A,FALSE,"196126-0690";#N/A,#N/A,FALSE,"1961165-0201"}</definedName>
    <definedName name="RAR_2_2" hidden="1">{#N/A,#N/A,FALSE,"196126-0690";#N/A,#N/A,FALSE,"196126-0690";#N/A,#N/A,FALSE,"1961165-0201"}</definedName>
    <definedName name="RAR_3" localSheetId="26" hidden="1">{#N/A,#N/A,FALSE,"196126-0690";#N/A,#N/A,FALSE,"196126-0690";#N/A,#N/A,FALSE,"1961165-0201"}</definedName>
    <definedName name="RAR_3" localSheetId="0" hidden="1">{#N/A,#N/A,FALSE,"196126-0690";#N/A,#N/A,FALSE,"196126-0690";#N/A,#N/A,FALSE,"1961165-0201"}</definedName>
    <definedName name="RAR_3" hidden="1">{#N/A,#N/A,FALSE,"196126-0690";#N/A,#N/A,FALSE,"196126-0690";#N/A,#N/A,FALSE,"1961165-0201"}</definedName>
    <definedName name="RAR_4" localSheetId="26" hidden="1">{#N/A,#N/A,FALSE,"196126-0690";#N/A,#N/A,FALSE,"196126-0690";#N/A,#N/A,FALSE,"1961165-0201"}</definedName>
    <definedName name="RAR_4" localSheetId="0" hidden="1">{#N/A,#N/A,FALSE,"196126-0690";#N/A,#N/A,FALSE,"196126-0690";#N/A,#N/A,FALSE,"1961165-0201"}</definedName>
    <definedName name="RAR_4" hidden="1">{#N/A,#N/A,FALSE,"196126-0690";#N/A,#N/A,FALSE,"196126-0690";#N/A,#N/A,FALSE,"1961165-0201"}</definedName>
    <definedName name="RAR_5" localSheetId="26" hidden="1">{#N/A,#N/A,FALSE,"196126-0690";#N/A,#N/A,FALSE,"196126-0690";#N/A,#N/A,FALSE,"1961165-0201"}</definedName>
    <definedName name="RAR_5" localSheetId="0" hidden="1">{#N/A,#N/A,FALSE,"196126-0690";#N/A,#N/A,FALSE,"196126-0690";#N/A,#N/A,FALSE,"1961165-0201"}</definedName>
    <definedName name="RAR_5" hidden="1">{#N/A,#N/A,FALSE,"196126-0690";#N/A,#N/A,FALSE,"196126-0690";#N/A,#N/A,FALSE,"1961165-0201"}</definedName>
    <definedName name="RE" localSheetId="26" hidden="1">{#N/A,#N/A,FALSE,"초도품";#N/A,#N/A,FALSE,"초도품 (2)";#N/A,#N/A,FALSE,"초도품 (3)";#N/A,#N/A,FALSE,"초도품 (4)";#N/A,#N/A,FALSE,"초도품 (5)";#N/A,#N/A,FALSE,"초도품 (6)"}</definedName>
    <definedName name="RE" localSheetId="0" hidden="1">{#N/A,#N/A,FALSE,"초도품";#N/A,#N/A,FALSE,"초도품 (2)";#N/A,#N/A,FALSE,"초도품 (3)";#N/A,#N/A,FALSE,"초도품 (4)";#N/A,#N/A,FALSE,"초도품 (5)";#N/A,#N/A,FALSE,"초도품 (6)"}</definedName>
    <definedName name="RE" hidden="1">{#N/A,#N/A,FALSE,"초도품";#N/A,#N/A,FALSE,"초도품 (2)";#N/A,#N/A,FALSE,"초도품 (3)";#N/A,#N/A,FALSE,"초도품 (4)";#N/A,#N/A,FALSE,"초도품 (5)";#N/A,#N/A,FALSE,"초도품 (6)"}</definedName>
    <definedName name="RE_1" localSheetId="26" hidden="1">{#N/A,#N/A,FALSE,"초도품";#N/A,#N/A,FALSE,"초도품 (2)";#N/A,#N/A,FALSE,"초도품 (3)";#N/A,#N/A,FALSE,"초도품 (4)";#N/A,#N/A,FALSE,"초도품 (5)";#N/A,#N/A,FALSE,"초도품 (6)"}</definedName>
    <definedName name="RE_1" localSheetId="0" hidden="1">{#N/A,#N/A,FALSE,"초도품";#N/A,#N/A,FALSE,"초도품 (2)";#N/A,#N/A,FALSE,"초도품 (3)";#N/A,#N/A,FALSE,"초도품 (4)";#N/A,#N/A,FALSE,"초도품 (5)";#N/A,#N/A,FALSE,"초도품 (6)"}</definedName>
    <definedName name="RE_1" hidden="1">{#N/A,#N/A,FALSE,"초도품";#N/A,#N/A,FALSE,"초도품 (2)";#N/A,#N/A,FALSE,"초도품 (3)";#N/A,#N/A,FALSE,"초도품 (4)";#N/A,#N/A,FALSE,"초도품 (5)";#N/A,#N/A,FALSE,"초도품 (6)"}</definedName>
    <definedName name="RE_1_1" localSheetId="26" hidden="1">{#N/A,#N/A,FALSE,"초도품";#N/A,#N/A,FALSE,"초도품 (2)";#N/A,#N/A,FALSE,"초도품 (3)";#N/A,#N/A,FALSE,"초도품 (4)";#N/A,#N/A,FALSE,"초도품 (5)";#N/A,#N/A,FALSE,"초도품 (6)"}</definedName>
    <definedName name="RE_1_1" localSheetId="0" hidden="1">{#N/A,#N/A,FALSE,"초도품";#N/A,#N/A,FALSE,"초도품 (2)";#N/A,#N/A,FALSE,"초도품 (3)";#N/A,#N/A,FALSE,"초도품 (4)";#N/A,#N/A,FALSE,"초도품 (5)";#N/A,#N/A,FALSE,"초도품 (6)"}</definedName>
    <definedName name="RE_1_1" hidden="1">{#N/A,#N/A,FALSE,"초도품";#N/A,#N/A,FALSE,"초도품 (2)";#N/A,#N/A,FALSE,"초도품 (3)";#N/A,#N/A,FALSE,"초도품 (4)";#N/A,#N/A,FALSE,"초도품 (5)";#N/A,#N/A,FALSE,"초도품 (6)"}</definedName>
    <definedName name="RE_1_2" localSheetId="26" hidden="1">{#N/A,#N/A,FALSE,"초도품";#N/A,#N/A,FALSE,"초도품 (2)";#N/A,#N/A,FALSE,"초도품 (3)";#N/A,#N/A,FALSE,"초도품 (4)";#N/A,#N/A,FALSE,"초도품 (5)";#N/A,#N/A,FALSE,"초도품 (6)"}</definedName>
    <definedName name="RE_1_2" localSheetId="0" hidden="1">{#N/A,#N/A,FALSE,"초도품";#N/A,#N/A,FALSE,"초도품 (2)";#N/A,#N/A,FALSE,"초도품 (3)";#N/A,#N/A,FALSE,"초도품 (4)";#N/A,#N/A,FALSE,"초도품 (5)";#N/A,#N/A,FALSE,"초도품 (6)"}</definedName>
    <definedName name="RE_1_2" hidden="1">{#N/A,#N/A,FALSE,"초도품";#N/A,#N/A,FALSE,"초도품 (2)";#N/A,#N/A,FALSE,"초도품 (3)";#N/A,#N/A,FALSE,"초도품 (4)";#N/A,#N/A,FALSE,"초도품 (5)";#N/A,#N/A,FALSE,"초도품 (6)"}</definedName>
    <definedName name="RE_1_3" localSheetId="26" hidden="1">{#N/A,#N/A,FALSE,"초도품";#N/A,#N/A,FALSE,"초도품 (2)";#N/A,#N/A,FALSE,"초도품 (3)";#N/A,#N/A,FALSE,"초도품 (4)";#N/A,#N/A,FALSE,"초도품 (5)";#N/A,#N/A,FALSE,"초도품 (6)"}</definedName>
    <definedName name="RE_1_3" localSheetId="0" hidden="1">{#N/A,#N/A,FALSE,"초도품";#N/A,#N/A,FALSE,"초도품 (2)";#N/A,#N/A,FALSE,"초도품 (3)";#N/A,#N/A,FALSE,"초도품 (4)";#N/A,#N/A,FALSE,"초도품 (5)";#N/A,#N/A,FALSE,"초도품 (6)"}</definedName>
    <definedName name="RE_1_3" hidden="1">{#N/A,#N/A,FALSE,"초도품";#N/A,#N/A,FALSE,"초도품 (2)";#N/A,#N/A,FALSE,"초도품 (3)";#N/A,#N/A,FALSE,"초도품 (4)";#N/A,#N/A,FALSE,"초도품 (5)";#N/A,#N/A,FALSE,"초도품 (6)"}</definedName>
    <definedName name="RE_2" localSheetId="26" hidden="1">{#N/A,#N/A,FALSE,"초도품";#N/A,#N/A,FALSE,"초도품 (2)";#N/A,#N/A,FALSE,"초도품 (3)";#N/A,#N/A,FALSE,"초도품 (4)";#N/A,#N/A,FALSE,"초도품 (5)";#N/A,#N/A,FALSE,"초도품 (6)"}</definedName>
    <definedName name="RE_2" localSheetId="0" hidden="1">{#N/A,#N/A,FALSE,"초도품";#N/A,#N/A,FALSE,"초도품 (2)";#N/A,#N/A,FALSE,"초도품 (3)";#N/A,#N/A,FALSE,"초도품 (4)";#N/A,#N/A,FALSE,"초도품 (5)";#N/A,#N/A,FALSE,"초도품 (6)"}</definedName>
    <definedName name="RE_2" hidden="1">{#N/A,#N/A,FALSE,"초도품";#N/A,#N/A,FALSE,"초도품 (2)";#N/A,#N/A,FALSE,"초도품 (3)";#N/A,#N/A,FALSE,"초도품 (4)";#N/A,#N/A,FALSE,"초도품 (5)";#N/A,#N/A,FALSE,"초도품 (6)"}</definedName>
    <definedName name="RE_2_1" localSheetId="26" hidden="1">{#N/A,#N/A,FALSE,"초도품";#N/A,#N/A,FALSE,"초도품 (2)";#N/A,#N/A,FALSE,"초도품 (3)";#N/A,#N/A,FALSE,"초도품 (4)";#N/A,#N/A,FALSE,"초도품 (5)";#N/A,#N/A,FALSE,"초도품 (6)"}</definedName>
    <definedName name="RE_2_1" localSheetId="0" hidden="1">{#N/A,#N/A,FALSE,"초도품";#N/A,#N/A,FALSE,"초도품 (2)";#N/A,#N/A,FALSE,"초도품 (3)";#N/A,#N/A,FALSE,"초도품 (4)";#N/A,#N/A,FALSE,"초도품 (5)";#N/A,#N/A,FALSE,"초도품 (6)"}</definedName>
    <definedName name="RE_2_1" hidden="1">{#N/A,#N/A,FALSE,"초도품";#N/A,#N/A,FALSE,"초도품 (2)";#N/A,#N/A,FALSE,"초도품 (3)";#N/A,#N/A,FALSE,"초도품 (4)";#N/A,#N/A,FALSE,"초도품 (5)";#N/A,#N/A,FALSE,"초도품 (6)"}</definedName>
    <definedName name="RE_2_2" localSheetId="26" hidden="1">{#N/A,#N/A,FALSE,"초도품";#N/A,#N/A,FALSE,"초도품 (2)";#N/A,#N/A,FALSE,"초도품 (3)";#N/A,#N/A,FALSE,"초도품 (4)";#N/A,#N/A,FALSE,"초도품 (5)";#N/A,#N/A,FALSE,"초도품 (6)"}</definedName>
    <definedName name="RE_2_2" localSheetId="0" hidden="1">{#N/A,#N/A,FALSE,"초도품";#N/A,#N/A,FALSE,"초도품 (2)";#N/A,#N/A,FALSE,"초도품 (3)";#N/A,#N/A,FALSE,"초도품 (4)";#N/A,#N/A,FALSE,"초도품 (5)";#N/A,#N/A,FALSE,"초도품 (6)"}</definedName>
    <definedName name="RE_2_2" hidden="1">{#N/A,#N/A,FALSE,"초도품";#N/A,#N/A,FALSE,"초도품 (2)";#N/A,#N/A,FALSE,"초도품 (3)";#N/A,#N/A,FALSE,"초도품 (4)";#N/A,#N/A,FALSE,"초도품 (5)";#N/A,#N/A,FALSE,"초도품 (6)"}</definedName>
    <definedName name="RE_3" localSheetId="26" hidden="1">{#N/A,#N/A,FALSE,"초도품";#N/A,#N/A,FALSE,"초도품 (2)";#N/A,#N/A,FALSE,"초도품 (3)";#N/A,#N/A,FALSE,"초도품 (4)";#N/A,#N/A,FALSE,"초도품 (5)";#N/A,#N/A,FALSE,"초도품 (6)"}</definedName>
    <definedName name="RE_3" localSheetId="0" hidden="1">{#N/A,#N/A,FALSE,"초도품";#N/A,#N/A,FALSE,"초도품 (2)";#N/A,#N/A,FALSE,"초도품 (3)";#N/A,#N/A,FALSE,"초도품 (4)";#N/A,#N/A,FALSE,"초도품 (5)";#N/A,#N/A,FALSE,"초도품 (6)"}</definedName>
    <definedName name="RE_3" hidden="1">{#N/A,#N/A,FALSE,"초도품";#N/A,#N/A,FALSE,"초도품 (2)";#N/A,#N/A,FALSE,"초도품 (3)";#N/A,#N/A,FALSE,"초도품 (4)";#N/A,#N/A,FALSE,"초도품 (5)";#N/A,#N/A,FALSE,"초도품 (6)"}</definedName>
    <definedName name="RE_4" localSheetId="26" hidden="1">{#N/A,#N/A,FALSE,"초도품";#N/A,#N/A,FALSE,"초도품 (2)";#N/A,#N/A,FALSE,"초도품 (3)";#N/A,#N/A,FALSE,"초도품 (4)";#N/A,#N/A,FALSE,"초도품 (5)";#N/A,#N/A,FALSE,"초도품 (6)"}</definedName>
    <definedName name="RE_4" localSheetId="0" hidden="1">{#N/A,#N/A,FALSE,"초도품";#N/A,#N/A,FALSE,"초도품 (2)";#N/A,#N/A,FALSE,"초도품 (3)";#N/A,#N/A,FALSE,"초도품 (4)";#N/A,#N/A,FALSE,"초도품 (5)";#N/A,#N/A,FALSE,"초도품 (6)"}</definedName>
    <definedName name="RE_4" hidden="1">{#N/A,#N/A,FALSE,"초도품";#N/A,#N/A,FALSE,"초도품 (2)";#N/A,#N/A,FALSE,"초도품 (3)";#N/A,#N/A,FALSE,"초도품 (4)";#N/A,#N/A,FALSE,"초도품 (5)";#N/A,#N/A,FALSE,"초도품 (6)"}</definedName>
    <definedName name="RE_5" localSheetId="26" hidden="1">{#N/A,#N/A,FALSE,"초도품";#N/A,#N/A,FALSE,"초도품 (2)";#N/A,#N/A,FALSE,"초도품 (3)";#N/A,#N/A,FALSE,"초도품 (4)";#N/A,#N/A,FALSE,"초도품 (5)";#N/A,#N/A,FALSE,"초도품 (6)"}</definedName>
    <definedName name="RE_5" localSheetId="0" hidden="1">{#N/A,#N/A,FALSE,"초도품";#N/A,#N/A,FALSE,"초도품 (2)";#N/A,#N/A,FALSE,"초도품 (3)";#N/A,#N/A,FALSE,"초도품 (4)";#N/A,#N/A,FALSE,"초도품 (5)";#N/A,#N/A,FALSE,"초도품 (6)"}</definedName>
    <definedName name="RE_5" hidden="1">{#N/A,#N/A,FALSE,"초도품";#N/A,#N/A,FALSE,"초도품 (2)";#N/A,#N/A,FALSE,"초도품 (3)";#N/A,#N/A,FALSE,"초도품 (4)";#N/A,#N/A,FALSE,"초도품 (5)";#N/A,#N/A,FALSE,"초도품 (6)"}</definedName>
    <definedName name="RENEE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RENEE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RENEE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RENEE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RENEE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RENEE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RENEE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rf" localSheetId="9" hidden="1">[15]MOTO!#REF!</definedName>
    <definedName name="rf" localSheetId="1" hidden="1">[15]MOTO!#REF!</definedName>
    <definedName name="rf" localSheetId="26" hidden="1">[15]MOTO!#REF!</definedName>
    <definedName name="rf" localSheetId="21" hidden="1">[15]MOTO!#REF!</definedName>
    <definedName name="rf" localSheetId="3" hidden="1">[15]MOTO!#REF!</definedName>
    <definedName name="rf" localSheetId="28" hidden="1">[15]MOTO!#REF!</definedName>
    <definedName name="rf" localSheetId="27" hidden="1">[15]MOTO!#REF!</definedName>
    <definedName name="rf" localSheetId="0" hidden="1">[15]MOTO!#REF!</definedName>
    <definedName name="rf" hidden="1">[15]MOTO!#REF!</definedName>
    <definedName name="rfq" localSheetId="26" hidden="1">{#N/A,#N/A,FALSE,"196126-0690";#N/A,#N/A,FALSE,"196126-0690";#N/A,#N/A,FALSE,"1961165-0201"}</definedName>
    <definedName name="rfq" localSheetId="0" hidden="1">{#N/A,#N/A,FALSE,"196126-0690";#N/A,#N/A,FALSE,"196126-0690";#N/A,#N/A,FALSE,"1961165-0201"}</definedName>
    <definedName name="rfq" hidden="1">{#N/A,#N/A,FALSE,"196126-0690";#N/A,#N/A,FALSE,"196126-0690";#N/A,#N/A,FALSE,"1961165-0201"}</definedName>
    <definedName name="rfq_1" localSheetId="26" hidden="1">{#N/A,#N/A,FALSE,"196126-0690";#N/A,#N/A,FALSE,"196126-0690";#N/A,#N/A,FALSE,"1961165-0201"}</definedName>
    <definedName name="rfq_1" localSheetId="0" hidden="1">{#N/A,#N/A,FALSE,"196126-0690";#N/A,#N/A,FALSE,"196126-0690";#N/A,#N/A,FALSE,"1961165-0201"}</definedName>
    <definedName name="rfq_1" hidden="1">{#N/A,#N/A,FALSE,"196126-0690";#N/A,#N/A,FALSE,"196126-0690";#N/A,#N/A,FALSE,"1961165-0201"}</definedName>
    <definedName name="rfq_1_1" localSheetId="26" hidden="1">{#N/A,#N/A,FALSE,"196126-0690";#N/A,#N/A,FALSE,"196126-0690";#N/A,#N/A,FALSE,"1961165-0201"}</definedName>
    <definedName name="rfq_1_1" localSheetId="0" hidden="1">{#N/A,#N/A,FALSE,"196126-0690";#N/A,#N/A,FALSE,"196126-0690";#N/A,#N/A,FALSE,"1961165-0201"}</definedName>
    <definedName name="rfq_1_1" hidden="1">{#N/A,#N/A,FALSE,"196126-0690";#N/A,#N/A,FALSE,"196126-0690";#N/A,#N/A,FALSE,"1961165-0201"}</definedName>
    <definedName name="rfq_1_2" localSheetId="26" hidden="1">{#N/A,#N/A,FALSE,"196126-0690";#N/A,#N/A,FALSE,"196126-0690";#N/A,#N/A,FALSE,"1961165-0201"}</definedName>
    <definedName name="rfq_1_2" localSheetId="0" hidden="1">{#N/A,#N/A,FALSE,"196126-0690";#N/A,#N/A,FALSE,"196126-0690";#N/A,#N/A,FALSE,"1961165-0201"}</definedName>
    <definedName name="rfq_1_2" hidden="1">{#N/A,#N/A,FALSE,"196126-0690";#N/A,#N/A,FALSE,"196126-0690";#N/A,#N/A,FALSE,"1961165-0201"}</definedName>
    <definedName name="rfq_1_3" localSheetId="26" hidden="1">{#N/A,#N/A,FALSE,"196126-0690";#N/A,#N/A,FALSE,"196126-0690";#N/A,#N/A,FALSE,"1961165-0201"}</definedName>
    <definedName name="rfq_1_3" localSheetId="0" hidden="1">{#N/A,#N/A,FALSE,"196126-0690";#N/A,#N/A,FALSE,"196126-0690";#N/A,#N/A,FALSE,"1961165-0201"}</definedName>
    <definedName name="rfq_1_3" hidden="1">{#N/A,#N/A,FALSE,"196126-0690";#N/A,#N/A,FALSE,"196126-0690";#N/A,#N/A,FALSE,"1961165-0201"}</definedName>
    <definedName name="rfq_2" localSheetId="26" hidden="1">{#N/A,#N/A,FALSE,"196126-0690";#N/A,#N/A,FALSE,"196126-0690";#N/A,#N/A,FALSE,"1961165-0201"}</definedName>
    <definedName name="rfq_2" localSheetId="0" hidden="1">{#N/A,#N/A,FALSE,"196126-0690";#N/A,#N/A,FALSE,"196126-0690";#N/A,#N/A,FALSE,"1961165-0201"}</definedName>
    <definedName name="rfq_2" hidden="1">{#N/A,#N/A,FALSE,"196126-0690";#N/A,#N/A,FALSE,"196126-0690";#N/A,#N/A,FALSE,"1961165-0201"}</definedName>
    <definedName name="rfq_2_1" localSheetId="26" hidden="1">{#N/A,#N/A,FALSE,"196126-0690";#N/A,#N/A,FALSE,"196126-0690";#N/A,#N/A,FALSE,"1961165-0201"}</definedName>
    <definedName name="rfq_2_1" localSheetId="0" hidden="1">{#N/A,#N/A,FALSE,"196126-0690";#N/A,#N/A,FALSE,"196126-0690";#N/A,#N/A,FALSE,"1961165-0201"}</definedName>
    <definedName name="rfq_2_1" hidden="1">{#N/A,#N/A,FALSE,"196126-0690";#N/A,#N/A,FALSE,"196126-0690";#N/A,#N/A,FALSE,"1961165-0201"}</definedName>
    <definedName name="rfq_2_2" localSheetId="26" hidden="1">{#N/A,#N/A,FALSE,"196126-0690";#N/A,#N/A,FALSE,"196126-0690";#N/A,#N/A,FALSE,"1961165-0201"}</definedName>
    <definedName name="rfq_2_2" localSheetId="0" hidden="1">{#N/A,#N/A,FALSE,"196126-0690";#N/A,#N/A,FALSE,"196126-0690";#N/A,#N/A,FALSE,"1961165-0201"}</definedName>
    <definedName name="rfq_2_2" hidden="1">{#N/A,#N/A,FALSE,"196126-0690";#N/A,#N/A,FALSE,"196126-0690";#N/A,#N/A,FALSE,"1961165-0201"}</definedName>
    <definedName name="rfq_3" localSheetId="26" hidden="1">{#N/A,#N/A,FALSE,"196126-0690";#N/A,#N/A,FALSE,"196126-0690";#N/A,#N/A,FALSE,"1961165-0201"}</definedName>
    <definedName name="rfq_3" localSheetId="0" hidden="1">{#N/A,#N/A,FALSE,"196126-0690";#N/A,#N/A,FALSE,"196126-0690";#N/A,#N/A,FALSE,"1961165-0201"}</definedName>
    <definedName name="rfq_3" hidden="1">{#N/A,#N/A,FALSE,"196126-0690";#N/A,#N/A,FALSE,"196126-0690";#N/A,#N/A,FALSE,"1961165-0201"}</definedName>
    <definedName name="rfq_4" localSheetId="26" hidden="1">{#N/A,#N/A,FALSE,"196126-0690";#N/A,#N/A,FALSE,"196126-0690";#N/A,#N/A,FALSE,"1961165-0201"}</definedName>
    <definedName name="rfq_4" localSheetId="0" hidden="1">{#N/A,#N/A,FALSE,"196126-0690";#N/A,#N/A,FALSE,"196126-0690";#N/A,#N/A,FALSE,"1961165-0201"}</definedName>
    <definedName name="rfq_4" hidden="1">{#N/A,#N/A,FALSE,"196126-0690";#N/A,#N/A,FALSE,"196126-0690";#N/A,#N/A,FALSE,"1961165-0201"}</definedName>
    <definedName name="rfq_5" localSheetId="26" hidden="1">{#N/A,#N/A,FALSE,"196126-0690";#N/A,#N/A,FALSE,"196126-0690";#N/A,#N/A,FALSE,"1961165-0201"}</definedName>
    <definedName name="rfq_5" localSheetId="0" hidden="1">{#N/A,#N/A,FALSE,"196126-0690";#N/A,#N/A,FALSE,"196126-0690";#N/A,#N/A,FALSE,"1961165-0201"}</definedName>
    <definedName name="rfq_5" hidden="1">{#N/A,#N/A,FALSE,"196126-0690";#N/A,#N/A,FALSE,"196126-0690";#N/A,#N/A,FALSE,"1961165-0201"}</definedName>
    <definedName name="RFQI" localSheetId="26" hidden="1">{#N/A,#N/A,FALSE,"196126-0690";#N/A,#N/A,FALSE,"196126-0690";#N/A,#N/A,FALSE,"1961165-0201"}</definedName>
    <definedName name="RFQI" localSheetId="0" hidden="1">{#N/A,#N/A,FALSE,"196126-0690";#N/A,#N/A,FALSE,"196126-0690";#N/A,#N/A,FALSE,"1961165-0201"}</definedName>
    <definedName name="RFQI" hidden="1">{#N/A,#N/A,FALSE,"196126-0690";#N/A,#N/A,FALSE,"196126-0690";#N/A,#N/A,FALSE,"1961165-0201"}</definedName>
    <definedName name="RFQI_1" localSheetId="26" hidden="1">{#N/A,#N/A,FALSE,"196126-0690";#N/A,#N/A,FALSE,"196126-0690";#N/A,#N/A,FALSE,"1961165-0201"}</definedName>
    <definedName name="RFQI_1" localSheetId="0" hidden="1">{#N/A,#N/A,FALSE,"196126-0690";#N/A,#N/A,FALSE,"196126-0690";#N/A,#N/A,FALSE,"1961165-0201"}</definedName>
    <definedName name="RFQI_1" hidden="1">{#N/A,#N/A,FALSE,"196126-0690";#N/A,#N/A,FALSE,"196126-0690";#N/A,#N/A,FALSE,"1961165-0201"}</definedName>
    <definedName name="RFQI_1_1" localSheetId="26" hidden="1">{#N/A,#N/A,FALSE,"196126-0690";#N/A,#N/A,FALSE,"196126-0690";#N/A,#N/A,FALSE,"1961165-0201"}</definedName>
    <definedName name="RFQI_1_1" localSheetId="0" hidden="1">{#N/A,#N/A,FALSE,"196126-0690";#N/A,#N/A,FALSE,"196126-0690";#N/A,#N/A,FALSE,"1961165-0201"}</definedName>
    <definedName name="RFQI_1_1" hidden="1">{#N/A,#N/A,FALSE,"196126-0690";#N/A,#N/A,FALSE,"196126-0690";#N/A,#N/A,FALSE,"1961165-0201"}</definedName>
    <definedName name="RFQI_1_2" localSheetId="26" hidden="1">{#N/A,#N/A,FALSE,"196126-0690";#N/A,#N/A,FALSE,"196126-0690";#N/A,#N/A,FALSE,"1961165-0201"}</definedName>
    <definedName name="RFQI_1_2" localSheetId="0" hidden="1">{#N/A,#N/A,FALSE,"196126-0690";#N/A,#N/A,FALSE,"196126-0690";#N/A,#N/A,FALSE,"1961165-0201"}</definedName>
    <definedName name="RFQI_1_2" hidden="1">{#N/A,#N/A,FALSE,"196126-0690";#N/A,#N/A,FALSE,"196126-0690";#N/A,#N/A,FALSE,"1961165-0201"}</definedName>
    <definedName name="RFQI_1_3" localSheetId="26" hidden="1">{#N/A,#N/A,FALSE,"196126-0690";#N/A,#N/A,FALSE,"196126-0690";#N/A,#N/A,FALSE,"1961165-0201"}</definedName>
    <definedName name="RFQI_1_3" localSheetId="0" hidden="1">{#N/A,#N/A,FALSE,"196126-0690";#N/A,#N/A,FALSE,"196126-0690";#N/A,#N/A,FALSE,"1961165-0201"}</definedName>
    <definedName name="RFQI_1_3" hidden="1">{#N/A,#N/A,FALSE,"196126-0690";#N/A,#N/A,FALSE,"196126-0690";#N/A,#N/A,FALSE,"1961165-0201"}</definedName>
    <definedName name="RFQI_2" localSheetId="26" hidden="1">{#N/A,#N/A,FALSE,"196126-0690";#N/A,#N/A,FALSE,"196126-0690";#N/A,#N/A,FALSE,"1961165-0201"}</definedName>
    <definedName name="RFQI_2" localSheetId="0" hidden="1">{#N/A,#N/A,FALSE,"196126-0690";#N/A,#N/A,FALSE,"196126-0690";#N/A,#N/A,FALSE,"1961165-0201"}</definedName>
    <definedName name="RFQI_2" hidden="1">{#N/A,#N/A,FALSE,"196126-0690";#N/A,#N/A,FALSE,"196126-0690";#N/A,#N/A,FALSE,"1961165-0201"}</definedName>
    <definedName name="RFQI_2_1" localSheetId="26" hidden="1">{#N/A,#N/A,FALSE,"196126-0690";#N/A,#N/A,FALSE,"196126-0690";#N/A,#N/A,FALSE,"1961165-0201"}</definedName>
    <definedName name="RFQI_2_1" localSheetId="0" hidden="1">{#N/A,#N/A,FALSE,"196126-0690";#N/A,#N/A,FALSE,"196126-0690";#N/A,#N/A,FALSE,"1961165-0201"}</definedName>
    <definedName name="RFQI_2_1" hidden="1">{#N/A,#N/A,FALSE,"196126-0690";#N/A,#N/A,FALSE,"196126-0690";#N/A,#N/A,FALSE,"1961165-0201"}</definedName>
    <definedName name="RFQI_2_2" localSheetId="26" hidden="1">{#N/A,#N/A,FALSE,"196126-0690";#N/A,#N/A,FALSE,"196126-0690";#N/A,#N/A,FALSE,"1961165-0201"}</definedName>
    <definedName name="RFQI_2_2" localSheetId="0" hidden="1">{#N/A,#N/A,FALSE,"196126-0690";#N/A,#N/A,FALSE,"196126-0690";#N/A,#N/A,FALSE,"1961165-0201"}</definedName>
    <definedName name="RFQI_2_2" hidden="1">{#N/A,#N/A,FALSE,"196126-0690";#N/A,#N/A,FALSE,"196126-0690";#N/A,#N/A,FALSE,"1961165-0201"}</definedName>
    <definedName name="RFQI_3" localSheetId="26" hidden="1">{#N/A,#N/A,FALSE,"196126-0690";#N/A,#N/A,FALSE,"196126-0690";#N/A,#N/A,FALSE,"1961165-0201"}</definedName>
    <definedName name="RFQI_3" localSheetId="0" hidden="1">{#N/A,#N/A,FALSE,"196126-0690";#N/A,#N/A,FALSE,"196126-0690";#N/A,#N/A,FALSE,"1961165-0201"}</definedName>
    <definedName name="RFQI_3" hidden="1">{#N/A,#N/A,FALSE,"196126-0690";#N/A,#N/A,FALSE,"196126-0690";#N/A,#N/A,FALSE,"1961165-0201"}</definedName>
    <definedName name="RFQI_4" localSheetId="26" hidden="1">{#N/A,#N/A,FALSE,"196126-0690";#N/A,#N/A,FALSE,"196126-0690";#N/A,#N/A,FALSE,"1961165-0201"}</definedName>
    <definedName name="RFQI_4" localSheetId="0" hidden="1">{#N/A,#N/A,FALSE,"196126-0690";#N/A,#N/A,FALSE,"196126-0690";#N/A,#N/A,FALSE,"1961165-0201"}</definedName>
    <definedName name="RFQI_4" hidden="1">{#N/A,#N/A,FALSE,"196126-0690";#N/A,#N/A,FALSE,"196126-0690";#N/A,#N/A,FALSE,"1961165-0201"}</definedName>
    <definedName name="RFQI_5" localSheetId="26" hidden="1">{#N/A,#N/A,FALSE,"196126-0690";#N/A,#N/A,FALSE,"196126-0690";#N/A,#N/A,FALSE,"1961165-0201"}</definedName>
    <definedName name="RFQI_5" localSheetId="0" hidden="1">{#N/A,#N/A,FALSE,"196126-0690";#N/A,#N/A,FALSE,"196126-0690";#N/A,#N/A,FALSE,"1961165-0201"}</definedName>
    <definedName name="RFQI_5" hidden="1">{#N/A,#N/A,FALSE,"196126-0690";#N/A,#N/A,FALSE,"196126-0690";#N/A,#N/A,FALSE,"1961165-0201"}</definedName>
    <definedName name="RR.BRAKE" localSheetId="26" hidden="1">{#N/A,#N/A,FALSE,"단축1";#N/A,#N/A,FALSE,"단축2";#N/A,#N/A,FALSE,"단축3";#N/A,#N/A,FALSE,"장축";#N/A,#N/A,FALSE,"4WD"}</definedName>
    <definedName name="RR.BRAKE" localSheetId="0" hidden="1">{#N/A,#N/A,FALSE,"단축1";#N/A,#N/A,FALSE,"단축2";#N/A,#N/A,FALSE,"단축3";#N/A,#N/A,FALSE,"장축";#N/A,#N/A,FALSE,"4WD"}</definedName>
    <definedName name="RR.BRAKE" hidden="1">{#N/A,#N/A,FALSE,"단축1";#N/A,#N/A,FALSE,"단축2";#N/A,#N/A,FALSE,"단축3";#N/A,#N/A,FALSE,"장축";#N/A,#N/A,FALSE,"4WD"}</definedName>
    <definedName name="RR.BRAKE_1" localSheetId="26" hidden="1">{#N/A,#N/A,FALSE,"단축1";#N/A,#N/A,FALSE,"단축2";#N/A,#N/A,FALSE,"단축3";#N/A,#N/A,FALSE,"장축";#N/A,#N/A,FALSE,"4WD"}</definedName>
    <definedName name="RR.BRAKE_1" localSheetId="0" hidden="1">{#N/A,#N/A,FALSE,"단축1";#N/A,#N/A,FALSE,"단축2";#N/A,#N/A,FALSE,"단축3";#N/A,#N/A,FALSE,"장축";#N/A,#N/A,FALSE,"4WD"}</definedName>
    <definedName name="RR.BRAKE_1" hidden="1">{#N/A,#N/A,FALSE,"단축1";#N/A,#N/A,FALSE,"단축2";#N/A,#N/A,FALSE,"단축3";#N/A,#N/A,FALSE,"장축";#N/A,#N/A,FALSE,"4WD"}</definedName>
    <definedName name="RR.BRAKE_1_1" localSheetId="26" hidden="1">{#N/A,#N/A,FALSE,"단축1";#N/A,#N/A,FALSE,"단축2";#N/A,#N/A,FALSE,"단축3";#N/A,#N/A,FALSE,"장축";#N/A,#N/A,FALSE,"4WD"}</definedName>
    <definedName name="RR.BRAKE_1_1" localSheetId="0" hidden="1">{#N/A,#N/A,FALSE,"단축1";#N/A,#N/A,FALSE,"단축2";#N/A,#N/A,FALSE,"단축3";#N/A,#N/A,FALSE,"장축";#N/A,#N/A,FALSE,"4WD"}</definedName>
    <definedName name="RR.BRAKE_1_1" hidden="1">{#N/A,#N/A,FALSE,"단축1";#N/A,#N/A,FALSE,"단축2";#N/A,#N/A,FALSE,"단축3";#N/A,#N/A,FALSE,"장축";#N/A,#N/A,FALSE,"4WD"}</definedName>
    <definedName name="RR.BRAKE_1_2" localSheetId="26" hidden="1">{#N/A,#N/A,FALSE,"단축1";#N/A,#N/A,FALSE,"단축2";#N/A,#N/A,FALSE,"단축3";#N/A,#N/A,FALSE,"장축";#N/A,#N/A,FALSE,"4WD"}</definedName>
    <definedName name="RR.BRAKE_1_2" localSheetId="0" hidden="1">{#N/A,#N/A,FALSE,"단축1";#N/A,#N/A,FALSE,"단축2";#N/A,#N/A,FALSE,"단축3";#N/A,#N/A,FALSE,"장축";#N/A,#N/A,FALSE,"4WD"}</definedName>
    <definedName name="RR.BRAKE_1_2" hidden="1">{#N/A,#N/A,FALSE,"단축1";#N/A,#N/A,FALSE,"단축2";#N/A,#N/A,FALSE,"단축3";#N/A,#N/A,FALSE,"장축";#N/A,#N/A,FALSE,"4WD"}</definedName>
    <definedName name="RR.BRAKE_1_3" localSheetId="26" hidden="1">{#N/A,#N/A,FALSE,"단축1";#N/A,#N/A,FALSE,"단축2";#N/A,#N/A,FALSE,"단축3";#N/A,#N/A,FALSE,"장축";#N/A,#N/A,FALSE,"4WD"}</definedName>
    <definedName name="RR.BRAKE_1_3" localSheetId="0" hidden="1">{#N/A,#N/A,FALSE,"단축1";#N/A,#N/A,FALSE,"단축2";#N/A,#N/A,FALSE,"단축3";#N/A,#N/A,FALSE,"장축";#N/A,#N/A,FALSE,"4WD"}</definedName>
    <definedName name="RR.BRAKE_1_3" hidden="1">{#N/A,#N/A,FALSE,"단축1";#N/A,#N/A,FALSE,"단축2";#N/A,#N/A,FALSE,"단축3";#N/A,#N/A,FALSE,"장축";#N/A,#N/A,FALSE,"4WD"}</definedName>
    <definedName name="RR.BRAKE_2" localSheetId="26" hidden="1">{#N/A,#N/A,FALSE,"단축1";#N/A,#N/A,FALSE,"단축2";#N/A,#N/A,FALSE,"단축3";#N/A,#N/A,FALSE,"장축";#N/A,#N/A,FALSE,"4WD"}</definedName>
    <definedName name="RR.BRAKE_2" localSheetId="0" hidden="1">{#N/A,#N/A,FALSE,"단축1";#N/A,#N/A,FALSE,"단축2";#N/A,#N/A,FALSE,"단축3";#N/A,#N/A,FALSE,"장축";#N/A,#N/A,FALSE,"4WD"}</definedName>
    <definedName name="RR.BRAKE_2" hidden="1">{#N/A,#N/A,FALSE,"단축1";#N/A,#N/A,FALSE,"단축2";#N/A,#N/A,FALSE,"단축3";#N/A,#N/A,FALSE,"장축";#N/A,#N/A,FALSE,"4WD"}</definedName>
    <definedName name="RR.BRAKE_2_1" localSheetId="26" hidden="1">{#N/A,#N/A,FALSE,"단축1";#N/A,#N/A,FALSE,"단축2";#N/A,#N/A,FALSE,"단축3";#N/A,#N/A,FALSE,"장축";#N/A,#N/A,FALSE,"4WD"}</definedName>
    <definedName name="RR.BRAKE_2_1" localSheetId="0" hidden="1">{#N/A,#N/A,FALSE,"단축1";#N/A,#N/A,FALSE,"단축2";#N/A,#N/A,FALSE,"단축3";#N/A,#N/A,FALSE,"장축";#N/A,#N/A,FALSE,"4WD"}</definedName>
    <definedName name="RR.BRAKE_2_1" hidden="1">{#N/A,#N/A,FALSE,"단축1";#N/A,#N/A,FALSE,"단축2";#N/A,#N/A,FALSE,"단축3";#N/A,#N/A,FALSE,"장축";#N/A,#N/A,FALSE,"4WD"}</definedName>
    <definedName name="RR.BRAKE_2_2" localSheetId="26" hidden="1">{#N/A,#N/A,FALSE,"단축1";#N/A,#N/A,FALSE,"단축2";#N/A,#N/A,FALSE,"단축3";#N/A,#N/A,FALSE,"장축";#N/A,#N/A,FALSE,"4WD"}</definedName>
    <definedName name="RR.BRAKE_2_2" localSheetId="0" hidden="1">{#N/A,#N/A,FALSE,"단축1";#N/A,#N/A,FALSE,"단축2";#N/A,#N/A,FALSE,"단축3";#N/A,#N/A,FALSE,"장축";#N/A,#N/A,FALSE,"4WD"}</definedName>
    <definedName name="RR.BRAKE_2_2" hidden="1">{#N/A,#N/A,FALSE,"단축1";#N/A,#N/A,FALSE,"단축2";#N/A,#N/A,FALSE,"단축3";#N/A,#N/A,FALSE,"장축";#N/A,#N/A,FALSE,"4WD"}</definedName>
    <definedName name="RR.BRAKE_3" localSheetId="26" hidden="1">{#N/A,#N/A,FALSE,"단축1";#N/A,#N/A,FALSE,"단축2";#N/A,#N/A,FALSE,"단축3";#N/A,#N/A,FALSE,"장축";#N/A,#N/A,FALSE,"4WD"}</definedName>
    <definedName name="RR.BRAKE_3" localSheetId="0" hidden="1">{#N/A,#N/A,FALSE,"단축1";#N/A,#N/A,FALSE,"단축2";#N/A,#N/A,FALSE,"단축3";#N/A,#N/A,FALSE,"장축";#N/A,#N/A,FALSE,"4WD"}</definedName>
    <definedName name="RR.BRAKE_3" hidden="1">{#N/A,#N/A,FALSE,"단축1";#N/A,#N/A,FALSE,"단축2";#N/A,#N/A,FALSE,"단축3";#N/A,#N/A,FALSE,"장축";#N/A,#N/A,FALSE,"4WD"}</definedName>
    <definedName name="RR.BRAKE_4" localSheetId="26" hidden="1">{#N/A,#N/A,FALSE,"단축1";#N/A,#N/A,FALSE,"단축2";#N/A,#N/A,FALSE,"단축3";#N/A,#N/A,FALSE,"장축";#N/A,#N/A,FALSE,"4WD"}</definedName>
    <definedName name="RR.BRAKE_4" localSheetId="0" hidden="1">{#N/A,#N/A,FALSE,"단축1";#N/A,#N/A,FALSE,"단축2";#N/A,#N/A,FALSE,"단축3";#N/A,#N/A,FALSE,"장축";#N/A,#N/A,FALSE,"4WD"}</definedName>
    <definedName name="RR.BRAKE_4" hidden="1">{#N/A,#N/A,FALSE,"단축1";#N/A,#N/A,FALSE,"단축2";#N/A,#N/A,FALSE,"단축3";#N/A,#N/A,FALSE,"장축";#N/A,#N/A,FALSE,"4WD"}</definedName>
    <definedName name="RR.BRAKE_5" localSheetId="26" hidden="1">{#N/A,#N/A,FALSE,"단축1";#N/A,#N/A,FALSE,"단축2";#N/A,#N/A,FALSE,"단축3";#N/A,#N/A,FALSE,"장축";#N/A,#N/A,FALSE,"4WD"}</definedName>
    <definedName name="RR.BRAKE_5" localSheetId="0" hidden="1">{#N/A,#N/A,FALSE,"단축1";#N/A,#N/A,FALSE,"단축2";#N/A,#N/A,FALSE,"단축3";#N/A,#N/A,FALSE,"장축";#N/A,#N/A,FALSE,"4WD"}</definedName>
    <definedName name="RR.BRAKE_5" hidden="1">{#N/A,#N/A,FALSE,"단축1";#N/A,#N/A,FALSE,"단축2";#N/A,#N/A,FALSE,"단축3";#N/A,#N/A,FALSE,"장축";#N/A,#N/A,FALSE,"4WD"}</definedName>
    <definedName name="RR.BRK" localSheetId="26" hidden="1">{#N/A,#N/A,FALSE,"단축1";#N/A,#N/A,FALSE,"단축2";#N/A,#N/A,FALSE,"단축3";#N/A,#N/A,FALSE,"장축";#N/A,#N/A,FALSE,"4WD"}</definedName>
    <definedName name="RR.BRK" localSheetId="0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.BRK_1" localSheetId="26" hidden="1">{#N/A,#N/A,FALSE,"단축1";#N/A,#N/A,FALSE,"단축2";#N/A,#N/A,FALSE,"단축3";#N/A,#N/A,FALSE,"장축";#N/A,#N/A,FALSE,"4WD"}</definedName>
    <definedName name="RR.BRK_1" localSheetId="0" hidden="1">{#N/A,#N/A,FALSE,"단축1";#N/A,#N/A,FALSE,"단축2";#N/A,#N/A,FALSE,"단축3";#N/A,#N/A,FALSE,"장축";#N/A,#N/A,FALSE,"4WD"}</definedName>
    <definedName name="RR.BRK_1" hidden="1">{#N/A,#N/A,FALSE,"단축1";#N/A,#N/A,FALSE,"단축2";#N/A,#N/A,FALSE,"단축3";#N/A,#N/A,FALSE,"장축";#N/A,#N/A,FALSE,"4WD"}</definedName>
    <definedName name="RR.BRK_1_1" localSheetId="26" hidden="1">{#N/A,#N/A,FALSE,"단축1";#N/A,#N/A,FALSE,"단축2";#N/A,#N/A,FALSE,"단축3";#N/A,#N/A,FALSE,"장축";#N/A,#N/A,FALSE,"4WD"}</definedName>
    <definedName name="RR.BRK_1_1" localSheetId="0" hidden="1">{#N/A,#N/A,FALSE,"단축1";#N/A,#N/A,FALSE,"단축2";#N/A,#N/A,FALSE,"단축3";#N/A,#N/A,FALSE,"장축";#N/A,#N/A,FALSE,"4WD"}</definedName>
    <definedName name="RR.BRK_1_1" hidden="1">{#N/A,#N/A,FALSE,"단축1";#N/A,#N/A,FALSE,"단축2";#N/A,#N/A,FALSE,"단축3";#N/A,#N/A,FALSE,"장축";#N/A,#N/A,FALSE,"4WD"}</definedName>
    <definedName name="RR.BRK_1_2" localSheetId="26" hidden="1">{#N/A,#N/A,FALSE,"단축1";#N/A,#N/A,FALSE,"단축2";#N/A,#N/A,FALSE,"단축3";#N/A,#N/A,FALSE,"장축";#N/A,#N/A,FALSE,"4WD"}</definedName>
    <definedName name="RR.BRK_1_2" localSheetId="0" hidden="1">{#N/A,#N/A,FALSE,"단축1";#N/A,#N/A,FALSE,"단축2";#N/A,#N/A,FALSE,"단축3";#N/A,#N/A,FALSE,"장축";#N/A,#N/A,FALSE,"4WD"}</definedName>
    <definedName name="RR.BRK_1_2" hidden="1">{#N/A,#N/A,FALSE,"단축1";#N/A,#N/A,FALSE,"단축2";#N/A,#N/A,FALSE,"단축3";#N/A,#N/A,FALSE,"장축";#N/A,#N/A,FALSE,"4WD"}</definedName>
    <definedName name="RR.BRK_1_3" localSheetId="26" hidden="1">{#N/A,#N/A,FALSE,"단축1";#N/A,#N/A,FALSE,"단축2";#N/A,#N/A,FALSE,"단축3";#N/A,#N/A,FALSE,"장축";#N/A,#N/A,FALSE,"4WD"}</definedName>
    <definedName name="RR.BRK_1_3" localSheetId="0" hidden="1">{#N/A,#N/A,FALSE,"단축1";#N/A,#N/A,FALSE,"단축2";#N/A,#N/A,FALSE,"단축3";#N/A,#N/A,FALSE,"장축";#N/A,#N/A,FALSE,"4WD"}</definedName>
    <definedName name="RR.BRK_1_3" hidden="1">{#N/A,#N/A,FALSE,"단축1";#N/A,#N/A,FALSE,"단축2";#N/A,#N/A,FALSE,"단축3";#N/A,#N/A,FALSE,"장축";#N/A,#N/A,FALSE,"4WD"}</definedName>
    <definedName name="RR.BRK_2" localSheetId="26" hidden="1">{#N/A,#N/A,FALSE,"단축1";#N/A,#N/A,FALSE,"단축2";#N/A,#N/A,FALSE,"단축3";#N/A,#N/A,FALSE,"장축";#N/A,#N/A,FALSE,"4WD"}</definedName>
    <definedName name="RR.BRK_2" localSheetId="0" hidden="1">{#N/A,#N/A,FALSE,"단축1";#N/A,#N/A,FALSE,"단축2";#N/A,#N/A,FALSE,"단축3";#N/A,#N/A,FALSE,"장축";#N/A,#N/A,FALSE,"4WD"}</definedName>
    <definedName name="RR.BRK_2" hidden="1">{#N/A,#N/A,FALSE,"단축1";#N/A,#N/A,FALSE,"단축2";#N/A,#N/A,FALSE,"단축3";#N/A,#N/A,FALSE,"장축";#N/A,#N/A,FALSE,"4WD"}</definedName>
    <definedName name="RR.BRK_2_1" localSheetId="26" hidden="1">{#N/A,#N/A,FALSE,"단축1";#N/A,#N/A,FALSE,"단축2";#N/A,#N/A,FALSE,"단축3";#N/A,#N/A,FALSE,"장축";#N/A,#N/A,FALSE,"4WD"}</definedName>
    <definedName name="RR.BRK_2_1" localSheetId="0" hidden="1">{#N/A,#N/A,FALSE,"단축1";#N/A,#N/A,FALSE,"단축2";#N/A,#N/A,FALSE,"단축3";#N/A,#N/A,FALSE,"장축";#N/A,#N/A,FALSE,"4WD"}</definedName>
    <definedName name="RR.BRK_2_1" hidden="1">{#N/A,#N/A,FALSE,"단축1";#N/A,#N/A,FALSE,"단축2";#N/A,#N/A,FALSE,"단축3";#N/A,#N/A,FALSE,"장축";#N/A,#N/A,FALSE,"4WD"}</definedName>
    <definedName name="RR.BRK_2_2" localSheetId="26" hidden="1">{#N/A,#N/A,FALSE,"단축1";#N/A,#N/A,FALSE,"단축2";#N/A,#N/A,FALSE,"단축3";#N/A,#N/A,FALSE,"장축";#N/A,#N/A,FALSE,"4WD"}</definedName>
    <definedName name="RR.BRK_2_2" localSheetId="0" hidden="1">{#N/A,#N/A,FALSE,"단축1";#N/A,#N/A,FALSE,"단축2";#N/A,#N/A,FALSE,"단축3";#N/A,#N/A,FALSE,"장축";#N/A,#N/A,FALSE,"4WD"}</definedName>
    <definedName name="RR.BRK_2_2" hidden="1">{#N/A,#N/A,FALSE,"단축1";#N/A,#N/A,FALSE,"단축2";#N/A,#N/A,FALSE,"단축3";#N/A,#N/A,FALSE,"장축";#N/A,#N/A,FALSE,"4WD"}</definedName>
    <definedName name="RR.BRK_3" localSheetId="26" hidden="1">{#N/A,#N/A,FALSE,"단축1";#N/A,#N/A,FALSE,"단축2";#N/A,#N/A,FALSE,"단축3";#N/A,#N/A,FALSE,"장축";#N/A,#N/A,FALSE,"4WD"}</definedName>
    <definedName name="RR.BRK_3" localSheetId="0" hidden="1">{#N/A,#N/A,FALSE,"단축1";#N/A,#N/A,FALSE,"단축2";#N/A,#N/A,FALSE,"단축3";#N/A,#N/A,FALSE,"장축";#N/A,#N/A,FALSE,"4WD"}</definedName>
    <definedName name="RR.BRK_3" hidden="1">{#N/A,#N/A,FALSE,"단축1";#N/A,#N/A,FALSE,"단축2";#N/A,#N/A,FALSE,"단축3";#N/A,#N/A,FALSE,"장축";#N/A,#N/A,FALSE,"4WD"}</definedName>
    <definedName name="RR.BRK_4" localSheetId="26" hidden="1">{#N/A,#N/A,FALSE,"단축1";#N/A,#N/A,FALSE,"단축2";#N/A,#N/A,FALSE,"단축3";#N/A,#N/A,FALSE,"장축";#N/A,#N/A,FALSE,"4WD"}</definedName>
    <definedName name="RR.BRK_4" localSheetId="0" hidden="1">{#N/A,#N/A,FALSE,"단축1";#N/A,#N/A,FALSE,"단축2";#N/A,#N/A,FALSE,"단축3";#N/A,#N/A,FALSE,"장축";#N/A,#N/A,FALSE,"4WD"}</definedName>
    <definedName name="RR.BRK_4" hidden="1">{#N/A,#N/A,FALSE,"단축1";#N/A,#N/A,FALSE,"단축2";#N/A,#N/A,FALSE,"단축3";#N/A,#N/A,FALSE,"장축";#N/A,#N/A,FALSE,"4WD"}</definedName>
    <definedName name="RR.BRK_5" localSheetId="26" hidden="1">{#N/A,#N/A,FALSE,"단축1";#N/A,#N/A,FALSE,"단축2";#N/A,#N/A,FALSE,"단축3";#N/A,#N/A,FALSE,"장축";#N/A,#N/A,FALSE,"4WD"}</definedName>
    <definedName name="RR.BRK_5" localSheetId="0" hidden="1">{#N/A,#N/A,FALSE,"단축1";#N/A,#N/A,FALSE,"단축2";#N/A,#N/A,FALSE,"단축3";#N/A,#N/A,FALSE,"장축";#N/A,#N/A,FALSE,"4WD"}</definedName>
    <definedName name="RR.BRK_5" hidden="1">{#N/A,#N/A,FALSE,"단축1";#N/A,#N/A,FALSE,"단축2";#N/A,#N/A,FALSE,"단축3";#N/A,#N/A,FALSE,"장축";#N/A,#N/A,FALSE,"4WD"}</definedName>
    <definedName name="rrp" localSheetId="9" hidden="1">[19]MOTO!#REF!</definedName>
    <definedName name="rrp" localSheetId="1" hidden="1">[19]MOTO!#REF!</definedName>
    <definedName name="rrp" localSheetId="23" hidden="1">[19]MOTO!#REF!</definedName>
    <definedName name="rrp" localSheetId="22" hidden="1">[19]MOTO!#REF!</definedName>
    <definedName name="rrp" localSheetId="26" hidden="1">[18]MOTO!#REF!</definedName>
    <definedName name="rrp" localSheetId="14" hidden="1">[19]MOTO!#REF!</definedName>
    <definedName name="rrp" localSheetId="21" hidden="1">[18]MOTO!#REF!</definedName>
    <definedName name="rrp" localSheetId="3" hidden="1">[18]MOTO!#REF!</definedName>
    <definedName name="rrp" localSheetId="29" hidden="1">[19]MOTO!#REF!</definedName>
    <definedName name="rrp" localSheetId="28" hidden="1">[18]MOTO!#REF!</definedName>
    <definedName name="rrp" localSheetId="27" hidden="1">[18]MOTO!#REF!</definedName>
    <definedName name="rrp" localSheetId="0" hidden="1">[18]MOTO!#REF!</definedName>
    <definedName name="rrp" hidden="1">[19]MOTO!#REF!</definedName>
    <definedName name="RT" localSheetId="26" hidden="1">{#N/A,#N/A,FALSE,"단축1";#N/A,#N/A,FALSE,"단축2";#N/A,#N/A,FALSE,"단축3";#N/A,#N/A,FALSE,"장축";#N/A,#N/A,FALSE,"4WD"}</definedName>
    <definedName name="RT" localSheetId="0" hidden="1">{#N/A,#N/A,FALSE,"단축1";#N/A,#N/A,FALSE,"단축2";#N/A,#N/A,FALSE,"단축3";#N/A,#N/A,FALSE,"장축";#N/A,#N/A,FALSE,"4WD"}</definedName>
    <definedName name="RT" hidden="1">{#N/A,#N/A,FALSE,"단축1";#N/A,#N/A,FALSE,"단축2";#N/A,#N/A,FALSE,"단축3";#N/A,#N/A,FALSE,"장축";#N/A,#N/A,FALSE,"4WD"}</definedName>
    <definedName name="RT_1" localSheetId="26" hidden="1">{#N/A,#N/A,FALSE,"단축1";#N/A,#N/A,FALSE,"단축2";#N/A,#N/A,FALSE,"단축3";#N/A,#N/A,FALSE,"장축";#N/A,#N/A,FALSE,"4WD"}</definedName>
    <definedName name="RT_1" localSheetId="0" hidden="1">{#N/A,#N/A,FALSE,"단축1";#N/A,#N/A,FALSE,"단축2";#N/A,#N/A,FALSE,"단축3";#N/A,#N/A,FALSE,"장축";#N/A,#N/A,FALSE,"4WD"}</definedName>
    <definedName name="RT_1" hidden="1">{#N/A,#N/A,FALSE,"단축1";#N/A,#N/A,FALSE,"단축2";#N/A,#N/A,FALSE,"단축3";#N/A,#N/A,FALSE,"장축";#N/A,#N/A,FALSE,"4WD"}</definedName>
    <definedName name="RT_1_1" localSheetId="26" hidden="1">{#N/A,#N/A,FALSE,"단축1";#N/A,#N/A,FALSE,"단축2";#N/A,#N/A,FALSE,"단축3";#N/A,#N/A,FALSE,"장축";#N/A,#N/A,FALSE,"4WD"}</definedName>
    <definedName name="RT_1_1" localSheetId="0" hidden="1">{#N/A,#N/A,FALSE,"단축1";#N/A,#N/A,FALSE,"단축2";#N/A,#N/A,FALSE,"단축3";#N/A,#N/A,FALSE,"장축";#N/A,#N/A,FALSE,"4WD"}</definedName>
    <definedName name="RT_1_1" hidden="1">{#N/A,#N/A,FALSE,"단축1";#N/A,#N/A,FALSE,"단축2";#N/A,#N/A,FALSE,"단축3";#N/A,#N/A,FALSE,"장축";#N/A,#N/A,FALSE,"4WD"}</definedName>
    <definedName name="RT_1_2" localSheetId="26" hidden="1">{#N/A,#N/A,FALSE,"단축1";#N/A,#N/A,FALSE,"단축2";#N/A,#N/A,FALSE,"단축3";#N/A,#N/A,FALSE,"장축";#N/A,#N/A,FALSE,"4WD"}</definedName>
    <definedName name="RT_1_2" localSheetId="0" hidden="1">{#N/A,#N/A,FALSE,"단축1";#N/A,#N/A,FALSE,"단축2";#N/A,#N/A,FALSE,"단축3";#N/A,#N/A,FALSE,"장축";#N/A,#N/A,FALSE,"4WD"}</definedName>
    <definedName name="RT_1_2" hidden="1">{#N/A,#N/A,FALSE,"단축1";#N/A,#N/A,FALSE,"단축2";#N/A,#N/A,FALSE,"단축3";#N/A,#N/A,FALSE,"장축";#N/A,#N/A,FALSE,"4WD"}</definedName>
    <definedName name="RT_1_3" localSheetId="26" hidden="1">{#N/A,#N/A,FALSE,"단축1";#N/A,#N/A,FALSE,"단축2";#N/A,#N/A,FALSE,"단축3";#N/A,#N/A,FALSE,"장축";#N/A,#N/A,FALSE,"4WD"}</definedName>
    <definedName name="RT_1_3" localSheetId="0" hidden="1">{#N/A,#N/A,FALSE,"단축1";#N/A,#N/A,FALSE,"단축2";#N/A,#N/A,FALSE,"단축3";#N/A,#N/A,FALSE,"장축";#N/A,#N/A,FALSE,"4WD"}</definedName>
    <definedName name="RT_1_3" hidden="1">{#N/A,#N/A,FALSE,"단축1";#N/A,#N/A,FALSE,"단축2";#N/A,#N/A,FALSE,"단축3";#N/A,#N/A,FALSE,"장축";#N/A,#N/A,FALSE,"4WD"}</definedName>
    <definedName name="RT_2" localSheetId="26" hidden="1">{#N/A,#N/A,FALSE,"단축1";#N/A,#N/A,FALSE,"단축2";#N/A,#N/A,FALSE,"단축3";#N/A,#N/A,FALSE,"장축";#N/A,#N/A,FALSE,"4WD"}</definedName>
    <definedName name="RT_2" localSheetId="0" hidden="1">{#N/A,#N/A,FALSE,"단축1";#N/A,#N/A,FALSE,"단축2";#N/A,#N/A,FALSE,"단축3";#N/A,#N/A,FALSE,"장축";#N/A,#N/A,FALSE,"4WD"}</definedName>
    <definedName name="RT_2" hidden="1">{#N/A,#N/A,FALSE,"단축1";#N/A,#N/A,FALSE,"단축2";#N/A,#N/A,FALSE,"단축3";#N/A,#N/A,FALSE,"장축";#N/A,#N/A,FALSE,"4WD"}</definedName>
    <definedName name="RT_2_1" localSheetId="26" hidden="1">{#N/A,#N/A,FALSE,"단축1";#N/A,#N/A,FALSE,"단축2";#N/A,#N/A,FALSE,"단축3";#N/A,#N/A,FALSE,"장축";#N/A,#N/A,FALSE,"4WD"}</definedName>
    <definedName name="RT_2_1" localSheetId="0" hidden="1">{#N/A,#N/A,FALSE,"단축1";#N/A,#N/A,FALSE,"단축2";#N/A,#N/A,FALSE,"단축3";#N/A,#N/A,FALSE,"장축";#N/A,#N/A,FALSE,"4WD"}</definedName>
    <definedName name="RT_2_1" hidden="1">{#N/A,#N/A,FALSE,"단축1";#N/A,#N/A,FALSE,"단축2";#N/A,#N/A,FALSE,"단축3";#N/A,#N/A,FALSE,"장축";#N/A,#N/A,FALSE,"4WD"}</definedName>
    <definedName name="RT_2_2" localSheetId="26" hidden="1">{#N/A,#N/A,FALSE,"단축1";#N/A,#N/A,FALSE,"단축2";#N/A,#N/A,FALSE,"단축3";#N/A,#N/A,FALSE,"장축";#N/A,#N/A,FALSE,"4WD"}</definedName>
    <definedName name="RT_2_2" localSheetId="0" hidden="1">{#N/A,#N/A,FALSE,"단축1";#N/A,#N/A,FALSE,"단축2";#N/A,#N/A,FALSE,"단축3";#N/A,#N/A,FALSE,"장축";#N/A,#N/A,FALSE,"4WD"}</definedName>
    <definedName name="RT_2_2" hidden="1">{#N/A,#N/A,FALSE,"단축1";#N/A,#N/A,FALSE,"단축2";#N/A,#N/A,FALSE,"단축3";#N/A,#N/A,FALSE,"장축";#N/A,#N/A,FALSE,"4WD"}</definedName>
    <definedName name="RT_3" localSheetId="26" hidden="1">{#N/A,#N/A,FALSE,"단축1";#N/A,#N/A,FALSE,"단축2";#N/A,#N/A,FALSE,"단축3";#N/A,#N/A,FALSE,"장축";#N/A,#N/A,FALSE,"4WD"}</definedName>
    <definedName name="RT_3" localSheetId="0" hidden="1">{#N/A,#N/A,FALSE,"단축1";#N/A,#N/A,FALSE,"단축2";#N/A,#N/A,FALSE,"단축3";#N/A,#N/A,FALSE,"장축";#N/A,#N/A,FALSE,"4WD"}</definedName>
    <definedName name="RT_3" hidden="1">{#N/A,#N/A,FALSE,"단축1";#N/A,#N/A,FALSE,"단축2";#N/A,#N/A,FALSE,"단축3";#N/A,#N/A,FALSE,"장축";#N/A,#N/A,FALSE,"4WD"}</definedName>
    <definedName name="RT_4" localSheetId="26" hidden="1">{#N/A,#N/A,FALSE,"단축1";#N/A,#N/A,FALSE,"단축2";#N/A,#N/A,FALSE,"단축3";#N/A,#N/A,FALSE,"장축";#N/A,#N/A,FALSE,"4WD"}</definedName>
    <definedName name="RT_4" localSheetId="0" hidden="1">{#N/A,#N/A,FALSE,"단축1";#N/A,#N/A,FALSE,"단축2";#N/A,#N/A,FALSE,"단축3";#N/A,#N/A,FALSE,"장축";#N/A,#N/A,FALSE,"4WD"}</definedName>
    <definedName name="RT_4" hidden="1">{#N/A,#N/A,FALSE,"단축1";#N/A,#N/A,FALSE,"단축2";#N/A,#N/A,FALSE,"단축3";#N/A,#N/A,FALSE,"장축";#N/A,#N/A,FALSE,"4WD"}</definedName>
    <definedName name="RT_5" localSheetId="26" hidden="1">{#N/A,#N/A,FALSE,"단축1";#N/A,#N/A,FALSE,"단축2";#N/A,#N/A,FALSE,"단축3";#N/A,#N/A,FALSE,"장축";#N/A,#N/A,FALSE,"4WD"}</definedName>
    <definedName name="RT_5" localSheetId="0" hidden="1">{#N/A,#N/A,FALSE,"단축1";#N/A,#N/A,FALSE,"단축2";#N/A,#N/A,FALSE,"단축3";#N/A,#N/A,FALSE,"장축";#N/A,#N/A,FALSE,"4WD"}</definedName>
    <definedName name="RT_5" hidden="1">{#N/A,#N/A,FALSE,"단축1";#N/A,#N/A,FALSE,"단축2";#N/A,#N/A,FALSE,"단축3";#N/A,#N/A,FALSE,"장축";#N/A,#N/A,FALSE,"4WD"}</definedName>
    <definedName name="SAGFSAFS" localSheetId="26" hidden="1">{#N/A,#N/A,FALSE,"단축1";#N/A,#N/A,FALSE,"단축2";#N/A,#N/A,FALSE,"단축3";#N/A,#N/A,FALSE,"장축";#N/A,#N/A,FALSE,"4WD"}</definedName>
    <definedName name="SAGFSAFS" localSheetId="0" hidden="1">{#N/A,#N/A,FALSE,"단축1";#N/A,#N/A,FALSE,"단축2";#N/A,#N/A,FALSE,"단축3";#N/A,#N/A,FALSE,"장축";#N/A,#N/A,FALSE,"4WD"}</definedName>
    <definedName name="SAGFSAFS" hidden="1">{#N/A,#N/A,FALSE,"단축1";#N/A,#N/A,FALSE,"단축2";#N/A,#N/A,FALSE,"단축3";#N/A,#N/A,FALSE,"장축";#N/A,#N/A,FALSE,"4WD"}</definedName>
    <definedName name="SAGFSAFS_1" localSheetId="26" hidden="1">{#N/A,#N/A,FALSE,"단축1";#N/A,#N/A,FALSE,"단축2";#N/A,#N/A,FALSE,"단축3";#N/A,#N/A,FALSE,"장축";#N/A,#N/A,FALSE,"4WD"}</definedName>
    <definedName name="SAGFSAFS_1" localSheetId="0" hidden="1">{#N/A,#N/A,FALSE,"단축1";#N/A,#N/A,FALSE,"단축2";#N/A,#N/A,FALSE,"단축3";#N/A,#N/A,FALSE,"장축";#N/A,#N/A,FALSE,"4WD"}</definedName>
    <definedName name="SAGFSAFS_1" hidden="1">{#N/A,#N/A,FALSE,"단축1";#N/A,#N/A,FALSE,"단축2";#N/A,#N/A,FALSE,"단축3";#N/A,#N/A,FALSE,"장축";#N/A,#N/A,FALSE,"4WD"}</definedName>
    <definedName name="SAGFSAFS_1_1" localSheetId="26" hidden="1">{#N/A,#N/A,FALSE,"단축1";#N/A,#N/A,FALSE,"단축2";#N/A,#N/A,FALSE,"단축3";#N/A,#N/A,FALSE,"장축";#N/A,#N/A,FALSE,"4WD"}</definedName>
    <definedName name="SAGFSAFS_1_1" localSheetId="0" hidden="1">{#N/A,#N/A,FALSE,"단축1";#N/A,#N/A,FALSE,"단축2";#N/A,#N/A,FALSE,"단축3";#N/A,#N/A,FALSE,"장축";#N/A,#N/A,FALSE,"4WD"}</definedName>
    <definedName name="SAGFSAFS_1_1" hidden="1">{#N/A,#N/A,FALSE,"단축1";#N/A,#N/A,FALSE,"단축2";#N/A,#N/A,FALSE,"단축3";#N/A,#N/A,FALSE,"장축";#N/A,#N/A,FALSE,"4WD"}</definedName>
    <definedName name="SAGFSAFS_1_2" localSheetId="26" hidden="1">{#N/A,#N/A,FALSE,"단축1";#N/A,#N/A,FALSE,"단축2";#N/A,#N/A,FALSE,"단축3";#N/A,#N/A,FALSE,"장축";#N/A,#N/A,FALSE,"4WD"}</definedName>
    <definedName name="SAGFSAFS_1_2" localSheetId="0" hidden="1">{#N/A,#N/A,FALSE,"단축1";#N/A,#N/A,FALSE,"단축2";#N/A,#N/A,FALSE,"단축3";#N/A,#N/A,FALSE,"장축";#N/A,#N/A,FALSE,"4WD"}</definedName>
    <definedName name="SAGFSAFS_1_2" hidden="1">{#N/A,#N/A,FALSE,"단축1";#N/A,#N/A,FALSE,"단축2";#N/A,#N/A,FALSE,"단축3";#N/A,#N/A,FALSE,"장축";#N/A,#N/A,FALSE,"4WD"}</definedName>
    <definedName name="SAGFSAFS_1_3" localSheetId="26" hidden="1">{#N/A,#N/A,FALSE,"단축1";#N/A,#N/A,FALSE,"단축2";#N/A,#N/A,FALSE,"단축3";#N/A,#N/A,FALSE,"장축";#N/A,#N/A,FALSE,"4WD"}</definedName>
    <definedName name="SAGFSAFS_1_3" localSheetId="0" hidden="1">{#N/A,#N/A,FALSE,"단축1";#N/A,#N/A,FALSE,"단축2";#N/A,#N/A,FALSE,"단축3";#N/A,#N/A,FALSE,"장축";#N/A,#N/A,FALSE,"4WD"}</definedName>
    <definedName name="SAGFSAFS_1_3" hidden="1">{#N/A,#N/A,FALSE,"단축1";#N/A,#N/A,FALSE,"단축2";#N/A,#N/A,FALSE,"단축3";#N/A,#N/A,FALSE,"장축";#N/A,#N/A,FALSE,"4WD"}</definedName>
    <definedName name="SAGFSAFS_2" localSheetId="26" hidden="1">{#N/A,#N/A,FALSE,"단축1";#N/A,#N/A,FALSE,"단축2";#N/A,#N/A,FALSE,"단축3";#N/A,#N/A,FALSE,"장축";#N/A,#N/A,FALSE,"4WD"}</definedName>
    <definedName name="SAGFSAFS_2" localSheetId="0" hidden="1">{#N/A,#N/A,FALSE,"단축1";#N/A,#N/A,FALSE,"단축2";#N/A,#N/A,FALSE,"단축3";#N/A,#N/A,FALSE,"장축";#N/A,#N/A,FALSE,"4WD"}</definedName>
    <definedName name="SAGFSAFS_2" hidden="1">{#N/A,#N/A,FALSE,"단축1";#N/A,#N/A,FALSE,"단축2";#N/A,#N/A,FALSE,"단축3";#N/A,#N/A,FALSE,"장축";#N/A,#N/A,FALSE,"4WD"}</definedName>
    <definedName name="SAGFSAFS_2_1" localSheetId="26" hidden="1">{#N/A,#N/A,FALSE,"단축1";#N/A,#N/A,FALSE,"단축2";#N/A,#N/A,FALSE,"단축3";#N/A,#N/A,FALSE,"장축";#N/A,#N/A,FALSE,"4WD"}</definedName>
    <definedName name="SAGFSAFS_2_1" localSheetId="0" hidden="1">{#N/A,#N/A,FALSE,"단축1";#N/A,#N/A,FALSE,"단축2";#N/A,#N/A,FALSE,"단축3";#N/A,#N/A,FALSE,"장축";#N/A,#N/A,FALSE,"4WD"}</definedName>
    <definedName name="SAGFSAFS_2_1" hidden="1">{#N/A,#N/A,FALSE,"단축1";#N/A,#N/A,FALSE,"단축2";#N/A,#N/A,FALSE,"단축3";#N/A,#N/A,FALSE,"장축";#N/A,#N/A,FALSE,"4WD"}</definedName>
    <definedName name="SAGFSAFS_2_2" localSheetId="26" hidden="1">{#N/A,#N/A,FALSE,"단축1";#N/A,#N/A,FALSE,"단축2";#N/A,#N/A,FALSE,"단축3";#N/A,#N/A,FALSE,"장축";#N/A,#N/A,FALSE,"4WD"}</definedName>
    <definedName name="SAGFSAFS_2_2" localSheetId="0" hidden="1">{#N/A,#N/A,FALSE,"단축1";#N/A,#N/A,FALSE,"단축2";#N/A,#N/A,FALSE,"단축3";#N/A,#N/A,FALSE,"장축";#N/A,#N/A,FALSE,"4WD"}</definedName>
    <definedName name="SAGFSAFS_2_2" hidden="1">{#N/A,#N/A,FALSE,"단축1";#N/A,#N/A,FALSE,"단축2";#N/A,#N/A,FALSE,"단축3";#N/A,#N/A,FALSE,"장축";#N/A,#N/A,FALSE,"4WD"}</definedName>
    <definedName name="SAGFSAFS_3" localSheetId="26" hidden="1">{#N/A,#N/A,FALSE,"단축1";#N/A,#N/A,FALSE,"단축2";#N/A,#N/A,FALSE,"단축3";#N/A,#N/A,FALSE,"장축";#N/A,#N/A,FALSE,"4WD"}</definedName>
    <definedName name="SAGFSAFS_3" localSheetId="0" hidden="1">{#N/A,#N/A,FALSE,"단축1";#N/A,#N/A,FALSE,"단축2";#N/A,#N/A,FALSE,"단축3";#N/A,#N/A,FALSE,"장축";#N/A,#N/A,FALSE,"4WD"}</definedName>
    <definedName name="SAGFSAFS_3" hidden="1">{#N/A,#N/A,FALSE,"단축1";#N/A,#N/A,FALSE,"단축2";#N/A,#N/A,FALSE,"단축3";#N/A,#N/A,FALSE,"장축";#N/A,#N/A,FALSE,"4WD"}</definedName>
    <definedName name="SAGFSAFS_4" localSheetId="26" hidden="1">{#N/A,#N/A,FALSE,"단축1";#N/A,#N/A,FALSE,"단축2";#N/A,#N/A,FALSE,"단축3";#N/A,#N/A,FALSE,"장축";#N/A,#N/A,FALSE,"4WD"}</definedName>
    <definedName name="SAGFSAFS_4" localSheetId="0" hidden="1">{#N/A,#N/A,FALSE,"단축1";#N/A,#N/A,FALSE,"단축2";#N/A,#N/A,FALSE,"단축3";#N/A,#N/A,FALSE,"장축";#N/A,#N/A,FALSE,"4WD"}</definedName>
    <definedName name="SAGFSAFS_4" hidden="1">{#N/A,#N/A,FALSE,"단축1";#N/A,#N/A,FALSE,"단축2";#N/A,#N/A,FALSE,"단축3";#N/A,#N/A,FALSE,"장축";#N/A,#N/A,FALSE,"4WD"}</definedName>
    <definedName name="SAGFSAFS_5" localSheetId="26" hidden="1">{#N/A,#N/A,FALSE,"단축1";#N/A,#N/A,FALSE,"단축2";#N/A,#N/A,FALSE,"단축3";#N/A,#N/A,FALSE,"장축";#N/A,#N/A,FALSE,"4WD"}</definedName>
    <definedName name="SAGFSAFS_5" localSheetId="0" hidden="1">{#N/A,#N/A,FALSE,"단축1";#N/A,#N/A,FALSE,"단축2";#N/A,#N/A,FALSE,"단축3";#N/A,#N/A,FALSE,"장축";#N/A,#N/A,FALSE,"4WD"}</definedName>
    <definedName name="SAGFSAFS_5" hidden="1">{#N/A,#N/A,FALSE,"단축1";#N/A,#N/A,FALSE,"단축2";#N/A,#N/A,FALSE,"단축3";#N/A,#N/A,FALSE,"장축";#N/A,#N/A,FALSE,"4WD"}</definedName>
    <definedName name="SALES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_FORECAST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1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1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1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1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1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1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2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2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2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2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2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2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2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3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3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3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3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3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3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forecast2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forecast2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forecast2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forecast2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forecast2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forecast2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lesforecast2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SAPBEXrevision" hidden="1">2</definedName>
    <definedName name="SAPBEXsysID" hidden="1">"PP5"</definedName>
    <definedName name="SAPBEXwbID" hidden="1">"3PAEPHHZV9QEUR1H1ZZA0AZH1"</definedName>
    <definedName name="sd" localSheetId="9" hidden="1">[20]MOTO!#REF!</definedName>
    <definedName name="sd" localSheetId="1" hidden="1">[20]MOTO!#REF!</definedName>
    <definedName name="sd" localSheetId="23" hidden="1">[20]MOTO!#REF!</definedName>
    <definedName name="sd" localSheetId="22" hidden="1">[20]MOTO!#REF!</definedName>
    <definedName name="sd" localSheetId="26" hidden="1">[20]MOTO!#REF!</definedName>
    <definedName name="sd" localSheetId="14" hidden="1">[20]MOTO!#REF!</definedName>
    <definedName name="sd" localSheetId="21" hidden="1">[20]MOTO!#REF!</definedName>
    <definedName name="sd" localSheetId="3" hidden="1">[20]MOTO!#REF!</definedName>
    <definedName name="sd" localSheetId="29" hidden="1">[20]MOTO!#REF!</definedName>
    <definedName name="sd" localSheetId="27" hidden="1">[20]MOTO!#REF!</definedName>
    <definedName name="sd" localSheetId="0" hidden="1">[20]MOTO!#REF!</definedName>
    <definedName name="sd" hidden="1">[20]MOTO!#REF!</definedName>
    <definedName name="sdfg" localSheetId="26" hidden="1">{#N/A,#N/A,FALSE,"196126-0690";#N/A,#N/A,FALSE,"196126-0690";#N/A,#N/A,FALSE,"1961165-0201"}</definedName>
    <definedName name="sdfg" localSheetId="0" hidden="1">{#N/A,#N/A,FALSE,"196126-0690";#N/A,#N/A,FALSE,"196126-0690";#N/A,#N/A,FALSE,"1961165-0201"}</definedName>
    <definedName name="sdfg" hidden="1">{#N/A,#N/A,FALSE,"196126-0690";#N/A,#N/A,FALSE,"196126-0690";#N/A,#N/A,FALSE,"1961165-0201"}</definedName>
    <definedName name="sdfg_1" localSheetId="26" hidden="1">{#N/A,#N/A,FALSE,"196126-0690";#N/A,#N/A,FALSE,"196126-0690";#N/A,#N/A,FALSE,"1961165-0201"}</definedName>
    <definedName name="sdfg_1" localSheetId="0" hidden="1">{#N/A,#N/A,FALSE,"196126-0690";#N/A,#N/A,FALSE,"196126-0690";#N/A,#N/A,FALSE,"1961165-0201"}</definedName>
    <definedName name="sdfg_1" hidden="1">{#N/A,#N/A,FALSE,"196126-0690";#N/A,#N/A,FALSE,"196126-0690";#N/A,#N/A,FALSE,"1961165-0201"}</definedName>
    <definedName name="sdfg_1_1" localSheetId="26" hidden="1">{#N/A,#N/A,FALSE,"196126-0690";#N/A,#N/A,FALSE,"196126-0690";#N/A,#N/A,FALSE,"1961165-0201"}</definedName>
    <definedName name="sdfg_1_1" localSheetId="0" hidden="1">{#N/A,#N/A,FALSE,"196126-0690";#N/A,#N/A,FALSE,"196126-0690";#N/A,#N/A,FALSE,"1961165-0201"}</definedName>
    <definedName name="sdfg_1_1" hidden="1">{#N/A,#N/A,FALSE,"196126-0690";#N/A,#N/A,FALSE,"196126-0690";#N/A,#N/A,FALSE,"1961165-0201"}</definedName>
    <definedName name="sdfg_1_2" localSheetId="26" hidden="1">{#N/A,#N/A,FALSE,"196126-0690";#N/A,#N/A,FALSE,"196126-0690";#N/A,#N/A,FALSE,"1961165-0201"}</definedName>
    <definedName name="sdfg_1_2" localSheetId="0" hidden="1">{#N/A,#N/A,FALSE,"196126-0690";#N/A,#N/A,FALSE,"196126-0690";#N/A,#N/A,FALSE,"1961165-0201"}</definedName>
    <definedName name="sdfg_1_2" hidden="1">{#N/A,#N/A,FALSE,"196126-0690";#N/A,#N/A,FALSE,"196126-0690";#N/A,#N/A,FALSE,"1961165-0201"}</definedName>
    <definedName name="sdfg_1_3" localSheetId="26" hidden="1">{#N/A,#N/A,FALSE,"196126-0690";#N/A,#N/A,FALSE,"196126-0690";#N/A,#N/A,FALSE,"1961165-0201"}</definedName>
    <definedName name="sdfg_1_3" localSheetId="0" hidden="1">{#N/A,#N/A,FALSE,"196126-0690";#N/A,#N/A,FALSE,"196126-0690";#N/A,#N/A,FALSE,"1961165-0201"}</definedName>
    <definedName name="sdfg_1_3" hidden="1">{#N/A,#N/A,FALSE,"196126-0690";#N/A,#N/A,FALSE,"196126-0690";#N/A,#N/A,FALSE,"1961165-0201"}</definedName>
    <definedName name="sdfg_2" localSheetId="26" hidden="1">{#N/A,#N/A,FALSE,"196126-0690";#N/A,#N/A,FALSE,"196126-0690";#N/A,#N/A,FALSE,"1961165-0201"}</definedName>
    <definedName name="sdfg_2" localSheetId="0" hidden="1">{#N/A,#N/A,FALSE,"196126-0690";#N/A,#N/A,FALSE,"196126-0690";#N/A,#N/A,FALSE,"1961165-0201"}</definedName>
    <definedName name="sdfg_2" hidden="1">{#N/A,#N/A,FALSE,"196126-0690";#N/A,#N/A,FALSE,"196126-0690";#N/A,#N/A,FALSE,"1961165-0201"}</definedName>
    <definedName name="sdfg_2_1" localSheetId="26" hidden="1">{#N/A,#N/A,FALSE,"196126-0690";#N/A,#N/A,FALSE,"196126-0690";#N/A,#N/A,FALSE,"1961165-0201"}</definedName>
    <definedName name="sdfg_2_1" localSheetId="0" hidden="1">{#N/A,#N/A,FALSE,"196126-0690";#N/A,#N/A,FALSE,"196126-0690";#N/A,#N/A,FALSE,"1961165-0201"}</definedName>
    <definedName name="sdfg_2_1" hidden="1">{#N/A,#N/A,FALSE,"196126-0690";#N/A,#N/A,FALSE,"196126-0690";#N/A,#N/A,FALSE,"1961165-0201"}</definedName>
    <definedName name="sdfg_2_2" localSheetId="26" hidden="1">{#N/A,#N/A,FALSE,"196126-0690";#N/A,#N/A,FALSE,"196126-0690";#N/A,#N/A,FALSE,"1961165-0201"}</definedName>
    <definedName name="sdfg_2_2" localSheetId="0" hidden="1">{#N/A,#N/A,FALSE,"196126-0690";#N/A,#N/A,FALSE,"196126-0690";#N/A,#N/A,FALSE,"1961165-0201"}</definedName>
    <definedName name="sdfg_2_2" hidden="1">{#N/A,#N/A,FALSE,"196126-0690";#N/A,#N/A,FALSE,"196126-0690";#N/A,#N/A,FALSE,"1961165-0201"}</definedName>
    <definedName name="sdfg_3" localSheetId="26" hidden="1">{#N/A,#N/A,FALSE,"196126-0690";#N/A,#N/A,FALSE,"196126-0690";#N/A,#N/A,FALSE,"1961165-0201"}</definedName>
    <definedName name="sdfg_3" localSheetId="0" hidden="1">{#N/A,#N/A,FALSE,"196126-0690";#N/A,#N/A,FALSE,"196126-0690";#N/A,#N/A,FALSE,"1961165-0201"}</definedName>
    <definedName name="sdfg_3" hidden="1">{#N/A,#N/A,FALSE,"196126-0690";#N/A,#N/A,FALSE,"196126-0690";#N/A,#N/A,FALSE,"1961165-0201"}</definedName>
    <definedName name="sdfg_4" localSheetId="26" hidden="1">{#N/A,#N/A,FALSE,"196126-0690";#N/A,#N/A,FALSE,"196126-0690";#N/A,#N/A,FALSE,"1961165-0201"}</definedName>
    <definedName name="sdfg_4" localSheetId="0" hidden="1">{#N/A,#N/A,FALSE,"196126-0690";#N/A,#N/A,FALSE,"196126-0690";#N/A,#N/A,FALSE,"1961165-0201"}</definedName>
    <definedName name="sdfg_4" hidden="1">{#N/A,#N/A,FALSE,"196126-0690";#N/A,#N/A,FALSE,"196126-0690";#N/A,#N/A,FALSE,"1961165-0201"}</definedName>
    <definedName name="sdfg_5" localSheetId="26" hidden="1">{#N/A,#N/A,FALSE,"196126-0690";#N/A,#N/A,FALSE,"196126-0690";#N/A,#N/A,FALSE,"1961165-0201"}</definedName>
    <definedName name="sdfg_5" localSheetId="0" hidden="1">{#N/A,#N/A,FALSE,"196126-0690";#N/A,#N/A,FALSE,"196126-0690";#N/A,#N/A,FALSE,"1961165-0201"}</definedName>
    <definedName name="sdfg_5" hidden="1">{#N/A,#N/A,FALSE,"196126-0690";#N/A,#N/A,FALSE,"196126-0690";#N/A,#N/A,FALSE,"1961165-0201"}</definedName>
    <definedName name="SDFH" localSheetId="26" hidden="1">{#N/A,#N/A,FALSE,"196126-0690";#N/A,#N/A,FALSE,"196126-0690";#N/A,#N/A,FALSE,"1961165-0201"}</definedName>
    <definedName name="SDFH" localSheetId="0" hidden="1">{#N/A,#N/A,FALSE,"196126-0690";#N/A,#N/A,FALSE,"196126-0690";#N/A,#N/A,FALSE,"1961165-0201"}</definedName>
    <definedName name="SDFH" hidden="1">{#N/A,#N/A,FALSE,"196126-0690";#N/A,#N/A,FALSE,"196126-0690";#N/A,#N/A,FALSE,"1961165-0201"}</definedName>
    <definedName name="SDFH_1" localSheetId="26" hidden="1">{#N/A,#N/A,FALSE,"196126-0690";#N/A,#N/A,FALSE,"196126-0690";#N/A,#N/A,FALSE,"1961165-0201"}</definedName>
    <definedName name="SDFH_1" localSheetId="0" hidden="1">{#N/A,#N/A,FALSE,"196126-0690";#N/A,#N/A,FALSE,"196126-0690";#N/A,#N/A,FALSE,"1961165-0201"}</definedName>
    <definedName name="SDFH_1" hidden="1">{#N/A,#N/A,FALSE,"196126-0690";#N/A,#N/A,FALSE,"196126-0690";#N/A,#N/A,FALSE,"1961165-0201"}</definedName>
    <definedName name="SDFH_1_1" localSheetId="26" hidden="1">{#N/A,#N/A,FALSE,"196126-0690";#N/A,#N/A,FALSE,"196126-0690";#N/A,#N/A,FALSE,"1961165-0201"}</definedName>
    <definedName name="SDFH_1_1" localSheetId="0" hidden="1">{#N/A,#N/A,FALSE,"196126-0690";#N/A,#N/A,FALSE,"196126-0690";#N/A,#N/A,FALSE,"1961165-0201"}</definedName>
    <definedName name="SDFH_1_1" hidden="1">{#N/A,#N/A,FALSE,"196126-0690";#N/A,#N/A,FALSE,"196126-0690";#N/A,#N/A,FALSE,"1961165-0201"}</definedName>
    <definedName name="SDFH_1_2" localSheetId="26" hidden="1">{#N/A,#N/A,FALSE,"196126-0690";#N/A,#N/A,FALSE,"196126-0690";#N/A,#N/A,FALSE,"1961165-0201"}</definedName>
    <definedName name="SDFH_1_2" localSheetId="0" hidden="1">{#N/A,#N/A,FALSE,"196126-0690";#N/A,#N/A,FALSE,"196126-0690";#N/A,#N/A,FALSE,"1961165-0201"}</definedName>
    <definedName name="SDFH_1_2" hidden="1">{#N/A,#N/A,FALSE,"196126-0690";#N/A,#N/A,FALSE,"196126-0690";#N/A,#N/A,FALSE,"1961165-0201"}</definedName>
    <definedName name="SDFH_1_3" localSheetId="26" hidden="1">{#N/A,#N/A,FALSE,"196126-0690";#N/A,#N/A,FALSE,"196126-0690";#N/A,#N/A,FALSE,"1961165-0201"}</definedName>
    <definedName name="SDFH_1_3" localSheetId="0" hidden="1">{#N/A,#N/A,FALSE,"196126-0690";#N/A,#N/A,FALSE,"196126-0690";#N/A,#N/A,FALSE,"1961165-0201"}</definedName>
    <definedName name="SDFH_1_3" hidden="1">{#N/A,#N/A,FALSE,"196126-0690";#N/A,#N/A,FALSE,"196126-0690";#N/A,#N/A,FALSE,"1961165-0201"}</definedName>
    <definedName name="SDFH_2" localSheetId="26" hidden="1">{#N/A,#N/A,FALSE,"196126-0690";#N/A,#N/A,FALSE,"196126-0690";#N/A,#N/A,FALSE,"1961165-0201"}</definedName>
    <definedName name="SDFH_2" localSheetId="0" hidden="1">{#N/A,#N/A,FALSE,"196126-0690";#N/A,#N/A,FALSE,"196126-0690";#N/A,#N/A,FALSE,"1961165-0201"}</definedName>
    <definedName name="SDFH_2" hidden="1">{#N/A,#N/A,FALSE,"196126-0690";#N/A,#N/A,FALSE,"196126-0690";#N/A,#N/A,FALSE,"1961165-0201"}</definedName>
    <definedName name="SDFH_2_1" localSheetId="26" hidden="1">{#N/A,#N/A,FALSE,"196126-0690";#N/A,#N/A,FALSE,"196126-0690";#N/A,#N/A,FALSE,"1961165-0201"}</definedName>
    <definedName name="SDFH_2_1" localSheetId="0" hidden="1">{#N/A,#N/A,FALSE,"196126-0690";#N/A,#N/A,FALSE,"196126-0690";#N/A,#N/A,FALSE,"1961165-0201"}</definedName>
    <definedName name="SDFH_2_1" hidden="1">{#N/A,#N/A,FALSE,"196126-0690";#N/A,#N/A,FALSE,"196126-0690";#N/A,#N/A,FALSE,"1961165-0201"}</definedName>
    <definedName name="SDFH_2_2" localSheetId="26" hidden="1">{#N/A,#N/A,FALSE,"196126-0690";#N/A,#N/A,FALSE,"196126-0690";#N/A,#N/A,FALSE,"1961165-0201"}</definedName>
    <definedName name="SDFH_2_2" localSheetId="0" hidden="1">{#N/A,#N/A,FALSE,"196126-0690";#N/A,#N/A,FALSE,"196126-0690";#N/A,#N/A,FALSE,"1961165-0201"}</definedName>
    <definedName name="SDFH_2_2" hidden="1">{#N/A,#N/A,FALSE,"196126-0690";#N/A,#N/A,FALSE,"196126-0690";#N/A,#N/A,FALSE,"1961165-0201"}</definedName>
    <definedName name="SDFH_3" localSheetId="26" hidden="1">{#N/A,#N/A,FALSE,"196126-0690";#N/A,#N/A,FALSE,"196126-0690";#N/A,#N/A,FALSE,"1961165-0201"}</definedName>
    <definedName name="SDFH_3" localSheetId="0" hidden="1">{#N/A,#N/A,FALSE,"196126-0690";#N/A,#N/A,FALSE,"196126-0690";#N/A,#N/A,FALSE,"1961165-0201"}</definedName>
    <definedName name="SDFH_3" hidden="1">{#N/A,#N/A,FALSE,"196126-0690";#N/A,#N/A,FALSE,"196126-0690";#N/A,#N/A,FALSE,"1961165-0201"}</definedName>
    <definedName name="SDFH_4" localSheetId="26" hidden="1">{#N/A,#N/A,FALSE,"196126-0690";#N/A,#N/A,FALSE,"196126-0690";#N/A,#N/A,FALSE,"1961165-0201"}</definedName>
    <definedName name="SDFH_4" localSheetId="0" hidden="1">{#N/A,#N/A,FALSE,"196126-0690";#N/A,#N/A,FALSE,"196126-0690";#N/A,#N/A,FALSE,"1961165-0201"}</definedName>
    <definedName name="SDFH_4" hidden="1">{#N/A,#N/A,FALSE,"196126-0690";#N/A,#N/A,FALSE,"196126-0690";#N/A,#N/A,FALSE,"1961165-0201"}</definedName>
    <definedName name="SDFH_5" localSheetId="26" hidden="1">{#N/A,#N/A,FALSE,"196126-0690";#N/A,#N/A,FALSE,"196126-0690";#N/A,#N/A,FALSE,"1961165-0201"}</definedName>
    <definedName name="SDFH_5" localSheetId="0" hidden="1">{#N/A,#N/A,FALSE,"196126-0690";#N/A,#N/A,FALSE,"196126-0690";#N/A,#N/A,FALSE,"1961165-0201"}</definedName>
    <definedName name="SDFH_5" hidden="1">{#N/A,#N/A,FALSE,"196126-0690";#N/A,#N/A,FALSE,"196126-0690";#N/A,#N/A,FALSE,"1961165-0201"}</definedName>
    <definedName name="sencount" hidden="1">1</definedName>
    <definedName name="sheet6" localSheetId="22" hidden="1">{#N/A,#N/A,FALSE,"196126-0690";#N/A,#N/A,FALSE,"196126-0690";#N/A,#N/A,FALSE,"1961165-0201"}</definedName>
    <definedName name="sheet6" localSheetId="26" hidden="1">{#N/A,#N/A,FALSE,"196126-0690";#N/A,#N/A,FALSE,"196126-0690";#N/A,#N/A,FALSE,"1961165-0201"}</definedName>
    <definedName name="sheet6" localSheetId="14" hidden="1">{#N/A,#N/A,FALSE,"196126-0690";#N/A,#N/A,FALSE,"196126-0690";#N/A,#N/A,FALSE,"1961165-0201"}</definedName>
    <definedName name="sheet6" localSheetId="21" hidden="1">{#N/A,#N/A,FALSE,"196126-0690";#N/A,#N/A,FALSE,"196126-0690";#N/A,#N/A,FALSE,"1961165-0201"}</definedName>
    <definedName name="sheet6" localSheetId="3" hidden="1">{#N/A,#N/A,FALSE,"196126-0690";#N/A,#N/A,FALSE,"196126-0690";#N/A,#N/A,FALSE,"1961165-0201"}</definedName>
    <definedName name="sheet6" localSheetId="29" hidden="1">{#N/A,#N/A,FALSE,"196126-0690";#N/A,#N/A,FALSE,"196126-0690";#N/A,#N/A,FALSE,"1961165-0201"}</definedName>
    <definedName name="sheet6" localSheetId="27" hidden="1">{#N/A,#N/A,FALSE,"196126-0690";#N/A,#N/A,FALSE,"196126-0690";#N/A,#N/A,FALSE,"1961165-0201"}</definedName>
    <definedName name="sheet6" localSheetId="0" hidden="1">{#N/A,#N/A,FALSE,"196126-0690";#N/A,#N/A,FALSE,"196126-0690";#N/A,#N/A,FALSE,"1961165-0201"}</definedName>
    <definedName name="sheet6" hidden="1">{#N/A,#N/A,FALSE,"196126-0690";#N/A,#N/A,FALSE,"196126-0690";#N/A,#N/A,FALSE,"1961165-0201"}</definedName>
    <definedName name="sheet6_1" localSheetId="26" hidden="1">{#N/A,#N/A,FALSE,"196126-0690";#N/A,#N/A,FALSE,"196126-0690";#N/A,#N/A,FALSE,"1961165-0201"}</definedName>
    <definedName name="sheet6_1" localSheetId="0" hidden="1">{#N/A,#N/A,FALSE,"196126-0690";#N/A,#N/A,FALSE,"196126-0690";#N/A,#N/A,FALSE,"1961165-0201"}</definedName>
    <definedName name="sheet6_1" hidden="1">{#N/A,#N/A,FALSE,"196126-0690";#N/A,#N/A,FALSE,"196126-0690";#N/A,#N/A,FALSE,"1961165-0201"}</definedName>
    <definedName name="sheet6_1_1" localSheetId="26" hidden="1">{#N/A,#N/A,FALSE,"196126-0690";#N/A,#N/A,FALSE,"196126-0690";#N/A,#N/A,FALSE,"1961165-0201"}</definedName>
    <definedName name="sheet6_1_1" localSheetId="0" hidden="1">{#N/A,#N/A,FALSE,"196126-0690";#N/A,#N/A,FALSE,"196126-0690";#N/A,#N/A,FALSE,"1961165-0201"}</definedName>
    <definedName name="sheet6_1_1" hidden="1">{#N/A,#N/A,FALSE,"196126-0690";#N/A,#N/A,FALSE,"196126-0690";#N/A,#N/A,FALSE,"1961165-0201"}</definedName>
    <definedName name="sheet6_1_2" localSheetId="26" hidden="1">{#N/A,#N/A,FALSE,"196126-0690";#N/A,#N/A,FALSE,"196126-0690";#N/A,#N/A,FALSE,"1961165-0201"}</definedName>
    <definedName name="sheet6_1_2" localSheetId="0" hidden="1">{#N/A,#N/A,FALSE,"196126-0690";#N/A,#N/A,FALSE,"196126-0690";#N/A,#N/A,FALSE,"1961165-0201"}</definedName>
    <definedName name="sheet6_1_2" hidden="1">{#N/A,#N/A,FALSE,"196126-0690";#N/A,#N/A,FALSE,"196126-0690";#N/A,#N/A,FALSE,"1961165-0201"}</definedName>
    <definedName name="sheet6_1_3" localSheetId="26" hidden="1">{#N/A,#N/A,FALSE,"196126-0690";#N/A,#N/A,FALSE,"196126-0690";#N/A,#N/A,FALSE,"1961165-0201"}</definedName>
    <definedName name="sheet6_1_3" localSheetId="0" hidden="1">{#N/A,#N/A,FALSE,"196126-0690";#N/A,#N/A,FALSE,"196126-0690";#N/A,#N/A,FALSE,"1961165-0201"}</definedName>
    <definedName name="sheet6_1_3" hidden="1">{#N/A,#N/A,FALSE,"196126-0690";#N/A,#N/A,FALSE,"196126-0690";#N/A,#N/A,FALSE,"1961165-0201"}</definedName>
    <definedName name="sheet6_2" localSheetId="26" hidden="1">{#N/A,#N/A,FALSE,"196126-0690";#N/A,#N/A,FALSE,"196126-0690";#N/A,#N/A,FALSE,"1961165-0201"}</definedName>
    <definedName name="sheet6_2" localSheetId="0" hidden="1">{#N/A,#N/A,FALSE,"196126-0690";#N/A,#N/A,FALSE,"196126-0690";#N/A,#N/A,FALSE,"1961165-0201"}</definedName>
    <definedName name="sheet6_2" hidden="1">{#N/A,#N/A,FALSE,"196126-0690";#N/A,#N/A,FALSE,"196126-0690";#N/A,#N/A,FALSE,"1961165-0201"}</definedName>
    <definedName name="sheet6_2_1" localSheetId="26" hidden="1">{#N/A,#N/A,FALSE,"196126-0690";#N/A,#N/A,FALSE,"196126-0690";#N/A,#N/A,FALSE,"1961165-0201"}</definedName>
    <definedName name="sheet6_2_1" localSheetId="0" hidden="1">{#N/A,#N/A,FALSE,"196126-0690";#N/A,#N/A,FALSE,"196126-0690";#N/A,#N/A,FALSE,"1961165-0201"}</definedName>
    <definedName name="sheet6_2_1" hidden="1">{#N/A,#N/A,FALSE,"196126-0690";#N/A,#N/A,FALSE,"196126-0690";#N/A,#N/A,FALSE,"1961165-0201"}</definedName>
    <definedName name="sheet6_2_2" localSheetId="26" hidden="1">{#N/A,#N/A,FALSE,"196126-0690";#N/A,#N/A,FALSE,"196126-0690";#N/A,#N/A,FALSE,"1961165-0201"}</definedName>
    <definedName name="sheet6_2_2" localSheetId="0" hidden="1">{#N/A,#N/A,FALSE,"196126-0690";#N/A,#N/A,FALSE,"196126-0690";#N/A,#N/A,FALSE,"1961165-0201"}</definedName>
    <definedName name="sheet6_2_2" hidden="1">{#N/A,#N/A,FALSE,"196126-0690";#N/A,#N/A,FALSE,"196126-0690";#N/A,#N/A,FALSE,"1961165-0201"}</definedName>
    <definedName name="sheet6_3" localSheetId="26" hidden="1">{#N/A,#N/A,FALSE,"196126-0690";#N/A,#N/A,FALSE,"196126-0690";#N/A,#N/A,FALSE,"1961165-0201"}</definedName>
    <definedName name="sheet6_3" localSheetId="0" hidden="1">{#N/A,#N/A,FALSE,"196126-0690";#N/A,#N/A,FALSE,"196126-0690";#N/A,#N/A,FALSE,"1961165-0201"}</definedName>
    <definedName name="sheet6_3" hidden="1">{#N/A,#N/A,FALSE,"196126-0690";#N/A,#N/A,FALSE,"196126-0690";#N/A,#N/A,FALSE,"1961165-0201"}</definedName>
    <definedName name="sheet6_4" localSheetId="26" hidden="1">{#N/A,#N/A,FALSE,"196126-0690";#N/A,#N/A,FALSE,"196126-0690";#N/A,#N/A,FALSE,"1961165-0201"}</definedName>
    <definedName name="sheet6_4" localSheetId="0" hidden="1">{#N/A,#N/A,FALSE,"196126-0690";#N/A,#N/A,FALSE,"196126-0690";#N/A,#N/A,FALSE,"1961165-0201"}</definedName>
    <definedName name="sheet6_4" hidden="1">{#N/A,#N/A,FALSE,"196126-0690";#N/A,#N/A,FALSE,"196126-0690";#N/A,#N/A,FALSE,"1961165-0201"}</definedName>
    <definedName name="sheet6_5" localSheetId="26" hidden="1">{#N/A,#N/A,FALSE,"196126-0690";#N/A,#N/A,FALSE,"196126-0690";#N/A,#N/A,FALSE,"1961165-0201"}</definedName>
    <definedName name="sheet6_5" localSheetId="0" hidden="1">{#N/A,#N/A,FALSE,"196126-0690";#N/A,#N/A,FALSE,"196126-0690";#N/A,#N/A,FALSE,"1961165-0201"}</definedName>
    <definedName name="sheet6_5" hidden="1">{#N/A,#N/A,FALSE,"196126-0690";#N/A,#N/A,FALSE,"196126-0690";#N/A,#N/A,FALSE,"1961165-0201"}</definedName>
    <definedName name="SHS" localSheetId="26" hidden="1">{#N/A,#N/A,FALSE,"단축1";#N/A,#N/A,FALSE,"단축2";#N/A,#N/A,FALSE,"단축3";#N/A,#N/A,FALSE,"장축";#N/A,#N/A,FALSE,"4WD"}</definedName>
    <definedName name="SHS" localSheetId="0" hidden="1">{#N/A,#N/A,FALSE,"단축1";#N/A,#N/A,FALSE,"단축2";#N/A,#N/A,FALSE,"단축3";#N/A,#N/A,FALSE,"장축";#N/A,#N/A,FALSE,"4WD"}</definedName>
    <definedName name="SHS" hidden="1">{#N/A,#N/A,FALSE,"단축1";#N/A,#N/A,FALSE,"단축2";#N/A,#N/A,FALSE,"단축3";#N/A,#N/A,FALSE,"장축";#N/A,#N/A,FALSE,"4WD"}</definedName>
    <definedName name="SHS_1" localSheetId="26" hidden="1">{#N/A,#N/A,FALSE,"단축1";#N/A,#N/A,FALSE,"단축2";#N/A,#N/A,FALSE,"단축3";#N/A,#N/A,FALSE,"장축";#N/A,#N/A,FALSE,"4WD"}</definedName>
    <definedName name="SHS_1" localSheetId="0" hidden="1">{#N/A,#N/A,FALSE,"단축1";#N/A,#N/A,FALSE,"단축2";#N/A,#N/A,FALSE,"단축3";#N/A,#N/A,FALSE,"장축";#N/A,#N/A,FALSE,"4WD"}</definedName>
    <definedName name="SHS_1" hidden="1">{#N/A,#N/A,FALSE,"단축1";#N/A,#N/A,FALSE,"단축2";#N/A,#N/A,FALSE,"단축3";#N/A,#N/A,FALSE,"장축";#N/A,#N/A,FALSE,"4WD"}</definedName>
    <definedName name="SHS_1_1" localSheetId="26" hidden="1">{#N/A,#N/A,FALSE,"단축1";#N/A,#N/A,FALSE,"단축2";#N/A,#N/A,FALSE,"단축3";#N/A,#N/A,FALSE,"장축";#N/A,#N/A,FALSE,"4WD"}</definedName>
    <definedName name="SHS_1_1" localSheetId="0" hidden="1">{#N/A,#N/A,FALSE,"단축1";#N/A,#N/A,FALSE,"단축2";#N/A,#N/A,FALSE,"단축3";#N/A,#N/A,FALSE,"장축";#N/A,#N/A,FALSE,"4WD"}</definedName>
    <definedName name="SHS_1_1" hidden="1">{#N/A,#N/A,FALSE,"단축1";#N/A,#N/A,FALSE,"단축2";#N/A,#N/A,FALSE,"단축3";#N/A,#N/A,FALSE,"장축";#N/A,#N/A,FALSE,"4WD"}</definedName>
    <definedName name="SHS_1_2" localSheetId="26" hidden="1">{#N/A,#N/A,FALSE,"단축1";#N/A,#N/A,FALSE,"단축2";#N/A,#N/A,FALSE,"단축3";#N/A,#N/A,FALSE,"장축";#N/A,#N/A,FALSE,"4WD"}</definedName>
    <definedName name="SHS_1_2" localSheetId="0" hidden="1">{#N/A,#N/A,FALSE,"단축1";#N/A,#N/A,FALSE,"단축2";#N/A,#N/A,FALSE,"단축3";#N/A,#N/A,FALSE,"장축";#N/A,#N/A,FALSE,"4WD"}</definedName>
    <definedName name="SHS_1_2" hidden="1">{#N/A,#N/A,FALSE,"단축1";#N/A,#N/A,FALSE,"단축2";#N/A,#N/A,FALSE,"단축3";#N/A,#N/A,FALSE,"장축";#N/A,#N/A,FALSE,"4WD"}</definedName>
    <definedName name="SHS_1_3" localSheetId="26" hidden="1">{#N/A,#N/A,FALSE,"단축1";#N/A,#N/A,FALSE,"단축2";#N/A,#N/A,FALSE,"단축3";#N/A,#N/A,FALSE,"장축";#N/A,#N/A,FALSE,"4WD"}</definedName>
    <definedName name="SHS_1_3" localSheetId="0" hidden="1">{#N/A,#N/A,FALSE,"단축1";#N/A,#N/A,FALSE,"단축2";#N/A,#N/A,FALSE,"단축3";#N/A,#N/A,FALSE,"장축";#N/A,#N/A,FALSE,"4WD"}</definedName>
    <definedName name="SHS_1_3" hidden="1">{#N/A,#N/A,FALSE,"단축1";#N/A,#N/A,FALSE,"단축2";#N/A,#N/A,FALSE,"단축3";#N/A,#N/A,FALSE,"장축";#N/A,#N/A,FALSE,"4WD"}</definedName>
    <definedName name="SHS_2" localSheetId="26" hidden="1">{#N/A,#N/A,FALSE,"단축1";#N/A,#N/A,FALSE,"단축2";#N/A,#N/A,FALSE,"단축3";#N/A,#N/A,FALSE,"장축";#N/A,#N/A,FALSE,"4WD"}</definedName>
    <definedName name="SHS_2" localSheetId="0" hidden="1">{#N/A,#N/A,FALSE,"단축1";#N/A,#N/A,FALSE,"단축2";#N/A,#N/A,FALSE,"단축3";#N/A,#N/A,FALSE,"장축";#N/A,#N/A,FALSE,"4WD"}</definedName>
    <definedName name="SHS_2" hidden="1">{#N/A,#N/A,FALSE,"단축1";#N/A,#N/A,FALSE,"단축2";#N/A,#N/A,FALSE,"단축3";#N/A,#N/A,FALSE,"장축";#N/A,#N/A,FALSE,"4WD"}</definedName>
    <definedName name="SHS_2_1" localSheetId="26" hidden="1">{#N/A,#N/A,FALSE,"단축1";#N/A,#N/A,FALSE,"단축2";#N/A,#N/A,FALSE,"단축3";#N/A,#N/A,FALSE,"장축";#N/A,#N/A,FALSE,"4WD"}</definedName>
    <definedName name="SHS_2_1" localSheetId="0" hidden="1">{#N/A,#N/A,FALSE,"단축1";#N/A,#N/A,FALSE,"단축2";#N/A,#N/A,FALSE,"단축3";#N/A,#N/A,FALSE,"장축";#N/A,#N/A,FALSE,"4WD"}</definedName>
    <definedName name="SHS_2_1" hidden="1">{#N/A,#N/A,FALSE,"단축1";#N/A,#N/A,FALSE,"단축2";#N/A,#N/A,FALSE,"단축3";#N/A,#N/A,FALSE,"장축";#N/A,#N/A,FALSE,"4WD"}</definedName>
    <definedName name="SHS_2_2" localSheetId="26" hidden="1">{#N/A,#N/A,FALSE,"단축1";#N/A,#N/A,FALSE,"단축2";#N/A,#N/A,FALSE,"단축3";#N/A,#N/A,FALSE,"장축";#N/A,#N/A,FALSE,"4WD"}</definedName>
    <definedName name="SHS_2_2" localSheetId="0" hidden="1">{#N/A,#N/A,FALSE,"단축1";#N/A,#N/A,FALSE,"단축2";#N/A,#N/A,FALSE,"단축3";#N/A,#N/A,FALSE,"장축";#N/A,#N/A,FALSE,"4WD"}</definedName>
    <definedName name="SHS_2_2" hidden="1">{#N/A,#N/A,FALSE,"단축1";#N/A,#N/A,FALSE,"단축2";#N/A,#N/A,FALSE,"단축3";#N/A,#N/A,FALSE,"장축";#N/A,#N/A,FALSE,"4WD"}</definedName>
    <definedName name="SHS_3" localSheetId="26" hidden="1">{#N/A,#N/A,FALSE,"단축1";#N/A,#N/A,FALSE,"단축2";#N/A,#N/A,FALSE,"단축3";#N/A,#N/A,FALSE,"장축";#N/A,#N/A,FALSE,"4WD"}</definedName>
    <definedName name="SHS_3" localSheetId="0" hidden="1">{#N/A,#N/A,FALSE,"단축1";#N/A,#N/A,FALSE,"단축2";#N/A,#N/A,FALSE,"단축3";#N/A,#N/A,FALSE,"장축";#N/A,#N/A,FALSE,"4WD"}</definedName>
    <definedName name="SHS_3" hidden="1">{#N/A,#N/A,FALSE,"단축1";#N/A,#N/A,FALSE,"단축2";#N/A,#N/A,FALSE,"단축3";#N/A,#N/A,FALSE,"장축";#N/A,#N/A,FALSE,"4WD"}</definedName>
    <definedName name="SHS_4" localSheetId="26" hidden="1">{#N/A,#N/A,FALSE,"단축1";#N/A,#N/A,FALSE,"단축2";#N/A,#N/A,FALSE,"단축3";#N/A,#N/A,FALSE,"장축";#N/A,#N/A,FALSE,"4WD"}</definedName>
    <definedName name="SHS_4" localSheetId="0" hidden="1">{#N/A,#N/A,FALSE,"단축1";#N/A,#N/A,FALSE,"단축2";#N/A,#N/A,FALSE,"단축3";#N/A,#N/A,FALSE,"장축";#N/A,#N/A,FALSE,"4WD"}</definedName>
    <definedName name="SHS_4" hidden="1">{#N/A,#N/A,FALSE,"단축1";#N/A,#N/A,FALSE,"단축2";#N/A,#N/A,FALSE,"단축3";#N/A,#N/A,FALSE,"장축";#N/A,#N/A,FALSE,"4WD"}</definedName>
    <definedName name="SHS_5" localSheetId="26" hidden="1">{#N/A,#N/A,FALSE,"단축1";#N/A,#N/A,FALSE,"단축2";#N/A,#N/A,FALSE,"단축3";#N/A,#N/A,FALSE,"장축";#N/A,#N/A,FALSE,"4WD"}</definedName>
    <definedName name="SHS_5" localSheetId="0" hidden="1">{#N/A,#N/A,FALSE,"단축1";#N/A,#N/A,FALSE,"단축2";#N/A,#N/A,FALSE,"단축3";#N/A,#N/A,FALSE,"장축";#N/A,#N/A,FALSE,"4WD"}</definedName>
    <definedName name="SHS_5" hidden="1">{#N/A,#N/A,FALSE,"단축1";#N/A,#N/A,FALSE,"단축2";#N/A,#N/A,FALSE,"단축3";#N/A,#N/A,FALSE,"장축";#N/A,#N/A,FALSE,"4WD"}</definedName>
    <definedName name="SHSH" localSheetId="26" hidden="1">{#N/A,#N/A,FALSE,"단축1";#N/A,#N/A,FALSE,"단축2";#N/A,#N/A,FALSE,"단축3";#N/A,#N/A,FALSE,"장축";#N/A,#N/A,FALSE,"4WD"}</definedName>
    <definedName name="SHSH" localSheetId="0" hidden="1">{#N/A,#N/A,FALSE,"단축1";#N/A,#N/A,FALSE,"단축2";#N/A,#N/A,FALSE,"단축3";#N/A,#N/A,FALSE,"장축";#N/A,#N/A,FALSE,"4WD"}</definedName>
    <definedName name="SHSH" hidden="1">{#N/A,#N/A,FALSE,"단축1";#N/A,#N/A,FALSE,"단축2";#N/A,#N/A,FALSE,"단축3";#N/A,#N/A,FALSE,"장축";#N/A,#N/A,FALSE,"4WD"}</definedName>
    <definedName name="SHSH_1" localSheetId="26" hidden="1">{#N/A,#N/A,FALSE,"단축1";#N/A,#N/A,FALSE,"단축2";#N/A,#N/A,FALSE,"단축3";#N/A,#N/A,FALSE,"장축";#N/A,#N/A,FALSE,"4WD"}</definedName>
    <definedName name="SHSH_1" localSheetId="0" hidden="1">{#N/A,#N/A,FALSE,"단축1";#N/A,#N/A,FALSE,"단축2";#N/A,#N/A,FALSE,"단축3";#N/A,#N/A,FALSE,"장축";#N/A,#N/A,FALSE,"4WD"}</definedName>
    <definedName name="SHSH_1" hidden="1">{#N/A,#N/A,FALSE,"단축1";#N/A,#N/A,FALSE,"단축2";#N/A,#N/A,FALSE,"단축3";#N/A,#N/A,FALSE,"장축";#N/A,#N/A,FALSE,"4WD"}</definedName>
    <definedName name="SHSH_1_1" localSheetId="26" hidden="1">{#N/A,#N/A,FALSE,"단축1";#N/A,#N/A,FALSE,"단축2";#N/A,#N/A,FALSE,"단축3";#N/A,#N/A,FALSE,"장축";#N/A,#N/A,FALSE,"4WD"}</definedName>
    <definedName name="SHSH_1_1" localSheetId="0" hidden="1">{#N/A,#N/A,FALSE,"단축1";#N/A,#N/A,FALSE,"단축2";#N/A,#N/A,FALSE,"단축3";#N/A,#N/A,FALSE,"장축";#N/A,#N/A,FALSE,"4WD"}</definedName>
    <definedName name="SHSH_1_1" hidden="1">{#N/A,#N/A,FALSE,"단축1";#N/A,#N/A,FALSE,"단축2";#N/A,#N/A,FALSE,"단축3";#N/A,#N/A,FALSE,"장축";#N/A,#N/A,FALSE,"4WD"}</definedName>
    <definedName name="SHSH_1_2" localSheetId="26" hidden="1">{#N/A,#N/A,FALSE,"단축1";#N/A,#N/A,FALSE,"단축2";#N/A,#N/A,FALSE,"단축3";#N/A,#N/A,FALSE,"장축";#N/A,#N/A,FALSE,"4WD"}</definedName>
    <definedName name="SHSH_1_2" localSheetId="0" hidden="1">{#N/A,#N/A,FALSE,"단축1";#N/A,#N/A,FALSE,"단축2";#N/A,#N/A,FALSE,"단축3";#N/A,#N/A,FALSE,"장축";#N/A,#N/A,FALSE,"4WD"}</definedName>
    <definedName name="SHSH_1_2" hidden="1">{#N/A,#N/A,FALSE,"단축1";#N/A,#N/A,FALSE,"단축2";#N/A,#N/A,FALSE,"단축3";#N/A,#N/A,FALSE,"장축";#N/A,#N/A,FALSE,"4WD"}</definedName>
    <definedName name="SHSH_1_3" localSheetId="26" hidden="1">{#N/A,#N/A,FALSE,"단축1";#N/A,#N/A,FALSE,"단축2";#N/A,#N/A,FALSE,"단축3";#N/A,#N/A,FALSE,"장축";#N/A,#N/A,FALSE,"4WD"}</definedName>
    <definedName name="SHSH_1_3" localSheetId="0" hidden="1">{#N/A,#N/A,FALSE,"단축1";#N/A,#N/A,FALSE,"단축2";#N/A,#N/A,FALSE,"단축3";#N/A,#N/A,FALSE,"장축";#N/A,#N/A,FALSE,"4WD"}</definedName>
    <definedName name="SHSH_1_3" hidden="1">{#N/A,#N/A,FALSE,"단축1";#N/A,#N/A,FALSE,"단축2";#N/A,#N/A,FALSE,"단축3";#N/A,#N/A,FALSE,"장축";#N/A,#N/A,FALSE,"4WD"}</definedName>
    <definedName name="SHSH_2" localSheetId="26" hidden="1">{#N/A,#N/A,FALSE,"단축1";#N/A,#N/A,FALSE,"단축2";#N/A,#N/A,FALSE,"단축3";#N/A,#N/A,FALSE,"장축";#N/A,#N/A,FALSE,"4WD"}</definedName>
    <definedName name="SHSH_2" localSheetId="0" hidden="1">{#N/A,#N/A,FALSE,"단축1";#N/A,#N/A,FALSE,"단축2";#N/A,#N/A,FALSE,"단축3";#N/A,#N/A,FALSE,"장축";#N/A,#N/A,FALSE,"4WD"}</definedName>
    <definedName name="SHSH_2" hidden="1">{#N/A,#N/A,FALSE,"단축1";#N/A,#N/A,FALSE,"단축2";#N/A,#N/A,FALSE,"단축3";#N/A,#N/A,FALSE,"장축";#N/A,#N/A,FALSE,"4WD"}</definedName>
    <definedName name="SHSH_2_1" localSheetId="26" hidden="1">{#N/A,#N/A,FALSE,"단축1";#N/A,#N/A,FALSE,"단축2";#N/A,#N/A,FALSE,"단축3";#N/A,#N/A,FALSE,"장축";#N/A,#N/A,FALSE,"4WD"}</definedName>
    <definedName name="SHSH_2_1" localSheetId="0" hidden="1">{#N/A,#N/A,FALSE,"단축1";#N/A,#N/A,FALSE,"단축2";#N/A,#N/A,FALSE,"단축3";#N/A,#N/A,FALSE,"장축";#N/A,#N/A,FALSE,"4WD"}</definedName>
    <definedName name="SHSH_2_1" hidden="1">{#N/A,#N/A,FALSE,"단축1";#N/A,#N/A,FALSE,"단축2";#N/A,#N/A,FALSE,"단축3";#N/A,#N/A,FALSE,"장축";#N/A,#N/A,FALSE,"4WD"}</definedName>
    <definedName name="SHSH_2_2" localSheetId="26" hidden="1">{#N/A,#N/A,FALSE,"단축1";#N/A,#N/A,FALSE,"단축2";#N/A,#N/A,FALSE,"단축3";#N/A,#N/A,FALSE,"장축";#N/A,#N/A,FALSE,"4WD"}</definedName>
    <definedName name="SHSH_2_2" localSheetId="0" hidden="1">{#N/A,#N/A,FALSE,"단축1";#N/A,#N/A,FALSE,"단축2";#N/A,#N/A,FALSE,"단축3";#N/A,#N/A,FALSE,"장축";#N/A,#N/A,FALSE,"4WD"}</definedName>
    <definedName name="SHSH_2_2" hidden="1">{#N/A,#N/A,FALSE,"단축1";#N/A,#N/A,FALSE,"단축2";#N/A,#N/A,FALSE,"단축3";#N/A,#N/A,FALSE,"장축";#N/A,#N/A,FALSE,"4WD"}</definedName>
    <definedName name="SHSH_3" localSheetId="26" hidden="1">{#N/A,#N/A,FALSE,"단축1";#N/A,#N/A,FALSE,"단축2";#N/A,#N/A,FALSE,"단축3";#N/A,#N/A,FALSE,"장축";#N/A,#N/A,FALSE,"4WD"}</definedName>
    <definedName name="SHSH_3" localSheetId="0" hidden="1">{#N/A,#N/A,FALSE,"단축1";#N/A,#N/A,FALSE,"단축2";#N/A,#N/A,FALSE,"단축3";#N/A,#N/A,FALSE,"장축";#N/A,#N/A,FALSE,"4WD"}</definedName>
    <definedName name="SHSH_3" hidden="1">{#N/A,#N/A,FALSE,"단축1";#N/A,#N/A,FALSE,"단축2";#N/A,#N/A,FALSE,"단축3";#N/A,#N/A,FALSE,"장축";#N/A,#N/A,FALSE,"4WD"}</definedName>
    <definedName name="SHSH_4" localSheetId="26" hidden="1">{#N/A,#N/A,FALSE,"단축1";#N/A,#N/A,FALSE,"단축2";#N/A,#N/A,FALSE,"단축3";#N/A,#N/A,FALSE,"장축";#N/A,#N/A,FALSE,"4WD"}</definedName>
    <definedName name="SHSH_4" localSheetId="0" hidden="1">{#N/A,#N/A,FALSE,"단축1";#N/A,#N/A,FALSE,"단축2";#N/A,#N/A,FALSE,"단축3";#N/A,#N/A,FALSE,"장축";#N/A,#N/A,FALSE,"4WD"}</definedName>
    <definedName name="SHSH_4" hidden="1">{#N/A,#N/A,FALSE,"단축1";#N/A,#N/A,FALSE,"단축2";#N/A,#N/A,FALSE,"단축3";#N/A,#N/A,FALSE,"장축";#N/A,#N/A,FALSE,"4WD"}</definedName>
    <definedName name="SHSH_5" localSheetId="26" hidden="1">{#N/A,#N/A,FALSE,"단축1";#N/A,#N/A,FALSE,"단축2";#N/A,#N/A,FALSE,"단축3";#N/A,#N/A,FALSE,"장축";#N/A,#N/A,FALSE,"4WD"}</definedName>
    <definedName name="SHSH_5" localSheetId="0" hidden="1">{#N/A,#N/A,FALSE,"단축1";#N/A,#N/A,FALSE,"단축2";#N/A,#N/A,FALSE,"단축3";#N/A,#N/A,FALSE,"장축";#N/A,#N/A,FALSE,"4WD"}</definedName>
    <definedName name="SHSH_5" hidden="1">{#N/A,#N/A,FALSE,"단축1";#N/A,#N/A,FALSE,"단축2";#N/A,#N/A,FALSE,"단축3";#N/A,#N/A,FALSE,"장축";#N/A,#N/A,FALSE,"4WD"}</definedName>
    <definedName name="sid.ras" localSheetId="26" hidden="1">{#N/A,#N/A,TRUE,"Volumes"}</definedName>
    <definedName name="sid.ras" localSheetId="0" hidden="1">{#N/A,#N/A,TRUE,"Volumes"}</definedName>
    <definedName name="sid.ras" hidden="1">{#N/A,#N/A,TRUE,"Volumes"}</definedName>
    <definedName name="sid.ras_1" localSheetId="26" hidden="1">{#N/A,#N/A,TRUE,"Volumes"}</definedName>
    <definedName name="sid.ras_1" localSheetId="0" hidden="1">{#N/A,#N/A,TRUE,"Volumes"}</definedName>
    <definedName name="sid.ras_1" hidden="1">{#N/A,#N/A,TRUE,"Volumes"}</definedName>
    <definedName name="sid.ras_1_1" localSheetId="26" hidden="1">{#N/A,#N/A,TRUE,"Volumes"}</definedName>
    <definedName name="sid.ras_1_1" localSheetId="0" hidden="1">{#N/A,#N/A,TRUE,"Volumes"}</definedName>
    <definedName name="sid.ras_1_1" hidden="1">{#N/A,#N/A,TRUE,"Volumes"}</definedName>
    <definedName name="sid.ras_1_2" localSheetId="26" hidden="1">{#N/A,#N/A,TRUE,"Volumes"}</definedName>
    <definedName name="sid.ras_1_2" localSheetId="0" hidden="1">{#N/A,#N/A,TRUE,"Volumes"}</definedName>
    <definedName name="sid.ras_1_2" hidden="1">{#N/A,#N/A,TRUE,"Volumes"}</definedName>
    <definedName name="sid.ras_1_3" localSheetId="26" hidden="1">{#N/A,#N/A,TRUE,"Volumes"}</definedName>
    <definedName name="sid.ras_1_3" localSheetId="0" hidden="1">{#N/A,#N/A,TRUE,"Volumes"}</definedName>
    <definedName name="sid.ras_1_3" hidden="1">{#N/A,#N/A,TRUE,"Volumes"}</definedName>
    <definedName name="sid.ras_2" localSheetId="26" hidden="1">{#N/A,#N/A,TRUE,"Volumes"}</definedName>
    <definedName name="sid.ras_2" localSheetId="0" hidden="1">{#N/A,#N/A,TRUE,"Volumes"}</definedName>
    <definedName name="sid.ras_2" hidden="1">{#N/A,#N/A,TRUE,"Volumes"}</definedName>
    <definedName name="sid.ras_2_1" localSheetId="26" hidden="1">{#N/A,#N/A,TRUE,"Volumes"}</definedName>
    <definedName name="sid.ras_2_1" localSheetId="0" hidden="1">{#N/A,#N/A,TRUE,"Volumes"}</definedName>
    <definedName name="sid.ras_2_1" hidden="1">{#N/A,#N/A,TRUE,"Volumes"}</definedName>
    <definedName name="sid.ras_2_2" localSheetId="26" hidden="1">{#N/A,#N/A,TRUE,"Volumes"}</definedName>
    <definedName name="sid.ras_2_2" localSheetId="0" hidden="1">{#N/A,#N/A,TRUE,"Volumes"}</definedName>
    <definedName name="sid.ras_2_2" hidden="1">{#N/A,#N/A,TRUE,"Volumes"}</definedName>
    <definedName name="sid.ras_3" localSheetId="26" hidden="1">{#N/A,#N/A,TRUE,"Volumes"}</definedName>
    <definedName name="sid.ras_3" localSheetId="0" hidden="1">{#N/A,#N/A,TRUE,"Volumes"}</definedName>
    <definedName name="sid.ras_3" hidden="1">{#N/A,#N/A,TRUE,"Volumes"}</definedName>
    <definedName name="sid.ras_4" localSheetId="26" hidden="1">{#N/A,#N/A,TRUE,"Volumes"}</definedName>
    <definedName name="sid.ras_4" localSheetId="0" hidden="1">{#N/A,#N/A,TRUE,"Volumes"}</definedName>
    <definedName name="sid.ras_4" hidden="1">{#N/A,#N/A,TRUE,"Volumes"}</definedName>
    <definedName name="sid.ras_5" localSheetId="26" hidden="1">{#N/A,#N/A,TRUE,"Volumes"}</definedName>
    <definedName name="sid.ras_5" localSheetId="0" hidden="1">{#N/A,#N/A,TRUE,"Volumes"}</definedName>
    <definedName name="sid.ras_5" hidden="1">{#N/A,#N/A,TRUE,"Volumes"}</definedName>
    <definedName name="SIDE" localSheetId="26" hidden="1">{#N/A,#N/A,FALSE,"단축1";#N/A,#N/A,FALSE,"단축2";#N/A,#N/A,FALSE,"단축3";#N/A,#N/A,FALSE,"장축";#N/A,#N/A,FALSE,"4WD"}</definedName>
    <definedName name="SIDE" localSheetId="0" hidden="1">{#N/A,#N/A,FALSE,"단축1";#N/A,#N/A,FALSE,"단축2";#N/A,#N/A,FALSE,"단축3";#N/A,#N/A,FALSE,"장축";#N/A,#N/A,FALSE,"4WD"}</definedName>
    <definedName name="SIDE" hidden="1">{#N/A,#N/A,FALSE,"단축1";#N/A,#N/A,FALSE,"단축2";#N/A,#N/A,FALSE,"단축3";#N/A,#N/A,FALSE,"장축";#N/A,#N/A,FALSE,"4WD"}</definedName>
    <definedName name="SIDE_1" localSheetId="26" hidden="1">{#N/A,#N/A,FALSE,"단축1";#N/A,#N/A,FALSE,"단축2";#N/A,#N/A,FALSE,"단축3";#N/A,#N/A,FALSE,"장축";#N/A,#N/A,FALSE,"4WD"}</definedName>
    <definedName name="SIDE_1" localSheetId="0" hidden="1">{#N/A,#N/A,FALSE,"단축1";#N/A,#N/A,FALSE,"단축2";#N/A,#N/A,FALSE,"단축3";#N/A,#N/A,FALSE,"장축";#N/A,#N/A,FALSE,"4WD"}</definedName>
    <definedName name="SIDE_1" hidden="1">{#N/A,#N/A,FALSE,"단축1";#N/A,#N/A,FALSE,"단축2";#N/A,#N/A,FALSE,"단축3";#N/A,#N/A,FALSE,"장축";#N/A,#N/A,FALSE,"4WD"}</definedName>
    <definedName name="SIDE_1_1" localSheetId="26" hidden="1">{#N/A,#N/A,FALSE,"단축1";#N/A,#N/A,FALSE,"단축2";#N/A,#N/A,FALSE,"단축3";#N/A,#N/A,FALSE,"장축";#N/A,#N/A,FALSE,"4WD"}</definedName>
    <definedName name="SIDE_1_1" localSheetId="0" hidden="1">{#N/A,#N/A,FALSE,"단축1";#N/A,#N/A,FALSE,"단축2";#N/A,#N/A,FALSE,"단축3";#N/A,#N/A,FALSE,"장축";#N/A,#N/A,FALSE,"4WD"}</definedName>
    <definedName name="SIDE_1_1" hidden="1">{#N/A,#N/A,FALSE,"단축1";#N/A,#N/A,FALSE,"단축2";#N/A,#N/A,FALSE,"단축3";#N/A,#N/A,FALSE,"장축";#N/A,#N/A,FALSE,"4WD"}</definedName>
    <definedName name="SIDE_1_2" localSheetId="26" hidden="1">{#N/A,#N/A,FALSE,"단축1";#N/A,#N/A,FALSE,"단축2";#N/A,#N/A,FALSE,"단축3";#N/A,#N/A,FALSE,"장축";#N/A,#N/A,FALSE,"4WD"}</definedName>
    <definedName name="SIDE_1_2" localSheetId="0" hidden="1">{#N/A,#N/A,FALSE,"단축1";#N/A,#N/A,FALSE,"단축2";#N/A,#N/A,FALSE,"단축3";#N/A,#N/A,FALSE,"장축";#N/A,#N/A,FALSE,"4WD"}</definedName>
    <definedName name="SIDE_1_2" hidden="1">{#N/A,#N/A,FALSE,"단축1";#N/A,#N/A,FALSE,"단축2";#N/A,#N/A,FALSE,"단축3";#N/A,#N/A,FALSE,"장축";#N/A,#N/A,FALSE,"4WD"}</definedName>
    <definedName name="SIDE_1_3" localSheetId="26" hidden="1">{#N/A,#N/A,FALSE,"단축1";#N/A,#N/A,FALSE,"단축2";#N/A,#N/A,FALSE,"단축3";#N/A,#N/A,FALSE,"장축";#N/A,#N/A,FALSE,"4WD"}</definedName>
    <definedName name="SIDE_1_3" localSheetId="0" hidden="1">{#N/A,#N/A,FALSE,"단축1";#N/A,#N/A,FALSE,"단축2";#N/A,#N/A,FALSE,"단축3";#N/A,#N/A,FALSE,"장축";#N/A,#N/A,FALSE,"4WD"}</definedName>
    <definedName name="SIDE_1_3" hidden="1">{#N/A,#N/A,FALSE,"단축1";#N/A,#N/A,FALSE,"단축2";#N/A,#N/A,FALSE,"단축3";#N/A,#N/A,FALSE,"장축";#N/A,#N/A,FALSE,"4WD"}</definedName>
    <definedName name="SIDE_2" localSheetId="26" hidden="1">{#N/A,#N/A,FALSE,"단축1";#N/A,#N/A,FALSE,"단축2";#N/A,#N/A,FALSE,"단축3";#N/A,#N/A,FALSE,"장축";#N/A,#N/A,FALSE,"4WD"}</definedName>
    <definedName name="SIDE_2" localSheetId="0" hidden="1">{#N/A,#N/A,FALSE,"단축1";#N/A,#N/A,FALSE,"단축2";#N/A,#N/A,FALSE,"단축3";#N/A,#N/A,FALSE,"장축";#N/A,#N/A,FALSE,"4WD"}</definedName>
    <definedName name="SIDE_2" hidden="1">{#N/A,#N/A,FALSE,"단축1";#N/A,#N/A,FALSE,"단축2";#N/A,#N/A,FALSE,"단축3";#N/A,#N/A,FALSE,"장축";#N/A,#N/A,FALSE,"4WD"}</definedName>
    <definedName name="SIDE_2_1" localSheetId="26" hidden="1">{#N/A,#N/A,FALSE,"단축1";#N/A,#N/A,FALSE,"단축2";#N/A,#N/A,FALSE,"단축3";#N/A,#N/A,FALSE,"장축";#N/A,#N/A,FALSE,"4WD"}</definedName>
    <definedName name="SIDE_2_1" localSheetId="0" hidden="1">{#N/A,#N/A,FALSE,"단축1";#N/A,#N/A,FALSE,"단축2";#N/A,#N/A,FALSE,"단축3";#N/A,#N/A,FALSE,"장축";#N/A,#N/A,FALSE,"4WD"}</definedName>
    <definedName name="SIDE_2_1" hidden="1">{#N/A,#N/A,FALSE,"단축1";#N/A,#N/A,FALSE,"단축2";#N/A,#N/A,FALSE,"단축3";#N/A,#N/A,FALSE,"장축";#N/A,#N/A,FALSE,"4WD"}</definedName>
    <definedName name="SIDE_2_2" localSheetId="26" hidden="1">{#N/A,#N/A,FALSE,"단축1";#N/A,#N/A,FALSE,"단축2";#N/A,#N/A,FALSE,"단축3";#N/A,#N/A,FALSE,"장축";#N/A,#N/A,FALSE,"4WD"}</definedName>
    <definedName name="SIDE_2_2" localSheetId="0" hidden="1">{#N/A,#N/A,FALSE,"단축1";#N/A,#N/A,FALSE,"단축2";#N/A,#N/A,FALSE,"단축3";#N/A,#N/A,FALSE,"장축";#N/A,#N/A,FALSE,"4WD"}</definedName>
    <definedName name="SIDE_2_2" hidden="1">{#N/A,#N/A,FALSE,"단축1";#N/A,#N/A,FALSE,"단축2";#N/A,#N/A,FALSE,"단축3";#N/A,#N/A,FALSE,"장축";#N/A,#N/A,FALSE,"4WD"}</definedName>
    <definedName name="SIDE_3" localSheetId="26" hidden="1">{#N/A,#N/A,FALSE,"단축1";#N/A,#N/A,FALSE,"단축2";#N/A,#N/A,FALSE,"단축3";#N/A,#N/A,FALSE,"장축";#N/A,#N/A,FALSE,"4WD"}</definedName>
    <definedName name="SIDE_3" localSheetId="0" hidden="1">{#N/A,#N/A,FALSE,"단축1";#N/A,#N/A,FALSE,"단축2";#N/A,#N/A,FALSE,"단축3";#N/A,#N/A,FALSE,"장축";#N/A,#N/A,FALSE,"4WD"}</definedName>
    <definedName name="SIDE_3" hidden="1">{#N/A,#N/A,FALSE,"단축1";#N/A,#N/A,FALSE,"단축2";#N/A,#N/A,FALSE,"단축3";#N/A,#N/A,FALSE,"장축";#N/A,#N/A,FALSE,"4WD"}</definedName>
    <definedName name="SIDE_4" localSheetId="26" hidden="1">{#N/A,#N/A,FALSE,"단축1";#N/A,#N/A,FALSE,"단축2";#N/A,#N/A,FALSE,"단축3";#N/A,#N/A,FALSE,"장축";#N/A,#N/A,FALSE,"4WD"}</definedName>
    <definedName name="SIDE_4" localSheetId="0" hidden="1">{#N/A,#N/A,FALSE,"단축1";#N/A,#N/A,FALSE,"단축2";#N/A,#N/A,FALSE,"단축3";#N/A,#N/A,FALSE,"장축";#N/A,#N/A,FALSE,"4WD"}</definedName>
    <definedName name="SIDE_4" hidden="1">{#N/A,#N/A,FALSE,"단축1";#N/A,#N/A,FALSE,"단축2";#N/A,#N/A,FALSE,"단축3";#N/A,#N/A,FALSE,"장축";#N/A,#N/A,FALSE,"4WD"}</definedName>
    <definedName name="SIDE_5" localSheetId="26" hidden="1">{#N/A,#N/A,FALSE,"단축1";#N/A,#N/A,FALSE,"단축2";#N/A,#N/A,FALSE,"단축3";#N/A,#N/A,FALSE,"장축";#N/A,#N/A,FALSE,"4WD"}</definedName>
    <definedName name="SIDE_5" localSheetId="0" hidden="1">{#N/A,#N/A,FALSE,"단축1";#N/A,#N/A,FALSE,"단축2";#N/A,#N/A,FALSE,"단축3";#N/A,#N/A,FALSE,"장축";#N/A,#N/A,FALSE,"4WD"}</definedName>
    <definedName name="SIDE_5" hidden="1">{#N/A,#N/A,FALSE,"단축1";#N/A,#N/A,FALSE,"단축2";#N/A,#N/A,FALSE,"단축3";#N/A,#N/A,FALSE,"장축";#N/A,#N/A,FALSE,"4WD"}</definedName>
    <definedName name="Site" localSheetId="26" hidden="1">{#N/A,#N/A,FALSE,"단축1";#N/A,#N/A,FALSE,"단축2";#N/A,#N/A,FALSE,"단축3";#N/A,#N/A,FALSE,"장축";#N/A,#N/A,FALSE,"4WD"}</definedName>
    <definedName name="Site" localSheetId="0" hidden="1">{#N/A,#N/A,FALSE,"단축1";#N/A,#N/A,FALSE,"단축2";#N/A,#N/A,FALSE,"단축3";#N/A,#N/A,FALSE,"장축";#N/A,#N/A,FALSE,"4WD"}</definedName>
    <definedName name="Site" hidden="1">{#N/A,#N/A,FALSE,"단축1";#N/A,#N/A,FALSE,"단축2";#N/A,#N/A,FALSE,"단축3";#N/A,#N/A,FALSE,"장축";#N/A,#N/A,FALSE,"4WD"}</definedName>
    <definedName name="Site_1" localSheetId="26" hidden="1">{#N/A,#N/A,FALSE,"단축1";#N/A,#N/A,FALSE,"단축2";#N/A,#N/A,FALSE,"단축3";#N/A,#N/A,FALSE,"장축";#N/A,#N/A,FALSE,"4WD"}</definedName>
    <definedName name="Site_1" localSheetId="0" hidden="1">{#N/A,#N/A,FALSE,"단축1";#N/A,#N/A,FALSE,"단축2";#N/A,#N/A,FALSE,"단축3";#N/A,#N/A,FALSE,"장축";#N/A,#N/A,FALSE,"4WD"}</definedName>
    <definedName name="Site_1" hidden="1">{#N/A,#N/A,FALSE,"단축1";#N/A,#N/A,FALSE,"단축2";#N/A,#N/A,FALSE,"단축3";#N/A,#N/A,FALSE,"장축";#N/A,#N/A,FALSE,"4WD"}</definedName>
    <definedName name="Site_1_1" localSheetId="26" hidden="1">{#N/A,#N/A,FALSE,"단축1";#N/A,#N/A,FALSE,"단축2";#N/A,#N/A,FALSE,"단축3";#N/A,#N/A,FALSE,"장축";#N/A,#N/A,FALSE,"4WD"}</definedName>
    <definedName name="Site_1_1" localSheetId="0" hidden="1">{#N/A,#N/A,FALSE,"단축1";#N/A,#N/A,FALSE,"단축2";#N/A,#N/A,FALSE,"단축3";#N/A,#N/A,FALSE,"장축";#N/A,#N/A,FALSE,"4WD"}</definedName>
    <definedName name="Site_1_1" hidden="1">{#N/A,#N/A,FALSE,"단축1";#N/A,#N/A,FALSE,"단축2";#N/A,#N/A,FALSE,"단축3";#N/A,#N/A,FALSE,"장축";#N/A,#N/A,FALSE,"4WD"}</definedName>
    <definedName name="Site_1_2" localSheetId="26" hidden="1">{#N/A,#N/A,FALSE,"단축1";#N/A,#N/A,FALSE,"단축2";#N/A,#N/A,FALSE,"단축3";#N/A,#N/A,FALSE,"장축";#N/A,#N/A,FALSE,"4WD"}</definedName>
    <definedName name="Site_1_2" localSheetId="0" hidden="1">{#N/A,#N/A,FALSE,"단축1";#N/A,#N/A,FALSE,"단축2";#N/A,#N/A,FALSE,"단축3";#N/A,#N/A,FALSE,"장축";#N/A,#N/A,FALSE,"4WD"}</definedName>
    <definedName name="Site_1_2" hidden="1">{#N/A,#N/A,FALSE,"단축1";#N/A,#N/A,FALSE,"단축2";#N/A,#N/A,FALSE,"단축3";#N/A,#N/A,FALSE,"장축";#N/A,#N/A,FALSE,"4WD"}</definedName>
    <definedName name="Site_1_3" localSheetId="26" hidden="1">{#N/A,#N/A,FALSE,"단축1";#N/A,#N/A,FALSE,"단축2";#N/A,#N/A,FALSE,"단축3";#N/A,#N/A,FALSE,"장축";#N/A,#N/A,FALSE,"4WD"}</definedName>
    <definedName name="Site_1_3" localSheetId="0" hidden="1">{#N/A,#N/A,FALSE,"단축1";#N/A,#N/A,FALSE,"단축2";#N/A,#N/A,FALSE,"단축3";#N/A,#N/A,FALSE,"장축";#N/A,#N/A,FALSE,"4WD"}</definedName>
    <definedName name="Site_1_3" hidden="1">{#N/A,#N/A,FALSE,"단축1";#N/A,#N/A,FALSE,"단축2";#N/A,#N/A,FALSE,"단축3";#N/A,#N/A,FALSE,"장축";#N/A,#N/A,FALSE,"4WD"}</definedName>
    <definedName name="Site_2" localSheetId="26" hidden="1">{#N/A,#N/A,FALSE,"단축1";#N/A,#N/A,FALSE,"단축2";#N/A,#N/A,FALSE,"단축3";#N/A,#N/A,FALSE,"장축";#N/A,#N/A,FALSE,"4WD"}</definedName>
    <definedName name="Site_2" localSheetId="0" hidden="1">{#N/A,#N/A,FALSE,"단축1";#N/A,#N/A,FALSE,"단축2";#N/A,#N/A,FALSE,"단축3";#N/A,#N/A,FALSE,"장축";#N/A,#N/A,FALSE,"4WD"}</definedName>
    <definedName name="Site_2" hidden="1">{#N/A,#N/A,FALSE,"단축1";#N/A,#N/A,FALSE,"단축2";#N/A,#N/A,FALSE,"단축3";#N/A,#N/A,FALSE,"장축";#N/A,#N/A,FALSE,"4WD"}</definedName>
    <definedName name="Site_2_1" localSheetId="26" hidden="1">{#N/A,#N/A,FALSE,"단축1";#N/A,#N/A,FALSE,"단축2";#N/A,#N/A,FALSE,"단축3";#N/A,#N/A,FALSE,"장축";#N/A,#N/A,FALSE,"4WD"}</definedName>
    <definedName name="Site_2_1" localSheetId="0" hidden="1">{#N/A,#N/A,FALSE,"단축1";#N/A,#N/A,FALSE,"단축2";#N/A,#N/A,FALSE,"단축3";#N/A,#N/A,FALSE,"장축";#N/A,#N/A,FALSE,"4WD"}</definedName>
    <definedName name="Site_2_1" hidden="1">{#N/A,#N/A,FALSE,"단축1";#N/A,#N/A,FALSE,"단축2";#N/A,#N/A,FALSE,"단축3";#N/A,#N/A,FALSE,"장축";#N/A,#N/A,FALSE,"4WD"}</definedName>
    <definedName name="Site_2_2" localSheetId="26" hidden="1">{#N/A,#N/A,FALSE,"단축1";#N/A,#N/A,FALSE,"단축2";#N/A,#N/A,FALSE,"단축3";#N/A,#N/A,FALSE,"장축";#N/A,#N/A,FALSE,"4WD"}</definedName>
    <definedName name="Site_2_2" localSheetId="0" hidden="1">{#N/A,#N/A,FALSE,"단축1";#N/A,#N/A,FALSE,"단축2";#N/A,#N/A,FALSE,"단축3";#N/A,#N/A,FALSE,"장축";#N/A,#N/A,FALSE,"4WD"}</definedName>
    <definedName name="Site_2_2" hidden="1">{#N/A,#N/A,FALSE,"단축1";#N/A,#N/A,FALSE,"단축2";#N/A,#N/A,FALSE,"단축3";#N/A,#N/A,FALSE,"장축";#N/A,#N/A,FALSE,"4WD"}</definedName>
    <definedName name="Site_3" localSheetId="26" hidden="1">{#N/A,#N/A,FALSE,"단축1";#N/A,#N/A,FALSE,"단축2";#N/A,#N/A,FALSE,"단축3";#N/A,#N/A,FALSE,"장축";#N/A,#N/A,FALSE,"4WD"}</definedName>
    <definedName name="Site_3" localSheetId="0" hidden="1">{#N/A,#N/A,FALSE,"단축1";#N/A,#N/A,FALSE,"단축2";#N/A,#N/A,FALSE,"단축3";#N/A,#N/A,FALSE,"장축";#N/A,#N/A,FALSE,"4WD"}</definedName>
    <definedName name="Site_3" hidden="1">{#N/A,#N/A,FALSE,"단축1";#N/A,#N/A,FALSE,"단축2";#N/A,#N/A,FALSE,"단축3";#N/A,#N/A,FALSE,"장축";#N/A,#N/A,FALSE,"4WD"}</definedName>
    <definedName name="Site_4" localSheetId="26" hidden="1">{#N/A,#N/A,FALSE,"단축1";#N/A,#N/A,FALSE,"단축2";#N/A,#N/A,FALSE,"단축3";#N/A,#N/A,FALSE,"장축";#N/A,#N/A,FALSE,"4WD"}</definedName>
    <definedName name="Site_4" localSheetId="0" hidden="1">{#N/A,#N/A,FALSE,"단축1";#N/A,#N/A,FALSE,"단축2";#N/A,#N/A,FALSE,"단축3";#N/A,#N/A,FALSE,"장축";#N/A,#N/A,FALSE,"4WD"}</definedName>
    <definedName name="Site_4" hidden="1">{#N/A,#N/A,FALSE,"단축1";#N/A,#N/A,FALSE,"단축2";#N/A,#N/A,FALSE,"단축3";#N/A,#N/A,FALSE,"장축";#N/A,#N/A,FALSE,"4WD"}</definedName>
    <definedName name="Site_5" localSheetId="26" hidden="1">{#N/A,#N/A,FALSE,"단축1";#N/A,#N/A,FALSE,"단축2";#N/A,#N/A,FALSE,"단축3";#N/A,#N/A,FALSE,"장축";#N/A,#N/A,FALSE,"4WD"}</definedName>
    <definedName name="Site_5" localSheetId="0" hidden="1">{#N/A,#N/A,FALSE,"단축1";#N/A,#N/A,FALSE,"단축2";#N/A,#N/A,FALSE,"단축3";#N/A,#N/A,FALSE,"장축";#N/A,#N/A,FALSE,"4WD"}</definedName>
    <definedName name="Site_5" hidden="1">{#N/A,#N/A,FALSE,"단축1";#N/A,#N/A,FALSE,"단축2";#N/A,#N/A,FALSE,"단축3";#N/A,#N/A,FALSE,"장축";#N/A,#N/A,FALSE,"4WD"}</definedName>
    <definedName name="Siva" localSheetId="9" hidden="1">[1]MOTO!#REF!</definedName>
    <definedName name="Siva" localSheetId="1" hidden="1">[1]MOTO!#REF!</definedName>
    <definedName name="Siva" localSheetId="23" hidden="1">[1]MOTO!#REF!</definedName>
    <definedName name="Siva" localSheetId="22" hidden="1">[1]MOTO!#REF!</definedName>
    <definedName name="Siva" localSheetId="26" hidden="1">[2]MOTO!#REF!</definedName>
    <definedName name="Siva" localSheetId="14" hidden="1">[1]MOTO!#REF!</definedName>
    <definedName name="Siva" localSheetId="21" hidden="1">[2]MOTO!#REF!</definedName>
    <definedName name="Siva" localSheetId="3" hidden="1">[2]MOTO!#REF!</definedName>
    <definedName name="Siva" localSheetId="29" hidden="1">[1]MOTO!#REF!</definedName>
    <definedName name="Siva" localSheetId="28" hidden="1">[2]MOTO!#REF!</definedName>
    <definedName name="Siva" localSheetId="27" hidden="1">[2]MOTO!#REF!</definedName>
    <definedName name="Siva" localSheetId="0" hidden="1">[2]MOTO!#REF!</definedName>
    <definedName name="Siva" hidden="1">[1]MOTO!#REF!</definedName>
    <definedName name="Sivakumar" localSheetId="9" hidden="1">[1]MOTO!#REF!</definedName>
    <definedName name="Sivakumar" localSheetId="1" hidden="1">[1]MOTO!#REF!</definedName>
    <definedName name="Sivakumar" localSheetId="23" hidden="1">[1]MOTO!#REF!</definedName>
    <definedName name="Sivakumar" localSheetId="22" hidden="1">[1]MOTO!#REF!</definedName>
    <definedName name="Sivakumar" localSheetId="26" hidden="1">[2]MOTO!#REF!</definedName>
    <definedName name="Sivakumar" localSheetId="14" hidden="1">[1]MOTO!#REF!</definedName>
    <definedName name="Sivakumar" localSheetId="21" hidden="1">[2]MOTO!#REF!</definedName>
    <definedName name="Sivakumar" localSheetId="3" hidden="1">[2]MOTO!#REF!</definedName>
    <definedName name="Sivakumar" localSheetId="29" hidden="1">[1]MOTO!#REF!</definedName>
    <definedName name="Sivakumar" localSheetId="28" hidden="1">[2]MOTO!#REF!</definedName>
    <definedName name="Sivakumar" localSheetId="27" hidden="1">[2]MOTO!#REF!</definedName>
    <definedName name="Sivakumar" localSheetId="0" hidden="1">[2]MOTO!#REF!</definedName>
    <definedName name="Sivakumar" hidden="1">[1]MOTO!#REF!</definedName>
    <definedName name="SONATA" localSheetId="26" hidden="1">{#N/A,#N/A,FALSE,"해외크레임";#N/A,#N/A,FALSE,"ACCENT현황";#N/A,#N/A,FALSE,"AVANTE";#N/A,#N/A,FALSE,"SONATA(3)";#N/A,#N/A,FALSE,"국내크레임"}</definedName>
    <definedName name="SONATA" localSheetId="0" hidden="1">{#N/A,#N/A,FALSE,"해외크레임";#N/A,#N/A,FALSE,"ACCENT현황";#N/A,#N/A,FALSE,"AVANTE";#N/A,#N/A,FALSE,"SONATA(3)";#N/A,#N/A,FALSE,"국내크레임"}</definedName>
    <definedName name="SONATA" hidden="1">{#N/A,#N/A,FALSE,"해외크레임";#N/A,#N/A,FALSE,"ACCENT현황";#N/A,#N/A,FALSE,"AVANTE";#N/A,#N/A,FALSE,"SONATA(3)";#N/A,#N/A,FALSE,"국내크레임"}</definedName>
    <definedName name="SONATA_1" localSheetId="26" hidden="1">{#N/A,#N/A,FALSE,"해외크레임";#N/A,#N/A,FALSE,"ACCENT현황";#N/A,#N/A,FALSE,"AVANTE";#N/A,#N/A,FALSE,"SONATA(3)";#N/A,#N/A,FALSE,"국내크레임"}</definedName>
    <definedName name="SONATA_1" localSheetId="0" hidden="1">{#N/A,#N/A,FALSE,"해외크레임";#N/A,#N/A,FALSE,"ACCENT현황";#N/A,#N/A,FALSE,"AVANTE";#N/A,#N/A,FALSE,"SONATA(3)";#N/A,#N/A,FALSE,"국내크레임"}</definedName>
    <definedName name="SONATA_1" hidden="1">{#N/A,#N/A,FALSE,"해외크레임";#N/A,#N/A,FALSE,"ACCENT현황";#N/A,#N/A,FALSE,"AVANTE";#N/A,#N/A,FALSE,"SONATA(3)";#N/A,#N/A,FALSE,"국내크레임"}</definedName>
    <definedName name="SONATA_1_1" localSheetId="26" hidden="1">{#N/A,#N/A,FALSE,"해외크레임";#N/A,#N/A,FALSE,"ACCENT현황";#N/A,#N/A,FALSE,"AVANTE";#N/A,#N/A,FALSE,"SONATA(3)";#N/A,#N/A,FALSE,"국내크레임"}</definedName>
    <definedName name="SONATA_1_1" localSheetId="0" hidden="1">{#N/A,#N/A,FALSE,"해외크레임";#N/A,#N/A,FALSE,"ACCENT현황";#N/A,#N/A,FALSE,"AVANTE";#N/A,#N/A,FALSE,"SONATA(3)";#N/A,#N/A,FALSE,"국내크레임"}</definedName>
    <definedName name="SONATA_1_1" hidden="1">{#N/A,#N/A,FALSE,"해외크레임";#N/A,#N/A,FALSE,"ACCENT현황";#N/A,#N/A,FALSE,"AVANTE";#N/A,#N/A,FALSE,"SONATA(3)";#N/A,#N/A,FALSE,"국내크레임"}</definedName>
    <definedName name="SONATA_1_2" localSheetId="26" hidden="1">{#N/A,#N/A,FALSE,"해외크레임";#N/A,#N/A,FALSE,"ACCENT현황";#N/A,#N/A,FALSE,"AVANTE";#N/A,#N/A,FALSE,"SONATA(3)";#N/A,#N/A,FALSE,"국내크레임"}</definedName>
    <definedName name="SONATA_1_2" localSheetId="0" hidden="1">{#N/A,#N/A,FALSE,"해외크레임";#N/A,#N/A,FALSE,"ACCENT현황";#N/A,#N/A,FALSE,"AVANTE";#N/A,#N/A,FALSE,"SONATA(3)";#N/A,#N/A,FALSE,"국내크레임"}</definedName>
    <definedName name="SONATA_1_2" hidden="1">{#N/A,#N/A,FALSE,"해외크레임";#N/A,#N/A,FALSE,"ACCENT현황";#N/A,#N/A,FALSE,"AVANTE";#N/A,#N/A,FALSE,"SONATA(3)";#N/A,#N/A,FALSE,"국내크레임"}</definedName>
    <definedName name="SONATA_1_3" localSheetId="26" hidden="1">{#N/A,#N/A,FALSE,"해외크레임";#N/A,#N/A,FALSE,"ACCENT현황";#N/A,#N/A,FALSE,"AVANTE";#N/A,#N/A,FALSE,"SONATA(3)";#N/A,#N/A,FALSE,"국내크레임"}</definedName>
    <definedName name="SONATA_1_3" localSheetId="0" hidden="1">{#N/A,#N/A,FALSE,"해외크레임";#N/A,#N/A,FALSE,"ACCENT현황";#N/A,#N/A,FALSE,"AVANTE";#N/A,#N/A,FALSE,"SONATA(3)";#N/A,#N/A,FALSE,"국내크레임"}</definedName>
    <definedName name="SONATA_1_3" hidden="1">{#N/A,#N/A,FALSE,"해외크레임";#N/A,#N/A,FALSE,"ACCENT현황";#N/A,#N/A,FALSE,"AVANTE";#N/A,#N/A,FALSE,"SONATA(3)";#N/A,#N/A,FALSE,"국내크레임"}</definedName>
    <definedName name="SONATA_2" localSheetId="26" hidden="1">{#N/A,#N/A,FALSE,"해외크레임";#N/A,#N/A,FALSE,"ACCENT현황";#N/A,#N/A,FALSE,"AVANTE";#N/A,#N/A,FALSE,"SONATA(3)";#N/A,#N/A,FALSE,"국내크레임"}</definedName>
    <definedName name="SONATA_2" localSheetId="0" hidden="1">{#N/A,#N/A,FALSE,"해외크레임";#N/A,#N/A,FALSE,"ACCENT현황";#N/A,#N/A,FALSE,"AVANTE";#N/A,#N/A,FALSE,"SONATA(3)";#N/A,#N/A,FALSE,"국내크레임"}</definedName>
    <definedName name="SONATA_2" hidden="1">{#N/A,#N/A,FALSE,"해외크레임";#N/A,#N/A,FALSE,"ACCENT현황";#N/A,#N/A,FALSE,"AVANTE";#N/A,#N/A,FALSE,"SONATA(3)";#N/A,#N/A,FALSE,"국내크레임"}</definedName>
    <definedName name="SONATA_2_1" localSheetId="26" hidden="1">{#N/A,#N/A,FALSE,"해외크레임";#N/A,#N/A,FALSE,"ACCENT현황";#N/A,#N/A,FALSE,"AVANTE";#N/A,#N/A,FALSE,"SONATA(3)";#N/A,#N/A,FALSE,"국내크레임"}</definedName>
    <definedName name="SONATA_2_1" localSheetId="0" hidden="1">{#N/A,#N/A,FALSE,"해외크레임";#N/A,#N/A,FALSE,"ACCENT현황";#N/A,#N/A,FALSE,"AVANTE";#N/A,#N/A,FALSE,"SONATA(3)";#N/A,#N/A,FALSE,"국내크레임"}</definedName>
    <definedName name="SONATA_2_1" hidden="1">{#N/A,#N/A,FALSE,"해외크레임";#N/A,#N/A,FALSE,"ACCENT현황";#N/A,#N/A,FALSE,"AVANTE";#N/A,#N/A,FALSE,"SONATA(3)";#N/A,#N/A,FALSE,"국내크레임"}</definedName>
    <definedName name="SONATA_2_2" localSheetId="26" hidden="1">{#N/A,#N/A,FALSE,"해외크레임";#N/A,#N/A,FALSE,"ACCENT현황";#N/A,#N/A,FALSE,"AVANTE";#N/A,#N/A,FALSE,"SONATA(3)";#N/A,#N/A,FALSE,"국내크레임"}</definedName>
    <definedName name="SONATA_2_2" localSheetId="0" hidden="1">{#N/A,#N/A,FALSE,"해외크레임";#N/A,#N/A,FALSE,"ACCENT현황";#N/A,#N/A,FALSE,"AVANTE";#N/A,#N/A,FALSE,"SONATA(3)";#N/A,#N/A,FALSE,"국내크레임"}</definedName>
    <definedName name="SONATA_2_2" hidden="1">{#N/A,#N/A,FALSE,"해외크레임";#N/A,#N/A,FALSE,"ACCENT현황";#N/A,#N/A,FALSE,"AVANTE";#N/A,#N/A,FALSE,"SONATA(3)";#N/A,#N/A,FALSE,"국내크레임"}</definedName>
    <definedName name="SONATA_3" localSheetId="26" hidden="1">{#N/A,#N/A,FALSE,"해외크레임";#N/A,#N/A,FALSE,"ACCENT현황";#N/A,#N/A,FALSE,"AVANTE";#N/A,#N/A,FALSE,"SONATA(3)";#N/A,#N/A,FALSE,"국내크레임"}</definedName>
    <definedName name="SONATA_3" localSheetId="0" hidden="1">{#N/A,#N/A,FALSE,"해외크레임";#N/A,#N/A,FALSE,"ACCENT현황";#N/A,#N/A,FALSE,"AVANTE";#N/A,#N/A,FALSE,"SONATA(3)";#N/A,#N/A,FALSE,"국내크레임"}</definedName>
    <definedName name="SONATA_3" hidden="1">{#N/A,#N/A,FALSE,"해외크레임";#N/A,#N/A,FALSE,"ACCENT현황";#N/A,#N/A,FALSE,"AVANTE";#N/A,#N/A,FALSE,"SONATA(3)";#N/A,#N/A,FALSE,"국내크레임"}</definedName>
    <definedName name="SONATA_4" localSheetId="26" hidden="1">{#N/A,#N/A,FALSE,"해외크레임";#N/A,#N/A,FALSE,"ACCENT현황";#N/A,#N/A,FALSE,"AVANTE";#N/A,#N/A,FALSE,"SONATA(3)";#N/A,#N/A,FALSE,"국내크레임"}</definedName>
    <definedName name="SONATA_4" localSheetId="0" hidden="1">{#N/A,#N/A,FALSE,"해외크레임";#N/A,#N/A,FALSE,"ACCENT현황";#N/A,#N/A,FALSE,"AVANTE";#N/A,#N/A,FALSE,"SONATA(3)";#N/A,#N/A,FALSE,"국내크레임"}</definedName>
    <definedName name="SONATA_4" hidden="1">{#N/A,#N/A,FALSE,"해외크레임";#N/A,#N/A,FALSE,"ACCENT현황";#N/A,#N/A,FALSE,"AVANTE";#N/A,#N/A,FALSE,"SONATA(3)";#N/A,#N/A,FALSE,"국내크레임"}</definedName>
    <definedName name="SONATA_5" localSheetId="26" hidden="1">{#N/A,#N/A,FALSE,"해외크레임";#N/A,#N/A,FALSE,"ACCENT현황";#N/A,#N/A,FALSE,"AVANTE";#N/A,#N/A,FALSE,"SONATA(3)";#N/A,#N/A,FALSE,"국내크레임"}</definedName>
    <definedName name="SONATA_5" localSheetId="0" hidden="1">{#N/A,#N/A,FALSE,"해외크레임";#N/A,#N/A,FALSE,"ACCENT현황";#N/A,#N/A,FALSE,"AVANTE";#N/A,#N/A,FALSE,"SONATA(3)";#N/A,#N/A,FALSE,"국내크레임"}</definedName>
    <definedName name="SONATA_5" hidden="1">{#N/A,#N/A,FALSE,"해외크레임";#N/A,#N/A,FALSE,"ACCENT현황";#N/A,#N/A,FALSE,"AVANTE";#N/A,#N/A,FALSE,"SONATA(3)";#N/A,#N/A,FALSE,"국내크레임"}</definedName>
    <definedName name="SONATA1" localSheetId="26" hidden="1">{#N/A,#N/A,FALSE,"해외크레임";#N/A,#N/A,FALSE,"ACCENT현황";#N/A,#N/A,FALSE,"AVANTE";#N/A,#N/A,FALSE,"SONATA(3)";#N/A,#N/A,FALSE,"국내크레임"}</definedName>
    <definedName name="SONATA1" localSheetId="0" hidden="1">{#N/A,#N/A,FALSE,"해외크레임";#N/A,#N/A,FALSE,"ACCENT현황";#N/A,#N/A,FALSE,"AVANTE";#N/A,#N/A,FALSE,"SONATA(3)";#N/A,#N/A,FALSE,"국내크레임"}</definedName>
    <definedName name="SONATA1" hidden="1">{#N/A,#N/A,FALSE,"해외크레임";#N/A,#N/A,FALSE,"ACCENT현황";#N/A,#N/A,FALSE,"AVANTE";#N/A,#N/A,FALSE,"SONATA(3)";#N/A,#N/A,FALSE,"국내크레임"}</definedName>
    <definedName name="SONATA1_1" localSheetId="26" hidden="1">{#N/A,#N/A,FALSE,"해외크레임";#N/A,#N/A,FALSE,"ACCENT현황";#N/A,#N/A,FALSE,"AVANTE";#N/A,#N/A,FALSE,"SONATA(3)";#N/A,#N/A,FALSE,"국내크레임"}</definedName>
    <definedName name="SONATA1_1" localSheetId="0" hidden="1">{#N/A,#N/A,FALSE,"해외크레임";#N/A,#N/A,FALSE,"ACCENT현황";#N/A,#N/A,FALSE,"AVANTE";#N/A,#N/A,FALSE,"SONATA(3)";#N/A,#N/A,FALSE,"국내크레임"}</definedName>
    <definedName name="SONATA1_1" hidden="1">{#N/A,#N/A,FALSE,"해외크레임";#N/A,#N/A,FALSE,"ACCENT현황";#N/A,#N/A,FALSE,"AVANTE";#N/A,#N/A,FALSE,"SONATA(3)";#N/A,#N/A,FALSE,"국내크레임"}</definedName>
    <definedName name="SONATA1_1_1" localSheetId="26" hidden="1">{#N/A,#N/A,FALSE,"해외크레임";#N/A,#N/A,FALSE,"ACCENT현황";#N/A,#N/A,FALSE,"AVANTE";#N/A,#N/A,FALSE,"SONATA(3)";#N/A,#N/A,FALSE,"국내크레임"}</definedName>
    <definedName name="SONATA1_1_1" localSheetId="0" hidden="1">{#N/A,#N/A,FALSE,"해외크레임";#N/A,#N/A,FALSE,"ACCENT현황";#N/A,#N/A,FALSE,"AVANTE";#N/A,#N/A,FALSE,"SONATA(3)";#N/A,#N/A,FALSE,"국내크레임"}</definedName>
    <definedName name="SONATA1_1_1" hidden="1">{#N/A,#N/A,FALSE,"해외크레임";#N/A,#N/A,FALSE,"ACCENT현황";#N/A,#N/A,FALSE,"AVANTE";#N/A,#N/A,FALSE,"SONATA(3)";#N/A,#N/A,FALSE,"국내크레임"}</definedName>
    <definedName name="SONATA1_1_2" localSheetId="26" hidden="1">{#N/A,#N/A,FALSE,"해외크레임";#N/A,#N/A,FALSE,"ACCENT현황";#N/A,#N/A,FALSE,"AVANTE";#N/A,#N/A,FALSE,"SONATA(3)";#N/A,#N/A,FALSE,"국내크레임"}</definedName>
    <definedName name="SONATA1_1_2" localSheetId="0" hidden="1">{#N/A,#N/A,FALSE,"해외크레임";#N/A,#N/A,FALSE,"ACCENT현황";#N/A,#N/A,FALSE,"AVANTE";#N/A,#N/A,FALSE,"SONATA(3)";#N/A,#N/A,FALSE,"국내크레임"}</definedName>
    <definedName name="SONATA1_1_2" hidden="1">{#N/A,#N/A,FALSE,"해외크레임";#N/A,#N/A,FALSE,"ACCENT현황";#N/A,#N/A,FALSE,"AVANTE";#N/A,#N/A,FALSE,"SONATA(3)";#N/A,#N/A,FALSE,"국내크레임"}</definedName>
    <definedName name="SONATA1_1_3" localSheetId="26" hidden="1">{#N/A,#N/A,FALSE,"해외크레임";#N/A,#N/A,FALSE,"ACCENT현황";#N/A,#N/A,FALSE,"AVANTE";#N/A,#N/A,FALSE,"SONATA(3)";#N/A,#N/A,FALSE,"국내크레임"}</definedName>
    <definedName name="SONATA1_1_3" localSheetId="0" hidden="1">{#N/A,#N/A,FALSE,"해외크레임";#N/A,#N/A,FALSE,"ACCENT현황";#N/A,#N/A,FALSE,"AVANTE";#N/A,#N/A,FALSE,"SONATA(3)";#N/A,#N/A,FALSE,"국내크레임"}</definedName>
    <definedName name="SONATA1_1_3" hidden="1">{#N/A,#N/A,FALSE,"해외크레임";#N/A,#N/A,FALSE,"ACCENT현황";#N/A,#N/A,FALSE,"AVANTE";#N/A,#N/A,FALSE,"SONATA(3)";#N/A,#N/A,FALSE,"국내크레임"}</definedName>
    <definedName name="SONATA1_2" localSheetId="26" hidden="1">{#N/A,#N/A,FALSE,"해외크레임";#N/A,#N/A,FALSE,"ACCENT현황";#N/A,#N/A,FALSE,"AVANTE";#N/A,#N/A,FALSE,"SONATA(3)";#N/A,#N/A,FALSE,"국내크레임"}</definedName>
    <definedName name="SONATA1_2" localSheetId="0" hidden="1">{#N/A,#N/A,FALSE,"해외크레임";#N/A,#N/A,FALSE,"ACCENT현황";#N/A,#N/A,FALSE,"AVANTE";#N/A,#N/A,FALSE,"SONATA(3)";#N/A,#N/A,FALSE,"국내크레임"}</definedName>
    <definedName name="SONATA1_2" hidden="1">{#N/A,#N/A,FALSE,"해외크레임";#N/A,#N/A,FALSE,"ACCENT현황";#N/A,#N/A,FALSE,"AVANTE";#N/A,#N/A,FALSE,"SONATA(3)";#N/A,#N/A,FALSE,"국내크레임"}</definedName>
    <definedName name="SONATA1_2_1" localSheetId="26" hidden="1">{#N/A,#N/A,FALSE,"해외크레임";#N/A,#N/A,FALSE,"ACCENT현황";#N/A,#N/A,FALSE,"AVANTE";#N/A,#N/A,FALSE,"SONATA(3)";#N/A,#N/A,FALSE,"국내크레임"}</definedName>
    <definedName name="SONATA1_2_1" localSheetId="0" hidden="1">{#N/A,#N/A,FALSE,"해외크레임";#N/A,#N/A,FALSE,"ACCENT현황";#N/A,#N/A,FALSE,"AVANTE";#N/A,#N/A,FALSE,"SONATA(3)";#N/A,#N/A,FALSE,"국내크레임"}</definedName>
    <definedName name="SONATA1_2_1" hidden="1">{#N/A,#N/A,FALSE,"해외크레임";#N/A,#N/A,FALSE,"ACCENT현황";#N/A,#N/A,FALSE,"AVANTE";#N/A,#N/A,FALSE,"SONATA(3)";#N/A,#N/A,FALSE,"국내크레임"}</definedName>
    <definedName name="SONATA1_2_2" localSheetId="26" hidden="1">{#N/A,#N/A,FALSE,"해외크레임";#N/A,#N/A,FALSE,"ACCENT현황";#N/A,#N/A,FALSE,"AVANTE";#N/A,#N/A,FALSE,"SONATA(3)";#N/A,#N/A,FALSE,"국내크레임"}</definedName>
    <definedName name="SONATA1_2_2" localSheetId="0" hidden="1">{#N/A,#N/A,FALSE,"해외크레임";#N/A,#N/A,FALSE,"ACCENT현황";#N/A,#N/A,FALSE,"AVANTE";#N/A,#N/A,FALSE,"SONATA(3)";#N/A,#N/A,FALSE,"국내크레임"}</definedName>
    <definedName name="SONATA1_2_2" hidden="1">{#N/A,#N/A,FALSE,"해외크레임";#N/A,#N/A,FALSE,"ACCENT현황";#N/A,#N/A,FALSE,"AVANTE";#N/A,#N/A,FALSE,"SONATA(3)";#N/A,#N/A,FALSE,"국내크레임"}</definedName>
    <definedName name="SONATA1_3" localSheetId="26" hidden="1">{#N/A,#N/A,FALSE,"해외크레임";#N/A,#N/A,FALSE,"ACCENT현황";#N/A,#N/A,FALSE,"AVANTE";#N/A,#N/A,FALSE,"SONATA(3)";#N/A,#N/A,FALSE,"국내크레임"}</definedName>
    <definedName name="SONATA1_3" localSheetId="0" hidden="1">{#N/A,#N/A,FALSE,"해외크레임";#N/A,#N/A,FALSE,"ACCENT현황";#N/A,#N/A,FALSE,"AVANTE";#N/A,#N/A,FALSE,"SONATA(3)";#N/A,#N/A,FALSE,"국내크레임"}</definedName>
    <definedName name="SONATA1_3" hidden="1">{#N/A,#N/A,FALSE,"해외크레임";#N/A,#N/A,FALSE,"ACCENT현황";#N/A,#N/A,FALSE,"AVANTE";#N/A,#N/A,FALSE,"SONATA(3)";#N/A,#N/A,FALSE,"국내크레임"}</definedName>
    <definedName name="SONATA1_4" localSheetId="26" hidden="1">{#N/A,#N/A,FALSE,"해외크레임";#N/A,#N/A,FALSE,"ACCENT현황";#N/A,#N/A,FALSE,"AVANTE";#N/A,#N/A,FALSE,"SONATA(3)";#N/A,#N/A,FALSE,"국내크레임"}</definedName>
    <definedName name="SONATA1_4" localSheetId="0" hidden="1">{#N/A,#N/A,FALSE,"해외크레임";#N/A,#N/A,FALSE,"ACCENT현황";#N/A,#N/A,FALSE,"AVANTE";#N/A,#N/A,FALSE,"SONATA(3)";#N/A,#N/A,FALSE,"국내크레임"}</definedName>
    <definedName name="SONATA1_4" hidden="1">{#N/A,#N/A,FALSE,"해외크레임";#N/A,#N/A,FALSE,"ACCENT현황";#N/A,#N/A,FALSE,"AVANTE";#N/A,#N/A,FALSE,"SONATA(3)";#N/A,#N/A,FALSE,"국내크레임"}</definedName>
    <definedName name="SONATA1_5" localSheetId="26" hidden="1">{#N/A,#N/A,FALSE,"해외크레임";#N/A,#N/A,FALSE,"ACCENT현황";#N/A,#N/A,FALSE,"AVANTE";#N/A,#N/A,FALSE,"SONATA(3)";#N/A,#N/A,FALSE,"국내크레임"}</definedName>
    <definedName name="SONATA1_5" localSheetId="0" hidden="1">{#N/A,#N/A,FALSE,"해외크레임";#N/A,#N/A,FALSE,"ACCENT현황";#N/A,#N/A,FALSE,"AVANTE";#N/A,#N/A,FALSE,"SONATA(3)";#N/A,#N/A,FALSE,"국내크레임"}</definedName>
    <definedName name="SONATA1_5" hidden="1">{#N/A,#N/A,FALSE,"해외크레임";#N/A,#N/A,FALSE,"ACCENT현황";#N/A,#N/A,FALSE,"AVANTE";#N/A,#N/A,FALSE,"SONATA(3)";#N/A,#N/A,FALSE,"국내크레임"}</definedName>
    <definedName name="SSD" localSheetId="26" hidden="1">{#N/A,#N/A,FALSE,"을지 (4)";#N/A,#N/A,FALSE,"을지 (5)";#N/A,#N/A,FALSE,"을지 (6)"}</definedName>
    <definedName name="SSD" localSheetId="0" hidden="1">{#N/A,#N/A,FALSE,"을지 (4)";#N/A,#N/A,FALSE,"을지 (5)";#N/A,#N/A,FALSE,"을지 (6)"}</definedName>
    <definedName name="SSD" hidden="1">{#N/A,#N/A,FALSE,"을지 (4)";#N/A,#N/A,FALSE,"을지 (5)";#N/A,#N/A,FALSE,"을지 (6)"}</definedName>
    <definedName name="SSD_1" localSheetId="26" hidden="1">{#N/A,#N/A,FALSE,"을지 (4)";#N/A,#N/A,FALSE,"을지 (5)";#N/A,#N/A,FALSE,"을지 (6)"}</definedName>
    <definedName name="SSD_1" localSheetId="0" hidden="1">{#N/A,#N/A,FALSE,"을지 (4)";#N/A,#N/A,FALSE,"을지 (5)";#N/A,#N/A,FALSE,"을지 (6)"}</definedName>
    <definedName name="SSD_1" hidden="1">{#N/A,#N/A,FALSE,"을지 (4)";#N/A,#N/A,FALSE,"을지 (5)";#N/A,#N/A,FALSE,"을지 (6)"}</definedName>
    <definedName name="SSD_1_1" localSheetId="26" hidden="1">{#N/A,#N/A,FALSE,"을지 (4)";#N/A,#N/A,FALSE,"을지 (5)";#N/A,#N/A,FALSE,"을지 (6)"}</definedName>
    <definedName name="SSD_1_1" localSheetId="0" hidden="1">{#N/A,#N/A,FALSE,"을지 (4)";#N/A,#N/A,FALSE,"을지 (5)";#N/A,#N/A,FALSE,"을지 (6)"}</definedName>
    <definedName name="SSD_1_1" hidden="1">{#N/A,#N/A,FALSE,"을지 (4)";#N/A,#N/A,FALSE,"을지 (5)";#N/A,#N/A,FALSE,"을지 (6)"}</definedName>
    <definedName name="SSD_1_2" localSheetId="26" hidden="1">{#N/A,#N/A,FALSE,"을지 (4)";#N/A,#N/A,FALSE,"을지 (5)";#N/A,#N/A,FALSE,"을지 (6)"}</definedName>
    <definedName name="SSD_1_2" localSheetId="0" hidden="1">{#N/A,#N/A,FALSE,"을지 (4)";#N/A,#N/A,FALSE,"을지 (5)";#N/A,#N/A,FALSE,"을지 (6)"}</definedName>
    <definedName name="SSD_1_2" hidden="1">{#N/A,#N/A,FALSE,"을지 (4)";#N/A,#N/A,FALSE,"을지 (5)";#N/A,#N/A,FALSE,"을지 (6)"}</definedName>
    <definedName name="SSD_1_3" localSheetId="26" hidden="1">{#N/A,#N/A,FALSE,"을지 (4)";#N/A,#N/A,FALSE,"을지 (5)";#N/A,#N/A,FALSE,"을지 (6)"}</definedName>
    <definedName name="SSD_1_3" localSheetId="0" hidden="1">{#N/A,#N/A,FALSE,"을지 (4)";#N/A,#N/A,FALSE,"을지 (5)";#N/A,#N/A,FALSE,"을지 (6)"}</definedName>
    <definedName name="SSD_1_3" hidden="1">{#N/A,#N/A,FALSE,"을지 (4)";#N/A,#N/A,FALSE,"을지 (5)";#N/A,#N/A,FALSE,"을지 (6)"}</definedName>
    <definedName name="SSD_2" localSheetId="26" hidden="1">{#N/A,#N/A,FALSE,"을지 (4)";#N/A,#N/A,FALSE,"을지 (5)";#N/A,#N/A,FALSE,"을지 (6)"}</definedName>
    <definedName name="SSD_2" localSheetId="0" hidden="1">{#N/A,#N/A,FALSE,"을지 (4)";#N/A,#N/A,FALSE,"을지 (5)";#N/A,#N/A,FALSE,"을지 (6)"}</definedName>
    <definedName name="SSD_2" hidden="1">{#N/A,#N/A,FALSE,"을지 (4)";#N/A,#N/A,FALSE,"을지 (5)";#N/A,#N/A,FALSE,"을지 (6)"}</definedName>
    <definedName name="SSD_2_1" localSheetId="26" hidden="1">{#N/A,#N/A,FALSE,"을지 (4)";#N/A,#N/A,FALSE,"을지 (5)";#N/A,#N/A,FALSE,"을지 (6)"}</definedName>
    <definedName name="SSD_2_1" localSheetId="0" hidden="1">{#N/A,#N/A,FALSE,"을지 (4)";#N/A,#N/A,FALSE,"을지 (5)";#N/A,#N/A,FALSE,"을지 (6)"}</definedName>
    <definedName name="SSD_2_1" hidden="1">{#N/A,#N/A,FALSE,"을지 (4)";#N/A,#N/A,FALSE,"을지 (5)";#N/A,#N/A,FALSE,"을지 (6)"}</definedName>
    <definedName name="SSD_2_2" localSheetId="26" hidden="1">{#N/A,#N/A,FALSE,"을지 (4)";#N/A,#N/A,FALSE,"을지 (5)";#N/A,#N/A,FALSE,"을지 (6)"}</definedName>
    <definedName name="SSD_2_2" localSheetId="0" hidden="1">{#N/A,#N/A,FALSE,"을지 (4)";#N/A,#N/A,FALSE,"을지 (5)";#N/A,#N/A,FALSE,"을지 (6)"}</definedName>
    <definedName name="SSD_2_2" hidden="1">{#N/A,#N/A,FALSE,"을지 (4)";#N/A,#N/A,FALSE,"을지 (5)";#N/A,#N/A,FALSE,"을지 (6)"}</definedName>
    <definedName name="SSD_3" localSheetId="26" hidden="1">{#N/A,#N/A,FALSE,"을지 (4)";#N/A,#N/A,FALSE,"을지 (5)";#N/A,#N/A,FALSE,"을지 (6)"}</definedName>
    <definedName name="SSD_3" localSheetId="0" hidden="1">{#N/A,#N/A,FALSE,"을지 (4)";#N/A,#N/A,FALSE,"을지 (5)";#N/A,#N/A,FALSE,"을지 (6)"}</definedName>
    <definedName name="SSD_3" hidden="1">{#N/A,#N/A,FALSE,"을지 (4)";#N/A,#N/A,FALSE,"을지 (5)";#N/A,#N/A,FALSE,"을지 (6)"}</definedName>
    <definedName name="SSD_4" localSheetId="26" hidden="1">{#N/A,#N/A,FALSE,"을지 (4)";#N/A,#N/A,FALSE,"을지 (5)";#N/A,#N/A,FALSE,"을지 (6)"}</definedName>
    <definedName name="SSD_4" localSheetId="0" hidden="1">{#N/A,#N/A,FALSE,"을지 (4)";#N/A,#N/A,FALSE,"을지 (5)";#N/A,#N/A,FALSE,"을지 (6)"}</definedName>
    <definedName name="SSD_4" hidden="1">{#N/A,#N/A,FALSE,"을지 (4)";#N/A,#N/A,FALSE,"을지 (5)";#N/A,#N/A,FALSE,"을지 (6)"}</definedName>
    <definedName name="SSD_5" localSheetId="26" hidden="1">{#N/A,#N/A,FALSE,"을지 (4)";#N/A,#N/A,FALSE,"을지 (5)";#N/A,#N/A,FALSE,"을지 (6)"}</definedName>
    <definedName name="SSD_5" localSheetId="0" hidden="1">{#N/A,#N/A,FALSE,"을지 (4)";#N/A,#N/A,FALSE,"을지 (5)";#N/A,#N/A,FALSE,"을지 (6)"}</definedName>
    <definedName name="SSD_5" hidden="1">{#N/A,#N/A,FALSE,"을지 (4)";#N/A,#N/A,FALSE,"을지 (5)";#N/A,#N/A,FALSE,"을지 (6)"}</definedName>
    <definedName name="sss" localSheetId="9" hidden="1">[12]MOTO!#REF!</definedName>
    <definedName name="sss" localSheetId="1" hidden="1">[12]MOTO!#REF!</definedName>
    <definedName name="sss" localSheetId="23" hidden="1">[12]MOTO!#REF!</definedName>
    <definedName name="sss" localSheetId="22" hidden="1">[12]MOTO!#REF!</definedName>
    <definedName name="sss" localSheetId="26" hidden="1">[12]MOTO!#REF!</definedName>
    <definedName name="sss" localSheetId="14" hidden="1">[12]MOTO!#REF!</definedName>
    <definedName name="sss" localSheetId="21" hidden="1">[12]MOTO!#REF!</definedName>
    <definedName name="sss" localSheetId="3" hidden="1">[12]MOTO!#REF!</definedName>
    <definedName name="sss" localSheetId="29" hidden="1">[12]MOTO!#REF!</definedName>
    <definedName name="sss" localSheetId="28" hidden="1">[12]MOTO!#REF!</definedName>
    <definedName name="sss" localSheetId="27" hidden="1">[12]MOTO!#REF!</definedName>
    <definedName name="sss" localSheetId="0" hidden="1">[12]MOTO!#REF!</definedName>
    <definedName name="sss" hidden="1">[12]MOTO!#REF!</definedName>
    <definedName name="ssssssss" localSheetId="26" hidden="1">{#N/A,#N/A,FALSE,"단축1";#N/A,#N/A,FALSE,"단축2";#N/A,#N/A,FALSE,"단축3";#N/A,#N/A,FALSE,"장축";#N/A,#N/A,FALSE,"4WD"}</definedName>
    <definedName name="ssssssss" localSheetId="0" hidden="1">{#N/A,#N/A,FALSE,"단축1";#N/A,#N/A,FALSE,"단축2";#N/A,#N/A,FALSE,"단축3";#N/A,#N/A,FALSE,"장축";#N/A,#N/A,FALSE,"4WD"}</definedName>
    <definedName name="ssssssss" hidden="1">{#N/A,#N/A,FALSE,"단축1";#N/A,#N/A,FALSE,"단축2";#N/A,#N/A,FALSE,"단축3";#N/A,#N/A,FALSE,"장축";#N/A,#N/A,FALSE,"4WD"}</definedName>
    <definedName name="ssssssss_1" localSheetId="26" hidden="1">{#N/A,#N/A,FALSE,"단축1";#N/A,#N/A,FALSE,"단축2";#N/A,#N/A,FALSE,"단축3";#N/A,#N/A,FALSE,"장축";#N/A,#N/A,FALSE,"4WD"}</definedName>
    <definedName name="ssssssss_1" localSheetId="0" hidden="1">{#N/A,#N/A,FALSE,"단축1";#N/A,#N/A,FALSE,"단축2";#N/A,#N/A,FALSE,"단축3";#N/A,#N/A,FALSE,"장축";#N/A,#N/A,FALSE,"4WD"}</definedName>
    <definedName name="ssssssss_1" hidden="1">{#N/A,#N/A,FALSE,"단축1";#N/A,#N/A,FALSE,"단축2";#N/A,#N/A,FALSE,"단축3";#N/A,#N/A,FALSE,"장축";#N/A,#N/A,FALSE,"4WD"}</definedName>
    <definedName name="ssssssss_1_1" localSheetId="26" hidden="1">{#N/A,#N/A,FALSE,"단축1";#N/A,#N/A,FALSE,"단축2";#N/A,#N/A,FALSE,"단축3";#N/A,#N/A,FALSE,"장축";#N/A,#N/A,FALSE,"4WD"}</definedName>
    <definedName name="ssssssss_1_1" localSheetId="0" hidden="1">{#N/A,#N/A,FALSE,"단축1";#N/A,#N/A,FALSE,"단축2";#N/A,#N/A,FALSE,"단축3";#N/A,#N/A,FALSE,"장축";#N/A,#N/A,FALSE,"4WD"}</definedName>
    <definedName name="ssssssss_1_1" hidden="1">{#N/A,#N/A,FALSE,"단축1";#N/A,#N/A,FALSE,"단축2";#N/A,#N/A,FALSE,"단축3";#N/A,#N/A,FALSE,"장축";#N/A,#N/A,FALSE,"4WD"}</definedName>
    <definedName name="ssssssss_1_2" localSheetId="26" hidden="1">{#N/A,#N/A,FALSE,"단축1";#N/A,#N/A,FALSE,"단축2";#N/A,#N/A,FALSE,"단축3";#N/A,#N/A,FALSE,"장축";#N/A,#N/A,FALSE,"4WD"}</definedName>
    <definedName name="ssssssss_1_2" localSheetId="0" hidden="1">{#N/A,#N/A,FALSE,"단축1";#N/A,#N/A,FALSE,"단축2";#N/A,#N/A,FALSE,"단축3";#N/A,#N/A,FALSE,"장축";#N/A,#N/A,FALSE,"4WD"}</definedName>
    <definedName name="ssssssss_1_2" hidden="1">{#N/A,#N/A,FALSE,"단축1";#N/A,#N/A,FALSE,"단축2";#N/A,#N/A,FALSE,"단축3";#N/A,#N/A,FALSE,"장축";#N/A,#N/A,FALSE,"4WD"}</definedName>
    <definedName name="ssssssss_1_3" localSheetId="26" hidden="1">{#N/A,#N/A,FALSE,"단축1";#N/A,#N/A,FALSE,"단축2";#N/A,#N/A,FALSE,"단축3";#N/A,#N/A,FALSE,"장축";#N/A,#N/A,FALSE,"4WD"}</definedName>
    <definedName name="ssssssss_1_3" localSheetId="0" hidden="1">{#N/A,#N/A,FALSE,"단축1";#N/A,#N/A,FALSE,"단축2";#N/A,#N/A,FALSE,"단축3";#N/A,#N/A,FALSE,"장축";#N/A,#N/A,FALSE,"4WD"}</definedName>
    <definedName name="ssssssss_1_3" hidden="1">{#N/A,#N/A,FALSE,"단축1";#N/A,#N/A,FALSE,"단축2";#N/A,#N/A,FALSE,"단축3";#N/A,#N/A,FALSE,"장축";#N/A,#N/A,FALSE,"4WD"}</definedName>
    <definedName name="ssssssss_2" localSheetId="26" hidden="1">{#N/A,#N/A,FALSE,"단축1";#N/A,#N/A,FALSE,"단축2";#N/A,#N/A,FALSE,"단축3";#N/A,#N/A,FALSE,"장축";#N/A,#N/A,FALSE,"4WD"}</definedName>
    <definedName name="ssssssss_2" localSheetId="0" hidden="1">{#N/A,#N/A,FALSE,"단축1";#N/A,#N/A,FALSE,"단축2";#N/A,#N/A,FALSE,"단축3";#N/A,#N/A,FALSE,"장축";#N/A,#N/A,FALSE,"4WD"}</definedName>
    <definedName name="ssssssss_2" hidden="1">{#N/A,#N/A,FALSE,"단축1";#N/A,#N/A,FALSE,"단축2";#N/A,#N/A,FALSE,"단축3";#N/A,#N/A,FALSE,"장축";#N/A,#N/A,FALSE,"4WD"}</definedName>
    <definedName name="ssssssss_2_1" localSheetId="26" hidden="1">{#N/A,#N/A,FALSE,"단축1";#N/A,#N/A,FALSE,"단축2";#N/A,#N/A,FALSE,"단축3";#N/A,#N/A,FALSE,"장축";#N/A,#N/A,FALSE,"4WD"}</definedName>
    <definedName name="ssssssss_2_1" localSheetId="0" hidden="1">{#N/A,#N/A,FALSE,"단축1";#N/A,#N/A,FALSE,"단축2";#N/A,#N/A,FALSE,"단축3";#N/A,#N/A,FALSE,"장축";#N/A,#N/A,FALSE,"4WD"}</definedName>
    <definedName name="ssssssss_2_1" hidden="1">{#N/A,#N/A,FALSE,"단축1";#N/A,#N/A,FALSE,"단축2";#N/A,#N/A,FALSE,"단축3";#N/A,#N/A,FALSE,"장축";#N/A,#N/A,FALSE,"4WD"}</definedName>
    <definedName name="ssssssss_2_2" localSheetId="26" hidden="1">{#N/A,#N/A,FALSE,"단축1";#N/A,#N/A,FALSE,"단축2";#N/A,#N/A,FALSE,"단축3";#N/A,#N/A,FALSE,"장축";#N/A,#N/A,FALSE,"4WD"}</definedName>
    <definedName name="ssssssss_2_2" localSheetId="0" hidden="1">{#N/A,#N/A,FALSE,"단축1";#N/A,#N/A,FALSE,"단축2";#N/A,#N/A,FALSE,"단축3";#N/A,#N/A,FALSE,"장축";#N/A,#N/A,FALSE,"4WD"}</definedName>
    <definedName name="ssssssss_2_2" hidden="1">{#N/A,#N/A,FALSE,"단축1";#N/A,#N/A,FALSE,"단축2";#N/A,#N/A,FALSE,"단축3";#N/A,#N/A,FALSE,"장축";#N/A,#N/A,FALSE,"4WD"}</definedName>
    <definedName name="ssssssss_3" localSheetId="26" hidden="1">{#N/A,#N/A,FALSE,"단축1";#N/A,#N/A,FALSE,"단축2";#N/A,#N/A,FALSE,"단축3";#N/A,#N/A,FALSE,"장축";#N/A,#N/A,FALSE,"4WD"}</definedName>
    <definedName name="ssssssss_3" localSheetId="0" hidden="1">{#N/A,#N/A,FALSE,"단축1";#N/A,#N/A,FALSE,"단축2";#N/A,#N/A,FALSE,"단축3";#N/A,#N/A,FALSE,"장축";#N/A,#N/A,FALSE,"4WD"}</definedName>
    <definedName name="ssssssss_3" hidden="1">{#N/A,#N/A,FALSE,"단축1";#N/A,#N/A,FALSE,"단축2";#N/A,#N/A,FALSE,"단축3";#N/A,#N/A,FALSE,"장축";#N/A,#N/A,FALSE,"4WD"}</definedName>
    <definedName name="ssssssss_4" localSheetId="26" hidden="1">{#N/A,#N/A,FALSE,"단축1";#N/A,#N/A,FALSE,"단축2";#N/A,#N/A,FALSE,"단축3";#N/A,#N/A,FALSE,"장축";#N/A,#N/A,FALSE,"4WD"}</definedName>
    <definedName name="ssssssss_4" localSheetId="0" hidden="1">{#N/A,#N/A,FALSE,"단축1";#N/A,#N/A,FALSE,"단축2";#N/A,#N/A,FALSE,"단축3";#N/A,#N/A,FALSE,"장축";#N/A,#N/A,FALSE,"4WD"}</definedName>
    <definedName name="ssssssss_4" hidden="1">{#N/A,#N/A,FALSE,"단축1";#N/A,#N/A,FALSE,"단축2";#N/A,#N/A,FALSE,"단축3";#N/A,#N/A,FALSE,"장축";#N/A,#N/A,FALSE,"4WD"}</definedName>
    <definedName name="ssssssss_5" localSheetId="26" hidden="1">{#N/A,#N/A,FALSE,"단축1";#N/A,#N/A,FALSE,"단축2";#N/A,#N/A,FALSE,"단축3";#N/A,#N/A,FALSE,"장축";#N/A,#N/A,FALSE,"4WD"}</definedName>
    <definedName name="ssssssss_5" localSheetId="0" hidden="1">{#N/A,#N/A,FALSE,"단축1";#N/A,#N/A,FALSE,"단축2";#N/A,#N/A,FALSE,"단축3";#N/A,#N/A,FALSE,"장축";#N/A,#N/A,FALSE,"4WD"}</definedName>
    <definedName name="ssssssss_5" hidden="1">{#N/A,#N/A,FALSE,"단축1";#N/A,#N/A,FALSE,"단축2";#N/A,#N/A,FALSE,"단축3";#N/A,#N/A,FALSE,"장축";#N/A,#N/A,FALSE,"4WD"}</definedName>
    <definedName name="STH" localSheetId="26" hidden="1">{#N/A,#N/A,FALSE,"단축1";#N/A,#N/A,FALSE,"단축2";#N/A,#N/A,FALSE,"단축3";#N/A,#N/A,FALSE,"장축";#N/A,#N/A,FALSE,"4WD"}</definedName>
    <definedName name="STH" localSheetId="0" hidden="1">{#N/A,#N/A,FALSE,"단축1";#N/A,#N/A,FALSE,"단축2";#N/A,#N/A,FALSE,"단축3";#N/A,#N/A,FALSE,"장축";#N/A,#N/A,FALSE,"4WD"}</definedName>
    <definedName name="STH" hidden="1">{#N/A,#N/A,FALSE,"단축1";#N/A,#N/A,FALSE,"단축2";#N/A,#N/A,FALSE,"단축3";#N/A,#N/A,FALSE,"장축";#N/A,#N/A,FALSE,"4WD"}</definedName>
    <definedName name="STH_1" localSheetId="26" hidden="1">{#N/A,#N/A,FALSE,"단축1";#N/A,#N/A,FALSE,"단축2";#N/A,#N/A,FALSE,"단축3";#N/A,#N/A,FALSE,"장축";#N/A,#N/A,FALSE,"4WD"}</definedName>
    <definedName name="STH_1" localSheetId="0" hidden="1">{#N/A,#N/A,FALSE,"단축1";#N/A,#N/A,FALSE,"단축2";#N/A,#N/A,FALSE,"단축3";#N/A,#N/A,FALSE,"장축";#N/A,#N/A,FALSE,"4WD"}</definedName>
    <definedName name="STH_1" hidden="1">{#N/A,#N/A,FALSE,"단축1";#N/A,#N/A,FALSE,"단축2";#N/A,#N/A,FALSE,"단축3";#N/A,#N/A,FALSE,"장축";#N/A,#N/A,FALSE,"4WD"}</definedName>
    <definedName name="STH_1_1" localSheetId="26" hidden="1">{#N/A,#N/A,FALSE,"단축1";#N/A,#N/A,FALSE,"단축2";#N/A,#N/A,FALSE,"단축3";#N/A,#N/A,FALSE,"장축";#N/A,#N/A,FALSE,"4WD"}</definedName>
    <definedName name="STH_1_1" localSheetId="0" hidden="1">{#N/A,#N/A,FALSE,"단축1";#N/A,#N/A,FALSE,"단축2";#N/A,#N/A,FALSE,"단축3";#N/A,#N/A,FALSE,"장축";#N/A,#N/A,FALSE,"4WD"}</definedName>
    <definedName name="STH_1_1" hidden="1">{#N/A,#N/A,FALSE,"단축1";#N/A,#N/A,FALSE,"단축2";#N/A,#N/A,FALSE,"단축3";#N/A,#N/A,FALSE,"장축";#N/A,#N/A,FALSE,"4WD"}</definedName>
    <definedName name="STH_1_2" localSheetId="26" hidden="1">{#N/A,#N/A,FALSE,"단축1";#N/A,#N/A,FALSE,"단축2";#N/A,#N/A,FALSE,"단축3";#N/A,#N/A,FALSE,"장축";#N/A,#N/A,FALSE,"4WD"}</definedName>
    <definedName name="STH_1_2" localSheetId="0" hidden="1">{#N/A,#N/A,FALSE,"단축1";#N/A,#N/A,FALSE,"단축2";#N/A,#N/A,FALSE,"단축3";#N/A,#N/A,FALSE,"장축";#N/A,#N/A,FALSE,"4WD"}</definedName>
    <definedName name="STH_1_2" hidden="1">{#N/A,#N/A,FALSE,"단축1";#N/A,#N/A,FALSE,"단축2";#N/A,#N/A,FALSE,"단축3";#N/A,#N/A,FALSE,"장축";#N/A,#N/A,FALSE,"4WD"}</definedName>
    <definedName name="STH_1_3" localSheetId="26" hidden="1">{#N/A,#N/A,FALSE,"단축1";#N/A,#N/A,FALSE,"단축2";#N/A,#N/A,FALSE,"단축3";#N/A,#N/A,FALSE,"장축";#N/A,#N/A,FALSE,"4WD"}</definedName>
    <definedName name="STH_1_3" localSheetId="0" hidden="1">{#N/A,#N/A,FALSE,"단축1";#N/A,#N/A,FALSE,"단축2";#N/A,#N/A,FALSE,"단축3";#N/A,#N/A,FALSE,"장축";#N/A,#N/A,FALSE,"4WD"}</definedName>
    <definedName name="STH_1_3" hidden="1">{#N/A,#N/A,FALSE,"단축1";#N/A,#N/A,FALSE,"단축2";#N/A,#N/A,FALSE,"단축3";#N/A,#N/A,FALSE,"장축";#N/A,#N/A,FALSE,"4WD"}</definedName>
    <definedName name="STH_2" localSheetId="26" hidden="1">{#N/A,#N/A,FALSE,"단축1";#N/A,#N/A,FALSE,"단축2";#N/A,#N/A,FALSE,"단축3";#N/A,#N/A,FALSE,"장축";#N/A,#N/A,FALSE,"4WD"}</definedName>
    <definedName name="STH_2" localSheetId="0" hidden="1">{#N/A,#N/A,FALSE,"단축1";#N/A,#N/A,FALSE,"단축2";#N/A,#N/A,FALSE,"단축3";#N/A,#N/A,FALSE,"장축";#N/A,#N/A,FALSE,"4WD"}</definedName>
    <definedName name="STH_2" hidden="1">{#N/A,#N/A,FALSE,"단축1";#N/A,#N/A,FALSE,"단축2";#N/A,#N/A,FALSE,"단축3";#N/A,#N/A,FALSE,"장축";#N/A,#N/A,FALSE,"4WD"}</definedName>
    <definedName name="STH_2_1" localSheetId="26" hidden="1">{#N/A,#N/A,FALSE,"단축1";#N/A,#N/A,FALSE,"단축2";#N/A,#N/A,FALSE,"단축3";#N/A,#N/A,FALSE,"장축";#N/A,#N/A,FALSE,"4WD"}</definedName>
    <definedName name="STH_2_1" localSheetId="0" hidden="1">{#N/A,#N/A,FALSE,"단축1";#N/A,#N/A,FALSE,"단축2";#N/A,#N/A,FALSE,"단축3";#N/A,#N/A,FALSE,"장축";#N/A,#N/A,FALSE,"4WD"}</definedName>
    <definedName name="STH_2_1" hidden="1">{#N/A,#N/A,FALSE,"단축1";#N/A,#N/A,FALSE,"단축2";#N/A,#N/A,FALSE,"단축3";#N/A,#N/A,FALSE,"장축";#N/A,#N/A,FALSE,"4WD"}</definedName>
    <definedName name="STH_2_2" localSheetId="26" hidden="1">{#N/A,#N/A,FALSE,"단축1";#N/A,#N/A,FALSE,"단축2";#N/A,#N/A,FALSE,"단축3";#N/A,#N/A,FALSE,"장축";#N/A,#N/A,FALSE,"4WD"}</definedName>
    <definedName name="STH_2_2" localSheetId="0" hidden="1">{#N/A,#N/A,FALSE,"단축1";#N/A,#N/A,FALSE,"단축2";#N/A,#N/A,FALSE,"단축3";#N/A,#N/A,FALSE,"장축";#N/A,#N/A,FALSE,"4WD"}</definedName>
    <definedName name="STH_2_2" hidden="1">{#N/A,#N/A,FALSE,"단축1";#N/A,#N/A,FALSE,"단축2";#N/A,#N/A,FALSE,"단축3";#N/A,#N/A,FALSE,"장축";#N/A,#N/A,FALSE,"4WD"}</definedName>
    <definedName name="STH_3" localSheetId="26" hidden="1">{#N/A,#N/A,FALSE,"단축1";#N/A,#N/A,FALSE,"단축2";#N/A,#N/A,FALSE,"단축3";#N/A,#N/A,FALSE,"장축";#N/A,#N/A,FALSE,"4WD"}</definedName>
    <definedName name="STH_3" localSheetId="0" hidden="1">{#N/A,#N/A,FALSE,"단축1";#N/A,#N/A,FALSE,"단축2";#N/A,#N/A,FALSE,"단축3";#N/A,#N/A,FALSE,"장축";#N/A,#N/A,FALSE,"4WD"}</definedName>
    <definedName name="STH_3" hidden="1">{#N/A,#N/A,FALSE,"단축1";#N/A,#N/A,FALSE,"단축2";#N/A,#N/A,FALSE,"단축3";#N/A,#N/A,FALSE,"장축";#N/A,#N/A,FALSE,"4WD"}</definedName>
    <definedName name="STH_4" localSheetId="26" hidden="1">{#N/A,#N/A,FALSE,"단축1";#N/A,#N/A,FALSE,"단축2";#N/A,#N/A,FALSE,"단축3";#N/A,#N/A,FALSE,"장축";#N/A,#N/A,FALSE,"4WD"}</definedName>
    <definedName name="STH_4" localSheetId="0" hidden="1">{#N/A,#N/A,FALSE,"단축1";#N/A,#N/A,FALSE,"단축2";#N/A,#N/A,FALSE,"단축3";#N/A,#N/A,FALSE,"장축";#N/A,#N/A,FALSE,"4WD"}</definedName>
    <definedName name="STH_4" hidden="1">{#N/A,#N/A,FALSE,"단축1";#N/A,#N/A,FALSE,"단축2";#N/A,#N/A,FALSE,"단축3";#N/A,#N/A,FALSE,"장축";#N/A,#N/A,FALSE,"4WD"}</definedName>
    <definedName name="STH_5" localSheetId="26" hidden="1">{#N/A,#N/A,FALSE,"단축1";#N/A,#N/A,FALSE,"단축2";#N/A,#N/A,FALSE,"단축3";#N/A,#N/A,FALSE,"장축";#N/A,#N/A,FALSE,"4WD"}</definedName>
    <definedName name="STH_5" localSheetId="0" hidden="1">{#N/A,#N/A,FALSE,"단축1";#N/A,#N/A,FALSE,"단축2";#N/A,#N/A,FALSE,"단축3";#N/A,#N/A,FALSE,"장축";#N/A,#N/A,FALSE,"4WD"}</definedName>
    <definedName name="STH_5" hidden="1">{#N/A,#N/A,FALSE,"단축1";#N/A,#N/A,FALSE,"단축2";#N/A,#N/A,FALSE,"단축3";#N/A,#N/A,FALSE,"장축";#N/A,#N/A,FALSE,"4WD"}</definedName>
    <definedName name="t" localSheetId="22" hidden="1">{#N/A,#N/A,TRUE,"Summary";#N/A,#N/A,TRUE,"Balance Sheet";#N/A,#N/A,TRUE,"P &amp; L";#N/A,#N/A,TRUE,"Fixed Assets";#N/A,#N/A,TRUE,"Cash Flows"}</definedName>
    <definedName name="t" localSheetId="26" hidden="1">{#N/A,#N/A,TRUE,"Summary";#N/A,#N/A,TRUE,"Balance Sheet";#N/A,#N/A,TRUE,"P &amp; L";#N/A,#N/A,TRUE,"Fixed Assets";#N/A,#N/A,TRUE,"Cash Flows"}</definedName>
    <definedName name="t" localSheetId="14" hidden="1">{#N/A,#N/A,TRUE,"Summary";#N/A,#N/A,TRUE,"Balance Sheet";#N/A,#N/A,TRUE,"P &amp; L";#N/A,#N/A,TRUE,"Fixed Assets";#N/A,#N/A,TRUE,"Cash Flows"}</definedName>
    <definedName name="t" localSheetId="21" hidden="1">{#N/A,#N/A,TRUE,"Summary";#N/A,#N/A,TRUE,"Balance Sheet";#N/A,#N/A,TRUE,"P &amp; L";#N/A,#N/A,TRUE,"Fixed Assets";#N/A,#N/A,TRUE,"Cash Flows"}</definedName>
    <definedName name="t" localSheetId="3" hidden="1">{#N/A,#N/A,TRUE,"Summary";#N/A,#N/A,TRUE,"Balance Sheet";#N/A,#N/A,TRUE,"P &amp; L";#N/A,#N/A,TRUE,"Fixed Assets";#N/A,#N/A,TRUE,"Cash Flows"}</definedName>
    <definedName name="t" localSheetId="29" hidden="1">{#N/A,#N/A,TRUE,"Summary";#N/A,#N/A,TRUE,"Balance Sheet";#N/A,#N/A,TRUE,"P &amp; L";#N/A,#N/A,TRUE,"Fixed Assets";#N/A,#N/A,TRUE,"Cash Flows"}</definedName>
    <definedName name="t" localSheetId="27" hidden="1">{#N/A,#N/A,TRUE,"Summary";#N/A,#N/A,TRUE,"Balance Sheet";#N/A,#N/A,TRUE,"P &amp; L";#N/A,#N/A,TRUE,"Fixed Assets";#N/A,#N/A,TRUE,"Cash Flows"}</definedName>
    <definedName name="t" localSheetId="0" hidden="1">{#N/A,#N/A,TRUE,"Summary";#N/A,#N/A,TRUE,"Balance Sheet";#N/A,#N/A,TRUE,"P &amp; L";#N/A,#N/A,TRUE,"Fixed Assets";#N/A,#N/A,TRUE,"Cash Flows"}</definedName>
    <definedName name="t" hidden="1">{#N/A,#N/A,TRUE,"Summary";#N/A,#N/A,TRUE,"Balance Sheet";#N/A,#N/A,TRUE,"P &amp; L";#N/A,#N/A,TRUE,"Fixed Assets";#N/A,#N/A,TRUE,"Cash Flows"}</definedName>
    <definedName name="tar" localSheetId="26" hidden="1">{#N/A,#N/A,FALSE,"196126-0690";#N/A,#N/A,FALSE,"196126-0690";#N/A,#N/A,FALSE,"1961165-0201"}</definedName>
    <definedName name="tar" localSheetId="0" hidden="1">{#N/A,#N/A,FALSE,"196126-0690";#N/A,#N/A,FALSE,"196126-0690";#N/A,#N/A,FALSE,"1961165-0201"}</definedName>
    <definedName name="tar" hidden="1">{#N/A,#N/A,FALSE,"196126-0690";#N/A,#N/A,FALSE,"196126-0690";#N/A,#N/A,FALSE,"1961165-0201"}</definedName>
    <definedName name="tar_1" localSheetId="26" hidden="1">{#N/A,#N/A,FALSE,"196126-0690";#N/A,#N/A,FALSE,"196126-0690";#N/A,#N/A,FALSE,"1961165-0201"}</definedName>
    <definedName name="tar_1" localSheetId="0" hidden="1">{#N/A,#N/A,FALSE,"196126-0690";#N/A,#N/A,FALSE,"196126-0690";#N/A,#N/A,FALSE,"1961165-0201"}</definedName>
    <definedName name="tar_1" hidden="1">{#N/A,#N/A,FALSE,"196126-0690";#N/A,#N/A,FALSE,"196126-0690";#N/A,#N/A,FALSE,"1961165-0201"}</definedName>
    <definedName name="tar_1_1" localSheetId="26" hidden="1">{#N/A,#N/A,FALSE,"196126-0690";#N/A,#N/A,FALSE,"196126-0690";#N/A,#N/A,FALSE,"1961165-0201"}</definedName>
    <definedName name="tar_1_1" localSheetId="0" hidden="1">{#N/A,#N/A,FALSE,"196126-0690";#N/A,#N/A,FALSE,"196126-0690";#N/A,#N/A,FALSE,"1961165-0201"}</definedName>
    <definedName name="tar_1_1" hidden="1">{#N/A,#N/A,FALSE,"196126-0690";#N/A,#N/A,FALSE,"196126-0690";#N/A,#N/A,FALSE,"1961165-0201"}</definedName>
    <definedName name="tar_1_2" localSheetId="26" hidden="1">{#N/A,#N/A,FALSE,"196126-0690";#N/A,#N/A,FALSE,"196126-0690";#N/A,#N/A,FALSE,"1961165-0201"}</definedName>
    <definedName name="tar_1_2" localSheetId="0" hidden="1">{#N/A,#N/A,FALSE,"196126-0690";#N/A,#N/A,FALSE,"196126-0690";#N/A,#N/A,FALSE,"1961165-0201"}</definedName>
    <definedName name="tar_1_2" hidden="1">{#N/A,#N/A,FALSE,"196126-0690";#N/A,#N/A,FALSE,"196126-0690";#N/A,#N/A,FALSE,"1961165-0201"}</definedName>
    <definedName name="tar_1_3" localSheetId="26" hidden="1">{#N/A,#N/A,FALSE,"196126-0690";#N/A,#N/A,FALSE,"196126-0690";#N/A,#N/A,FALSE,"1961165-0201"}</definedName>
    <definedName name="tar_1_3" localSheetId="0" hidden="1">{#N/A,#N/A,FALSE,"196126-0690";#N/A,#N/A,FALSE,"196126-0690";#N/A,#N/A,FALSE,"1961165-0201"}</definedName>
    <definedName name="tar_1_3" hidden="1">{#N/A,#N/A,FALSE,"196126-0690";#N/A,#N/A,FALSE,"196126-0690";#N/A,#N/A,FALSE,"1961165-0201"}</definedName>
    <definedName name="tar_2" localSheetId="26" hidden="1">{#N/A,#N/A,FALSE,"196126-0690";#N/A,#N/A,FALSE,"196126-0690";#N/A,#N/A,FALSE,"1961165-0201"}</definedName>
    <definedName name="tar_2" localSheetId="0" hidden="1">{#N/A,#N/A,FALSE,"196126-0690";#N/A,#N/A,FALSE,"196126-0690";#N/A,#N/A,FALSE,"1961165-0201"}</definedName>
    <definedName name="tar_2" hidden="1">{#N/A,#N/A,FALSE,"196126-0690";#N/A,#N/A,FALSE,"196126-0690";#N/A,#N/A,FALSE,"1961165-0201"}</definedName>
    <definedName name="tar_2_1" localSheetId="26" hidden="1">{#N/A,#N/A,FALSE,"196126-0690";#N/A,#N/A,FALSE,"196126-0690";#N/A,#N/A,FALSE,"1961165-0201"}</definedName>
    <definedName name="tar_2_1" localSheetId="0" hidden="1">{#N/A,#N/A,FALSE,"196126-0690";#N/A,#N/A,FALSE,"196126-0690";#N/A,#N/A,FALSE,"1961165-0201"}</definedName>
    <definedName name="tar_2_1" hidden="1">{#N/A,#N/A,FALSE,"196126-0690";#N/A,#N/A,FALSE,"196126-0690";#N/A,#N/A,FALSE,"1961165-0201"}</definedName>
    <definedName name="tar_2_2" localSheetId="26" hidden="1">{#N/A,#N/A,FALSE,"196126-0690";#N/A,#N/A,FALSE,"196126-0690";#N/A,#N/A,FALSE,"1961165-0201"}</definedName>
    <definedName name="tar_2_2" localSheetId="0" hidden="1">{#N/A,#N/A,FALSE,"196126-0690";#N/A,#N/A,FALSE,"196126-0690";#N/A,#N/A,FALSE,"1961165-0201"}</definedName>
    <definedName name="tar_2_2" hidden="1">{#N/A,#N/A,FALSE,"196126-0690";#N/A,#N/A,FALSE,"196126-0690";#N/A,#N/A,FALSE,"1961165-0201"}</definedName>
    <definedName name="tar_3" localSheetId="26" hidden="1">{#N/A,#N/A,FALSE,"196126-0690";#N/A,#N/A,FALSE,"196126-0690";#N/A,#N/A,FALSE,"1961165-0201"}</definedName>
    <definedName name="tar_3" localSheetId="0" hidden="1">{#N/A,#N/A,FALSE,"196126-0690";#N/A,#N/A,FALSE,"196126-0690";#N/A,#N/A,FALSE,"1961165-0201"}</definedName>
    <definedName name="tar_3" hidden="1">{#N/A,#N/A,FALSE,"196126-0690";#N/A,#N/A,FALSE,"196126-0690";#N/A,#N/A,FALSE,"1961165-0201"}</definedName>
    <definedName name="tar_4" localSheetId="26" hidden="1">{#N/A,#N/A,FALSE,"196126-0690";#N/A,#N/A,FALSE,"196126-0690";#N/A,#N/A,FALSE,"1961165-0201"}</definedName>
    <definedName name="tar_4" localSheetId="0" hidden="1">{#N/A,#N/A,FALSE,"196126-0690";#N/A,#N/A,FALSE,"196126-0690";#N/A,#N/A,FALSE,"1961165-0201"}</definedName>
    <definedName name="tar_4" hidden="1">{#N/A,#N/A,FALSE,"196126-0690";#N/A,#N/A,FALSE,"196126-0690";#N/A,#N/A,FALSE,"1961165-0201"}</definedName>
    <definedName name="tar_5" localSheetId="26" hidden="1">{#N/A,#N/A,FALSE,"196126-0690";#N/A,#N/A,FALSE,"196126-0690";#N/A,#N/A,FALSE,"1961165-0201"}</definedName>
    <definedName name="tar_5" localSheetId="0" hidden="1">{#N/A,#N/A,FALSE,"196126-0690";#N/A,#N/A,FALSE,"196126-0690";#N/A,#N/A,FALSE,"1961165-0201"}</definedName>
    <definedName name="tar_5" hidden="1">{#N/A,#N/A,FALSE,"196126-0690";#N/A,#N/A,FALSE,"196126-0690";#N/A,#N/A,FALSE,"1961165-0201"}</definedName>
    <definedName name="tc" localSheetId="26" hidden="1">{#N/A,#N/A,FALSE,"단축1";#N/A,#N/A,FALSE,"단축2";#N/A,#N/A,FALSE,"단축3";#N/A,#N/A,FALSE,"장축";#N/A,#N/A,FALSE,"4WD"}</definedName>
    <definedName name="tc" localSheetId="0" hidden="1">{#N/A,#N/A,FALSE,"단축1";#N/A,#N/A,FALSE,"단축2";#N/A,#N/A,FALSE,"단축3";#N/A,#N/A,FALSE,"장축";#N/A,#N/A,FALSE,"4WD"}</definedName>
    <definedName name="tc" hidden="1">{#N/A,#N/A,FALSE,"단축1";#N/A,#N/A,FALSE,"단축2";#N/A,#N/A,FALSE,"단축3";#N/A,#N/A,FALSE,"장축";#N/A,#N/A,FALSE,"4WD"}</definedName>
    <definedName name="tc_1" localSheetId="26" hidden="1">{#N/A,#N/A,FALSE,"단축1";#N/A,#N/A,FALSE,"단축2";#N/A,#N/A,FALSE,"단축3";#N/A,#N/A,FALSE,"장축";#N/A,#N/A,FALSE,"4WD"}</definedName>
    <definedName name="tc_1" localSheetId="0" hidden="1">{#N/A,#N/A,FALSE,"단축1";#N/A,#N/A,FALSE,"단축2";#N/A,#N/A,FALSE,"단축3";#N/A,#N/A,FALSE,"장축";#N/A,#N/A,FALSE,"4WD"}</definedName>
    <definedName name="tc_1" hidden="1">{#N/A,#N/A,FALSE,"단축1";#N/A,#N/A,FALSE,"단축2";#N/A,#N/A,FALSE,"단축3";#N/A,#N/A,FALSE,"장축";#N/A,#N/A,FALSE,"4WD"}</definedName>
    <definedName name="tc_1_1" localSheetId="26" hidden="1">{#N/A,#N/A,FALSE,"단축1";#N/A,#N/A,FALSE,"단축2";#N/A,#N/A,FALSE,"단축3";#N/A,#N/A,FALSE,"장축";#N/A,#N/A,FALSE,"4WD"}</definedName>
    <definedName name="tc_1_1" localSheetId="0" hidden="1">{#N/A,#N/A,FALSE,"단축1";#N/A,#N/A,FALSE,"단축2";#N/A,#N/A,FALSE,"단축3";#N/A,#N/A,FALSE,"장축";#N/A,#N/A,FALSE,"4WD"}</definedName>
    <definedName name="tc_1_1" hidden="1">{#N/A,#N/A,FALSE,"단축1";#N/A,#N/A,FALSE,"단축2";#N/A,#N/A,FALSE,"단축3";#N/A,#N/A,FALSE,"장축";#N/A,#N/A,FALSE,"4WD"}</definedName>
    <definedName name="tc_1_2" localSheetId="26" hidden="1">{#N/A,#N/A,FALSE,"단축1";#N/A,#N/A,FALSE,"단축2";#N/A,#N/A,FALSE,"단축3";#N/A,#N/A,FALSE,"장축";#N/A,#N/A,FALSE,"4WD"}</definedName>
    <definedName name="tc_1_2" localSheetId="0" hidden="1">{#N/A,#N/A,FALSE,"단축1";#N/A,#N/A,FALSE,"단축2";#N/A,#N/A,FALSE,"단축3";#N/A,#N/A,FALSE,"장축";#N/A,#N/A,FALSE,"4WD"}</definedName>
    <definedName name="tc_1_2" hidden="1">{#N/A,#N/A,FALSE,"단축1";#N/A,#N/A,FALSE,"단축2";#N/A,#N/A,FALSE,"단축3";#N/A,#N/A,FALSE,"장축";#N/A,#N/A,FALSE,"4WD"}</definedName>
    <definedName name="tc_1_3" localSheetId="26" hidden="1">{#N/A,#N/A,FALSE,"단축1";#N/A,#N/A,FALSE,"단축2";#N/A,#N/A,FALSE,"단축3";#N/A,#N/A,FALSE,"장축";#N/A,#N/A,FALSE,"4WD"}</definedName>
    <definedName name="tc_1_3" localSheetId="0" hidden="1">{#N/A,#N/A,FALSE,"단축1";#N/A,#N/A,FALSE,"단축2";#N/A,#N/A,FALSE,"단축3";#N/A,#N/A,FALSE,"장축";#N/A,#N/A,FALSE,"4WD"}</definedName>
    <definedName name="tc_1_3" hidden="1">{#N/A,#N/A,FALSE,"단축1";#N/A,#N/A,FALSE,"단축2";#N/A,#N/A,FALSE,"단축3";#N/A,#N/A,FALSE,"장축";#N/A,#N/A,FALSE,"4WD"}</definedName>
    <definedName name="tc_2" localSheetId="26" hidden="1">{#N/A,#N/A,FALSE,"단축1";#N/A,#N/A,FALSE,"단축2";#N/A,#N/A,FALSE,"단축3";#N/A,#N/A,FALSE,"장축";#N/A,#N/A,FALSE,"4WD"}</definedName>
    <definedName name="tc_2" localSheetId="0" hidden="1">{#N/A,#N/A,FALSE,"단축1";#N/A,#N/A,FALSE,"단축2";#N/A,#N/A,FALSE,"단축3";#N/A,#N/A,FALSE,"장축";#N/A,#N/A,FALSE,"4WD"}</definedName>
    <definedName name="tc_2" hidden="1">{#N/A,#N/A,FALSE,"단축1";#N/A,#N/A,FALSE,"단축2";#N/A,#N/A,FALSE,"단축3";#N/A,#N/A,FALSE,"장축";#N/A,#N/A,FALSE,"4WD"}</definedName>
    <definedName name="tc_2_1" localSheetId="26" hidden="1">{#N/A,#N/A,FALSE,"단축1";#N/A,#N/A,FALSE,"단축2";#N/A,#N/A,FALSE,"단축3";#N/A,#N/A,FALSE,"장축";#N/A,#N/A,FALSE,"4WD"}</definedName>
    <definedName name="tc_2_1" localSheetId="0" hidden="1">{#N/A,#N/A,FALSE,"단축1";#N/A,#N/A,FALSE,"단축2";#N/A,#N/A,FALSE,"단축3";#N/A,#N/A,FALSE,"장축";#N/A,#N/A,FALSE,"4WD"}</definedName>
    <definedName name="tc_2_1" hidden="1">{#N/A,#N/A,FALSE,"단축1";#N/A,#N/A,FALSE,"단축2";#N/A,#N/A,FALSE,"단축3";#N/A,#N/A,FALSE,"장축";#N/A,#N/A,FALSE,"4WD"}</definedName>
    <definedName name="tc_2_2" localSheetId="26" hidden="1">{#N/A,#N/A,FALSE,"단축1";#N/A,#N/A,FALSE,"단축2";#N/A,#N/A,FALSE,"단축3";#N/A,#N/A,FALSE,"장축";#N/A,#N/A,FALSE,"4WD"}</definedName>
    <definedName name="tc_2_2" localSheetId="0" hidden="1">{#N/A,#N/A,FALSE,"단축1";#N/A,#N/A,FALSE,"단축2";#N/A,#N/A,FALSE,"단축3";#N/A,#N/A,FALSE,"장축";#N/A,#N/A,FALSE,"4WD"}</definedName>
    <definedName name="tc_2_2" hidden="1">{#N/A,#N/A,FALSE,"단축1";#N/A,#N/A,FALSE,"단축2";#N/A,#N/A,FALSE,"단축3";#N/A,#N/A,FALSE,"장축";#N/A,#N/A,FALSE,"4WD"}</definedName>
    <definedName name="tc_3" localSheetId="26" hidden="1">{#N/A,#N/A,FALSE,"단축1";#N/A,#N/A,FALSE,"단축2";#N/A,#N/A,FALSE,"단축3";#N/A,#N/A,FALSE,"장축";#N/A,#N/A,FALSE,"4WD"}</definedName>
    <definedName name="tc_3" localSheetId="0" hidden="1">{#N/A,#N/A,FALSE,"단축1";#N/A,#N/A,FALSE,"단축2";#N/A,#N/A,FALSE,"단축3";#N/A,#N/A,FALSE,"장축";#N/A,#N/A,FALSE,"4WD"}</definedName>
    <definedName name="tc_3" hidden="1">{#N/A,#N/A,FALSE,"단축1";#N/A,#N/A,FALSE,"단축2";#N/A,#N/A,FALSE,"단축3";#N/A,#N/A,FALSE,"장축";#N/A,#N/A,FALSE,"4WD"}</definedName>
    <definedName name="tc_4" localSheetId="26" hidden="1">{#N/A,#N/A,FALSE,"단축1";#N/A,#N/A,FALSE,"단축2";#N/A,#N/A,FALSE,"단축3";#N/A,#N/A,FALSE,"장축";#N/A,#N/A,FALSE,"4WD"}</definedName>
    <definedName name="tc_4" localSheetId="0" hidden="1">{#N/A,#N/A,FALSE,"단축1";#N/A,#N/A,FALSE,"단축2";#N/A,#N/A,FALSE,"단축3";#N/A,#N/A,FALSE,"장축";#N/A,#N/A,FALSE,"4WD"}</definedName>
    <definedName name="tc_4" hidden="1">{#N/A,#N/A,FALSE,"단축1";#N/A,#N/A,FALSE,"단축2";#N/A,#N/A,FALSE,"단축3";#N/A,#N/A,FALSE,"장축";#N/A,#N/A,FALSE,"4WD"}</definedName>
    <definedName name="tc_5" localSheetId="26" hidden="1">{#N/A,#N/A,FALSE,"단축1";#N/A,#N/A,FALSE,"단축2";#N/A,#N/A,FALSE,"단축3";#N/A,#N/A,FALSE,"장축";#N/A,#N/A,FALSE,"4WD"}</definedName>
    <definedName name="tc_5" localSheetId="0" hidden="1">{#N/A,#N/A,FALSE,"단축1";#N/A,#N/A,FALSE,"단축2";#N/A,#N/A,FALSE,"단축3";#N/A,#N/A,FALSE,"장축";#N/A,#N/A,FALSE,"4WD"}</definedName>
    <definedName name="tc_5" hidden="1">{#N/A,#N/A,FALSE,"단축1";#N/A,#N/A,FALSE,"단축2";#N/A,#N/A,FALSE,"단축3";#N/A,#N/A,FALSE,"장축";#N/A,#N/A,FALSE,"4WD"}</definedName>
    <definedName name="tci" localSheetId="26" hidden="1">{#N/A,#N/A,FALSE,"단축1";#N/A,#N/A,FALSE,"단축2";#N/A,#N/A,FALSE,"단축3";#N/A,#N/A,FALSE,"장축";#N/A,#N/A,FALSE,"4WD"}</definedName>
    <definedName name="tci" localSheetId="0" hidden="1">{#N/A,#N/A,FALSE,"단축1";#N/A,#N/A,FALSE,"단축2";#N/A,#N/A,FALSE,"단축3";#N/A,#N/A,FALSE,"장축";#N/A,#N/A,FALSE,"4WD"}</definedName>
    <definedName name="tci" hidden="1">{#N/A,#N/A,FALSE,"단축1";#N/A,#N/A,FALSE,"단축2";#N/A,#N/A,FALSE,"단축3";#N/A,#N/A,FALSE,"장축";#N/A,#N/A,FALSE,"4WD"}</definedName>
    <definedName name="tci_1" localSheetId="26" hidden="1">{#N/A,#N/A,FALSE,"단축1";#N/A,#N/A,FALSE,"단축2";#N/A,#N/A,FALSE,"단축3";#N/A,#N/A,FALSE,"장축";#N/A,#N/A,FALSE,"4WD"}</definedName>
    <definedName name="tci_1" localSheetId="0" hidden="1">{#N/A,#N/A,FALSE,"단축1";#N/A,#N/A,FALSE,"단축2";#N/A,#N/A,FALSE,"단축3";#N/A,#N/A,FALSE,"장축";#N/A,#N/A,FALSE,"4WD"}</definedName>
    <definedName name="tci_1" hidden="1">{#N/A,#N/A,FALSE,"단축1";#N/A,#N/A,FALSE,"단축2";#N/A,#N/A,FALSE,"단축3";#N/A,#N/A,FALSE,"장축";#N/A,#N/A,FALSE,"4WD"}</definedName>
    <definedName name="tci_1_1" localSheetId="26" hidden="1">{#N/A,#N/A,FALSE,"단축1";#N/A,#N/A,FALSE,"단축2";#N/A,#N/A,FALSE,"단축3";#N/A,#N/A,FALSE,"장축";#N/A,#N/A,FALSE,"4WD"}</definedName>
    <definedName name="tci_1_1" localSheetId="0" hidden="1">{#N/A,#N/A,FALSE,"단축1";#N/A,#N/A,FALSE,"단축2";#N/A,#N/A,FALSE,"단축3";#N/A,#N/A,FALSE,"장축";#N/A,#N/A,FALSE,"4WD"}</definedName>
    <definedName name="tci_1_1" hidden="1">{#N/A,#N/A,FALSE,"단축1";#N/A,#N/A,FALSE,"단축2";#N/A,#N/A,FALSE,"단축3";#N/A,#N/A,FALSE,"장축";#N/A,#N/A,FALSE,"4WD"}</definedName>
    <definedName name="tci_1_2" localSheetId="26" hidden="1">{#N/A,#N/A,FALSE,"단축1";#N/A,#N/A,FALSE,"단축2";#N/A,#N/A,FALSE,"단축3";#N/A,#N/A,FALSE,"장축";#N/A,#N/A,FALSE,"4WD"}</definedName>
    <definedName name="tci_1_2" localSheetId="0" hidden="1">{#N/A,#N/A,FALSE,"단축1";#N/A,#N/A,FALSE,"단축2";#N/A,#N/A,FALSE,"단축3";#N/A,#N/A,FALSE,"장축";#N/A,#N/A,FALSE,"4WD"}</definedName>
    <definedName name="tci_1_2" hidden="1">{#N/A,#N/A,FALSE,"단축1";#N/A,#N/A,FALSE,"단축2";#N/A,#N/A,FALSE,"단축3";#N/A,#N/A,FALSE,"장축";#N/A,#N/A,FALSE,"4WD"}</definedName>
    <definedName name="tci_1_3" localSheetId="26" hidden="1">{#N/A,#N/A,FALSE,"단축1";#N/A,#N/A,FALSE,"단축2";#N/A,#N/A,FALSE,"단축3";#N/A,#N/A,FALSE,"장축";#N/A,#N/A,FALSE,"4WD"}</definedName>
    <definedName name="tci_1_3" localSheetId="0" hidden="1">{#N/A,#N/A,FALSE,"단축1";#N/A,#N/A,FALSE,"단축2";#N/A,#N/A,FALSE,"단축3";#N/A,#N/A,FALSE,"장축";#N/A,#N/A,FALSE,"4WD"}</definedName>
    <definedName name="tci_1_3" hidden="1">{#N/A,#N/A,FALSE,"단축1";#N/A,#N/A,FALSE,"단축2";#N/A,#N/A,FALSE,"단축3";#N/A,#N/A,FALSE,"장축";#N/A,#N/A,FALSE,"4WD"}</definedName>
    <definedName name="tci_2" localSheetId="26" hidden="1">{#N/A,#N/A,FALSE,"단축1";#N/A,#N/A,FALSE,"단축2";#N/A,#N/A,FALSE,"단축3";#N/A,#N/A,FALSE,"장축";#N/A,#N/A,FALSE,"4WD"}</definedName>
    <definedName name="tci_2" localSheetId="0" hidden="1">{#N/A,#N/A,FALSE,"단축1";#N/A,#N/A,FALSE,"단축2";#N/A,#N/A,FALSE,"단축3";#N/A,#N/A,FALSE,"장축";#N/A,#N/A,FALSE,"4WD"}</definedName>
    <definedName name="tci_2" hidden="1">{#N/A,#N/A,FALSE,"단축1";#N/A,#N/A,FALSE,"단축2";#N/A,#N/A,FALSE,"단축3";#N/A,#N/A,FALSE,"장축";#N/A,#N/A,FALSE,"4WD"}</definedName>
    <definedName name="tci_2_1" localSheetId="26" hidden="1">{#N/A,#N/A,FALSE,"단축1";#N/A,#N/A,FALSE,"단축2";#N/A,#N/A,FALSE,"단축3";#N/A,#N/A,FALSE,"장축";#N/A,#N/A,FALSE,"4WD"}</definedName>
    <definedName name="tci_2_1" localSheetId="0" hidden="1">{#N/A,#N/A,FALSE,"단축1";#N/A,#N/A,FALSE,"단축2";#N/A,#N/A,FALSE,"단축3";#N/A,#N/A,FALSE,"장축";#N/A,#N/A,FALSE,"4WD"}</definedName>
    <definedName name="tci_2_1" hidden="1">{#N/A,#N/A,FALSE,"단축1";#N/A,#N/A,FALSE,"단축2";#N/A,#N/A,FALSE,"단축3";#N/A,#N/A,FALSE,"장축";#N/A,#N/A,FALSE,"4WD"}</definedName>
    <definedName name="tci_2_2" localSheetId="26" hidden="1">{#N/A,#N/A,FALSE,"단축1";#N/A,#N/A,FALSE,"단축2";#N/A,#N/A,FALSE,"단축3";#N/A,#N/A,FALSE,"장축";#N/A,#N/A,FALSE,"4WD"}</definedName>
    <definedName name="tci_2_2" localSheetId="0" hidden="1">{#N/A,#N/A,FALSE,"단축1";#N/A,#N/A,FALSE,"단축2";#N/A,#N/A,FALSE,"단축3";#N/A,#N/A,FALSE,"장축";#N/A,#N/A,FALSE,"4WD"}</definedName>
    <definedName name="tci_2_2" hidden="1">{#N/A,#N/A,FALSE,"단축1";#N/A,#N/A,FALSE,"단축2";#N/A,#N/A,FALSE,"단축3";#N/A,#N/A,FALSE,"장축";#N/A,#N/A,FALSE,"4WD"}</definedName>
    <definedName name="tci_3" localSheetId="26" hidden="1">{#N/A,#N/A,FALSE,"단축1";#N/A,#N/A,FALSE,"단축2";#N/A,#N/A,FALSE,"단축3";#N/A,#N/A,FALSE,"장축";#N/A,#N/A,FALSE,"4WD"}</definedName>
    <definedName name="tci_3" localSheetId="0" hidden="1">{#N/A,#N/A,FALSE,"단축1";#N/A,#N/A,FALSE,"단축2";#N/A,#N/A,FALSE,"단축3";#N/A,#N/A,FALSE,"장축";#N/A,#N/A,FALSE,"4WD"}</definedName>
    <definedName name="tci_3" hidden="1">{#N/A,#N/A,FALSE,"단축1";#N/A,#N/A,FALSE,"단축2";#N/A,#N/A,FALSE,"단축3";#N/A,#N/A,FALSE,"장축";#N/A,#N/A,FALSE,"4WD"}</definedName>
    <definedName name="tci_4" localSheetId="26" hidden="1">{#N/A,#N/A,FALSE,"단축1";#N/A,#N/A,FALSE,"단축2";#N/A,#N/A,FALSE,"단축3";#N/A,#N/A,FALSE,"장축";#N/A,#N/A,FALSE,"4WD"}</definedName>
    <definedName name="tci_4" localSheetId="0" hidden="1">{#N/A,#N/A,FALSE,"단축1";#N/A,#N/A,FALSE,"단축2";#N/A,#N/A,FALSE,"단축3";#N/A,#N/A,FALSE,"장축";#N/A,#N/A,FALSE,"4WD"}</definedName>
    <definedName name="tci_4" hidden="1">{#N/A,#N/A,FALSE,"단축1";#N/A,#N/A,FALSE,"단축2";#N/A,#N/A,FALSE,"단축3";#N/A,#N/A,FALSE,"장축";#N/A,#N/A,FALSE,"4WD"}</definedName>
    <definedName name="tci_5" localSheetId="26" hidden="1">{#N/A,#N/A,FALSE,"단축1";#N/A,#N/A,FALSE,"단축2";#N/A,#N/A,FALSE,"단축3";#N/A,#N/A,FALSE,"장축";#N/A,#N/A,FALSE,"4WD"}</definedName>
    <definedName name="tci_5" localSheetId="0" hidden="1">{#N/A,#N/A,FALSE,"단축1";#N/A,#N/A,FALSE,"단축2";#N/A,#N/A,FALSE,"단축3";#N/A,#N/A,FALSE,"장축";#N/A,#N/A,FALSE,"4WD"}</definedName>
    <definedName name="tci_5" hidden="1">{#N/A,#N/A,FALSE,"단축1";#N/A,#N/A,FALSE,"단축2";#N/A,#N/A,FALSE,"단축3";#N/A,#N/A,FALSE,"장축";#N/A,#N/A,FALSE,"4WD"}</definedName>
    <definedName name="TIBURON" localSheetId="26" hidden="1">{#N/A,#N/A,FALSE,"해외크레임";#N/A,#N/A,FALSE,"ACCENT현황";#N/A,#N/A,FALSE,"AVANTE";#N/A,#N/A,FALSE,"SONATA(3)";#N/A,#N/A,FALSE,"국내크레임"}</definedName>
    <definedName name="TIBURON" localSheetId="0" hidden="1">{#N/A,#N/A,FALSE,"해외크레임";#N/A,#N/A,FALSE,"ACCENT현황";#N/A,#N/A,FALSE,"AVANTE";#N/A,#N/A,FALSE,"SONATA(3)";#N/A,#N/A,FALSE,"국내크레임"}</definedName>
    <definedName name="TIBURON" hidden="1">{#N/A,#N/A,FALSE,"해외크레임";#N/A,#N/A,FALSE,"ACCENT현황";#N/A,#N/A,FALSE,"AVANTE";#N/A,#N/A,FALSE,"SONATA(3)";#N/A,#N/A,FALSE,"국내크레임"}</definedName>
    <definedName name="TIBURON_1" localSheetId="26" hidden="1">{#N/A,#N/A,FALSE,"해외크레임";#N/A,#N/A,FALSE,"ACCENT현황";#N/A,#N/A,FALSE,"AVANTE";#N/A,#N/A,FALSE,"SONATA(3)";#N/A,#N/A,FALSE,"국내크레임"}</definedName>
    <definedName name="TIBURON_1" localSheetId="0" hidden="1">{#N/A,#N/A,FALSE,"해외크레임";#N/A,#N/A,FALSE,"ACCENT현황";#N/A,#N/A,FALSE,"AVANTE";#N/A,#N/A,FALSE,"SONATA(3)";#N/A,#N/A,FALSE,"국내크레임"}</definedName>
    <definedName name="TIBURON_1" hidden="1">{#N/A,#N/A,FALSE,"해외크레임";#N/A,#N/A,FALSE,"ACCENT현황";#N/A,#N/A,FALSE,"AVANTE";#N/A,#N/A,FALSE,"SONATA(3)";#N/A,#N/A,FALSE,"국내크레임"}</definedName>
    <definedName name="TIBURON_1_1" localSheetId="26" hidden="1">{#N/A,#N/A,FALSE,"해외크레임";#N/A,#N/A,FALSE,"ACCENT현황";#N/A,#N/A,FALSE,"AVANTE";#N/A,#N/A,FALSE,"SONATA(3)";#N/A,#N/A,FALSE,"국내크레임"}</definedName>
    <definedName name="TIBURON_1_1" localSheetId="0" hidden="1">{#N/A,#N/A,FALSE,"해외크레임";#N/A,#N/A,FALSE,"ACCENT현황";#N/A,#N/A,FALSE,"AVANTE";#N/A,#N/A,FALSE,"SONATA(3)";#N/A,#N/A,FALSE,"국내크레임"}</definedName>
    <definedName name="TIBURON_1_1" hidden="1">{#N/A,#N/A,FALSE,"해외크레임";#N/A,#N/A,FALSE,"ACCENT현황";#N/A,#N/A,FALSE,"AVANTE";#N/A,#N/A,FALSE,"SONATA(3)";#N/A,#N/A,FALSE,"국내크레임"}</definedName>
    <definedName name="TIBURON_1_2" localSheetId="26" hidden="1">{#N/A,#N/A,FALSE,"해외크레임";#N/A,#N/A,FALSE,"ACCENT현황";#N/A,#N/A,FALSE,"AVANTE";#N/A,#N/A,FALSE,"SONATA(3)";#N/A,#N/A,FALSE,"국내크레임"}</definedName>
    <definedName name="TIBURON_1_2" localSheetId="0" hidden="1">{#N/A,#N/A,FALSE,"해외크레임";#N/A,#N/A,FALSE,"ACCENT현황";#N/A,#N/A,FALSE,"AVANTE";#N/A,#N/A,FALSE,"SONATA(3)";#N/A,#N/A,FALSE,"국내크레임"}</definedName>
    <definedName name="TIBURON_1_2" hidden="1">{#N/A,#N/A,FALSE,"해외크레임";#N/A,#N/A,FALSE,"ACCENT현황";#N/A,#N/A,FALSE,"AVANTE";#N/A,#N/A,FALSE,"SONATA(3)";#N/A,#N/A,FALSE,"국내크레임"}</definedName>
    <definedName name="TIBURON_1_3" localSheetId="26" hidden="1">{#N/A,#N/A,FALSE,"해외크레임";#N/A,#N/A,FALSE,"ACCENT현황";#N/A,#N/A,FALSE,"AVANTE";#N/A,#N/A,FALSE,"SONATA(3)";#N/A,#N/A,FALSE,"국내크레임"}</definedName>
    <definedName name="TIBURON_1_3" localSheetId="0" hidden="1">{#N/A,#N/A,FALSE,"해외크레임";#N/A,#N/A,FALSE,"ACCENT현황";#N/A,#N/A,FALSE,"AVANTE";#N/A,#N/A,FALSE,"SONATA(3)";#N/A,#N/A,FALSE,"국내크레임"}</definedName>
    <definedName name="TIBURON_1_3" hidden="1">{#N/A,#N/A,FALSE,"해외크레임";#N/A,#N/A,FALSE,"ACCENT현황";#N/A,#N/A,FALSE,"AVANTE";#N/A,#N/A,FALSE,"SONATA(3)";#N/A,#N/A,FALSE,"국내크레임"}</definedName>
    <definedName name="TIBURON_2" localSheetId="26" hidden="1">{#N/A,#N/A,FALSE,"해외크레임";#N/A,#N/A,FALSE,"ACCENT현황";#N/A,#N/A,FALSE,"AVANTE";#N/A,#N/A,FALSE,"SONATA(3)";#N/A,#N/A,FALSE,"국내크레임"}</definedName>
    <definedName name="TIBURON_2" localSheetId="0" hidden="1">{#N/A,#N/A,FALSE,"해외크레임";#N/A,#N/A,FALSE,"ACCENT현황";#N/A,#N/A,FALSE,"AVANTE";#N/A,#N/A,FALSE,"SONATA(3)";#N/A,#N/A,FALSE,"국내크레임"}</definedName>
    <definedName name="TIBURON_2" hidden="1">{#N/A,#N/A,FALSE,"해외크레임";#N/A,#N/A,FALSE,"ACCENT현황";#N/A,#N/A,FALSE,"AVANTE";#N/A,#N/A,FALSE,"SONATA(3)";#N/A,#N/A,FALSE,"국내크레임"}</definedName>
    <definedName name="TIBURON_2_1" localSheetId="26" hidden="1">{#N/A,#N/A,FALSE,"해외크레임";#N/A,#N/A,FALSE,"ACCENT현황";#N/A,#N/A,FALSE,"AVANTE";#N/A,#N/A,FALSE,"SONATA(3)";#N/A,#N/A,FALSE,"국내크레임"}</definedName>
    <definedName name="TIBURON_2_1" localSheetId="0" hidden="1">{#N/A,#N/A,FALSE,"해외크레임";#N/A,#N/A,FALSE,"ACCENT현황";#N/A,#N/A,FALSE,"AVANTE";#N/A,#N/A,FALSE,"SONATA(3)";#N/A,#N/A,FALSE,"국내크레임"}</definedName>
    <definedName name="TIBURON_2_1" hidden="1">{#N/A,#N/A,FALSE,"해외크레임";#N/A,#N/A,FALSE,"ACCENT현황";#N/A,#N/A,FALSE,"AVANTE";#N/A,#N/A,FALSE,"SONATA(3)";#N/A,#N/A,FALSE,"국내크레임"}</definedName>
    <definedName name="TIBURON_2_2" localSheetId="26" hidden="1">{#N/A,#N/A,FALSE,"해외크레임";#N/A,#N/A,FALSE,"ACCENT현황";#N/A,#N/A,FALSE,"AVANTE";#N/A,#N/A,FALSE,"SONATA(3)";#N/A,#N/A,FALSE,"국내크레임"}</definedName>
    <definedName name="TIBURON_2_2" localSheetId="0" hidden="1">{#N/A,#N/A,FALSE,"해외크레임";#N/A,#N/A,FALSE,"ACCENT현황";#N/A,#N/A,FALSE,"AVANTE";#N/A,#N/A,FALSE,"SONATA(3)";#N/A,#N/A,FALSE,"국내크레임"}</definedName>
    <definedName name="TIBURON_2_2" hidden="1">{#N/A,#N/A,FALSE,"해외크레임";#N/A,#N/A,FALSE,"ACCENT현황";#N/A,#N/A,FALSE,"AVANTE";#N/A,#N/A,FALSE,"SONATA(3)";#N/A,#N/A,FALSE,"국내크레임"}</definedName>
    <definedName name="TIBURON_3" localSheetId="26" hidden="1">{#N/A,#N/A,FALSE,"해외크레임";#N/A,#N/A,FALSE,"ACCENT현황";#N/A,#N/A,FALSE,"AVANTE";#N/A,#N/A,FALSE,"SONATA(3)";#N/A,#N/A,FALSE,"국내크레임"}</definedName>
    <definedName name="TIBURON_3" localSheetId="0" hidden="1">{#N/A,#N/A,FALSE,"해외크레임";#N/A,#N/A,FALSE,"ACCENT현황";#N/A,#N/A,FALSE,"AVANTE";#N/A,#N/A,FALSE,"SONATA(3)";#N/A,#N/A,FALSE,"국내크레임"}</definedName>
    <definedName name="TIBURON_3" hidden="1">{#N/A,#N/A,FALSE,"해외크레임";#N/A,#N/A,FALSE,"ACCENT현황";#N/A,#N/A,FALSE,"AVANTE";#N/A,#N/A,FALSE,"SONATA(3)";#N/A,#N/A,FALSE,"국내크레임"}</definedName>
    <definedName name="TIBURON_4" localSheetId="26" hidden="1">{#N/A,#N/A,FALSE,"해외크레임";#N/A,#N/A,FALSE,"ACCENT현황";#N/A,#N/A,FALSE,"AVANTE";#N/A,#N/A,FALSE,"SONATA(3)";#N/A,#N/A,FALSE,"국내크레임"}</definedName>
    <definedName name="TIBURON_4" localSheetId="0" hidden="1">{#N/A,#N/A,FALSE,"해외크레임";#N/A,#N/A,FALSE,"ACCENT현황";#N/A,#N/A,FALSE,"AVANTE";#N/A,#N/A,FALSE,"SONATA(3)";#N/A,#N/A,FALSE,"국내크레임"}</definedName>
    <definedName name="TIBURON_4" hidden="1">{#N/A,#N/A,FALSE,"해외크레임";#N/A,#N/A,FALSE,"ACCENT현황";#N/A,#N/A,FALSE,"AVANTE";#N/A,#N/A,FALSE,"SONATA(3)";#N/A,#N/A,FALSE,"국내크레임"}</definedName>
    <definedName name="TIBURON_5" localSheetId="26" hidden="1">{#N/A,#N/A,FALSE,"해외크레임";#N/A,#N/A,FALSE,"ACCENT현황";#N/A,#N/A,FALSE,"AVANTE";#N/A,#N/A,FALSE,"SONATA(3)";#N/A,#N/A,FALSE,"국내크레임"}</definedName>
    <definedName name="TIBURON_5" localSheetId="0" hidden="1">{#N/A,#N/A,FALSE,"해외크레임";#N/A,#N/A,FALSE,"ACCENT현황";#N/A,#N/A,FALSE,"AVANTE";#N/A,#N/A,FALSE,"SONATA(3)";#N/A,#N/A,FALSE,"국내크레임"}</definedName>
    <definedName name="TIBURON_5" hidden="1">{#N/A,#N/A,FALSE,"해외크레임";#N/A,#N/A,FALSE,"ACCENT현황";#N/A,#N/A,FALSE,"AVANTE";#N/A,#N/A,FALSE,"SONATA(3)";#N/A,#N/A,FALSE,"국내크레임"}</definedName>
    <definedName name="TLS" localSheetId="26" hidden="1">{#N/A,#N/A,FALSE,"단축1";#N/A,#N/A,FALSE,"단축2";#N/A,#N/A,FALSE,"단축3";#N/A,#N/A,FALSE,"장축";#N/A,#N/A,FALSE,"4WD"}</definedName>
    <definedName name="TLS" localSheetId="0" hidden="1">{#N/A,#N/A,FALSE,"단축1";#N/A,#N/A,FALSE,"단축2";#N/A,#N/A,FALSE,"단축3";#N/A,#N/A,FALSE,"장축";#N/A,#N/A,FALSE,"4WD"}</definedName>
    <definedName name="TLS" hidden="1">{#N/A,#N/A,FALSE,"단축1";#N/A,#N/A,FALSE,"단축2";#N/A,#N/A,FALSE,"단축3";#N/A,#N/A,FALSE,"장축";#N/A,#N/A,FALSE,"4WD"}</definedName>
    <definedName name="TLS_1" localSheetId="26" hidden="1">{#N/A,#N/A,FALSE,"단축1";#N/A,#N/A,FALSE,"단축2";#N/A,#N/A,FALSE,"단축3";#N/A,#N/A,FALSE,"장축";#N/A,#N/A,FALSE,"4WD"}</definedName>
    <definedName name="TLS_1" localSheetId="0" hidden="1">{#N/A,#N/A,FALSE,"단축1";#N/A,#N/A,FALSE,"단축2";#N/A,#N/A,FALSE,"단축3";#N/A,#N/A,FALSE,"장축";#N/A,#N/A,FALSE,"4WD"}</definedName>
    <definedName name="TLS_1" hidden="1">{#N/A,#N/A,FALSE,"단축1";#N/A,#N/A,FALSE,"단축2";#N/A,#N/A,FALSE,"단축3";#N/A,#N/A,FALSE,"장축";#N/A,#N/A,FALSE,"4WD"}</definedName>
    <definedName name="TLS_1_1" localSheetId="26" hidden="1">{#N/A,#N/A,FALSE,"단축1";#N/A,#N/A,FALSE,"단축2";#N/A,#N/A,FALSE,"단축3";#N/A,#N/A,FALSE,"장축";#N/A,#N/A,FALSE,"4WD"}</definedName>
    <definedName name="TLS_1_1" localSheetId="0" hidden="1">{#N/A,#N/A,FALSE,"단축1";#N/A,#N/A,FALSE,"단축2";#N/A,#N/A,FALSE,"단축3";#N/A,#N/A,FALSE,"장축";#N/A,#N/A,FALSE,"4WD"}</definedName>
    <definedName name="TLS_1_1" hidden="1">{#N/A,#N/A,FALSE,"단축1";#N/A,#N/A,FALSE,"단축2";#N/A,#N/A,FALSE,"단축3";#N/A,#N/A,FALSE,"장축";#N/A,#N/A,FALSE,"4WD"}</definedName>
    <definedName name="TLS_1_2" localSheetId="26" hidden="1">{#N/A,#N/A,FALSE,"단축1";#N/A,#N/A,FALSE,"단축2";#N/A,#N/A,FALSE,"단축3";#N/A,#N/A,FALSE,"장축";#N/A,#N/A,FALSE,"4WD"}</definedName>
    <definedName name="TLS_1_2" localSheetId="0" hidden="1">{#N/A,#N/A,FALSE,"단축1";#N/A,#N/A,FALSE,"단축2";#N/A,#N/A,FALSE,"단축3";#N/A,#N/A,FALSE,"장축";#N/A,#N/A,FALSE,"4WD"}</definedName>
    <definedName name="TLS_1_2" hidden="1">{#N/A,#N/A,FALSE,"단축1";#N/A,#N/A,FALSE,"단축2";#N/A,#N/A,FALSE,"단축3";#N/A,#N/A,FALSE,"장축";#N/A,#N/A,FALSE,"4WD"}</definedName>
    <definedName name="TLS_1_3" localSheetId="26" hidden="1">{#N/A,#N/A,FALSE,"단축1";#N/A,#N/A,FALSE,"단축2";#N/A,#N/A,FALSE,"단축3";#N/A,#N/A,FALSE,"장축";#N/A,#N/A,FALSE,"4WD"}</definedName>
    <definedName name="TLS_1_3" localSheetId="0" hidden="1">{#N/A,#N/A,FALSE,"단축1";#N/A,#N/A,FALSE,"단축2";#N/A,#N/A,FALSE,"단축3";#N/A,#N/A,FALSE,"장축";#N/A,#N/A,FALSE,"4WD"}</definedName>
    <definedName name="TLS_1_3" hidden="1">{#N/A,#N/A,FALSE,"단축1";#N/A,#N/A,FALSE,"단축2";#N/A,#N/A,FALSE,"단축3";#N/A,#N/A,FALSE,"장축";#N/A,#N/A,FALSE,"4WD"}</definedName>
    <definedName name="TLS_2" localSheetId="26" hidden="1">{#N/A,#N/A,FALSE,"단축1";#N/A,#N/A,FALSE,"단축2";#N/A,#N/A,FALSE,"단축3";#N/A,#N/A,FALSE,"장축";#N/A,#N/A,FALSE,"4WD"}</definedName>
    <definedName name="TLS_2" localSheetId="0" hidden="1">{#N/A,#N/A,FALSE,"단축1";#N/A,#N/A,FALSE,"단축2";#N/A,#N/A,FALSE,"단축3";#N/A,#N/A,FALSE,"장축";#N/A,#N/A,FALSE,"4WD"}</definedName>
    <definedName name="TLS_2" hidden="1">{#N/A,#N/A,FALSE,"단축1";#N/A,#N/A,FALSE,"단축2";#N/A,#N/A,FALSE,"단축3";#N/A,#N/A,FALSE,"장축";#N/A,#N/A,FALSE,"4WD"}</definedName>
    <definedName name="TLS_2_1" localSheetId="26" hidden="1">{#N/A,#N/A,FALSE,"단축1";#N/A,#N/A,FALSE,"단축2";#N/A,#N/A,FALSE,"단축3";#N/A,#N/A,FALSE,"장축";#N/A,#N/A,FALSE,"4WD"}</definedName>
    <definedName name="TLS_2_1" localSheetId="0" hidden="1">{#N/A,#N/A,FALSE,"단축1";#N/A,#N/A,FALSE,"단축2";#N/A,#N/A,FALSE,"단축3";#N/A,#N/A,FALSE,"장축";#N/A,#N/A,FALSE,"4WD"}</definedName>
    <definedName name="TLS_2_1" hidden="1">{#N/A,#N/A,FALSE,"단축1";#N/A,#N/A,FALSE,"단축2";#N/A,#N/A,FALSE,"단축3";#N/A,#N/A,FALSE,"장축";#N/A,#N/A,FALSE,"4WD"}</definedName>
    <definedName name="TLS_2_2" localSheetId="26" hidden="1">{#N/A,#N/A,FALSE,"단축1";#N/A,#N/A,FALSE,"단축2";#N/A,#N/A,FALSE,"단축3";#N/A,#N/A,FALSE,"장축";#N/A,#N/A,FALSE,"4WD"}</definedName>
    <definedName name="TLS_2_2" localSheetId="0" hidden="1">{#N/A,#N/A,FALSE,"단축1";#N/A,#N/A,FALSE,"단축2";#N/A,#N/A,FALSE,"단축3";#N/A,#N/A,FALSE,"장축";#N/A,#N/A,FALSE,"4WD"}</definedName>
    <definedName name="TLS_2_2" hidden="1">{#N/A,#N/A,FALSE,"단축1";#N/A,#N/A,FALSE,"단축2";#N/A,#N/A,FALSE,"단축3";#N/A,#N/A,FALSE,"장축";#N/A,#N/A,FALSE,"4WD"}</definedName>
    <definedName name="TLS_3" localSheetId="26" hidden="1">{#N/A,#N/A,FALSE,"단축1";#N/A,#N/A,FALSE,"단축2";#N/A,#N/A,FALSE,"단축3";#N/A,#N/A,FALSE,"장축";#N/A,#N/A,FALSE,"4WD"}</definedName>
    <definedName name="TLS_3" localSheetId="0" hidden="1">{#N/A,#N/A,FALSE,"단축1";#N/A,#N/A,FALSE,"단축2";#N/A,#N/A,FALSE,"단축3";#N/A,#N/A,FALSE,"장축";#N/A,#N/A,FALSE,"4WD"}</definedName>
    <definedName name="TLS_3" hidden="1">{#N/A,#N/A,FALSE,"단축1";#N/A,#N/A,FALSE,"단축2";#N/A,#N/A,FALSE,"단축3";#N/A,#N/A,FALSE,"장축";#N/A,#N/A,FALSE,"4WD"}</definedName>
    <definedName name="TLS_4" localSheetId="26" hidden="1">{#N/A,#N/A,FALSE,"단축1";#N/A,#N/A,FALSE,"단축2";#N/A,#N/A,FALSE,"단축3";#N/A,#N/A,FALSE,"장축";#N/A,#N/A,FALSE,"4WD"}</definedName>
    <definedName name="TLS_4" localSheetId="0" hidden="1">{#N/A,#N/A,FALSE,"단축1";#N/A,#N/A,FALSE,"단축2";#N/A,#N/A,FALSE,"단축3";#N/A,#N/A,FALSE,"장축";#N/A,#N/A,FALSE,"4WD"}</definedName>
    <definedName name="TLS_4" hidden="1">{#N/A,#N/A,FALSE,"단축1";#N/A,#N/A,FALSE,"단축2";#N/A,#N/A,FALSE,"단축3";#N/A,#N/A,FALSE,"장축";#N/A,#N/A,FALSE,"4WD"}</definedName>
    <definedName name="TLS_5" localSheetId="26" hidden="1">{#N/A,#N/A,FALSE,"단축1";#N/A,#N/A,FALSE,"단축2";#N/A,#N/A,FALSE,"단축3";#N/A,#N/A,FALSE,"장축";#N/A,#N/A,FALSE,"4WD"}</definedName>
    <definedName name="TLS_5" localSheetId="0" hidden="1">{#N/A,#N/A,FALSE,"단축1";#N/A,#N/A,FALSE,"단축2";#N/A,#N/A,FALSE,"단축3";#N/A,#N/A,FALSE,"장축";#N/A,#N/A,FALSE,"4WD"}</definedName>
    <definedName name="TLS_5" hidden="1">{#N/A,#N/A,FALSE,"단축1";#N/A,#N/A,FALSE,"단축2";#N/A,#N/A,FALSE,"단축3";#N/A,#N/A,FALSE,"장축";#N/A,#N/A,FALSE,"4WD"}</definedName>
    <definedName name="To">[17]Database!$E$16:$E$17</definedName>
    <definedName name="TOP" localSheetId="26" hidden="1">{#N/A,#N/A,FALSE,"해외크레임";#N/A,#N/A,FALSE,"ACCENT현황";#N/A,#N/A,FALSE,"AVANTE";#N/A,#N/A,FALSE,"SONATA(3)";#N/A,#N/A,FALSE,"국내크레임"}</definedName>
    <definedName name="TOP" localSheetId="0" hidden="1">{#N/A,#N/A,FALSE,"해외크레임";#N/A,#N/A,FALSE,"ACCENT현황";#N/A,#N/A,FALSE,"AVANTE";#N/A,#N/A,FALSE,"SONATA(3)";#N/A,#N/A,FALSE,"국내크레임"}</definedName>
    <definedName name="TOP" hidden="1">{#N/A,#N/A,FALSE,"해외크레임";#N/A,#N/A,FALSE,"ACCENT현황";#N/A,#N/A,FALSE,"AVANTE";#N/A,#N/A,FALSE,"SONATA(3)";#N/A,#N/A,FALSE,"국내크레임"}</definedName>
    <definedName name="TOP_1" localSheetId="26" hidden="1">{#N/A,#N/A,FALSE,"해외크레임";#N/A,#N/A,FALSE,"ACCENT현황";#N/A,#N/A,FALSE,"AVANTE";#N/A,#N/A,FALSE,"SONATA(3)";#N/A,#N/A,FALSE,"국내크레임"}</definedName>
    <definedName name="TOP_1" localSheetId="0" hidden="1">{#N/A,#N/A,FALSE,"해외크레임";#N/A,#N/A,FALSE,"ACCENT현황";#N/A,#N/A,FALSE,"AVANTE";#N/A,#N/A,FALSE,"SONATA(3)";#N/A,#N/A,FALSE,"국내크레임"}</definedName>
    <definedName name="TOP_1" hidden="1">{#N/A,#N/A,FALSE,"해외크레임";#N/A,#N/A,FALSE,"ACCENT현황";#N/A,#N/A,FALSE,"AVANTE";#N/A,#N/A,FALSE,"SONATA(3)";#N/A,#N/A,FALSE,"국내크레임"}</definedName>
    <definedName name="TOP_1_1" localSheetId="26" hidden="1">{#N/A,#N/A,FALSE,"해외크레임";#N/A,#N/A,FALSE,"ACCENT현황";#N/A,#N/A,FALSE,"AVANTE";#N/A,#N/A,FALSE,"SONATA(3)";#N/A,#N/A,FALSE,"국내크레임"}</definedName>
    <definedName name="TOP_1_1" localSheetId="0" hidden="1">{#N/A,#N/A,FALSE,"해외크레임";#N/A,#N/A,FALSE,"ACCENT현황";#N/A,#N/A,FALSE,"AVANTE";#N/A,#N/A,FALSE,"SONATA(3)";#N/A,#N/A,FALSE,"국내크레임"}</definedName>
    <definedName name="TOP_1_1" hidden="1">{#N/A,#N/A,FALSE,"해외크레임";#N/A,#N/A,FALSE,"ACCENT현황";#N/A,#N/A,FALSE,"AVANTE";#N/A,#N/A,FALSE,"SONATA(3)";#N/A,#N/A,FALSE,"국내크레임"}</definedName>
    <definedName name="TOP_1_2" localSheetId="26" hidden="1">{#N/A,#N/A,FALSE,"해외크레임";#N/A,#N/A,FALSE,"ACCENT현황";#N/A,#N/A,FALSE,"AVANTE";#N/A,#N/A,FALSE,"SONATA(3)";#N/A,#N/A,FALSE,"국내크레임"}</definedName>
    <definedName name="TOP_1_2" localSheetId="0" hidden="1">{#N/A,#N/A,FALSE,"해외크레임";#N/A,#N/A,FALSE,"ACCENT현황";#N/A,#N/A,FALSE,"AVANTE";#N/A,#N/A,FALSE,"SONATA(3)";#N/A,#N/A,FALSE,"국내크레임"}</definedName>
    <definedName name="TOP_1_2" hidden="1">{#N/A,#N/A,FALSE,"해외크레임";#N/A,#N/A,FALSE,"ACCENT현황";#N/A,#N/A,FALSE,"AVANTE";#N/A,#N/A,FALSE,"SONATA(3)";#N/A,#N/A,FALSE,"국내크레임"}</definedName>
    <definedName name="TOP_1_3" localSheetId="26" hidden="1">{#N/A,#N/A,FALSE,"해외크레임";#N/A,#N/A,FALSE,"ACCENT현황";#N/A,#N/A,FALSE,"AVANTE";#N/A,#N/A,FALSE,"SONATA(3)";#N/A,#N/A,FALSE,"국내크레임"}</definedName>
    <definedName name="TOP_1_3" localSheetId="0" hidden="1">{#N/A,#N/A,FALSE,"해외크레임";#N/A,#N/A,FALSE,"ACCENT현황";#N/A,#N/A,FALSE,"AVANTE";#N/A,#N/A,FALSE,"SONATA(3)";#N/A,#N/A,FALSE,"국내크레임"}</definedName>
    <definedName name="TOP_1_3" hidden="1">{#N/A,#N/A,FALSE,"해외크레임";#N/A,#N/A,FALSE,"ACCENT현황";#N/A,#N/A,FALSE,"AVANTE";#N/A,#N/A,FALSE,"SONATA(3)";#N/A,#N/A,FALSE,"국내크레임"}</definedName>
    <definedName name="TOP_2" localSheetId="26" hidden="1">{#N/A,#N/A,FALSE,"해외크레임";#N/A,#N/A,FALSE,"ACCENT현황";#N/A,#N/A,FALSE,"AVANTE";#N/A,#N/A,FALSE,"SONATA(3)";#N/A,#N/A,FALSE,"국내크레임"}</definedName>
    <definedName name="TOP_2" localSheetId="0" hidden="1">{#N/A,#N/A,FALSE,"해외크레임";#N/A,#N/A,FALSE,"ACCENT현황";#N/A,#N/A,FALSE,"AVANTE";#N/A,#N/A,FALSE,"SONATA(3)";#N/A,#N/A,FALSE,"국내크레임"}</definedName>
    <definedName name="TOP_2" hidden="1">{#N/A,#N/A,FALSE,"해외크레임";#N/A,#N/A,FALSE,"ACCENT현황";#N/A,#N/A,FALSE,"AVANTE";#N/A,#N/A,FALSE,"SONATA(3)";#N/A,#N/A,FALSE,"국내크레임"}</definedName>
    <definedName name="TOP_2_1" localSheetId="26" hidden="1">{#N/A,#N/A,FALSE,"해외크레임";#N/A,#N/A,FALSE,"ACCENT현황";#N/A,#N/A,FALSE,"AVANTE";#N/A,#N/A,FALSE,"SONATA(3)";#N/A,#N/A,FALSE,"국내크레임"}</definedName>
    <definedName name="TOP_2_1" localSheetId="0" hidden="1">{#N/A,#N/A,FALSE,"해외크레임";#N/A,#N/A,FALSE,"ACCENT현황";#N/A,#N/A,FALSE,"AVANTE";#N/A,#N/A,FALSE,"SONATA(3)";#N/A,#N/A,FALSE,"국내크레임"}</definedName>
    <definedName name="TOP_2_1" hidden="1">{#N/A,#N/A,FALSE,"해외크레임";#N/A,#N/A,FALSE,"ACCENT현황";#N/A,#N/A,FALSE,"AVANTE";#N/A,#N/A,FALSE,"SONATA(3)";#N/A,#N/A,FALSE,"국내크레임"}</definedName>
    <definedName name="TOP_2_2" localSheetId="26" hidden="1">{#N/A,#N/A,FALSE,"해외크레임";#N/A,#N/A,FALSE,"ACCENT현황";#N/A,#N/A,FALSE,"AVANTE";#N/A,#N/A,FALSE,"SONATA(3)";#N/A,#N/A,FALSE,"국내크레임"}</definedName>
    <definedName name="TOP_2_2" localSheetId="0" hidden="1">{#N/A,#N/A,FALSE,"해외크레임";#N/A,#N/A,FALSE,"ACCENT현황";#N/A,#N/A,FALSE,"AVANTE";#N/A,#N/A,FALSE,"SONATA(3)";#N/A,#N/A,FALSE,"국내크레임"}</definedName>
    <definedName name="TOP_2_2" hidden="1">{#N/A,#N/A,FALSE,"해외크레임";#N/A,#N/A,FALSE,"ACCENT현황";#N/A,#N/A,FALSE,"AVANTE";#N/A,#N/A,FALSE,"SONATA(3)";#N/A,#N/A,FALSE,"국내크레임"}</definedName>
    <definedName name="TOP_3" localSheetId="26" hidden="1">{#N/A,#N/A,FALSE,"해외크레임";#N/A,#N/A,FALSE,"ACCENT현황";#N/A,#N/A,FALSE,"AVANTE";#N/A,#N/A,FALSE,"SONATA(3)";#N/A,#N/A,FALSE,"국내크레임"}</definedName>
    <definedName name="TOP_3" localSheetId="0" hidden="1">{#N/A,#N/A,FALSE,"해외크레임";#N/A,#N/A,FALSE,"ACCENT현황";#N/A,#N/A,FALSE,"AVANTE";#N/A,#N/A,FALSE,"SONATA(3)";#N/A,#N/A,FALSE,"국내크레임"}</definedName>
    <definedName name="TOP_3" hidden="1">{#N/A,#N/A,FALSE,"해외크레임";#N/A,#N/A,FALSE,"ACCENT현황";#N/A,#N/A,FALSE,"AVANTE";#N/A,#N/A,FALSE,"SONATA(3)";#N/A,#N/A,FALSE,"국내크레임"}</definedName>
    <definedName name="TOP_4" localSheetId="26" hidden="1">{#N/A,#N/A,FALSE,"해외크레임";#N/A,#N/A,FALSE,"ACCENT현황";#N/A,#N/A,FALSE,"AVANTE";#N/A,#N/A,FALSE,"SONATA(3)";#N/A,#N/A,FALSE,"국내크레임"}</definedName>
    <definedName name="TOP_4" localSheetId="0" hidden="1">{#N/A,#N/A,FALSE,"해외크레임";#N/A,#N/A,FALSE,"ACCENT현황";#N/A,#N/A,FALSE,"AVANTE";#N/A,#N/A,FALSE,"SONATA(3)";#N/A,#N/A,FALSE,"국내크레임"}</definedName>
    <definedName name="TOP_4" hidden="1">{#N/A,#N/A,FALSE,"해외크레임";#N/A,#N/A,FALSE,"ACCENT현황";#N/A,#N/A,FALSE,"AVANTE";#N/A,#N/A,FALSE,"SONATA(3)";#N/A,#N/A,FALSE,"국내크레임"}</definedName>
    <definedName name="TOP_5" localSheetId="26" hidden="1">{#N/A,#N/A,FALSE,"해외크레임";#N/A,#N/A,FALSE,"ACCENT현황";#N/A,#N/A,FALSE,"AVANTE";#N/A,#N/A,FALSE,"SONATA(3)";#N/A,#N/A,FALSE,"국내크레임"}</definedName>
    <definedName name="TOP_5" localSheetId="0" hidden="1">{#N/A,#N/A,FALSE,"해외크레임";#N/A,#N/A,FALSE,"ACCENT현황";#N/A,#N/A,FALSE,"AVANTE";#N/A,#N/A,FALSE,"SONATA(3)";#N/A,#N/A,FALSE,"국내크레임"}</definedName>
    <definedName name="TOP_5" hidden="1">{#N/A,#N/A,FALSE,"해외크레임";#N/A,#N/A,FALSE,"ACCENT현황";#N/A,#N/A,FALSE,"AVANTE";#N/A,#N/A,FALSE,"SONATA(3)";#N/A,#N/A,FALSE,"국내크레임"}</definedName>
    <definedName name="TORSION" localSheetId="26" hidden="1">{#N/A,#N/A,FALSE,"단축1";#N/A,#N/A,FALSE,"단축2";#N/A,#N/A,FALSE,"단축3";#N/A,#N/A,FALSE,"장축";#N/A,#N/A,FALSE,"4WD"}</definedName>
    <definedName name="TORSION" localSheetId="0" hidden="1">{#N/A,#N/A,FALSE,"단축1";#N/A,#N/A,FALSE,"단축2";#N/A,#N/A,FALSE,"단축3";#N/A,#N/A,FALSE,"장축";#N/A,#N/A,FALSE,"4WD"}</definedName>
    <definedName name="TORSION" hidden="1">{#N/A,#N/A,FALSE,"단축1";#N/A,#N/A,FALSE,"단축2";#N/A,#N/A,FALSE,"단축3";#N/A,#N/A,FALSE,"장축";#N/A,#N/A,FALSE,"4WD"}</definedName>
    <definedName name="TORSION_1" localSheetId="26" hidden="1">{#N/A,#N/A,FALSE,"단축1";#N/A,#N/A,FALSE,"단축2";#N/A,#N/A,FALSE,"단축3";#N/A,#N/A,FALSE,"장축";#N/A,#N/A,FALSE,"4WD"}</definedName>
    <definedName name="TORSION_1" localSheetId="0" hidden="1">{#N/A,#N/A,FALSE,"단축1";#N/A,#N/A,FALSE,"단축2";#N/A,#N/A,FALSE,"단축3";#N/A,#N/A,FALSE,"장축";#N/A,#N/A,FALSE,"4WD"}</definedName>
    <definedName name="TORSION_1" hidden="1">{#N/A,#N/A,FALSE,"단축1";#N/A,#N/A,FALSE,"단축2";#N/A,#N/A,FALSE,"단축3";#N/A,#N/A,FALSE,"장축";#N/A,#N/A,FALSE,"4WD"}</definedName>
    <definedName name="TORSION_1_1" localSheetId="26" hidden="1">{#N/A,#N/A,FALSE,"단축1";#N/A,#N/A,FALSE,"단축2";#N/A,#N/A,FALSE,"단축3";#N/A,#N/A,FALSE,"장축";#N/A,#N/A,FALSE,"4WD"}</definedName>
    <definedName name="TORSION_1_1" localSheetId="0" hidden="1">{#N/A,#N/A,FALSE,"단축1";#N/A,#N/A,FALSE,"단축2";#N/A,#N/A,FALSE,"단축3";#N/A,#N/A,FALSE,"장축";#N/A,#N/A,FALSE,"4WD"}</definedName>
    <definedName name="TORSION_1_1" hidden="1">{#N/A,#N/A,FALSE,"단축1";#N/A,#N/A,FALSE,"단축2";#N/A,#N/A,FALSE,"단축3";#N/A,#N/A,FALSE,"장축";#N/A,#N/A,FALSE,"4WD"}</definedName>
    <definedName name="TORSION_1_2" localSheetId="26" hidden="1">{#N/A,#N/A,FALSE,"단축1";#N/A,#N/A,FALSE,"단축2";#N/A,#N/A,FALSE,"단축3";#N/A,#N/A,FALSE,"장축";#N/A,#N/A,FALSE,"4WD"}</definedName>
    <definedName name="TORSION_1_2" localSheetId="0" hidden="1">{#N/A,#N/A,FALSE,"단축1";#N/A,#N/A,FALSE,"단축2";#N/A,#N/A,FALSE,"단축3";#N/A,#N/A,FALSE,"장축";#N/A,#N/A,FALSE,"4WD"}</definedName>
    <definedName name="TORSION_1_2" hidden="1">{#N/A,#N/A,FALSE,"단축1";#N/A,#N/A,FALSE,"단축2";#N/A,#N/A,FALSE,"단축3";#N/A,#N/A,FALSE,"장축";#N/A,#N/A,FALSE,"4WD"}</definedName>
    <definedName name="TORSION_1_3" localSheetId="26" hidden="1">{#N/A,#N/A,FALSE,"단축1";#N/A,#N/A,FALSE,"단축2";#N/A,#N/A,FALSE,"단축3";#N/A,#N/A,FALSE,"장축";#N/A,#N/A,FALSE,"4WD"}</definedName>
    <definedName name="TORSION_1_3" localSheetId="0" hidden="1">{#N/A,#N/A,FALSE,"단축1";#N/A,#N/A,FALSE,"단축2";#N/A,#N/A,FALSE,"단축3";#N/A,#N/A,FALSE,"장축";#N/A,#N/A,FALSE,"4WD"}</definedName>
    <definedName name="TORSION_1_3" hidden="1">{#N/A,#N/A,FALSE,"단축1";#N/A,#N/A,FALSE,"단축2";#N/A,#N/A,FALSE,"단축3";#N/A,#N/A,FALSE,"장축";#N/A,#N/A,FALSE,"4WD"}</definedName>
    <definedName name="TORSION_2" localSheetId="26" hidden="1">{#N/A,#N/A,FALSE,"단축1";#N/A,#N/A,FALSE,"단축2";#N/A,#N/A,FALSE,"단축3";#N/A,#N/A,FALSE,"장축";#N/A,#N/A,FALSE,"4WD"}</definedName>
    <definedName name="TORSION_2" localSheetId="0" hidden="1">{#N/A,#N/A,FALSE,"단축1";#N/A,#N/A,FALSE,"단축2";#N/A,#N/A,FALSE,"단축3";#N/A,#N/A,FALSE,"장축";#N/A,#N/A,FALSE,"4WD"}</definedName>
    <definedName name="TORSION_2" hidden="1">{#N/A,#N/A,FALSE,"단축1";#N/A,#N/A,FALSE,"단축2";#N/A,#N/A,FALSE,"단축3";#N/A,#N/A,FALSE,"장축";#N/A,#N/A,FALSE,"4WD"}</definedName>
    <definedName name="TORSION_2_1" localSheetId="26" hidden="1">{#N/A,#N/A,FALSE,"단축1";#N/A,#N/A,FALSE,"단축2";#N/A,#N/A,FALSE,"단축3";#N/A,#N/A,FALSE,"장축";#N/A,#N/A,FALSE,"4WD"}</definedName>
    <definedName name="TORSION_2_1" localSheetId="0" hidden="1">{#N/A,#N/A,FALSE,"단축1";#N/A,#N/A,FALSE,"단축2";#N/A,#N/A,FALSE,"단축3";#N/A,#N/A,FALSE,"장축";#N/A,#N/A,FALSE,"4WD"}</definedName>
    <definedName name="TORSION_2_1" hidden="1">{#N/A,#N/A,FALSE,"단축1";#N/A,#N/A,FALSE,"단축2";#N/A,#N/A,FALSE,"단축3";#N/A,#N/A,FALSE,"장축";#N/A,#N/A,FALSE,"4WD"}</definedName>
    <definedName name="TORSION_2_2" localSheetId="26" hidden="1">{#N/A,#N/A,FALSE,"단축1";#N/A,#N/A,FALSE,"단축2";#N/A,#N/A,FALSE,"단축3";#N/A,#N/A,FALSE,"장축";#N/A,#N/A,FALSE,"4WD"}</definedName>
    <definedName name="TORSION_2_2" localSheetId="0" hidden="1">{#N/A,#N/A,FALSE,"단축1";#N/A,#N/A,FALSE,"단축2";#N/A,#N/A,FALSE,"단축3";#N/A,#N/A,FALSE,"장축";#N/A,#N/A,FALSE,"4WD"}</definedName>
    <definedName name="TORSION_2_2" hidden="1">{#N/A,#N/A,FALSE,"단축1";#N/A,#N/A,FALSE,"단축2";#N/A,#N/A,FALSE,"단축3";#N/A,#N/A,FALSE,"장축";#N/A,#N/A,FALSE,"4WD"}</definedName>
    <definedName name="TORSION_3" localSheetId="26" hidden="1">{#N/A,#N/A,FALSE,"단축1";#N/A,#N/A,FALSE,"단축2";#N/A,#N/A,FALSE,"단축3";#N/A,#N/A,FALSE,"장축";#N/A,#N/A,FALSE,"4WD"}</definedName>
    <definedName name="TORSION_3" localSheetId="0" hidden="1">{#N/A,#N/A,FALSE,"단축1";#N/A,#N/A,FALSE,"단축2";#N/A,#N/A,FALSE,"단축3";#N/A,#N/A,FALSE,"장축";#N/A,#N/A,FALSE,"4WD"}</definedName>
    <definedName name="TORSION_3" hidden="1">{#N/A,#N/A,FALSE,"단축1";#N/A,#N/A,FALSE,"단축2";#N/A,#N/A,FALSE,"단축3";#N/A,#N/A,FALSE,"장축";#N/A,#N/A,FALSE,"4WD"}</definedName>
    <definedName name="TORSION_4" localSheetId="26" hidden="1">{#N/A,#N/A,FALSE,"단축1";#N/A,#N/A,FALSE,"단축2";#N/A,#N/A,FALSE,"단축3";#N/A,#N/A,FALSE,"장축";#N/A,#N/A,FALSE,"4WD"}</definedName>
    <definedName name="TORSION_4" localSheetId="0" hidden="1">{#N/A,#N/A,FALSE,"단축1";#N/A,#N/A,FALSE,"단축2";#N/A,#N/A,FALSE,"단축3";#N/A,#N/A,FALSE,"장축";#N/A,#N/A,FALSE,"4WD"}</definedName>
    <definedName name="TORSION_4" hidden="1">{#N/A,#N/A,FALSE,"단축1";#N/A,#N/A,FALSE,"단축2";#N/A,#N/A,FALSE,"단축3";#N/A,#N/A,FALSE,"장축";#N/A,#N/A,FALSE,"4WD"}</definedName>
    <definedName name="TORSION_5" localSheetId="26" hidden="1">{#N/A,#N/A,FALSE,"단축1";#N/A,#N/A,FALSE,"단축2";#N/A,#N/A,FALSE,"단축3";#N/A,#N/A,FALSE,"장축";#N/A,#N/A,FALSE,"4WD"}</definedName>
    <definedName name="TORSION_5" localSheetId="0" hidden="1">{#N/A,#N/A,FALSE,"단축1";#N/A,#N/A,FALSE,"단축2";#N/A,#N/A,FALSE,"단축3";#N/A,#N/A,FALSE,"장축";#N/A,#N/A,FALSE,"4WD"}</definedName>
    <definedName name="TORSION_5" hidden="1">{#N/A,#N/A,FALSE,"단축1";#N/A,#N/A,FALSE,"단축2";#N/A,#N/A,FALSE,"단축3";#N/A,#N/A,FALSE,"장축";#N/A,#N/A,FALSE,"4WD"}</definedName>
    <definedName name="ttt" localSheetId="26" hidden="1">{#N/A,#N/A,FALSE,"단축1";#N/A,#N/A,FALSE,"단축2";#N/A,#N/A,FALSE,"단축3";#N/A,#N/A,FALSE,"장축";#N/A,#N/A,FALSE,"4WD"}</definedName>
    <definedName name="ttt" localSheetId="0" hidden="1">{#N/A,#N/A,FALSE,"단축1";#N/A,#N/A,FALSE,"단축2";#N/A,#N/A,FALSE,"단축3";#N/A,#N/A,FALSE,"장축";#N/A,#N/A,FALSE,"4WD"}</definedName>
    <definedName name="ttt" hidden="1">{#N/A,#N/A,FALSE,"단축1";#N/A,#N/A,FALSE,"단축2";#N/A,#N/A,FALSE,"단축3";#N/A,#N/A,FALSE,"장축";#N/A,#N/A,FALSE,"4WD"}</definedName>
    <definedName name="ttt_1" localSheetId="26" hidden="1">{#N/A,#N/A,FALSE,"단축1";#N/A,#N/A,FALSE,"단축2";#N/A,#N/A,FALSE,"단축3";#N/A,#N/A,FALSE,"장축";#N/A,#N/A,FALSE,"4WD"}</definedName>
    <definedName name="ttt_1" localSheetId="0" hidden="1">{#N/A,#N/A,FALSE,"단축1";#N/A,#N/A,FALSE,"단축2";#N/A,#N/A,FALSE,"단축3";#N/A,#N/A,FALSE,"장축";#N/A,#N/A,FALSE,"4WD"}</definedName>
    <definedName name="ttt_1" hidden="1">{#N/A,#N/A,FALSE,"단축1";#N/A,#N/A,FALSE,"단축2";#N/A,#N/A,FALSE,"단축3";#N/A,#N/A,FALSE,"장축";#N/A,#N/A,FALSE,"4WD"}</definedName>
    <definedName name="ttt_1_1" localSheetId="26" hidden="1">{#N/A,#N/A,FALSE,"단축1";#N/A,#N/A,FALSE,"단축2";#N/A,#N/A,FALSE,"단축3";#N/A,#N/A,FALSE,"장축";#N/A,#N/A,FALSE,"4WD"}</definedName>
    <definedName name="ttt_1_1" localSheetId="0" hidden="1">{#N/A,#N/A,FALSE,"단축1";#N/A,#N/A,FALSE,"단축2";#N/A,#N/A,FALSE,"단축3";#N/A,#N/A,FALSE,"장축";#N/A,#N/A,FALSE,"4WD"}</definedName>
    <definedName name="ttt_1_1" hidden="1">{#N/A,#N/A,FALSE,"단축1";#N/A,#N/A,FALSE,"단축2";#N/A,#N/A,FALSE,"단축3";#N/A,#N/A,FALSE,"장축";#N/A,#N/A,FALSE,"4WD"}</definedName>
    <definedName name="ttt_1_2" localSheetId="26" hidden="1">{#N/A,#N/A,FALSE,"단축1";#N/A,#N/A,FALSE,"단축2";#N/A,#N/A,FALSE,"단축3";#N/A,#N/A,FALSE,"장축";#N/A,#N/A,FALSE,"4WD"}</definedName>
    <definedName name="ttt_1_2" localSheetId="0" hidden="1">{#N/A,#N/A,FALSE,"단축1";#N/A,#N/A,FALSE,"단축2";#N/A,#N/A,FALSE,"단축3";#N/A,#N/A,FALSE,"장축";#N/A,#N/A,FALSE,"4WD"}</definedName>
    <definedName name="ttt_1_2" hidden="1">{#N/A,#N/A,FALSE,"단축1";#N/A,#N/A,FALSE,"단축2";#N/A,#N/A,FALSE,"단축3";#N/A,#N/A,FALSE,"장축";#N/A,#N/A,FALSE,"4WD"}</definedName>
    <definedName name="ttt_1_3" localSheetId="26" hidden="1">{#N/A,#N/A,FALSE,"단축1";#N/A,#N/A,FALSE,"단축2";#N/A,#N/A,FALSE,"단축3";#N/A,#N/A,FALSE,"장축";#N/A,#N/A,FALSE,"4WD"}</definedName>
    <definedName name="ttt_1_3" localSheetId="0" hidden="1">{#N/A,#N/A,FALSE,"단축1";#N/A,#N/A,FALSE,"단축2";#N/A,#N/A,FALSE,"단축3";#N/A,#N/A,FALSE,"장축";#N/A,#N/A,FALSE,"4WD"}</definedName>
    <definedName name="ttt_1_3" hidden="1">{#N/A,#N/A,FALSE,"단축1";#N/A,#N/A,FALSE,"단축2";#N/A,#N/A,FALSE,"단축3";#N/A,#N/A,FALSE,"장축";#N/A,#N/A,FALSE,"4WD"}</definedName>
    <definedName name="ttt_2" localSheetId="26" hidden="1">{#N/A,#N/A,FALSE,"단축1";#N/A,#N/A,FALSE,"단축2";#N/A,#N/A,FALSE,"단축3";#N/A,#N/A,FALSE,"장축";#N/A,#N/A,FALSE,"4WD"}</definedName>
    <definedName name="ttt_2" localSheetId="0" hidden="1">{#N/A,#N/A,FALSE,"단축1";#N/A,#N/A,FALSE,"단축2";#N/A,#N/A,FALSE,"단축3";#N/A,#N/A,FALSE,"장축";#N/A,#N/A,FALSE,"4WD"}</definedName>
    <definedName name="ttt_2" hidden="1">{#N/A,#N/A,FALSE,"단축1";#N/A,#N/A,FALSE,"단축2";#N/A,#N/A,FALSE,"단축3";#N/A,#N/A,FALSE,"장축";#N/A,#N/A,FALSE,"4WD"}</definedName>
    <definedName name="ttt_2_1" localSheetId="26" hidden="1">{#N/A,#N/A,FALSE,"단축1";#N/A,#N/A,FALSE,"단축2";#N/A,#N/A,FALSE,"단축3";#N/A,#N/A,FALSE,"장축";#N/A,#N/A,FALSE,"4WD"}</definedName>
    <definedName name="ttt_2_1" localSheetId="0" hidden="1">{#N/A,#N/A,FALSE,"단축1";#N/A,#N/A,FALSE,"단축2";#N/A,#N/A,FALSE,"단축3";#N/A,#N/A,FALSE,"장축";#N/A,#N/A,FALSE,"4WD"}</definedName>
    <definedName name="ttt_2_1" hidden="1">{#N/A,#N/A,FALSE,"단축1";#N/A,#N/A,FALSE,"단축2";#N/A,#N/A,FALSE,"단축3";#N/A,#N/A,FALSE,"장축";#N/A,#N/A,FALSE,"4WD"}</definedName>
    <definedName name="ttt_2_2" localSheetId="26" hidden="1">{#N/A,#N/A,FALSE,"단축1";#N/A,#N/A,FALSE,"단축2";#N/A,#N/A,FALSE,"단축3";#N/A,#N/A,FALSE,"장축";#N/A,#N/A,FALSE,"4WD"}</definedName>
    <definedName name="ttt_2_2" localSheetId="0" hidden="1">{#N/A,#N/A,FALSE,"단축1";#N/A,#N/A,FALSE,"단축2";#N/A,#N/A,FALSE,"단축3";#N/A,#N/A,FALSE,"장축";#N/A,#N/A,FALSE,"4WD"}</definedName>
    <definedName name="ttt_2_2" hidden="1">{#N/A,#N/A,FALSE,"단축1";#N/A,#N/A,FALSE,"단축2";#N/A,#N/A,FALSE,"단축3";#N/A,#N/A,FALSE,"장축";#N/A,#N/A,FALSE,"4WD"}</definedName>
    <definedName name="ttt_3" localSheetId="26" hidden="1">{#N/A,#N/A,FALSE,"단축1";#N/A,#N/A,FALSE,"단축2";#N/A,#N/A,FALSE,"단축3";#N/A,#N/A,FALSE,"장축";#N/A,#N/A,FALSE,"4WD"}</definedName>
    <definedName name="ttt_3" localSheetId="0" hidden="1">{#N/A,#N/A,FALSE,"단축1";#N/A,#N/A,FALSE,"단축2";#N/A,#N/A,FALSE,"단축3";#N/A,#N/A,FALSE,"장축";#N/A,#N/A,FALSE,"4WD"}</definedName>
    <definedName name="ttt_3" hidden="1">{#N/A,#N/A,FALSE,"단축1";#N/A,#N/A,FALSE,"단축2";#N/A,#N/A,FALSE,"단축3";#N/A,#N/A,FALSE,"장축";#N/A,#N/A,FALSE,"4WD"}</definedName>
    <definedName name="ttt_4" localSheetId="26" hidden="1">{#N/A,#N/A,FALSE,"단축1";#N/A,#N/A,FALSE,"단축2";#N/A,#N/A,FALSE,"단축3";#N/A,#N/A,FALSE,"장축";#N/A,#N/A,FALSE,"4WD"}</definedName>
    <definedName name="ttt_4" localSheetId="0" hidden="1">{#N/A,#N/A,FALSE,"단축1";#N/A,#N/A,FALSE,"단축2";#N/A,#N/A,FALSE,"단축3";#N/A,#N/A,FALSE,"장축";#N/A,#N/A,FALSE,"4WD"}</definedName>
    <definedName name="ttt_4" hidden="1">{#N/A,#N/A,FALSE,"단축1";#N/A,#N/A,FALSE,"단축2";#N/A,#N/A,FALSE,"단축3";#N/A,#N/A,FALSE,"장축";#N/A,#N/A,FALSE,"4WD"}</definedName>
    <definedName name="ttt_5" localSheetId="26" hidden="1">{#N/A,#N/A,FALSE,"단축1";#N/A,#N/A,FALSE,"단축2";#N/A,#N/A,FALSE,"단축3";#N/A,#N/A,FALSE,"장축";#N/A,#N/A,FALSE,"4WD"}</definedName>
    <definedName name="ttt_5" localSheetId="0" hidden="1">{#N/A,#N/A,FALSE,"단축1";#N/A,#N/A,FALSE,"단축2";#N/A,#N/A,FALSE,"단축3";#N/A,#N/A,FALSE,"장축";#N/A,#N/A,FALSE,"4WD"}</definedName>
    <definedName name="ttt_5" hidden="1">{#N/A,#N/A,FALSE,"단축1";#N/A,#N/A,FALSE,"단축2";#N/A,#N/A,FALSE,"단축3";#N/A,#N/A,FALSE,"장축";#N/A,#N/A,FALSE,"4WD"}</definedName>
    <definedName name="TYYYYY" localSheetId="26" hidden="1">{#N/A,#N/A,FALSE,"단축1";#N/A,#N/A,FALSE,"단축2";#N/A,#N/A,FALSE,"단축3";#N/A,#N/A,FALSE,"장축";#N/A,#N/A,FALSE,"4WD"}</definedName>
    <definedName name="TYYYYY" localSheetId="0" hidden="1">{#N/A,#N/A,FALSE,"단축1";#N/A,#N/A,FALSE,"단축2";#N/A,#N/A,FALSE,"단축3";#N/A,#N/A,FALSE,"장축";#N/A,#N/A,FALSE,"4WD"}</definedName>
    <definedName name="TYYYYY" hidden="1">{#N/A,#N/A,FALSE,"단축1";#N/A,#N/A,FALSE,"단축2";#N/A,#N/A,FALSE,"단축3";#N/A,#N/A,FALSE,"장축";#N/A,#N/A,FALSE,"4WD"}</definedName>
    <definedName name="TYYYYY_1" localSheetId="26" hidden="1">{#N/A,#N/A,FALSE,"단축1";#N/A,#N/A,FALSE,"단축2";#N/A,#N/A,FALSE,"단축3";#N/A,#N/A,FALSE,"장축";#N/A,#N/A,FALSE,"4WD"}</definedName>
    <definedName name="TYYYYY_1" localSheetId="0" hidden="1">{#N/A,#N/A,FALSE,"단축1";#N/A,#N/A,FALSE,"단축2";#N/A,#N/A,FALSE,"단축3";#N/A,#N/A,FALSE,"장축";#N/A,#N/A,FALSE,"4WD"}</definedName>
    <definedName name="TYYYYY_1" hidden="1">{#N/A,#N/A,FALSE,"단축1";#N/A,#N/A,FALSE,"단축2";#N/A,#N/A,FALSE,"단축3";#N/A,#N/A,FALSE,"장축";#N/A,#N/A,FALSE,"4WD"}</definedName>
    <definedName name="TYYYYY_1_1" localSheetId="26" hidden="1">{#N/A,#N/A,FALSE,"단축1";#N/A,#N/A,FALSE,"단축2";#N/A,#N/A,FALSE,"단축3";#N/A,#N/A,FALSE,"장축";#N/A,#N/A,FALSE,"4WD"}</definedName>
    <definedName name="TYYYYY_1_1" localSheetId="0" hidden="1">{#N/A,#N/A,FALSE,"단축1";#N/A,#N/A,FALSE,"단축2";#N/A,#N/A,FALSE,"단축3";#N/A,#N/A,FALSE,"장축";#N/A,#N/A,FALSE,"4WD"}</definedName>
    <definedName name="TYYYYY_1_1" hidden="1">{#N/A,#N/A,FALSE,"단축1";#N/A,#N/A,FALSE,"단축2";#N/A,#N/A,FALSE,"단축3";#N/A,#N/A,FALSE,"장축";#N/A,#N/A,FALSE,"4WD"}</definedName>
    <definedName name="TYYYYY_1_2" localSheetId="26" hidden="1">{#N/A,#N/A,FALSE,"단축1";#N/A,#N/A,FALSE,"단축2";#N/A,#N/A,FALSE,"단축3";#N/A,#N/A,FALSE,"장축";#N/A,#N/A,FALSE,"4WD"}</definedName>
    <definedName name="TYYYYY_1_2" localSheetId="0" hidden="1">{#N/A,#N/A,FALSE,"단축1";#N/A,#N/A,FALSE,"단축2";#N/A,#N/A,FALSE,"단축3";#N/A,#N/A,FALSE,"장축";#N/A,#N/A,FALSE,"4WD"}</definedName>
    <definedName name="TYYYYY_1_2" hidden="1">{#N/A,#N/A,FALSE,"단축1";#N/A,#N/A,FALSE,"단축2";#N/A,#N/A,FALSE,"단축3";#N/A,#N/A,FALSE,"장축";#N/A,#N/A,FALSE,"4WD"}</definedName>
    <definedName name="TYYYYY_1_3" localSheetId="26" hidden="1">{#N/A,#N/A,FALSE,"단축1";#N/A,#N/A,FALSE,"단축2";#N/A,#N/A,FALSE,"단축3";#N/A,#N/A,FALSE,"장축";#N/A,#N/A,FALSE,"4WD"}</definedName>
    <definedName name="TYYYYY_1_3" localSheetId="0" hidden="1">{#N/A,#N/A,FALSE,"단축1";#N/A,#N/A,FALSE,"단축2";#N/A,#N/A,FALSE,"단축3";#N/A,#N/A,FALSE,"장축";#N/A,#N/A,FALSE,"4WD"}</definedName>
    <definedName name="TYYYYY_1_3" hidden="1">{#N/A,#N/A,FALSE,"단축1";#N/A,#N/A,FALSE,"단축2";#N/A,#N/A,FALSE,"단축3";#N/A,#N/A,FALSE,"장축";#N/A,#N/A,FALSE,"4WD"}</definedName>
    <definedName name="TYYYYY_2" localSheetId="26" hidden="1">{#N/A,#N/A,FALSE,"단축1";#N/A,#N/A,FALSE,"단축2";#N/A,#N/A,FALSE,"단축3";#N/A,#N/A,FALSE,"장축";#N/A,#N/A,FALSE,"4WD"}</definedName>
    <definedName name="TYYYYY_2" localSheetId="0" hidden="1">{#N/A,#N/A,FALSE,"단축1";#N/A,#N/A,FALSE,"단축2";#N/A,#N/A,FALSE,"단축3";#N/A,#N/A,FALSE,"장축";#N/A,#N/A,FALSE,"4WD"}</definedName>
    <definedName name="TYYYYY_2" hidden="1">{#N/A,#N/A,FALSE,"단축1";#N/A,#N/A,FALSE,"단축2";#N/A,#N/A,FALSE,"단축3";#N/A,#N/A,FALSE,"장축";#N/A,#N/A,FALSE,"4WD"}</definedName>
    <definedName name="TYYYYY_2_1" localSheetId="26" hidden="1">{#N/A,#N/A,FALSE,"단축1";#N/A,#N/A,FALSE,"단축2";#N/A,#N/A,FALSE,"단축3";#N/A,#N/A,FALSE,"장축";#N/A,#N/A,FALSE,"4WD"}</definedName>
    <definedName name="TYYYYY_2_1" localSheetId="0" hidden="1">{#N/A,#N/A,FALSE,"단축1";#N/A,#N/A,FALSE,"단축2";#N/A,#N/A,FALSE,"단축3";#N/A,#N/A,FALSE,"장축";#N/A,#N/A,FALSE,"4WD"}</definedName>
    <definedName name="TYYYYY_2_1" hidden="1">{#N/A,#N/A,FALSE,"단축1";#N/A,#N/A,FALSE,"단축2";#N/A,#N/A,FALSE,"단축3";#N/A,#N/A,FALSE,"장축";#N/A,#N/A,FALSE,"4WD"}</definedName>
    <definedName name="TYYYYY_2_2" localSheetId="26" hidden="1">{#N/A,#N/A,FALSE,"단축1";#N/A,#N/A,FALSE,"단축2";#N/A,#N/A,FALSE,"단축3";#N/A,#N/A,FALSE,"장축";#N/A,#N/A,FALSE,"4WD"}</definedName>
    <definedName name="TYYYYY_2_2" localSheetId="0" hidden="1">{#N/A,#N/A,FALSE,"단축1";#N/A,#N/A,FALSE,"단축2";#N/A,#N/A,FALSE,"단축3";#N/A,#N/A,FALSE,"장축";#N/A,#N/A,FALSE,"4WD"}</definedName>
    <definedName name="TYYYYY_2_2" hidden="1">{#N/A,#N/A,FALSE,"단축1";#N/A,#N/A,FALSE,"단축2";#N/A,#N/A,FALSE,"단축3";#N/A,#N/A,FALSE,"장축";#N/A,#N/A,FALSE,"4WD"}</definedName>
    <definedName name="TYYYYY_3" localSheetId="26" hidden="1">{#N/A,#N/A,FALSE,"단축1";#N/A,#N/A,FALSE,"단축2";#N/A,#N/A,FALSE,"단축3";#N/A,#N/A,FALSE,"장축";#N/A,#N/A,FALSE,"4WD"}</definedName>
    <definedName name="TYYYYY_3" localSheetId="0" hidden="1">{#N/A,#N/A,FALSE,"단축1";#N/A,#N/A,FALSE,"단축2";#N/A,#N/A,FALSE,"단축3";#N/A,#N/A,FALSE,"장축";#N/A,#N/A,FALSE,"4WD"}</definedName>
    <definedName name="TYYYYY_3" hidden="1">{#N/A,#N/A,FALSE,"단축1";#N/A,#N/A,FALSE,"단축2";#N/A,#N/A,FALSE,"단축3";#N/A,#N/A,FALSE,"장축";#N/A,#N/A,FALSE,"4WD"}</definedName>
    <definedName name="TYYYYY_4" localSheetId="26" hidden="1">{#N/A,#N/A,FALSE,"단축1";#N/A,#N/A,FALSE,"단축2";#N/A,#N/A,FALSE,"단축3";#N/A,#N/A,FALSE,"장축";#N/A,#N/A,FALSE,"4WD"}</definedName>
    <definedName name="TYYYYY_4" localSheetId="0" hidden="1">{#N/A,#N/A,FALSE,"단축1";#N/A,#N/A,FALSE,"단축2";#N/A,#N/A,FALSE,"단축3";#N/A,#N/A,FALSE,"장축";#N/A,#N/A,FALSE,"4WD"}</definedName>
    <definedName name="TYYYYY_4" hidden="1">{#N/A,#N/A,FALSE,"단축1";#N/A,#N/A,FALSE,"단축2";#N/A,#N/A,FALSE,"단축3";#N/A,#N/A,FALSE,"장축";#N/A,#N/A,FALSE,"4WD"}</definedName>
    <definedName name="TYYYYY_5" localSheetId="26" hidden="1">{#N/A,#N/A,FALSE,"단축1";#N/A,#N/A,FALSE,"단축2";#N/A,#N/A,FALSE,"단축3";#N/A,#N/A,FALSE,"장축";#N/A,#N/A,FALSE,"4WD"}</definedName>
    <definedName name="TYYYYY_5" localSheetId="0" hidden="1">{#N/A,#N/A,FALSE,"단축1";#N/A,#N/A,FALSE,"단축2";#N/A,#N/A,FALSE,"단축3";#N/A,#N/A,FALSE,"장축";#N/A,#N/A,FALSE,"4WD"}</definedName>
    <definedName name="TYYYYY_5" hidden="1">{#N/A,#N/A,FALSE,"단축1";#N/A,#N/A,FALSE,"단축2";#N/A,#N/A,FALSE,"단축3";#N/A,#N/A,FALSE,"장축";#N/A,#N/A,FALSE,"4WD"}</definedName>
    <definedName name="u" localSheetId="9" hidden="1">[1]MOTO!#REF!</definedName>
    <definedName name="u" localSheetId="1" hidden="1">[1]MOTO!#REF!</definedName>
    <definedName name="u" localSheetId="23" hidden="1">[1]MOTO!#REF!</definedName>
    <definedName name="u" localSheetId="22" hidden="1">[1]MOTO!#REF!</definedName>
    <definedName name="u" localSheetId="26" hidden="1">[18]MOTO!#REF!</definedName>
    <definedName name="u" localSheetId="14" hidden="1">[1]MOTO!#REF!</definedName>
    <definedName name="u" localSheetId="21" hidden="1">[18]MOTO!#REF!</definedName>
    <definedName name="u" localSheetId="3" hidden="1">[18]MOTO!#REF!</definedName>
    <definedName name="u" localSheetId="29" hidden="1">[1]MOTO!#REF!</definedName>
    <definedName name="u" localSheetId="28" hidden="1">[18]MOTO!#REF!</definedName>
    <definedName name="u" localSheetId="27" hidden="1">[18]MOTO!#REF!</definedName>
    <definedName name="u" localSheetId="0" hidden="1">[18]MOTO!#REF!</definedName>
    <definedName name="u" hidden="1">[1]MOTO!#REF!</definedName>
    <definedName name="uioiu" localSheetId="26" hidden="1">{#N/A,#N/A,FALSE,"196126-0690";#N/A,#N/A,FALSE,"196126-0690";#N/A,#N/A,FALSE,"1961165-0201"}</definedName>
    <definedName name="uioiu" localSheetId="0" hidden="1">{#N/A,#N/A,FALSE,"196126-0690";#N/A,#N/A,FALSE,"196126-0690";#N/A,#N/A,FALSE,"1961165-0201"}</definedName>
    <definedName name="uioiu" hidden="1">{#N/A,#N/A,FALSE,"196126-0690";#N/A,#N/A,FALSE,"196126-0690";#N/A,#N/A,FALSE,"1961165-0201"}</definedName>
    <definedName name="uioiu_1" localSheetId="26" hidden="1">{#N/A,#N/A,FALSE,"196126-0690";#N/A,#N/A,FALSE,"196126-0690";#N/A,#N/A,FALSE,"1961165-0201"}</definedName>
    <definedName name="uioiu_1" localSheetId="0" hidden="1">{#N/A,#N/A,FALSE,"196126-0690";#N/A,#N/A,FALSE,"196126-0690";#N/A,#N/A,FALSE,"1961165-0201"}</definedName>
    <definedName name="uioiu_1" hidden="1">{#N/A,#N/A,FALSE,"196126-0690";#N/A,#N/A,FALSE,"196126-0690";#N/A,#N/A,FALSE,"1961165-0201"}</definedName>
    <definedName name="uioiu_1_1" localSheetId="26" hidden="1">{#N/A,#N/A,FALSE,"196126-0690";#N/A,#N/A,FALSE,"196126-0690";#N/A,#N/A,FALSE,"1961165-0201"}</definedName>
    <definedName name="uioiu_1_1" localSheetId="0" hidden="1">{#N/A,#N/A,FALSE,"196126-0690";#N/A,#N/A,FALSE,"196126-0690";#N/A,#N/A,FALSE,"1961165-0201"}</definedName>
    <definedName name="uioiu_1_1" hidden="1">{#N/A,#N/A,FALSE,"196126-0690";#N/A,#N/A,FALSE,"196126-0690";#N/A,#N/A,FALSE,"1961165-0201"}</definedName>
    <definedName name="uioiu_1_2" localSheetId="26" hidden="1">{#N/A,#N/A,FALSE,"196126-0690";#N/A,#N/A,FALSE,"196126-0690";#N/A,#N/A,FALSE,"1961165-0201"}</definedName>
    <definedName name="uioiu_1_2" localSheetId="0" hidden="1">{#N/A,#N/A,FALSE,"196126-0690";#N/A,#N/A,FALSE,"196126-0690";#N/A,#N/A,FALSE,"1961165-0201"}</definedName>
    <definedName name="uioiu_1_2" hidden="1">{#N/A,#N/A,FALSE,"196126-0690";#N/A,#N/A,FALSE,"196126-0690";#N/A,#N/A,FALSE,"1961165-0201"}</definedName>
    <definedName name="uioiu_1_3" localSheetId="26" hidden="1">{#N/A,#N/A,FALSE,"196126-0690";#N/A,#N/A,FALSE,"196126-0690";#N/A,#N/A,FALSE,"1961165-0201"}</definedName>
    <definedName name="uioiu_1_3" localSheetId="0" hidden="1">{#N/A,#N/A,FALSE,"196126-0690";#N/A,#N/A,FALSE,"196126-0690";#N/A,#N/A,FALSE,"1961165-0201"}</definedName>
    <definedName name="uioiu_1_3" hidden="1">{#N/A,#N/A,FALSE,"196126-0690";#N/A,#N/A,FALSE,"196126-0690";#N/A,#N/A,FALSE,"1961165-0201"}</definedName>
    <definedName name="uioiu_2" localSheetId="26" hidden="1">{#N/A,#N/A,FALSE,"196126-0690";#N/A,#N/A,FALSE,"196126-0690";#N/A,#N/A,FALSE,"1961165-0201"}</definedName>
    <definedName name="uioiu_2" localSheetId="0" hidden="1">{#N/A,#N/A,FALSE,"196126-0690";#N/A,#N/A,FALSE,"196126-0690";#N/A,#N/A,FALSE,"1961165-0201"}</definedName>
    <definedName name="uioiu_2" hidden="1">{#N/A,#N/A,FALSE,"196126-0690";#N/A,#N/A,FALSE,"196126-0690";#N/A,#N/A,FALSE,"1961165-0201"}</definedName>
    <definedName name="uioiu_2_1" localSheetId="26" hidden="1">{#N/A,#N/A,FALSE,"196126-0690";#N/A,#N/A,FALSE,"196126-0690";#N/A,#N/A,FALSE,"1961165-0201"}</definedName>
    <definedName name="uioiu_2_1" localSheetId="0" hidden="1">{#N/A,#N/A,FALSE,"196126-0690";#N/A,#N/A,FALSE,"196126-0690";#N/A,#N/A,FALSE,"1961165-0201"}</definedName>
    <definedName name="uioiu_2_1" hidden="1">{#N/A,#N/A,FALSE,"196126-0690";#N/A,#N/A,FALSE,"196126-0690";#N/A,#N/A,FALSE,"1961165-0201"}</definedName>
    <definedName name="uioiu_2_2" localSheetId="26" hidden="1">{#N/A,#N/A,FALSE,"196126-0690";#N/A,#N/A,FALSE,"196126-0690";#N/A,#N/A,FALSE,"1961165-0201"}</definedName>
    <definedName name="uioiu_2_2" localSheetId="0" hidden="1">{#N/A,#N/A,FALSE,"196126-0690";#N/A,#N/A,FALSE,"196126-0690";#N/A,#N/A,FALSE,"1961165-0201"}</definedName>
    <definedName name="uioiu_2_2" hidden="1">{#N/A,#N/A,FALSE,"196126-0690";#N/A,#N/A,FALSE,"196126-0690";#N/A,#N/A,FALSE,"1961165-0201"}</definedName>
    <definedName name="uioiu_3" localSheetId="26" hidden="1">{#N/A,#N/A,FALSE,"196126-0690";#N/A,#N/A,FALSE,"196126-0690";#N/A,#N/A,FALSE,"1961165-0201"}</definedName>
    <definedName name="uioiu_3" localSheetId="0" hidden="1">{#N/A,#N/A,FALSE,"196126-0690";#N/A,#N/A,FALSE,"196126-0690";#N/A,#N/A,FALSE,"1961165-0201"}</definedName>
    <definedName name="uioiu_3" hidden="1">{#N/A,#N/A,FALSE,"196126-0690";#N/A,#N/A,FALSE,"196126-0690";#N/A,#N/A,FALSE,"1961165-0201"}</definedName>
    <definedName name="uioiu_4" localSheetId="26" hidden="1">{#N/A,#N/A,FALSE,"196126-0690";#N/A,#N/A,FALSE,"196126-0690";#N/A,#N/A,FALSE,"1961165-0201"}</definedName>
    <definedName name="uioiu_4" localSheetId="0" hidden="1">{#N/A,#N/A,FALSE,"196126-0690";#N/A,#N/A,FALSE,"196126-0690";#N/A,#N/A,FALSE,"1961165-0201"}</definedName>
    <definedName name="uioiu_4" hidden="1">{#N/A,#N/A,FALSE,"196126-0690";#N/A,#N/A,FALSE,"196126-0690";#N/A,#N/A,FALSE,"1961165-0201"}</definedName>
    <definedName name="uioiu_5" localSheetId="26" hidden="1">{#N/A,#N/A,FALSE,"196126-0690";#N/A,#N/A,FALSE,"196126-0690";#N/A,#N/A,FALSE,"1961165-0201"}</definedName>
    <definedName name="uioiu_5" localSheetId="0" hidden="1">{#N/A,#N/A,FALSE,"196126-0690";#N/A,#N/A,FALSE,"196126-0690";#N/A,#N/A,FALSE,"1961165-0201"}</definedName>
    <definedName name="uioiu_5" hidden="1">{#N/A,#N/A,FALSE,"196126-0690";#N/A,#N/A,FALSE,"196126-0690";#N/A,#N/A,FALSE,"1961165-0201"}</definedName>
    <definedName name="vga" localSheetId="26" hidden="1">{#N/A,#N/A,TRUE,"Summary";#N/A,#N/A,TRUE,"Balance Sheet";#N/A,#N/A,TRUE,"P &amp; L";#N/A,#N/A,TRUE,"Fixed Assets";#N/A,#N/A,TRUE,"Cash Flows"}</definedName>
    <definedName name="vga" localSheetId="21" hidden="1">{#N/A,#N/A,TRUE,"Summary";#N/A,#N/A,TRUE,"Balance Sheet";#N/A,#N/A,TRUE,"P &amp; L";#N/A,#N/A,TRUE,"Fixed Assets";#N/A,#N/A,TRUE,"Cash Flows"}</definedName>
    <definedName name="vga" localSheetId="3" hidden="1">{#N/A,#N/A,TRUE,"Summary";#N/A,#N/A,TRUE,"Balance Sheet";#N/A,#N/A,TRUE,"P &amp; L";#N/A,#N/A,TRUE,"Fixed Assets";#N/A,#N/A,TRUE,"Cash Flows"}</definedName>
    <definedName name="vga" localSheetId="27" hidden="1">{#N/A,#N/A,TRUE,"Summary";#N/A,#N/A,TRUE,"Balance Sheet";#N/A,#N/A,TRUE,"P &amp; L";#N/A,#N/A,TRUE,"Fixed Assets";#N/A,#N/A,TRUE,"Cash Flows"}</definedName>
    <definedName name="vga" localSheetId="0" hidden="1">{#N/A,#N/A,TRUE,"Summary";#N/A,#N/A,TRUE,"Balance Sheet";#N/A,#N/A,TRUE,"P &amp; L";#N/A,#N/A,TRUE,"Fixed Assets";#N/A,#N/A,TRUE,"Cash Flows"}</definedName>
    <definedName name="vga" hidden="1">{#N/A,#N/A,TRUE,"Summary";#N/A,#N/A,TRUE,"Balance Sheet";#N/A,#N/A,TRUE,"P &amp; L";#N/A,#N/A,TRUE,"Fixed Assets";#N/A,#N/A,TRUE,"Cash Flows"}</definedName>
    <definedName name="vga_1" localSheetId="26" hidden="1">{#N/A,#N/A,TRUE,"Summary";#N/A,#N/A,TRUE,"Balance Sheet";#N/A,#N/A,TRUE,"P &amp; L";#N/A,#N/A,TRUE,"Fixed Assets";#N/A,#N/A,TRUE,"Cash Flows"}</definedName>
    <definedName name="vga_1" localSheetId="0" hidden="1">{#N/A,#N/A,TRUE,"Summary";#N/A,#N/A,TRUE,"Balance Sheet";#N/A,#N/A,TRUE,"P &amp; L";#N/A,#N/A,TRUE,"Fixed Assets";#N/A,#N/A,TRUE,"Cash Flows"}</definedName>
    <definedName name="vga_1" hidden="1">{#N/A,#N/A,TRUE,"Summary";#N/A,#N/A,TRUE,"Balance Sheet";#N/A,#N/A,TRUE,"P &amp; L";#N/A,#N/A,TRUE,"Fixed Assets";#N/A,#N/A,TRUE,"Cash Flows"}</definedName>
    <definedName name="vga_1_1" localSheetId="26" hidden="1">{#N/A,#N/A,TRUE,"Summary";#N/A,#N/A,TRUE,"Balance Sheet";#N/A,#N/A,TRUE,"P &amp; L";#N/A,#N/A,TRUE,"Fixed Assets";#N/A,#N/A,TRUE,"Cash Flows"}</definedName>
    <definedName name="vga_1_1" localSheetId="0" hidden="1">{#N/A,#N/A,TRUE,"Summary";#N/A,#N/A,TRUE,"Balance Sheet";#N/A,#N/A,TRUE,"P &amp; L";#N/A,#N/A,TRUE,"Fixed Assets";#N/A,#N/A,TRUE,"Cash Flows"}</definedName>
    <definedName name="vga_1_1" hidden="1">{#N/A,#N/A,TRUE,"Summary";#N/A,#N/A,TRUE,"Balance Sheet";#N/A,#N/A,TRUE,"P &amp; L";#N/A,#N/A,TRUE,"Fixed Assets";#N/A,#N/A,TRUE,"Cash Flows"}</definedName>
    <definedName name="vga_1_2" localSheetId="26" hidden="1">{#N/A,#N/A,TRUE,"Summary";#N/A,#N/A,TRUE,"Balance Sheet";#N/A,#N/A,TRUE,"P &amp; L";#N/A,#N/A,TRUE,"Fixed Assets";#N/A,#N/A,TRUE,"Cash Flows"}</definedName>
    <definedName name="vga_1_2" localSheetId="0" hidden="1">{#N/A,#N/A,TRUE,"Summary";#N/A,#N/A,TRUE,"Balance Sheet";#N/A,#N/A,TRUE,"P &amp; L";#N/A,#N/A,TRUE,"Fixed Assets";#N/A,#N/A,TRUE,"Cash Flows"}</definedName>
    <definedName name="vga_1_2" hidden="1">{#N/A,#N/A,TRUE,"Summary";#N/A,#N/A,TRUE,"Balance Sheet";#N/A,#N/A,TRUE,"P &amp; L";#N/A,#N/A,TRUE,"Fixed Assets";#N/A,#N/A,TRUE,"Cash Flows"}</definedName>
    <definedName name="vga_1_3" localSheetId="26" hidden="1">{#N/A,#N/A,TRUE,"Summary";#N/A,#N/A,TRUE,"Balance Sheet";#N/A,#N/A,TRUE,"P &amp; L";#N/A,#N/A,TRUE,"Fixed Assets";#N/A,#N/A,TRUE,"Cash Flows"}</definedName>
    <definedName name="vga_1_3" localSheetId="0" hidden="1">{#N/A,#N/A,TRUE,"Summary";#N/A,#N/A,TRUE,"Balance Sheet";#N/A,#N/A,TRUE,"P &amp; L";#N/A,#N/A,TRUE,"Fixed Assets";#N/A,#N/A,TRUE,"Cash Flows"}</definedName>
    <definedName name="vga_1_3" hidden="1">{#N/A,#N/A,TRUE,"Summary";#N/A,#N/A,TRUE,"Balance Sheet";#N/A,#N/A,TRUE,"P &amp; L";#N/A,#N/A,TRUE,"Fixed Assets";#N/A,#N/A,TRUE,"Cash Flows"}</definedName>
    <definedName name="vga_2" localSheetId="26" hidden="1">{#N/A,#N/A,TRUE,"Summary";#N/A,#N/A,TRUE,"Balance Sheet";#N/A,#N/A,TRUE,"P &amp; L";#N/A,#N/A,TRUE,"Fixed Assets";#N/A,#N/A,TRUE,"Cash Flows"}</definedName>
    <definedName name="vga_2" localSheetId="0" hidden="1">{#N/A,#N/A,TRUE,"Summary";#N/A,#N/A,TRUE,"Balance Sheet";#N/A,#N/A,TRUE,"P &amp; L";#N/A,#N/A,TRUE,"Fixed Assets";#N/A,#N/A,TRUE,"Cash Flows"}</definedName>
    <definedName name="vga_2" hidden="1">{#N/A,#N/A,TRUE,"Summary";#N/A,#N/A,TRUE,"Balance Sheet";#N/A,#N/A,TRUE,"P &amp; L";#N/A,#N/A,TRUE,"Fixed Assets";#N/A,#N/A,TRUE,"Cash Flows"}</definedName>
    <definedName name="vga_2_1" localSheetId="26" hidden="1">{#N/A,#N/A,TRUE,"Summary";#N/A,#N/A,TRUE,"Balance Sheet";#N/A,#N/A,TRUE,"P &amp; L";#N/A,#N/A,TRUE,"Fixed Assets";#N/A,#N/A,TRUE,"Cash Flows"}</definedName>
    <definedName name="vga_2_1" localSheetId="0" hidden="1">{#N/A,#N/A,TRUE,"Summary";#N/A,#N/A,TRUE,"Balance Sheet";#N/A,#N/A,TRUE,"P &amp; L";#N/A,#N/A,TRUE,"Fixed Assets";#N/A,#N/A,TRUE,"Cash Flows"}</definedName>
    <definedName name="vga_2_1" hidden="1">{#N/A,#N/A,TRUE,"Summary";#N/A,#N/A,TRUE,"Balance Sheet";#N/A,#N/A,TRUE,"P &amp; L";#N/A,#N/A,TRUE,"Fixed Assets";#N/A,#N/A,TRUE,"Cash Flows"}</definedName>
    <definedName name="vga_2_2" localSheetId="26" hidden="1">{#N/A,#N/A,TRUE,"Summary";#N/A,#N/A,TRUE,"Balance Sheet";#N/A,#N/A,TRUE,"P &amp; L";#N/A,#N/A,TRUE,"Fixed Assets";#N/A,#N/A,TRUE,"Cash Flows"}</definedName>
    <definedName name="vga_2_2" localSheetId="0" hidden="1">{#N/A,#N/A,TRUE,"Summary";#N/A,#N/A,TRUE,"Balance Sheet";#N/A,#N/A,TRUE,"P &amp; L";#N/A,#N/A,TRUE,"Fixed Assets";#N/A,#N/A,TRUE,"Cash Flows"}</definedName>
    <definedName name="vga_2_2" hidden="1">{#N/A,#N/A,TRUE,"Summary";#N/A,#N/A,TRUE,"Balance Sheet";#N/A,#N/A,TRUE,"P &amp; L";#N/A,#N/A,TRUE,"Fixed Assets";#N/A,#N/A,TRUE,"Cash Flows"}</definedName>
    <definedName name="vga_3" localSheetId="26" hidden="1">{#N/A,#N/A,TRUE,"Summary";#N/A,#N/A,TRUE,"Balance Sheet";#N/A,#N/A,TRUE,"P &amp; L";#N/A,#N/A,TRUE,"Fixed Assets";#N/A,#N/A,TRUE,"Cash Flows"}</definedName>
    <definedName name="vga_3" localSheetId="0" hidden="1">{#N/A,#N/A,TRUE,"Summary";#N/A,#N/A,TRUE,"Balance Sheet";#N/A,#N/A,TRUE,"P &amp; L";#N/A,#N/A,TRUE,"Fixed Assets";#N/A,#N/A,TRUE,"Cash Flows"}</definedName>
    <definedName name="vga_3" hidden="1">{#N/A,#N/A,TRUE,"Summary";#N/A,#N/A,TRUE,"Balance Sheet";#N/A,#N/A,TRUE,"P &amp; L";#N/A,#N/A,TRUE,"Fixed Assets";#N/A,#N/A,TRUE,"Cash Flows"}</definedName>
    <definedName name="vga_4" localSheetId="26" hidden="1">{#N/A,#N/A,TRUE,"Summary";#N/A,#N/A,TRUE,"Balance Sheet";#N/A,#N/A,TRUE,"P &amp; L";#N/A,#N/A,TRUE,"Fixed Assets";#N/A,#N/A,TRUE,"Cash Flows"}</definedName>
    <definedName name="vga_4" localSheetId="0" hidden="1">{#N/A,#N/A,TRUE,"Summary";#N/A,#N/A,TRUE,"Balance Sheet";#N/A,#N/A,TRUE,"P &amp; L";#N/A,#N/A,TRUE,"Fixed Assets";#N/A,#N/A,TRUE,"Cash Flows"}</definedName>
    <definedName name="vga_4" hidden="1">{#N/A,#N/A,TRUE,"Summary";#N/A,#N/A,TRUE,"Balance Sheet";#N/A,#N/A,TRUE,"P &amp; L";#N/A,#N/A,TRUE,"Fixed Assets";#N/A,#N/A,TRUE,"Cash Flows"}</definedName>
    <definedName name="vga_5" localSheetId="26" hidden="1">{#N/A,#N/A,TRUE,"Summary";#N/A,#N/A,TRUE,"Balance Sheet";#N/A,#N/A,TRUE,"P &amp; L";#N/A,#N/A,TRUE,"Fixed Assets";#N/A,#N/A,TRUE,"Cash Flows"}</definedName>
    <definedName name="vga_5" localSheetId="0" hidden="1">{#N/A,#N/A,TRUE,"Summary";#N/A,#N/A,TRUE,"Balance Sheet";#N/A,#N/A,TRUE,"P &amp; L";#N/A,#N/A,TRUE,"Fixed Assets";#N/A,#N/A,TRUE,"Cash Flows"}</definedName>
    <definedName name="vga_5" hidden="1">{#N/A,#N/A,TRUE,"Summary";#N/A,#N/A,TRUE,"Balance Sheet";#N/A,#N/A,TRUE,"P &amp; L";#N/A,#N/A,TRUE,"Fixed Assets";#N/A,#N/A,TRUE,"Cash Flows"}</definedName>
    <definedName name="W" localSheetId="22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" localSheetId="14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" localSheetId="29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A" localSheetId="26" hidden="1">{#N/A,#N/A,FALSE,"초도품";#N/A,#N/A,FALSE,"초도품 (2)";#N/A,#N/A,FALSE,"초도품 (3)";#N/A,#N/A,FALSE,"초도품 (4)";#N/A,#N/A,FALSE,"초도품 (5)";#N/A,#N/A,FALSE,"초도품 (6)"}</definedName>
    <definedName name="WA" localSheetId="0" hidden="1">{#N/A,#N/A,FALSE,"초도품";#N/A,#N/A,FALSE,"초도품 (2)";#N/A,#N/A,FALSE,"초도품 (3)";#N/A,#N/A,FALSE,"초도품 (4)";#N/A,#N/A,FALSE,"초도품 (5)";#N/A,#N/A,FALSE,"초도품 (6)"}</definedName>
    <definedName name="WA" hidden="1">{#N/A,#N/A,FALSE,"초도품";#N/A,#N/A,FALSE,"초도품 (2)";#N/A,#N/A,FALSE,"초도품 (3)";#N/A,#N/A,FALSE,"초도품 (4)";#N/A,#N/A,FALSE,"초도품 (5)";#N/A,#N/A,FALSE,"초도품 (6)"}</definedName>
    <definedName name="WA_1" localSheetId="26" hidden="1">{#N/A,#N/A,FALSE,"초도품";#N/A,#N/A,FALSE,"초도품 (2)";#N/A,#N/A,FALSE,"초도품 (3)";#N/A,#N/A,FALSE,"초도품 (4)";#N/A,#N/A,FALSE,"초도품 (5)";#N/A,#N/A,FALSE,"초도품 (6)"}</definedName>
    <definedName name="WA_1" localSheetId="0" hidden="1">{#N/A,#N/A,FALSE,"초도품";#N/A,#N/A,FALSE,"초도품 (2)";#N/A,#N/A,FALSE,"초도품 (3)";#N/A,#N/A,FALSE,"초도품 (4)";#N/A,#N/A,FALSE,"초도품 (5)";#N/A,#N/A,FALSE,"초도품 (6)"}</definedName>
    <definedName name="WA_1" hidden="1">{#N/A,#N/A,FALSE,"초도품";#N/A,#N/A,FALSE,"초도품 (2)";#N/A,#N/A,FALSE,"초도품 (3)";#N/A,#N/A,FALSE,"초도품 (4)";#N/A,#N/A,FALSE,"초도품 (5)";#N/A,#N/A,FALSE,"초도품 (6)"}</definedName>
    <definedName name="WA_1_1" localSheetId="26" hidden="1">{#N/A,#N/A,FALSE,"초도품";#N/A,#N/A,FALSE,"초도품 (2)";#N/A,#N/A,FALSE,"초도품 (3)";#N/A,#N/A,FALSE,"초도품 (4)";#N/A,#N/A,FALSE,"초도품 (5)";#N/A,#N/A,FALSE,"초도품 (6)"}</definedName>
    <definedName name="WA_1_1" localSheetId="0" hidden="1">{#N/A,#N/A,FALSE,"초도품";#N/A,#N/A,FALSE,"초도품 (2)";#N/A,#N/A,FALSE,"초도품 (3)";#N/A,#N/A,FALSE,"초도품 (4)";#N/A,#N/A,FALSE,"초도품 (5)";#N/A,#N/A,FALSE,"초도품 (6)"}</definedName>
    <definedName name="WA_1_1" hidden="1">{#N/A,#N/A,FALSE,"초도품";#N/A,#N/A,FALSE,"초도품 (2)";#N/A,#N/A,FALSE,"초도품 (3)";#N/A,#N/A,FALSE,"초도품 (4)";#N/A,#N/A,FALSE,"초도품 (5)";#N/A,#N/A,FALSE,"초도품 (6)"}</definedName>
    <definedName name="WA_1_2" localSheetId="26" hidden="1">{#N/A,#N/A,FALSE,"초도품";#N/A,#N/A,FALSE,"초도품 (2)";#N/A,#N/A,FALSE,"초도품 (3)";#N/A,#N/A,FALSE,"초도품 (4)";#N/A,#N/A,FALSE,"초도품 (5)";#N/A,#N/A,FALSE,"초도품 (6)"}</definedName>
    <definedName name="WA_1_2" localSheetId="0" hidden="1">{#N/A,#N/A,FALSE,"초도품";#N/A,#N/A,FALSE,"초도품 (2)";#N/A,#N/A,FALSE,"초도품 (3)";#N/A,#N/A,FALSE,"초도품 (4)";#N/A,#N/A,FALSE,"초도품 (5)";#N/A,#N/A,FALSE,"초도품 (6)"}</definedName>
    <definedName name="WA_1_2" hidden="1">{#N/A,#N/A,FALSE,"초도품";#N/A,#N/A,FALSE,"초도품 (2)";#N/A,#N/A,FALSE,"초도품 (3)";#N/A,#N/A,FALSE,"초도품 (4)";#N/A,#N/A,FALSE,"초도품 (5)";#N/A,#N/A,FALSE,"초도품 (6)"}</definedName>
    <definedName name="WA_1_3" localSheetId="26" hidden="1">{#N/A,#N/A,FALSE,"초도품";#N/A,#N/A,FALSE,"초도품 (2)";#N/A,#N/A,FALSE,"초도품 (3)";#N/A,#N/A,FALSE,"초도품 (4)";#N/A,#N/A,FALSE,"초도품 (5)";#N/A,#N/A,FALSE,"초도품 (6)"}</definedName>
    <definedName name="WA_1_3" localSheetId="0" hidden="1">{#N/A,#N/A,FALSE,"초도품";#N/A,#N/A,FALSE,"초도품 (2)";#N/A,#N/A,FALSE,"초도품 (3)";#N/A,#N/A,FALSE,"초도품 (4)";#N/A,#N/A,FALSE,"초도품 (5)";#N/A,#N/A,FALSE,"초도품 (6)"}</definedName>
    <definedName name="WA_1_3" hidden="1">{#N/A,#N/A,FALSE,"초도품";#N/A,#N/A,FALSE,"초도품 (2)";#N/A,#N/A,FALSE,"초도품 (3)";#N/A,#N/A,FALSE,"초도품 (4)";#N/A,#N/A,FALSE,"초도품 (5)";#N/A,#N/A,FALSE,"초도품 (6)"}</definedName>
    <definedName name="WA_2" localSheetId="26" hidden="1">{#N/A,#N/A,FALSE,"초도품";#N/A,#N/A,FALSE,"초도품 (2)";#N/A,#N/A,FALSE,"초도품 (3)";#N/A,#N/A,FALSE,"초도품 (4)";#N/A,#N/A,FALSE,"초도품 (5)";#N/A,#N/A,FALSE,"초도품 (6)"}</definedName>
    <definedName name="WA_2" localSheetId="0" hidden="1">{#N/A,#N/A,FALSE,"초도품";#N/A,#N/A,FALSE,"초도품 (2)";#N/A,#N/A,FALSE,"초도품 (3)";#N/A,#N/A,FALSE,"초도품 (4)";#N/A,#N/A,FALSE,"초도품 (5)";#N/A,#N/A,FALSE,"초도품 (6)"}</definedName>
    <definedName name="WA_2" hidden="1">{#N/A,#N/A,FALSE,"초도품";#N/A,#N/A,FALSE,"초도품 (2)";#N/A,#N/A,FALSE,"초도품 (3)";#N/A,#N/A,FALSE,"초도품 (4)";#N/A,#N/A,FALSE,"초도품 (5)";#N/A,#N/A,FALSE,"초도품 (6)"}</definedName>
    <definedName name="WA_2_1" localSheetId="26" hidden="1">{#N/A,#N/A,FALSE,"초도품";#N/A,#N/A,FALSE,"초도품 (2)";#N/A,#N/A,FALSE,"초도품 (3)";#N/A,#N/A,FALSE,"초도품 (4)";#N/A,#N/A,FALSE,"초도품 (5)";#N/A,#N/A,FALSE,"초도품 (6)"}</definedName>
    <definedName name="WA_2_1" localSheetId="0" hidden="1">{#N/A,#N/A,FALSE,"초도품";#N/A,#N/A,FALSE,"초도품 (2)";#N/A,#N/A,FALSE,"초도품 (3)";#N/A,#N/A,FALSE,"초도품 (4)";#N/A,#N/A,FALSE,"초도품 (5)";#N/A,#N/A,FALSE,"초도품 (6)"}</definedName>
    <definedName name="WA_2_1" hidden="1">{#N/A,#N/A,FALSE,"초도품";#N/A,#N/A,FALSE,"초도품 (2)";#N/A,#N/A,FALSE,"초도품 (3)";#N/A,#N/A,FALSE,"초도품 (4)";#N/A,#N/A,FALSE,"초도품 (5)";#N/A,#N/A,FALSE,"초도품 (6)"}</definedName>
    <definedName name="WA_2_2" localSheetId="26" hidden="1">{#N/A,#N/A,FALSE,"초도품";#N/A,#N/A,FALSE,"초도품 (2)";#N/A,#N/A,FALSE,"초도품 (3)";#N/A,#N/A,FALSE,"초도품 (4)";#N/A,#N/A,FALSE,"초도품 (5)";#N/A,#N/A,FALSE,"초도품 (6)"}</definedName>
    <definedName name="WA_2_2" localSheetId="0" hidden="1">{#N/A,#N/A,FALSE,"초도품";#N/A,#N/A,FALSE,"초도품 (2)";#N/A,#N/A,FALSE,"초도품 (3)";#N/A,#N/A,FALSE,"초도품 (4)";#N/A,#N/A,FALSE,"초도품 (5)";#N/A,#N/A,FALSE,"초도품 (6)"}</definedName>
    <definedName name="WA_2_2" hidden="1">{#N/A,#N/A,FALSE,"초도품";#N/A,#N/A,FALSE,"초도품 (2)";#N/A,#N/A,FALSE,"초도품 (3)";#N/A,#N/A,FALSE,"초도품 (4)";#N/A,#N/A,FALSE,"초도품 (5)";#N/A,#N/A,FALSE,"초도품 (6)"}</definedName>
    <definedName name="WA_3" localSheetId="26" hidden="1">{#N/A,#N/A,FALSE,"초도품";#N/A,#N/A,FALSE,"초도품 (2)";#N/A,#N/A,FALSE,"초도품 (3)";#N/A,#N/A,FALSE,"초도품 (4)";#N/A,#N/A,FALSE,"초도품 (5)";#N/A,#N/A,FALSE,"초도품 (6)"}</definedName>
    <definedName name="WA_3" localSheetId="0" hidden="1">{#N/A,#N/A,FALSE,"초도품";#N/A,#N/A,FALSE,"초도품 (2)";#N/A,#N/A,FALSE,"초도품 (3)";#N/A,#N/A,FALSE,"초도품 (4)";#N/A,#N/A,FALSE,"초도품 (5)";#N/A,#N/A,FALSE,"초도품 (6)"}</definedName>
    <definedName name="WA_3" hidden="1">{#N/A,#N/A,FALSE,"초도품";#N/A,#N/A,FALSE,"초도품 (2)";#N/A,#N/A,FALSE,"초도품 (3)";#N/A,#N/A,FALSE,"초도품 (4)";#N/A,#N/A,FALSE,"초도품 (5)";#N/A,#N/A,FALSE,"초도품 (6)"}</definedName>
    <definedName name="WA_4" localSheetId="26" hidden="1">{#N/A,#N/A,FALSE,"초도품";#N/A,#N/A,FALSE,"초도품 (2)";#N/A,#N/A,FALSE,"초도품 (3)";#N/A,#N/A,FALSE,"초도품 (4)";#N/A,#N/A,FALSE,"초도품 (5)";#N/A,#N/A,FALSE,"초도품 (6)"}</definedName>
    <definedName name="WA_4" localSheetId="0" hidden="1">{#N/A,#N/A,FALSE,"초도품";#N/A,#N/A,FALSE,"초도품 (2)";#N/A,#N/A,FALSE,"초도품 (3)";#N/A,#N/A,FALSE,"초도품 (4)";#N/A,#N/A,FALSE,"초도품 (5)";#N/A,#N/A,FALSE,"초도품 (6)"}</definedName>
    <definedName name="WA_4" hidden="1">{#N/A,#N/A,FALSE,"초도품";#N/A,#N/A,FALSE,"초도품 (2)";#N/A,#N/A,FALSE,"초도품 (3)";#N/A,#N/A,FALSE,"초도품 (4)";#N/A,#N/A,FALSE,"초도품 (5)";#N/A,#N/A,FALSE,"초도품 (6)"}</definedName>
    <definedName name="WA_5" localSheetId="26" hidden="1">{#N/A,#N/A,FALSE,"초도품";#N/A,#N/A,FALSE,"초도품 (2)";#N/A,#N/A,FALSE,"초도품 (3)";#N/A,#N/A,FALSE,"초도품 (4)";#N/A,#N/A,FALSE,"초도품 (5)";#N/A,#N/A,FALSE,"초도품 (6)"}</definedName>
    <definedName name="WA_5" localSheetId="0" hidden="1">{#N/A,#N/A,FALSE,"초도품";#N/A,#N/A,FALSE,"초도품 (2)";#N/A,#N/A,FALSE,"초도품 (3)";#N/A,#N/A,FALSE,"초도품 (4)";#N/A,#N/A,FALSE,"초도품 (5)";#N/A,#N/A,FALSE,"초도품 (6)"}</definedName>
    <definedName name="WA_5" hidden="1">{#N/A,#N/A,FALSE,"초도품";#N/A,#N/A,FALSE,"초도품 (2)";#N/A,#N/A,FALSE,"초도품 (3)";#N/A,#N/A,FALSE,"초도품 (4)";#N/A,#N/A,FALSE,"초도품 (5)";#N/A,#N/A,FALSE,"초도품 (6)"}</definedName>
    <definedName name="WE" localSheetId="26" hidden="1">{#N/A,#N/A,FALSE,"을지 (4)";#N/A,#N/A,FALSE,"을지 (5)";#N/A,#N/A,FALSE,"을지 (6)"}</definedName>
    <definedName name="WE" localSheetId="0" hidden="1">{#N/A,#N/A,FALSE,"을지 (4)";#N/A,#N/A,FALSE,"을지 (5)";#N/A,#N/A,FALSE,"을지 (6)"}</definedName>
    <definedName name="WE" hidden="1">{#N/A,#N/A,FALSE,"을지 (4)";#N/A,#N/A,FALSE,"을지 (5)";#N/A,#N/A,FALSE,"을지 (6)"}</definedName>
    <definedName name="WE_1" localSheetId="26" hidden="1">{#N/A,#N/A,FALSE,"을지 (4)";#N/A,#N/A,FALSE,"을지 (5)";#N/A,#N/A,FALSE,"을지 (6)"}</definedName>
    <definedName name="WE_1" localSheetId="0" hidden="1">{#N/A,#N/A,FALSE,"을지 (4)";#N/A,#N/A,FALSE,"을지 (5)";#N/A,#N/A,FALSE,"을지 (6)"}</definedName>
    <definedName name="WE_1" hidden="1">{#N/A,#N/A,FALSE,"을지 (4)";#N/A,#N/A,FALSE,"을지 (5)";#N/A,#N/A,FALSE,"을지 (6)"}</definedName>
    <definedName name="WE_1_1" localSheetId="26" hidden="1">{#N/A,#N/A,FALSE,"을지 (4)";#N/A,#N/A,FALSE,"을지 (5)";#N/A,#N/A,FALSE,"을지 (6)"}</definedName>
    <definedName name="WE_1_1" localSheetId="0" hidden="1">{#N/A,#N/A,FALSE,"을지 (4)";#N/A,#N/A,FALSE,"을지 (5)";#N/A,#N/A,FALSE,"을지 (6)"}</definedName>
    <definedName name="WE_1_1" hidden="1">{#N/A,#N/A,FALSE,"을지 (4)";#N/A,#N/A,FALSE,"을지 (5)";#N/A,#N/A,FALSE,"을지 (6)"}</definedName>
    <definedName name="WE_1_2" localSheetId="26" hidden="1">{#N/A,#N/A,FALSE,"을지 (4)";#N/A,#N/A,FALSE,"을지 (5)";#N/A,#N/A,FALSE,"을지 (6)"}</definedName>
    <definedName name="WE_1_2" localSheetId="0" hidden="1">{#N/A,#N/A,FALSE,"을지 (4)";#N/A,#N/A,FALSE,"을지 (5)";#N/A,#N/A,FALSE,"을지 (6)"}</definedName>
    <definedName name="WE_1_2" hidden="1">{#N/A,#N/A,FALSE,"을지 (4)";#N/A,#N/A,FALSE,"을지 (5)";#N/A,#N/A,FALSE,"을지 (6)"}</definedName>
    <definedName name="WE_1_3" localSheetId="26" hidden="1">{#N/A,#N/A,FALSE,"을지 (4)";#N/A,#N/A,FALSE,"을지 (5)";#N/A,#N/A,FALSE,"을지 (6)"}</definedName>
    <definedName name="WE_1_3" localSheetId="0" hidden="1">{#N/A,#N/A,FALSE,"을지 (4)";#N/A,#N/A,FALSE,"을지 (5)";#N/A,#N/A,FALSE,"을지 (6)"}</definedName>
    <definedName name="WE_1_3" hidden="1">{#N/A,#N/A,FALSE,"을지 (4)";#N/A,#N/A,FALSE,"을지 (5)";#N/A,#N/A,FALSE,"을지 (6)"}</definedName>
    <definedName name="WE_2" localSheetId="26" hidden="1">{#N/A,#N/A,FALSE,"을지 (4)";#N/A,#N/A,FALSE,"을지 (5)";#N/A,#N/A,FALSE,"을지 (6)"}</definedName>
    <definedName name="WE_2" localSheetId="0" hidden="1">{#N/A,#N/A,FALSE,"을지 (4)";#N/A,#N/A,FALSE,"을지 (5)";#N/A,#N/A,FALSE,"을지 (6)"}</definedName>
    <definedName name="WE_2" hidden="1">{#N/A,#N/A,FALSE,"을지 (4)";#N/A,#N/A,FALSE,"을지 (5)";#N/A,#N/A,FALSE,"을지 (6)"}</definedName>
    <definedName name="WE_2_1" localSheetId="26" hidden="1">{#N/A,#N/A,FALSE,"을지 (4)";#N/A,#N/A,FALSE,"을지 (5)";#N/A,#N/A,FALSE,"을지 (6)"}</definedName>
    <definedName name="WE_2_1" localSheetId="0" hidden="1">{#N/A,#N/A,FALSE,"을지 (4)";#N/A,#N/A,FALSE,"을지 (5)";#N/A,#N/A,FALSE,"을지 (6)"}</definedName>
    <definedName name="WE_2_1" hidden="1">{#N/A,#N/A,FALSE,"을지 (4)";#N/A,#N/A,FALSE,"을지 (5)";#N/A,#N/A,FALSE,"을지 (6)"}</definedName>
    <definedName name="WE_2_2" localSheetId="26" hidden="1">{#N/A,#N/A,FALSE,"을지 (4)";#N/A,#N/A,FALSE,"을지 (5)";#N/A,#N/A,FALSE,"을지 (6)"}</definedName>
    <definedName name="WE_2_2" localSheetId="0" hidden="1">{#N/A,#N/A,FALSE,"을지 (4)";#N/A,#N/A,FALSE,"을지 (5)";#N/A,#N/A,FALSE,"을지 (6)"}</definedName>
    <definedName name="WE_2_2" hidden="1">{#N/A,#N/A,FALSE,"을지 (4)";#N/A,#N/A,FALSE,"을지 (5)";#N/A,#N/A,FALSE,"을지 (6)"}</definedName>
    <definedName name="WE_3" localSheetId="26" hidden="1">{#N/A,#N/A,FALSE,"을지 (4)";#N/A,#N/A,FALSE,"을지 (5)";#N/A,#N/A,FALSE,"을지 (6)"}</definedName>
    <definedName name="WE_3" localSheetId="0" hidden="1">{#N/A,#N/A,FALSE,"을지 (4)";#N/A,#N/A,FALSE,"을지 (5)";#N/A,#N/A,FALSE,"을지 (6)"}</definedName>
    <definedName name="WE_3" hidden="1">{#N/A,#N/A,FALSE,"을지 (4)";#N/A,#N/A,FALSE,"을지 (5)";#N/A,#N/A,FALSE,"을지 (6)"}</definedName>
    <definedName name="WE_4" localSheetId="26" hidden="1">{#N/A,#N/A,FALSE,"을지 (4)";#N/A,#N/A,FALSE,"을지 (5)";#N/A,#N/A,FALSE,"을지 (6)"}</definedName>
    <definedName name="WE_4" localSheetId="0" hidden="1">{#N/A,#N/A,FALSE,"을지 (4)";#N/A,#N/A,FALSE,"을지 (5)";#N/A,#N/A,FALSE,"을지 (6)"}</definedName>
    <definedName name="WE_4" hidden="1">{#N/A,#N/A,FALSE,"을지 (4)";#N/A,#N/A,FALSE,"을지 (5)";#N/A,#N/A,FALSE,"을지 (6)"}</definedName>
    <definedName name="WE_5" localSheetId="26" hidden="1">{#N/A,#N/A,FALSE,"을지 (4)";#N/A,#N/A,FALSE,"을지 (5)";#N/A,#N/A,FALSE,"을지 (6)"}</definedName>
    <definedName name="WE_5" localSheetId="0" hidden="1">{#N/A,#N/A,FALSE,"을지 (4)";#N/A,#N/A,FALSE,"을지 (5)";#N/A,#N/A,FALSE,"을지 (6)"}</definedName>
    <definedName name="WE_5" hidden="1">{#N/A,#N/A,FALSE,"을지 (4)";#N/A,#N/A,FALSE,"을지 (5)";#N/A,#N/A,FALSE,"을지 (6)"}</definedName>
    <definedName name="wer" localSheetId="26" hidden="1">{#N/A,#N/A,FALSE,"196126-0690";#N/A,#N/A,FALSE,"196126-0690";#N/A,#N/A,FALSE,"1961165-0201"}</definedName>
    <definedName name="wer" localSheetId="0" hidden="1">{#N/A,#N/A,FALSE,"196126-0690";#N/A,#N/A,FALSE,"196126-0690";#N/A,#N/A,FALSE,"1961165-0201"}</definedName>
    <definedName name="wer" hidden="1">{#N/A,#N/A,FALSE,"196126-0690";#N/A,#N/A,FALSE,"196126-0690";#N/A,#N/A,FALSE,"1961165-0201"}</definedName>
    <definedName name="wer_1" localSheetId="26" hidden="1">{#N/A,#N/A,FALSE,"196126-0690";#N/A,#N/A,FALSE,"196126-0690";#N/A,#N/A,FALSE,"1961165-0201"}</definedName>
    <definedName name="wer_1" localSheetId="0" hidden="1">{#N/A,#N/A,FALSE,"196126-0690";#N/A,#N/A,FALSE,"196126-0690";#N/A,#N/A,FALSE,"1961165-0201"}</definedName>
    <definedName name="wer_1" hidden="1">{#N/A,#N/A,FALSE,"196126-0690";#N/A,#N/A,FALSE,"196126-0690";#N/A,#N/A,FALSE,"1961165-0201"}</definedName>
    <definedName name="wer_1_1" localSheetId="26" hidden="1">{#N/A,#N/A,FALSE,"196126-0690";#N/A,#N/A,FALSE,"196126-0690";#N/A,#N/A,FALSE,"1961165-0201"}</definedName>
    <definedName name="wer_1_1" localSheetId="0" hidden="1">{#N/A,#N/A,FALSE,"196126-0690";#N/A,#N/A,FALSE,"196126-0690";#N/A,#N/A,FALSE,"1961165-0201"}</definedName>
    <definedName name="wer_1_1" hidden="1">{#N/A,#N/A,FALSE,"196126-0690";#N/A,#N/A,FALSE,"196126-0690";#N/A,#N/A,FALSE,"1961165-0201"}</definedName>
    <definedName name="wer_1_2" localSheetId="26" hidden="1">{#N/A,#N/A,FALSE,"196126-0690";#N/A,#N/A,FALSE,"196126-0690";#N/A,#N/A,FALSE,"1961165-0201"}</definedName>
    <definedName name="wer_1_2" localSheetId="0" hidden="1">{#N/A,#N/A,FALSE,"196126-0690";#N/A,#N/A,FALSE,"196126-0690";#N/A,#N/A,FALSE,"1961165-0201"}</definedName>
    <definedName name="wer_1_2" hidden="1">{#N/A,#N/A,FALSE,"196126-0690";#N/A,#N/A,FALSE,"196126-0690";#N/A,#N/A,FALSE,"1961165-0201"}</definedName>
    <definedName name="wer_1_3" localSheetId="26" hidden="1">{#N/A,#N/A,FALSE,"196126-0690";#N/A,#N/A,FALSE,"196126-0690";#N/A,#N/A,FALSE,"1961165-0201"}</definedName>
    <definedName name="wer_1_3" localSheetId="0" hidden="1">{#N/A,#N/A,FALSE,"196126-0690";#N/A,#N/A,FALSE,"196126-0690";#N/A,#N/A,FALSE,"1961165-0201"}</definedName>
    <definedName name="wer_1_3" hidden="1">{#N/A,#N/A,FALSE,"196126-0690";#N/A,#N/A,FALSE,"196126-0690";#N/A,#N/A,FALSE,"1961165-0201"}</definedName>
    <definedName name="wer_2" localSheetId="26" hidden="1">{#N/A,#N/A,FALSE,"196126-0690";#N/A,#N/A,FALSE,"196126-0690";#N/A,#N/A,FALSE,"1961165-0201"}</definedName>
    <definedName name="wer_2" localSheetId="0" hidden="1">{#N/A,#N/A,FALSE,"196126-0690";#N/A,#N/A,FALSE,"196126-0690";#N/A,#N/A,FALSE,"1961165-0201"}</definedName>
    <definedName name="wer_2" hidden="1">{#N/A,#N/A,FALSE,"196126-0690";#N/A,#N/A,FALSE,"196126-0690";#N/A,#N/A,FALSE,"1961165-0201"}</definedName>
    <definedName name="wer_2_1" localSheetId="26" hidden="1">{#N/A,#N/A,FALSE,"196126-0690";#N/A,#N/A,FALSE,"196126-0690";#N/A,#N/A,FALSE,"1961165-0201"}</definedName>
    <definedName name="wer_2_1" localSheetId="0" hidden="1">{#N/A,#N/A,FALSE,"196126-0690";#N/A,#N/A,FALSE,"196126-0690";#N/A,#N/A,FALSE,"1961165-0201"}</definedName>
    <definedName name="wer_2_1" hidden="1">{#N/A,#N/A,FALSE,"196126-0690";#N/A,#N/A,FALSE,"196126-0690";#N/A,#N/A,FALSE,"1961165-0201"}</definedName>
    <definedName name="wer_2_2" localSheetId="26" hidden="1">{#N/A,#N/A,FALSE,"196126-0690";#N/A,#N/A,FALSE,"196126-0690";#N/A,#N/A,FALSE,"1961165-0201"}</definedName>
    <definedName name="wer_2_2" localSheetId="0" hidden="1">{#N/A,#N/A,FALSE,"196126-0690";#N/A,#N/A,FALSE,"196126-0690";#N/A,#N/A,FALSE,"1961165-0201"}</definedName>
    <definedName name="wer_2_2" hidden="1">{#N/A,#N/A,FALSE,"196126-0690";#N/A,#N/A,FALSE,"196126-0690";#N/A,#N/A,FALSE,"1961165-0201"}</definedName>
    <definedName name="wer_3" localSheetId="26" hidden="1">{#N/A,#N/A,FALSE,"196126-0690";#N/A,#N/A,FALSE,"196126-0690";#N/A,#N/A,FALSE,"1961165-0201"}</definedName>
    <definedName name="wer_3" localSheetId="0" hidden="1">{#N/A,#N/A,FALSE,"196126-0690";#N/A,#N/A,FALSE,"196126-0690";#N/A,#N/A,FALSE,"1961165-0201"}</definedName>
    <definedName name="wer_3" hidden="1">{#N/A,#N/A,FALSE,"196126-0690";#N/A,#N/A,FALSE,"196126-0690";#N/A,#N/A,FALSE,"1961165-0201"}</definedName>
    <definedName name="wer_4" localSheetId="26" hidden="1">{#N/A,#N/A,FALSE,"196126-0690";#N/A,#N/A,FALSE,"196126-0690";#N/A,#N/A,FALSE,"1961165-0201"}</definedName>
    <definedName name="wer_4" localSheetId="0" hidden="1">{#N/A,#N/A,FALSE,"196126-0690";#N/A,#N/A,FALSE,"196126-0690";#N/A,#N/A,FALSE,"1961165-0201"}</definedName>
    <definedName name="wer_4" hidden="1">{#N/A,#N/A,FALSE,"196126-0690";#N/A,#N/A,FALSE,"196126-0690";#N/A,#N/A,FALSE,"1961165-0201"}</definedName>
    <definedName name="wer_5" localSheetId="26" hidden="1">{#N/A,#N/A,FALSE,"196126-0690";#N/A,#N/A,FALSE,"196126-0690";#N/A,#N/A,FALSE,"1961165-0201"}</definedName>
    <definedName name="wer_5" localSheetId="0" hidden="1">{#N/A,#N/A,FALSE,"196126-0690";#N/A,#N/A,FALSE,"196126-0690";#N/A,#N/A,FALSE,"1961165-0201"}</definedName>
    <definedName name="wer_5" hidden="1">{#N/A,#N/A,FALSE,"196126-0690";#N/A,#N/A,FALSE,"196126-0690";#N/A,#N/A,FALSE,"1961165-0201"}</definedName>
    <definedName name="WHRL" localSheetId="26" hidden="1">{#N/A,#N/A,FALSE,"단축1";#N/A,#N/A,FALSE,"단축2";#N/A,#N/A,FALSE,"단축3";#N/A,#N/A,FALSE,"장축";#N/A,#N/A,FALSE,"4WD"}</definedName>
    <definedName name="WHRL" localSheetId="0" hidden="1">{#N/A,#N/A,FALSE,"단축1";#N/A,#N/A,FALSE,"단축2";#N/A,#N/A,FALSE,"단축3";#N/A,#N/A,FALSE,"장축";#N/A,#N/A,FALSE,"4WD"}</definedName>
    <definedName name="WHRL" hidden="1">{#N/A,#N/A,FALSE,"단축1";#N/A,#N/A,FALSE,"단축2";#N/A,#N/A,FALSE,"단축3";#N/A,#N/A,FALSE,"장축";#N/A,#N/A,FALSE,"4WD"}</definedName>
    <definedName name="WHRL_1" localSheetId="26" hidden="1">{#N/A,#N/A,FALSE,"단축1";#N/A,#N/A,FALSE,"단축2";#N/A,#N/A,FALSE,"단축3";#N/A,#N/A,FALSE,"장축";#N/A,#N/A,FALSE,"4WD"}</definedName>
    <definedName name="WHRL_1" localSheetId="0" hidden="1">{#N/A,#N/A,FALSE,"단축1";#N/A,#N/A,FALSE,"단축2";#N/A,#N/A,FALSE,"단축3";#N/A,#N/A,FALSE,"장축";#N/A,#N/A,FALSE,"4WD"}</definedName>
    <definedName name="WHRL_1" hidden="1">{#N/A,#N/A,FALSE,"단축1";#N/A,#N/A,FALSE,"단축2";#N/A,#N/A,FALSE,"단축3";#N/A,#N/A,FALSE,"장축";#N/A,#N/A,FALSE,"4WD"}</definedName>
    <definedName name="WHRL_1_1" localSheetId="26" hidden="1">{#N/A,#N/A,FALSE,"단축1";#N/A,#N/A,FALSE,"단축2";#N/A,#N/A,FALSE,"단축3";#N/A,#N/A,FALSE,"장축";#N/A,#N/A,FALSE,"4WD"}</definedName>
    <definedName name="WHRL_1_1" localSheetId="0" hidden="1">{#N/A,#N/A,FALSE,"단축1";#N/A,#N/A,FALSE,"단축2";#N/A,#N/A,FALSE,"단축3";#N/A,#N/A,FALSE,"장축";#N/A,#N/A,FALSE,"4WD"}</definedName>
    <definedName name="WHRL_1_1" hidden="1">{#N/A,#N/A,FALSE,"단축1";#N/A,#N/A,FALSE,"단축2";#N/A,#N/A,FALSE,"단축3";#N/A,#N/A,FALSE,"장축";#N/A,#N/A,FALSE,"4WD"}</definedName>
    <definedName name="WHRL_1_2" localSheetId="26" hidden="1">{#N/A,#N/A,FALSE,"단축1";#N/A,#N/A,FALSE,"단축2";#N/A,#N/A,FALSE,"단축3";#N/A,#N/A,FALSE,"장축";#N/A,#N/A,FALSE,"4WD"}</definedName>
    <definedName name="WHRL_1_2" localSheetId="0" hidden="1">{#N/A,#N/A,FALSE,"단축1";#N/A,#N/A,FALSE,"단축2";#N/A,#N/A,FALSE,"단축3";#N/A,#N/A,FALSE,"장축";#N/A,#N/A,FALSE,"4WD"}</definedName>
    <definedName name="WHRL_1_2" hidden="1">{#N/A,#N/A,FALSE,"단축1";#N/A,#N/A,FALSE,"단축2";#N/A,#N/A,FALSE,"단축3";#N/A,#N/A,FALSE,"장축";#N/A,#N/A,FALSE,"4WD"}</definedName>
    <definedName name="WHRL_1_3" localSheetId="26" hidden="1">{#N/A,#N/A,FALSE,"단축1";#N/A,#N/A,FALSE,"단축2";#N/A,#N/A,FALSE,"단축3";#N/A,#N/A,FALSE,"장축";#N/A,#N/A,FALSE,"4WD"}</definedName>
    <definedName name="WHRL_1_3" localSheetId="0" hidden="1">{#N/A,#N/A,FALSE,"단축1";#N/A,#N/A,FALSE,"단축2";#N/A,#N/A,FALSE,"단축3";#N/A,#N/A,FALSE,"장축";#N/A,#N/A,FALSE,"4WD"}</definedName>
    <definedName name="WHRL_1_3" hidden="1">{#N/A,#N/A,FALSE,"단축1";#N/A,#N/A,FALSE,"단축2";#N/A,#N/A,FALSE,"단축3";#N/A,#N/A,FALSE,"장축";#N/A,#N/A,FALSE,"4WD"}</definedName>
    <definedName name="WHRL_2" localSheetId="26" hidden="1">{#N/A,#N/A,FALSE,"단축1";#N/A,#N/A,FALSE,"단축2";#N/A,#N/A,FALSE,"단축3";#N/A,#N/A,FALSE,"장축";#N/A,#N/A,FALSE,"4WD"}</definedName>
    <definedName name="WHRL_2" localSheetId="0" hidden="1">{#N/A,#N/A,FALSE,"단축1";#N/A,#N/A,FALSE,"단축2";#N/A,#N/A,FALSE,"단축3";#N/A,#N/A,FALSE,"장축";#N/A,#N/A,FALSE,"4WD"}</definedName>
    <definedName name="WHRL_2" hidden="1">{#N/A,#N/A,FALSE,"단축1";#N/A,#N/A,FALSE,"단축2";#N/A,#N/A,FALSE,"단축3";#N/A,#N/A,FALSE,"장축";#N/A,#N/A,FALSE,"4WD"}</definedName>
    <definedName name="WHRL_2_1" localSheetId="26" hidden="1">{#N/A,#N/A,FALSE,"단축1";#N/A,#N/A,FALSE,"단축2";#N/A,#N/A,FALSE,"단축3";#N/A,#N/A,FALSE,"장축";#N/A,#N/A,FALSE,"4WD"}</definedName>
    <definedName name="WHRL_2_1" localSheetId="0" hidden="1">{#N/A,#N/A,FALSE,"단축1";#N/A,#N/A,FALSE,"단축2";#N/A,#N/A,FALSE,"단축3";#N/A,#N/A,FALSE,"장축";#N/A,#N/A,FALSE,"4WD"}</definedName>
    <definedName name="WHRL_2_1" hidden="1">{#N/A,#N/A,FALSE,"단축1";#N/A,#N/A,FALSE,"단축2";#N/A,#N/A,FALSE,"단축3";#N/A,#N/A,FALSE,"장축";#N/A,#N/A,FALSE,"4WD"}</definedName>
    <definedName name="WHRL_2_2" localSheetId="26" hidden="1">{#N/A,#N/A,FALSE,"단축1";#N/A,#N/A,FALSE,"단축2";#N/A,#N/A,FALSE,"단축3";#N/A,#N/A,FALSE,"장축";#N/A,#N/A,FALSE,"4WD"}</definedName>
    <definedName name="WHRL_2_2" localSheetId="0" hidden="1">{#N/A,#N/A,FALSE,"단축1";#N/A,#N/A,FALSE,"단축2";#N/A,#N/A,FALSE,"단축3";#N/A,#N/A,FALSE,"장축";#N/A,#N/A,FALSE,"4WD"}</definedName>
    <definedName name="WHRL_2_2" hidden="1">{#N/A,#N/A,FALSE,"단축1";#N/A,#N/A,FALSE,"단축2";#N/A,#N/A,FALSE,"단축3";#N/A,#N/A,FALSE,"장축";#N/A,#N/A,FALSE,"4WD"}</definedName>
    <definedName name="WHRL_3" localSheetId="26" hidden="1">{#N/A,#N/A,FALSE,"단축1";#N/A,#N/A,FALSE,"단축2";#N/A,#N/A,FALSE,"단축3";#N/A,#N/A,FALSE,"장축";#N/A,#N/A,FALSE,"4WD"}</definedName>
    <definedName name="WHRL_3" localSheetId="0" hidden="1">{#N/A,#N/A,FALSE,"단축1";#N/A,#N/A,FALSE,"단축2";#N/A,#N/A,FALSE,"단축3";#N/A,#N/A,FALSE,"장축";#N/A,#N/A,FALSE,"4WD"}</definedName>
    <definedName name="WHRL_3" hidden="1">{#N/A,#N/A,FALSE,"단축1";#N/A,#N/A,FALSE,"단축2";#N/A,#N/A,FALSE,"단축3";#N/A,#N/A,FALSE,"장축";#N/A,#N/A,FALSE,"4WD"}</definedName>
    <definedName name="WHRL_4" localSheetId="26" hidden="1">{#N/A,#N/A,FALSE,"단축1";#N/A,#N/A,FALSE,"단축2";#N/A,#N/A,FALSE,"단축3";#N/A,#N/A,FALSE,"장축";#N/A,#N/A,FALSE,"4WD"}</definedName>
    <definedName name="WHRL_4" localSheetId="0" hidden="1">{#N/A,#N/A,FALSE,"단축1";#N/A,#N/A,FALSE,"단축2";#N/A,#N/A,FALSE,"단축3";#N/A,#N/A,FALSE,"장축";#N/A,#N/A,FALSE,"4WD"}</definedName>
    <definedName name="WHRL_4" hidden="1">{#N/A,#N/A,FALSE,"단축1";#N/A,#N/A,FALSE,"단축2";#N/A,#N/A,FALSE,"단축3";#N/A,#N/A,FALSE,"장축";#N/A,#N/A,FALSE,"4WD"}</definedName>
    <definedName name="WHRL_5" localSheetId="26" hidden="1">{#N/A,#N/A,FALSE,"단축1";#N/A,#N/A,FALSE,"단축2";#N/A,#N/A,FALSE,"단축3";#N/A,#N/A,FALSE,"장축";#N/A,#N/A,FALSE,"4WD"}</definedName>
    <definedName name="WHRL_5" localSheetId="0" hidden="1">{#N/A,#N/A,FALSE,"단축1";#N/A,#N/A,FALSE,"단축2";#N/A,#N/A,FALSE,"단축3";#N/A,#N/A,FALSE,"장축";#N/A,#N/A,FALSE,"4WD"}</definedName>
    <definedName name="WHRL_5" hidden="1">{#N/A,#N/A,FALSE,"단축1";#N/A,#N/A,FALSE,"단축2";#N/A,#N/A,FALSE,"단축3";#N/A,#N/A,FALSE,"장축";#N/A,#N/A,FALSE,"4WD"}</definedName>
    <definedName name="WQ" localSheetId="26" hidden="1">{#N/A,#N/A,FALSE,"을지 (4)";#N/A,#N/A,FALSE,"을지 (5)";#N/A,#N/A,FALSE,"을지 (6)"}</definedName>
    <definedName name="WQ" localSheetId="0" hidden="1">{#N/A,#N/A,FALSE,"을지 (4)";#N/A,#N/A,FALSE,"을지 (5)";#N/A,#N/A,FALSE,"을지 (6)"}</definedName>
    <definedName name="WQ" hidden="1">{#N/A,#N/A,FALSE,"을지 (4)";#N/A,#N/A,FALSE,"을지 (5)";#N/A,#N/A,FALSE,"을지 (6)"}</definedName>
    <definedName name="WQ_1" localSheetId="26" hidden="1">{#N/A,#N/A,FALSE,"을지 (4)";#N/A,#N/A,FALSE,"을지 (5)";#N/A,#N/A,FALSE,"을지 (6)"}</definedName>
    <definedName name="WQ_1" localSheetId="0" hidden="1">{#N/A,#N/A,FALSE,"을지 (4)";#N/A,#N/A,FALSE,"을지 (5)";#N/A,#N/A,FALSE,"을지 (6)"}</definedName>
    <definedName name="WQ_1" hidden="1">{#N/A,#N/A,FALSE,"을지 (4)";#N/A,#N/A,FALSE,"을지 (5)";#N/A,#N/A,FALSE,"을지 (6)"}</definedName>
    <definedName name="WQ_1_1" localSheetId="26" hidden="1">{#N/A,#N/A,FALSE,"을지 (4)";#N/A,#N/A,FALSE,"을지 (5)";#N/A,#N/A,FALSE,"을지 (6)"}</definedName>
    <definedName name="WQ_1_1" localSheetId="0" hidden="1">{#N/A,#N/A,FALSE,"을지 (4)";#N/A,#N/A,FALSE,"을지 (5)";#N/A,#N/A,FALSE,"을지 (6)"}</definedName>
    <definedName name="WQ_1_1" hidden="1">{#N/A,#N/A,FALSE,"을지 (4)";#N/A,#N/A,FALSE,"을지 (5)";#N/A,#N/A,FALSE,"을지 (6)"}</definedName>
    <definedName name="WQ_1_2" localSheetId="26" hidden="1">{#N/A,#N/A,FALSE,"을지 (4)";#N/A,#N/A,FALSE,"을지 (5)";#N/A,#N/A,FALSE,"을지 (6)"}</definedName>
    <definedName name="WQ_1_2" localSheetId="0" hidden="1">{#N/A,#N/A,FALSE,"을지 (4)";#N/A,#N/A,FALSE,"을지 (5)";#N/A,#N/A,FALSE,"을지 (6)"}</definedName>
    <definedName name="WQ_1_2" hidden="1">{#N/A,#N/A,FALSE,"을지 (4)";#N/A,#N/A,FALSE,"을지 (5)";#N/A,#N/A,FALSE,"을지 (6)"}</definedName>
    <definedName name="WQ_1_3" localSheetId="26" hidden="1">{#N/A,#N/A,FALSE,"을지 (4)";#N/A,#N/A,FALSE,"을지 (5)";#N/A,#N/A,FALSE,"을지 (6)"}</definedName>
    <definedName name="WQ_1_3" localSheetId="0" hidden="1">{#N/A,#N/A,FALSE,"을지 (4)";#N/A,#N/A,FALSE,"을지 (5)";#N/A,#N/A,FALSE,"을지 (6)"}</definedName>
    <definedName name="WQ_1_3" hidden="1">{#N/A,#N/A,FALSE,"을지 (4)";#N/A,#N/A,FALSE,"을지 (5)";#N/A,#N/A,FALSE,"을지 (6)"}</definedName>
    <definedName name="WQ_2" localSheetId="26" hidden="1">{#N/A,#N/A,FALSE,"을지 (4)";#N/A,#N/A,FALSE,"을지 (5)";#N/A,#N/A,FALSE,"을지 (6)"}</definedName>
    <definedName name="WQ_2" localSheetId="0" hidden="1">{#N/A,#N/A,FALSE,"을지 (4)";#N/A,#N/A,FALSE,"을지 (5)";#N/A,#N/A,FALSE,"을지 (6)"}</definedName>
    <definedName name="WQ_2" hidden="1">{#N/A,#N/A,FALSE,"을지 (4)";#N/A,#N/A,FALSE,"을지 (5)";#N/A,#N/A,FALSE,"을지 (6)"}</definedName>
    <definedName name="WQ_2_1" localSheetId="26" hidden="1">{#N/A,#N/A,FALSE,"을지 (4)";#N/A,#N/A,FALSE,"을지 (5)";#N/A,#N/A,FALSE,"을지 (6)"}</definedName>
    <definedName name="WQ_2_1" localSheetId="0" hidden="1">{#N/A,#N/A,FALSE,"을지 (4)";#N/A,#N/A,FALSE,"을지 (5)";#N/A,#N/A,FALSE,"을지 (6)"}</definedName>
    <definedName name="WQ_2_1" hidden="1">{#N/A,#N/A,FALSE,"을지 (4)";#N/A,#N/A,FALSE,"을지 (5)";#N/A,#N/A,FALSE,"을지 (6)"}</definedName>
    <definedName name="WQ_2_2" localSheetId="26" hidden="1">{#N/A,#N/A,FALSE,"을지 (4)";#N/A,#N/A,FALSE,"을지 (5)";#N/A,#N/A,FALSE,"을지 (6)"}</definedName>
    <definedName name="WQ_2_2" localSheetId="0" hidden="1">{#N/A,#N/A,FALSE,"을지 (4)";#N/A,#N/A,FALSE,"을지 (5)";#N/A,#N/A,FALSE,"을지 (6)"}</definedName>
    <definedName name="WQ_2_2" hidden="1">{#N/A,#N/A,FALSE,"을지 (4)";#N/A,#N/A,FALSE,"을지 (5)";#N/A,#N/A,FALSE,"을지 (6)"}</definedName>
    <definedName name="WQ_3" localSheetId="26" hidden="1">{#N/A,#N/A,FALSE,"을지 (4)";#N/A,#N/A,FALSE,"을지 (5)";#N/A,#N/A,FALSE,"을지 (6)"}</definedName>
    <definedName name="WQ_3" localSheetId="0" hidden="1">{#N/A,#N/A,FALSE,"을지 (4)";#N/A,#N/A,FALSE,"을지 (5)";#N/A,#N/A,FALSE,"을지 (6)"}</definedName>
    <definedName name="WQ_3" hidden="1">{#N/A,#N/A,FALSE,"을지 (4)";#N/A,#N/A,FALSE,"을지 (5)";#N/A,#N/A,FALSE,"을지 (6)"}</definedName>
    <definedName name="WQ_4" localSheetId="26" hidden="1">{#N/A,#N/A,FALSE,"을지 (4)";#N/A,#N/A,FALSE,"을지 (5)";#N/A,#N/A,FALSE,"을지 (6)"}</definedName>
    <definedName name="WQ_4" localSheetId="0" hidden="1">{#N/A,#N/A,FALSE,"을지 (4)";#N/A,#N/A,FALSE,"을지 (5)";#N/A,#N/A,FALSE,"을지 (6)"}</definedName>
    <definedName name="WQ_4" hidden="1">{#N/A,#N/A,FALSE,"을지 (4)";#N/A,#N/A,FALSE,"을지 (5)";#N/A,#N/A,FALSE,"을지 (6)"}</definedName>
    <definedName name="WQ_5" localSheetId="26" hidden="1">{#N/A,#N/A,FALSE,"을지 (4)";#N/A,#N/A,FALSE,"을지 (5)";#N/A,#N/A,FALSE,"을지 (6)"}</definedName>
    <definedName name="WQ_5" localSheetId="0" hidden="1">{#N/A,#N/A,FALSE,"을지 (4)";#N/A,#N/A,FALSE,"을지 (5)";#N/A,#N/A,FALSE,"을지 (6)"}</definedName>
    <definedName name="WQ_5" hidden="1">{#N/A,#N/A,FALSE,"을지 (4)";#N/A,#N/A,FALSE,"을지 (5)";#N/A,#N/A,FALSE,"을지 (6)"}</definedName>
    <definedName name="wqwqw" localSheetId="26" hidden="1">{#N/A,#N/A,FALSE,"단축1";#N/A,#N/A,FALSE,"단축2";#N/A,#N/A,FALSE,"단축3";#N/A,#N/A,FALSE,"장축";#N/A,#N/A,FALSE,"4WD"}</definedName>
    <definedName name="wqwqw" localSheetId="0" hidden="1">{#N/A,#N/A,FALSE,"단축1";#N/A,#N/A,FALSE,"단축2";#N/A,#N/A,FALSE,"단축3";#N/A,#N/A,FALSE,"장축";#N/A,#N/A,FALSE,"4WD"}</definedName>
    <definedName name="wqwqw" hidden="1">{#N/A,#N/A,FALSE,"단축1";#N/A,#N/A,FALSE,"단축2";#N/A,#N/A,FALSE,"단축3";#N/A,#N/A,FALSE,"장축";#N/A,#N/A,FALSE,"4WD"}</definedName>
    <definedName name="wqwqw_1" localSheetId="26" hidden="1">{#N/A,#N/A,FALSE,"단축1";#N/A,#N/A,FALSE,"단축2";#N/A,#N/A,FALSE,"단축3";#N/A,#N/A,FALSE,"장축";#N/A,#N/A,FALSE,"4WD"}</definedName>
    <definedName name="wqwqw_1" localSheetId="0" hidden="1">{#N/A,#N/A,FALSE,"단축1";#N/A,#N/A,FALSE,"단축2";#N/A,#N/A,FALSE,"단축3";#N/A,#N/A,FALSE,"장축";#N/A,#N/A,FALSE,"4WD"}</definedName>
    <definedName name="wqwqw_1" hidden="1">{#N/A,#N/A,FALSE,"단축1";#N/A,#N/A,FALSE,"단축2";#N/A,#N/A,FALSE,"단축3";#N/A,#N/A,FALSE,"장축";#N/A,#N/A,FALSE,"4WD"}</definedName>
    <definedName name="wqwqw_1_1" localSheetId="26" hidden="1">{#N/A,#N/A,FALSE,"단축1";#N/A,#N/A,FALSE,"단축2";#N/A,#N/A,FALSE,"단축3";#N/A,#N/A,FALSE,"장축";#N/A,#N/A,FALSE,"4WD"}</definedName>
    <definedName name="wqwqw_1_1" localSheetId="0" hidden="1">{#N/A,#N/A,FALSE,"단축1";#N/A,#N/A,FALSE,"단축2";#N/A,#N/A,FALSE,"단축3";#N/A,#N/A,FALSE,"장축";#N/A,#N/A,FALSE,"4WD"}</definedName>
    <definedName name="wqwqw_1_1" hidden="1">{#N/A,#N/A,FALSE,"단축1";#N/A,#N/A,FALSE,"단축2";#N/A,#N/A,FALSE,"단축3";#N/A,#N/A,FALSE,"장축";#N/A,#N/A,FALSE,"4WD"}</definedName>
    <definedName name="wqwqw_1_2" localSheetId="26" hidden="1">{#N/A,#N/A,FALSE,"단축1";#N/A,#N/A,FALSE,"단축2";#N/A,#N/A,FALSE,"단축3";#N/A,#N/A,FALSE,"장축";#N/A,#N/A,FALSE,"4WD"}</definedName>
    <definedName name="wqwqw_1_2" localSheetId="0" hidden="1">{#N/A,#N/A,FALSE,"단축1";#N/A,#N/A,FALSE,"단축2";#N/A,#N/A,FALSE,"단축3";#N/A,#N/A,FALSE,"장축";#N/A,#N/A,FALSE,"4WD"}</definedName>
    <definedName name="wqwqw_1_2" hidden="1">{#N/A,#N/A,FALSE,"단축1";#N/A,#N/A,FALSE,"단축2";#N/A,#N/A,FALSE,"단축3";#N/A,#N/A,FALSE,"장축";#N/A,#N/A,FALSE,"4WD"}</definedName>
    <definedName name="wqwqw_1_3" localSheetId="26" hidden="1">{#N/A,#N/A,FALSE,"단축1";#N/A,#N/A,FALSE,"단축2";#N/A,#N/A,FALSE,"단축3";#N/A,#N/A,FALSE,"장축";#N/A,#N/A,FALSE,"4WD"}</definedName>
    <definedName name="wqwqw_1_3" localSheetId="0" hidden="1">{#N/A,#N/A,FALSE,"단축1";#N/A,#N/A,FALSE,"단축2";#N/A,#N/A,FALSE,"단축3";#N/A,#N/A,FALSE,"장축";#N/A,#N/A,FALSE,"4WD"}</definedName>
    <definedName name="wqwqw_1_3" hidden="1">{#N/A,#N/A,FALSE,"단축1";#N/A,#N/A,FALSE,"단축2";#N/A,#N/A,FALSE,"단축3";#N/A,#N/A,FALSE,"장축";#N/A,#N/A,FALSE,"4WD"}</definedName>
    <definedName name="wqwqw_2" localSheetId="26" hidden="1">{#N/A,#N/A,FALSE,"단축1";#N/A,#N/A,FALSE,"단축2";#N/A,#N/A,FALSE,"단축3";#N/A,#N/A,FALSE,"장축";#N/A,#N/A,FALSE,"4WD"}</definedName>
    <definedName name="wqwqw_2" localSheetId="0" hidden="1">{#N/A,#N/A,FALSE,"단축1";#N/A,#N/A,FALSE,"단축2";#N/A,#N/A,FALSE,"단축3";#N/A,#N/A,FALSE,"장축";#N/A,#N/A,FALSE,"4WD"}</definedName>
    <definedName name="wqwqw_2" hidden="1">{#N/A,#N/A,FALSE,"단축1";#N/A,#N/A,FALSE,"단축2";#N/A,#N/A,FALSE,"단축3";#N/A,#N/A,FALSE,"장축";#N/A,#N/A,FALSE,"4WD"}</definedName>
    <definedName name="wqwqw_2_1" localSheetId="26" hidden="1">{#N/A,#N/A,FALSE,"단축1";#N/A,#N/A,FALSE,"단축2";#N/A,#N/A,FALSE,"단축3";#N/A,#N/A,FALSE,"장축";#N/A,#N/A,FALSE,"4WD"}</definedName>
    <definedName name="wqwqw_2_1" localSheetId="0" hidden="1">{#N/A,#N/A,FALSE,"단축1";#N/A,#N/A,FALSE,"단축2";#N/A,#N/A,FALSE,"단축3";#N/A,#N/A,FALSE,"장축";#N/A,#N/A,FALSE,"4WD"}</definedName>
    <definedName name="wqwqw_2_1" hidden="1">{#N/A,#N/A,FALSE,"단축1";#N/A,#N/A,FALSE,"단축2";#N/A,#N/A,FALSE,"단축3";#N/A,#N/A,FALSE,"장축";#N/A,#N/A,FALSE,"4WD"}</definedName>
    <definedName name="wqwqw_2_2" localSheetId="26" hidden="1">{#N/A,#N/A,FALSE,"단축1";#N/A,#N/A,FALSE,"단축2";#N/A,#N/A,FALSE,"단축3";#N/A,#N/A,FALSE,"장축";#N/A,#N/A,FALSE,"4WD"}</definedName>
    <definedName name="wqwqw_2_2" localSheetId="0" hidden="1">{#N/A,#N/A,FALSE,"단축1";#N/A,#N/A,FALSE,"단축2";#N/A,#N/A,FALSE,"단축3";#N/A,#N/A,FALSE,"장축";#N/A,#N/A,FALSE,"4WD"}</definedName>
    <definedName name="wqwqw_2_2" hidden="1">{#N/A,#N/A,FALSE,"단축1";#N/A,#N/A,FALSE,"단축2";#N/A,#N/A,FALSE,"단축3";#N/A,#N/A,FALSE,"장축";#N/A,#N/A,FALSE,"4WD"}</definedName>
    <definedName name="wqwqw_3" localSheetId="26" hidden="1">{#N/A,#N/A,FALSE,"단축1";#N/A,#N/A,FALSE,"단축2";#N/A,#N/A,FALSE,"단축3";#N/A,#N/A,FALSE,"장축";#N/A,#N/A,FALSE,"4WD"}</definedName>
    <definedName name="wqwqw_3" localSheetId="0" hidden="1">{#N/A,#N/A,FALSE,"단축1";#N/A,#N/A,FALSE,"단축2";#N/A,#N/A,FALSE,"단축3";#N/A,#N/A,FALSE,"장축";#N/A,#N/A,FALSE,"4WD"}</definedName>
    <definedName name="wqwqw_3" hidden="1">{#N/A,#N/A,FALSE,"단축1";#N/A,#N/A,FALSE,"단축2";#N/A,#N/A,FALSE,"단축3";#N/A,#N/A,FALSE,"장축";#N/A,#N/A,FALSE,"4WD"}</definedName>
    <definedName name="wqwqw_4" localSheetId="26" hidden="1">{#N/A,#N/A,FALSE,"단축1";#N/A,#N/A,FALSE,"단축2";#N/A,#N/A,FALSE,"단축3";#N/A,#N/A,FALSE,"장축";#N/A,#N/A,FALSE,"4WD"}</definedName>
    <definedName name="wqwqw_4" localSheetId="0" hidden="1">{#N/A,#N/A,FALSE,"단축1";#N/A,#N/A,FALSE,"단축2";#N/A,#N/A,FALSE,"단축3";#N/A,#N/A,FALSE,"장축";#N/A,#N/A,FALSE,"4WD"}</definedName>
    <definedName name="wqwqw_4" hidden="1">{#N/A,#N/A,FALSE,"단축1";#N/A,#N/A,FALSE,"단축2";#N/A,#N/A,FALSE,"단축3";#N/A,#N/A,FALSE,"장축";#N/A,#N/A,FALSE,"4WD"}</definedName>
    <definedName name="wqwqw_5" localSheetId="26" hidden="1">{#N/A,#N/A,FALSE,"단축1";#N/A,#N/A,FALSE,"단축2";#N/A,#N/A,FALSE,"단축3";#N/A,#N/A,FALSE,"장축";#N/A,#N/A,FALSE,"4WD"}</definedName>
    <definedName name="wqwqw_5" localSheetId="0" hidden="1">{#N/A,#N/A,FALSE,"단축1";#N/A,#N/A,FALSE,"단축2";#N/A,#N/A,FALSE,"단축3";#N/A,#N/A,FALSE,"장축";#N/A,#N/A,FALSE,"4WD"}</definedName>
    <definedName name="wqwqw_5" hidden="1">{#N/A,#N/A,FALSE,"단축1";#N/A,#N/A,FALSE,"단축2";#N/A,#N/A,FALSE,"단축3";#N/A,#N/A,FALSE,"장축";#N/A,#N/A,FALSE,"4WD"}</definedName>
    <definedName name="wrn" localSheetId="26" hidden="1">{#N/A,#N/A,FALSE,"단축1";#N/A,#N/A,FALSE,"단축2";#N/A,#N/A,FALSE,"단축3";#N/A,#N/A,FALSE,"장축";#N/A,#N/A,FALSE,"4WD"}</definedName>
    <definedName name="wrn" localSheetId="0" hidden="1">{#N/A,#N/A,FALSE,"단축1";#N/A,#N/A,FALSE,"단축2";#N/A,#N/A,FALSE,"단축3";#N/A,#N/A,FALSE,"장축";#N/A,#N/A,FALSE,"4WD"}</definedName>
    <definedName name="wrn" hidden="1">{#N/A,#N/A,FALSE,"단축1";#N/A,#N/A,FALSE,"단축2";#N/A,#N/A,FALSE,"단축3";#N/A,#N/A,FALSE,"장축";#N/A,#N/A,FALSE,"4WD"}</definedName>
    <definedName name="wrn.100PPM._.개선사례._.바인더._.BOOK." localSheetId="26" hidden="1">{#N/A,#N/A,FALSE,"100PPM";#N/A,#N/A,FALSE,"3차원대책서";#N/A,#N/A,FALSE,"개선사례"}</definedName>
    <definedName name="wrn.100PPM._.개선사례._.바인더._.BOOK." localSheetId="0" hidden="1">{#N/A,#N/A,FALSE,"100PPM";#N/A,#N/A,FALSE,"3차원대책서";#N/A,#N/A,FALSE,"개선사례"}</definedName>
    <definedName name="wrn.100PPM._.개선사례._.바인더._.BOOK." hidden="1">{#N/A,#N/A,FALSE,"100PPM";#N/A,#N/A,FALSE,"3차원대책서";#N/A,#N/A,FALSE,"개선사례"}</definedName>
    <definedName name="wrn.100PPM._.개선사례._.바인더._.BOOK._1" localSheetId="26" hidden="1">{#N/A,#N/A,FALSE,"100PPM";#N/A,#N/A,FALSE,"3차원대책서";#N/A,#N/A,FALSE,"개선사례"}</definedName>
    <definedName name="wrn.100PPM._.개선사례._.바인더._.BOOK._1" localSheetId="0" hidden="1">{#N/A,#N/A,FALSE,"100PPM";#N/A,#N/A,FALSE,"3차원대책서";#N/A,#N/A,FALSE,"개선사례"}</definedName>
    <definedName name="wrn.100PPM._.개선사례._.바인더._.BOOK._1" hidden="1">{#N/A,#N/A,FALSE,"100PPM";#N/A,#N/A,FALSE,"3차원대책서";#N/A,#N/A,FALSE,"개선사례"}</definedName>
    <definedName name="wrn.100PPM._.개선사례._.바인더._.BOOK._1_1" localSheetId="26" hidden="1">{#N/A,#N/A,FALSE,"100PPM";#N/A,#N/A,FALSE,"3차원대책서";#N/A,#N/A,FALSE,"개선사례"}</definedName>
    <definedName name="wrn.100PPM._.개선사례._.바인더._.BOOK._1_1" localSheetId="0" hidden="1">{#N/A,#N/A,FALSE,"100PPM";#N/A,#N/A,FALSE,"3차원대책서";#N/A,#N/A,FALSE,"개선사례"}</definedName>
    <definedName name="wrn.100PPM._.개선사례._.바인더._.BOOK._1_1" hidden="1">{#N/A,#N/A,FALSE,"100PPM";#N/A,#N/A,FALSE,"3차원대책서";#N/A,#N/A,FALSE,"개선사례"}</definedName>
    <definedName name="wrn.100PPM._.개선사례._.바인더._.BOOK._1_2" localSheetId="26" hidden="1">{#N/A,#N/A,FALSE,"100PPM";#N/A,#N/A,FALSE,"3차원대책서";#N/A,#N/A,FALSE,"개선사례"}</definedName>
    <definedName name="wrn.100PPM._.개선사례._.바인더._.BOOK._1_2" localSheetId="0" hidden="1">{#N/A,#N/A,FALSE,"100PPM";#N/A,#N/A,FALSE,"3차원대책서";#N/A,#N/A,FALSE,"개선사례"}</definedName>
    <definedName name="wrn.100PPM._.개선사례._.바인더._.BOOK._1_2" hidden="1">{#N/A,#N/A,FALSE,"100PPM";#N/A,#N/A,FALSE,"3차원대책서";#N/A,#N/A,FALSE,"개선사례"}</definedName>
    <definedName name="wrn.100PPM._.개선사례._.바인더._.BOOK._1_3" localSheetId="26" hidden="1">{#N/A,#N/A,FALSE,"100PPM";#N/A,#N/A,FALSE,"3차원대책서";#N/A,#N/A,FALSE,"개선사례"}</definedName>
    <definedName name="wrn.100PPM._.개선사례._.바인더._.BOOK._1_3" localSheetId="0" hidden="1">{#N/A,#N/A,FALSE,"100PPM";#N/A,#N/A,FALSE,"3차원대책서";#N/A,#N/A,FALSE,"개선사례"}</definedName>
    <definedName name="wrn.100PPM._.개선사례._.바인더._.BOOK._1_3" hidden="1">{#N/A,#N/A,FALSE,"100PPM";#N/A,#N/A,FALSE,"3차원대책서";#N/A,#N/A,FALSE,"개선사례"}</definedName>
    <definedName name="wrn.100PPM._.개선사례._.바인더._.BOOK._2" localSheetId="26" hidden="1">{#N/A,#N/A,FALSE,"100PPM";#N/A,#N/A,FALSE,"3차원대책서";#N/A,#N/A,FALSE,"개선사례"}</definedName>
    <definedName name="wrn.100PPM._.개선사례._.바인더._.BOOK._2" localSheetId="0" hidden="1">{#N/A,#N/A,FALSE,"100PPM";#N/A,#N/A,FALSE,"3차원대책서";#N/A,#N/A,FALSE,"개선사례"}</definedName>
    <definedName name="wrn.100PPM._.개선사례._.바인더._.BOOK._2" hidden="1">{#N/A,#N/A,FALSE,"100PPM";#N/A,#N/A,FALSE,"3차원대책서";#N/A,#N/A,FALSE,"개선사례"}</definedName>
    <definedName name="wrn.100PPM._.개선사례._.바인더._.BOOK._2_1" localSheetId="26" hidden="1">{#N/A,#N/A,FALSE,"100PPM";#N/A,#N/A,FALSE,"3차원대책서";#N/A,#N/A,FALSE,"개선사례"}</definedName>
    <definedName name="wrn.100PPM._.개선사례._.바인더._.BOOK._2_1" localSheetId="0" hidden="1">{#N/A,#N/A,FALSE,"100PPM";#N/A,#N/A,FALSE,"3차원대책서";#N/A,#N/A,FALSE,"개선사례"}</definedName>
    <definedName name="wrn.100PPM._.개선사례._.바인더._.BOOK._2_1" hidden="1">{#N/A,#N/A,FALSE,"100PPM";#N/A,#N/A,FALSE,"3차원대책서";#N/A,#N/A,FALSE,"개선사례"}</definedName>
    <definedName name="wrn.100PPM._.개선사례._.바인더._.BOOK._2_2" localSheetId="26" hidden="1">{#N/A,#N/A,FALSE,"100PPM";#N/A,#N/A,FALSE,"3차원대책서";#N/A,#N/A,FALSE,"개선사례"}</definedName>
    <definedName name="wrn.100PPM._.개선사례._.바인더._.BOOK._2_2" localSheetId="0" hidden="1">{#N/A,#N/A,FALSE,"100PPM";#N/A,#N/A,FALSE,"3차원대책서";#N/A,#N/A,FALSE,"개선사례"}</definedName>
    <definedName name="wrn.100PPM._.개선사례._.바인더._.BOOK._2_2" hidden="1">{#N/A,#N/A,FALSE,"100PPM";#N/A,#N/A,FALSE,"3차원대책서";#N/A,#N/A,FALSE,"개선사례"}</definedName>
    <definedName name="wrn.100PPM._.개선사례._.바인더._.BOOK._3" localSheetId="26" hidden="1">{#N/A,#N/A,FALSE,"100PPM";#N/A,#N/A,FALSE,"3차원대책서";#N/A,#N/A,FALSE,"개선사례"}</definedName>
    <definedName name="wrn.100PPM._.개선사례._.바인더._.BOOK._3" localSheetId="0" hidden="1">{#N/A,#N/A,FALSE,"100PPM";#N/A,#N/A,FALSE,"3차원대책서";#N/A,#N/A,FALSE,"개선사례"}</definedName>
    <definedName name="wrn.100PPM._.개선사례._.바인더._.BOOK._3" hidden="1">{#N/A,#N/A,FALSE,"100PPM";#N/A,#N/A,FALSE,"3차원대책서";#N/A,#N/A,FALSE,"개선사례"}</definedName>
    <definedName name="wrn.100PPM._.개선사례._.바인더._.BOOK._4" localSheetId="26" hidden="1">{#N/A,#N/A,FALSE,"100PPM";#N/A,#N/A,FALSE,"3차원대책서";#N/A,#N/A,FALSE,"개선사례"}</definedName>
    <definedName name="wrn.100PPM._.개선사례._.바인더._.BOOK._4" localSheetId="0" hidden="1">{#N/A,#N/A,FALSE,"100PPM";#N/A,#N/A,FALSE,"3차원대책서";#N/A,#N/A,FALSE,"개선사례"}</definedName>
    <definedName name="wrn.100PPM._.개선사례._.바인더._.BOOK._4" hidden="1">{#N/A,#N/A,FALSE,"100PPM";#N/A,#N/A,FALSE,"3차원대책서";#N/A,#N/A,FALSE,"개선사례"}</definedName>
    <definedName name="wrn.100PPM._.개선사례._.바인더._.BOOK._5" localSheetId="26" hidden="1">{#N/A,#N/A,FALSE,"100PPM";#N/A,#N/A,FALSE,"3차원대책서";#N/A,#N/A,FALSE,"개선사례"}</definedName>
    <definedName name="wrn.100PPM._.개선사례._.바인더._.BOOK._5" localSheetId="0" hidden="1">{#N/A,#N/A,FALSE,"100PPM";#N/A,#N/A,FALSE,"3차원대책서";#N/A,#N/A,FALSE,"개선사례"}</definedName>
    <definedName name="wrn.100PPM._.개선사례._.바인더._.BOOK._5" hidden="1">{#N/A,#N/A,FALSE,"100PPM";#N/A,#N/A,FALSE,"3차원대책서";#N/A,#N/A,FALSE,"개선사례"}</definedName>
    <definedName name="wrn.11." localSheetId="26" hidden="1">{#N/A,#N/A,FALSE,"해외크레임";#N/A,#N/A,FALSE,"ACCENT현황";#N/A,#N/A,FALSE,"AVANTE";#N/A,#N/A,FALSE,"SONATA(3)";#N/A,#N/A,FALSE,"국내크레임"}</definedName>
    <definedName name="wrn.11." localSheetId="0" hidden="1">{#N/A,#N/A,FALSE,"해외크레임";#N/A,#N/A,FALSE,"ACCENT현황";#N/A,#N/A,FALSE,"AVANTE";#N/A,#N/A,FALSE,"SONATA(3)";#N/A,#N/A,FALSE,"국내크레임"}</definedName>
    <definedName name="wrn.11." hidden="1">{#N/A,#N/A,FALSE,"해외크레임";#N/A,#N/A,FALSE,"ACCENT현황";#N/A,#N/A,FALSE,"AVANTE";#N/A,#N/A,FALSE,"SONATA(3)";#N/A,#N/A,FALSE,"국내크레임"}</definedName>
    <definedName name="wrn.11._1" localSheetId="26" hidden="1">{#N/A,#N/A,FALSE,"해외크레임";#N/A,#N/A,FALSE,"ACCENT현황";#N/A,#N/A,FALSE,"AVANTE";#N/A,#N/A,FALSE,"SONATA(3)";#N/A,#N/A,FALSE,"국내크레임"}</definedName>
    <definedName name="wrn.11._1" localSheetId="0" hidden="1">{#N/A,#N/A,FALSE,"해외크레임";#N/A,#N/A,FALSE,"ACCENT현황";#N/A,#N/A,FALSE,"AVANTE";#N/A,#N/A,FALSE,"SONATA(3)";#N/A,#N/A,FALSE,"국내크레임"}</definedName>
    <definedName name="wrn.11._1" hidden="1">{#N/A,#N/A,FALSE,"해외크레임";#N/A,#N/A,FALSE,"ACCENT현황";#N/A,#N/A,FALSE,"AVANTE";#N/A,#N/A,FALSE,"SONATA(3)";#N/A,#N/A,FALSE,"국내크레임"}</definedName>
    <definedName name="wrn.11._1_1" localSheetId="26" hidden="1">{#N/A,#N/A,FALSE,"해외크레임";#N/A,#N/A,FALSE,"ACCENT현황";#N/A,#N/A,FALSE,"AVANTE";#N/A,#N/A,FALSE,"SONATA(3)";#N/A,#N/A,FALSE,"국내크레임"}</definedName>
    <definedName name="wrn.11._1_1" localSheetId="0" hidden="1">{#N/A,#N/A,FALSE,"해외크레임";#N/A,#N/A,FALSE,"ACCENT현황";#N/A,#N/A,FALSE,"AVANTE";#N/A,#N/A,FALSE,"SONATA(3)";#N/A,#N/A,FALSE,"국내크레임"}</definedName>
    <definedName name="wrn.11._1_1" hidden="1">{#N/A,#N/A,FALSE,"해외크레임";#N/A,#N/A,FALSE,"ACCENT현황";#N/A,#N/A,FALSE,"AVANTE";#N/A,#N/A,FALSE,"SONATA(3)";#N/A,#N/A,FALSE,"국내크레임"}</definedName>
    <definedName name="wrn.11._1_2" localSheetId="26" hidden="1">{#N/A,#N/A,FALSE,"해외크레임";#N/A,#N/A,FALSE,"ACCENT현황";#N/A,#N/A,FALSE,"AVANTE";#N/A,#N/A,FALSE,"SONATA(3)";#N/A,#N/A,FALSE,"국내크레임"}</definedName>
    <definedName name="wrn.11._1_2" localSheetId="0" hidden="1">{#N/A,#N/A,FALSE,"해외크레임";#N/A,#N/A,FALSE,"ACCENT현황";#N/A,#N/A,FALSE,"AVANTE";#N/A,#N/A,FALSE,"SONATA(3)";#N/A,#N/A,FALSE,"국내크레임"}</definedName>
    <definedName name="wrn.11._1_2" hidden="1">{#N/A,#N/A,FALSE,"해외크레임";#N/A,#N/A,FALSE,"ACCENT현황";#N/A,#N/A,FALSE,"AVANTE";#N/A,#N/A,FALSE,"SONATA(3)";#N/A,#N/A,FALSE,"국내크레임"}</definedName>
    <definedName name="wrn.11._1_3" localSheetId="26" hidden="1">{#N/A,#N/A,FALSE,"해외크레임";#N/A,#N/A,FALSE,"ACCENT현황";#N/A,#N/A,FALSE,"AVANTE";#N/A,#N/A,FALSE,"SONATA(3)";#N/A,#N/A,FALSE,"국내크레임"}</definedName>
    <definedName name="wrn.11._1_3" localSheetId="0" hidden="1">{#N/A,#N/A,FALSE,"해외크레임";#N/A,#N/A,FALSE,"ACCENT현황";#N/A,#N/A,FALSE,"AVANTE";#N/A,#N/A,FALSE,"SONATA(3)";#N/A,#N/A,FALSE,"국내크레임"}</definedName>
    <definedName name="wrn.11._1_3" hidden="1">{#N/A,#N/A,FALSE,"해외크레임";#N/A,#N/A,FALSE,"ACCENT현황";#N/A,#N/A,FALSE,"AVANTE";#N/A,#N/A,FALSE,"SONATA(3)";#N/A,#N/A,FALSE,"국내크레임"}</definedName>
    <definedName name="wrn.11._2" localSheetId="26" hidden="1">{#N/A,#N/A,FALSE,"해외크레임";#N/A,#N/A,FALSE,"ACCENT현황";#N/A,#N/A,FALSE,"AVANTE";#N/A,#N/A,FALSE,"SONATA(3)";#N/A,#N/A,FALSE,"국내크레임"}</definedName>
    <definedName name="wrn.11._2" localSheetId="0" hidden="1">{#N/A,#N/A,FALSE,"해외크레임";#N/A,#N/A,FALSE,"ACCENT현황";#N/A,#N/A,FALSE,"AVANTE";#N/A,#N/A,FALSE,"SONATA(3)";#N/A,#N/A,FALSE,"국내크레임"}</definedName>
    <definedName name="wrn.11._2" hidden="1">{#N/A,#N/A,FALSE,"해외크레임";#N/A,#N/A,FALSE,"ACCENT현황";#N/A,#N/A,FALSE,"AVANTE";#N/A,#N/A,FALSE,"SONATA(3)";#N/A,#N/A,FALSE,"국내크레임"}</definedName>
    <definedName name="wrn.11._2_1" localSheetId="26" hidden="1">{#N/A,#N/A,FALSE,"해외크레임";#N/A,#N/A,FALSE,"ACCENT현황";#N/A,#N/A,FALSE,"AVANTE";#N/A,#N/A,FALSE,"SONATA(3)";#N/A,#N/A,FALSE,"국내크레임"}</definedName>
    <definedName name="wrn.11._2_1" localSheetId="0" hidden="1">{#N/A,#N/A,FALSE,"해외크레임";#N/A,#N/A,FALSE,"ACCENT현황";#N/A,#N/A,FALSE,"AVANTE";#N/A,#N/A,FALSE,"SONATA(3)";#N/A,#N/A,FALSE,"국내크레임"}</definedName>
    <definedName name="wrn.11._2_1" hidden="1">{#N/A,#N/A,FALSE,"해외크레임";#N/A,#N/A,FALSE,"ACCENT현황";#N/A,#N/A,FALSE,"AVANTE";#N/A,#N/A,FALSE,"SONATA(3)";#N/A,#N/A,FALSE,"국내크레임"}</definedName>
    <definedName name="wrn.11._2_2" localSheetId="26" hidden="1">{#N/A,#N/A,FALSE,"해외크레임";#N/A,#N/A,FALSE,"ACCENT현황";#N/A,#N/A,FALSE,"AVANTE";#N/A,#N/A,FALSE,"SONATA(3)";#N/A,#N/A,FALSE,"국내크레임"}</definedName>
    <definedName name="wrn.11._2_2" localSheetId="0" hidden="1">{#N/A,#N/A,FALSE,"해외크레임";#N/A,#N/A,FALSE,"ACCENT현황";#N/A,#N/A,FALSE,"AVANTE";#N/A,#N/A,FALSE,"SONATA(3)";#N/A,#N/A,FALSE,"국내크레임"}</definedName>
    <definedName name="wrn.11._2_2" hidden="1">{#N/A,#N/A,FALSE,"해외크레임";#N/A,#N/A,FALSE,"ACCENT현황";#N/A,#N/A,FALSE,"AVANTE";#N/A,#N/A,FALSE,"SONATA(3)";#N/A,#N/A,FALSE,"국내크레임"}</definedName>
    <definedName name="wrn.11._3" localSheetId="26" hidden="1">{#N/A,#N/A,FALSE,"해외크레임";#N/A,#N/A,FALSE,"ACCENT현황";#N/A,#N/A,FALSE,"AVANTE";#N/A,#N/A,FALSE,"SONATA(3)";#N/A,#N/A,FALSE,"국내크레임"}</definedName>
    <definedName name="wrn.11._3" localSheetId="0" hidden="1">{#N/A,#N/A,FALSE,"해외크레임";#N/A,#N/A,FALSE,"ACCENT현황";#N/A,#N/A,FALSE,"AVANTE";#N/A,#N/A,FALSE,"SONATA(3)";#N/A,#N/A,FALSE,"국내크레임"}</definedName>
    <definedName name="wrn.11._3" hidden="1">{#N/A,#N/A,FALSE,"해외크레임";#N/A,#N/A,FALSE,"ACCENT현황";#N/A,#N/A,FALSE,"AVANTE";#N/A,#N/A,FALSE,"SONATA(3)";#N/A,#N/A,FALSE,"국내크레임"}</definedName>
    <definedName name="wrn.11._4" localSheetId="26" hidden="1">{#N/A,#N/A,FALSE,"해외크레임";#N/A,#N/A,FALSE,"ACCENT현황";#N/A,#N/A,FALSE,"AVANTE";#N/A,#N/A,FALSE,"SONATA(3)";#N/A,#N/A,FALSE,"국내크레임"}</definedName>
    <definedName name="wrn.11._4" localSheetId="0" hidden="1">{#N/A,#N/A,FALSE,"해외크레임";#N/A,#N/A,FALSE,"ACCENT현황";#N/A,#N/A,FALSE,"AVANTE";#N/A,#N/A,FALSE,"SONATA(3)";#N/A,#N/A,FALSE,"국내크레임"}</definedName>
    <definedName name="wrn.11._4" hidden="1">{#N/A,#N/A,FALSE,"해외크레임";#N/A,#N/A,FALSE,"ACCENT현황";#N/A,#N/A,FALSE,"AVANTE";#N/A,#N/A,FALSE,"SONATA(3)";#N/A,#N/A,FALSE,"국내크레임"}</definedName>
    <definedName name="wrn.11._5" localSheetId="26" hidden="1">{#N/A,#N/A,FALSE,"해외크레임";#N/A,#N/A,FALSE,"ACCENT현황";#N/A,#N/A,FALSE,"AVANTE";#N/A,#N/A,FALSE,"SONATA(3)";#N/A,#N/A,FALSE,"국내크레임"}</definedName>
    <definedName name="wrn.11._5" localSheetId="0" hidden="1">{#N/A,#N/A,FALSE,"해외크레임";#N/A,#N/A,FALSE,"ACCENT현황";#N/A,#N/A,FALSE,"AVANTE";#N/A,#N/A,FALSE,"SONATA(3)";#N/A,#N/A,FALSE,"국내크레임"}</definedName>
    <definedName name="wrn.11._5" hidden="1">{#N/A,#N/A,FALSE,"해외크레임";#N/A,#N/A,FALSE,"ACCENT현황";#N/A,#N/A,FALSE,"AVANTE";#N/A,#N/A,FALSE,"SONATA(3)";#N/A,#N/A,FALSE,"국내크레임"}</definedName>
    <definedName name="wrn.AU._.검사성적서." localSheetId="26" hidden="1">{#N/A,#N/A,FALSE,"을지 (4)";#N/A,#N/A,FALSE,"을지 (5)";#N/A,#N/A,FALSE,"을지 (6)"}</definedName>
    <definedName name="wrn.AU._.검사성적서." localSheetId="0" hidden="1">{#N/A,#N/A,FALSE,"을지 (4)";#N/A,#N/A,FALSE,"을지 (5)";#N/A,#N/A,FALSE,"을지 (6)"}</definedName>
    <definedName name="wrn.AU._.검사성적서." hidden="1">{#N/A,#N/A,FALSE,"을지 (4)";#N/A,#N/A,FALSE,"을지 (5)";#N/A,#N/A,FALSE,"을지 (6)"}</definedName>
    <definedName name="wrn.AU._.검사성적서._1" localSheetId="26" hidden="1">{#N/A,#N/A,FALSE,"을지 (4)";#N/A,#N/A,FALSE,"을지 (5)";#N/A,#N/A,FALSE,"을지 (6)"}</definedName>
    <definedName name="wrn.AU._.검사성적서._1" localSheetId="0" hidden="1">{#N/A,#N/A,FALSE,"을지 (4)";#N/A,#N/A,FALSE,"을지 (5)";#N/A,#N/A,FALSE,"을지 (6)"}</definedName>
    <definedName name="wrn.AU._.검사성적서._1" hidden="1">{#N/A,#N/A,FALSE,"을지 (4)";#N/A,#N/A,FALSE,"을지 (5)";#N/A,#N/A,FALSE,"을지 (6)"}</definedName>
    <definedName name="wrn.AU._.검사성적서._1_1" localSheetId="26" hidden="1">{#N/A,#N/A,FALSE,"을지 (4)";#N/A,#N/A,FALSE,"을지 (5)";#N/A,#N/A,FALSE,"을지 (6)"}</definedName>
    <definedName name="wrn.AU._.검사성적서._1_1" localSheetId="0" hidden="1">{#N/A,#N/A,FALSE,"을지 (4)";#N/A,#N/A,FALSE,"을지 (5)";#N/A,#N/A,FALSE,"을지 (6)"}</definedName>
    <definedName name="wrn.AU._.검사성적서._1_1" hidden="1">{#N/A,#N/A,FALSE,"을지 (4)";#N/A,#N/A,FALSE,"을지 (5)";#N/A,#N/A,FALSE,"을지 (6)"}</definedName>
    <definedName name="wrn.AU._.검사성적서._1_2" localSheetId="26" hidden="1">{#N/A,#N/A,FALSE,"을지 (4)";#N/A,#N/A,FALSE,"을지 (5)";#N/A,#N/A,FALSE,"을지 (6)"}</definedName>
    <definedName name="wrn.AU._.검사성적서._1_2" localSheetId="0" hidden="1">{#N/A,#N/A,FALSE,"을지 (4)";#N/A,#N/A,FALSE,"을지 (5)";#N/A,#N/A,FALSE,"을지 (6)"}</definedName>
    <definedName name="wrn.AU._.검사성적서._1_2" hidden="1">{#N/A,#N/A,FALSE,"을지 (4)";#N/A,#N/A,FALSE,"을지 (5)";#N/A,#N/A,FALSE,"을지 (6)"}</definedName>
    <definedName name="wrn.AU._.검사성적서._1_3" localSheetId="26" hidden="1">{#N/A,#N/A,FALSE,"을지 (4)";#N/A,#N/A,FALSE,"을지 (5)";#N/A,#N/A,FALSE,"을지 (6)"}</definedName>
    <definedName name="wrn.AU._.검사성적서._1_3" localSheetId="0" hidden="1">{#N/A,#N/A,FALSE,"을지 (4)";#N/A,#N/A,FALSE,"을지 (5)";#N/A,#N/A,FALSE,"을지 (6)"}</definedName>
    <definedName name="wrn.AU._.검사성적서._1_3" hidden="1">{#N/A,#N/A,FALSE,"을지 (4)";#N/A,#N/A,FALSE,"을지 (5)";#N/A,#N/A,FALSE,"을지 (6)"}</definedName>
    <definedName name="wrn.AU._.검사성적서._2" localSheetId="26" hidden="1">{#N/A,#N/A,FALSE,"을지 (4)";#N/A,#N/A,FALSE,"을지 (5)";#N/A,#N/A,FALSE,"을지 (6)"}</definedName>
    <definedName name="wrn.AU._.검사성적서._2" localSheetId="0" hidden="1">{#N/A,#N/A,FALSE,"을지 (4)";#N/A,#N/A,FALSE,"을지 (5)";#N/A,#N/A,FALSE,"을지 (6)"}</definedName>
    <definedName name="wrn.AU._.검사성적서._2" hidden="1">{#N/A,#N/A,FALSE,"을지 (4)";#N/A,#N/A,FALSE,"을지 (5)";#N/A,#N/A,FALSE,"을지 (6)"}</definedName>
    <definedName name="wrn.AU._.검사성적서._2_1" localSheetId="26" hidden="1">{#N/A,#N/A,FALSE,"을지 (4)";#N/A,#N/A,FALSE,"을지 (5)";#N/A,#N/A,FALSE,"을지 (6)"}</definedName>
    <definedName name="wrn.AU._.검사성적서._2_1" localSheetId="0" hidden="1">{#N/A,#N/A,FALSE,"을지 (4)";#N/A,#N/A,FALSE,"을지 (5)";#N/A,#N/A,FALSE,"을지 (6)"}</definedName>
    <definedName name="wrn.AU._.검사성적서._2_1" hidden="1">{#N/A,#N/A,FALSE,"을지 (4)";#N/A,#N/A,FALSE,"을지 (5)";#N/A,#N/A,FALSE,"을지 (6)"}</definedName>
    <definedName name="wrn.AU._.검사성적서._2_2" localSheetId="26" hidden="1">{#N/A,#N/A,FALSE,"을지 (4)";#N/A,#N/A,FALSE,"을지 (5)";#N/A,#N/A,FALSE,"을지 (6)"}</definedName>
    <definedName name="wrn.AU._.검사성적서._2_2" localSheetId="0" hidden="1">{#N/A,#N/A,FALSE,"을지 (4)";#N/A,#N/A,FALSE,"을지 (5)";#N/A,#N/A,FALSE,"을지 (6)"}</definedName>
    <definedName name="wrn.AU._.검사성적서._2_2" hidden="1">{#N/A,#N/A,FALSE,"을지 (4)";#N/A,#N/A,FALSE,"을지 (5)";#N/A,#N/A,FALSE,"을지 (6)"}</definedName>
    <definedName name="wrn.AU._.검사성적서._3" localSheetId="26" hidden="1">{#N/A,#N/A,FALSE,"을지 (4)";#N/A,#N/A,FALSE,"을지 (5)";#N/A,#N/A,FALSE,"을지 (6)"}</definedName>
    <definedName name="wrn.AU._.검사성적서._3" localSheetId="0" hidden="1">{#N/A,#N/A,FALSE,"을지 (4)";#N/A,#N/A,FALSE,"을지 (5)";#N/A,#N/A,FALSE,"을지 (6)"}</definedName>
    <definedName name="wrn.AU._.검사성적서._3" hidden="1">{#N/A,#N/A,FALSE,"을지 (4)";#N/A,#N/A,FALSE,"을지 (5)";#N/A,#N/A,FALSE,"을지 (6)"}</definedName>
    <definedName name="wrn.AU._.검사성적서._4" localSheetId="26" hidden="1">{#N/A,#N/A,FALSE,"을지 (4)";#N/A,#N/A,FALSE,"을지 (5)";#N/A,#N/A,FALSE,"을지 (6)"}</definedName>
    <definedName name="wrn.AU._.검사성적서._4" localSheetId="0" hidden="1">{#N/A,#N/A,FALSE,"을지 (4)";#N/A,#N/A,FALSE,"을지 (5)";#N/A,#N/A,FALSE,"을지 (6)"}</definedName>
    <definedName name="wrn.AU._.검사성적서._4" hidden="1">{#N/A,#N/A,FALSE,"을지 (4)";#N/A,#N/A,FALSE,"을지 (5)";#N/A,#N/A,FALSE,"을지 (6)"}</definedName>
    <definedName name="wrn.AU._.검사성적서._5" localSheetId="26" hidden="1">{#N/A,#N/A,FALSE,"을지 (4)";#N/A,#N/A,FALSE,"을지 (5)";#N/A,#N/A,FALSE,"을지 (6)"}</definedName>
    <definedName name="wrn.AU._.검사성적서._5" localSheetId="0" hidden="1">{#N/A,#N/A,FALSE,"을지 (4)";#N/A,#N/A,FALSE,"을지 (5)";#N/A,#N/A,FALSE,"을지 (6)"}</definedName>
    <definedName name="wrn.AU._.검사성적서._5" hidden="1">{#N/A,#N/A,FALSE,"을지 (4)";#N/A,#N/A,FALSE,"을지 (5)";#N/A,#N/A,FALSE,"을지 (6)"}</definedName>
    <definedName name="wrn.AU._.초도품._.보증서.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AU._.초도품._.보증서._1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1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1" hidden="1">{#N/A,#N/A,FALSE,"초도품";#N/A,#N/A,FALSE,"초도품 (2)";#N/A,#N/A,FALSE,"초도품 (3)";#N/A,#N/A,FALSE,"초도품 (4)";#N/A,#N/A,FALSE,"초도품 (5)";#N/A,#N/A,FALSE,"초도품 (6)"}</definedName>
    <definedName name="wrn.AU._.초도품._.보증서._1_1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1_1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1_1" hidden="1">{#N/A,#N/A,FALSE,"초도품";#N/A,#N/A,FALSE,"초도품 (2)";#N/A,#N/A,FALSE,"초도품 (3)";#N/A,#N/A,FALSE,"초도품 (4)";#N/A,#N/A,FALSE,"초도품 (5)";#N/A,#N/A,FALSE,"초도품 (6)"}</definedName>
    <definedName name="wrn.AU._.초도품._.보증서._1_2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1_2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1_2" hidden="1">{#N/A,#N/A,FALSE,"초도품";#N/A,#N/A,FALSE,"초도품 (2)";#N/A,#N/A,FALSE,"초도품 (3)";#N/A,#N/A,FALSE,"초도품 (4)";#N/A,#N/A,FALSE,"초도품 (5)";#N/A,#N/A,FALSE,"초도품 (6)"}</definedName>
    <definedName name="wrn.AU._.초도품._.보증서._1_3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1_3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1_3" hidden="1">{#N/A,#N/A,FALSE,"초도품";#N/A,#N/A,FALSE,"초도품 (2)";#N/A,#N/A,FALSE,"초도품 (3)";#N/A,#N/A,FALSE,"초도품 (4)";#N/A,#N/A,FALSE,"초도품 (5)";#N/A,#N/A,FALSE,"초도품 (6)"}</definedName>
    <definedName name="wrn.AU._.초도품._.보증서._2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2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2" hidden="1">{#N/A,#N/A,FALSE,"초도품";#N/A,#N/A,FALSE,"초도품 (2)";#N/A,#N/A,FALSE,"초도품 (3)";#N/A,#N/A,FALSE,"초도품 (4)";#N/A,#N/A,FALSE,"초도품 (5)";#N/A,#N/A,FALSE,"초도품 (6)"}</definedName>
    <definedName name="wrn.AU._.초도품._.보증서._2_1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2_1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2_1" hidden="1">{#N/A,#N/A,FALSE,"초도품";#N/A,#N/A,FALSE,"초도품 (2)";#N/A,#N/A,FALSE,"초도품 (3)";#N/A,#N/A,FALSE,"초도품 (4)";#N/A,#N/A,FALSE,"초도품 (5)";#N/A,#N/A,FALSE,"초도품 (6)"}</definedName>
    <definedName name="wrn.AU._.초도품._.보증서._2_2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2_2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2_2" hidden="1">{#N/A,#N/A,FALSE,"초도품";#N/A,#N/A,FALSE,"초도품 (2)";#N/A,#N/A,FALSE,"초도품 (3)";#N/A,#N/A,FALSE,"초도품 (4)";#N/A,#N/A,FALSE,"초도품 (5)";#N/A,#N/A,FALSE,"초도품 (6)"}</definedName>
    <definedName name="wrn.AU._.초도품._.보증서._3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3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3" hidden="1">{#N/A,#N/A,FALSE,"초도품";#N/A,#N/A,FALSE,"초도품 (2)";#N/A,#N/A,FALSE,"초도품 (3)";#N/A,#N/A,FALSE,"초도품 (4)";#N/A,#N/A,FALSE,"초도품 (5)";#N/A,#N/A,FALSE,"초도품 (6)"}</definedName>
    <definedName name="wrn.AU._.초도품._.보증서._4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4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4" hidden="1">{#N/A,#N/A,FALSE,"초도품";#N/A,#N/A,FALSE,"초도품 (2)";#N/A,#N/A,FALSE,"초도품 (3)";#N/A,#N/A,FALSE,"초도품 (4)";#N/A,#N/A,FALSE,"초도품 (5)";#N/A,#N/A,FALSE,"초도품 (6)"}</definedName>
    <definedName name="wrn.AU._.초도품._.보증서._5" localSheetId="26" hidden="1">{#N/A,#N/A,FALSE,"초도품";#N/A,#N/A,FALSE,"초도품 (2)";#N/A,#N/A,FALSE,"초도품 (3)";#N/A,#N/A,FALSE,"초도품 (4)";#N/A,#N/A,FALSE,"초도품 (5)";#N/A,#N/A,FALSE,"초도품 (6)"}</definedName>
    <definedName name="wrn.AU._.초도품._.보증서._5" localSheetId="0" hidden="1">{#N/A,#N/A,FALSE,"초도품";#N/A,#N/A,FALSE,"초도품 (2)";#N/A,#N/A,FALSE,"초도품 (3)";#N/A,#N/A,FALSE,"초도품 (4)";#N/A,#N/A,FALSE,"초도품 (5)";#N/A,#N/A,FALSE,"초도품 (6)"}</definedName>
    <definedName name="wrn.AU._.초도품._.보증서._5" hidden="1">{#N/A,#N/A,FALSE,"초도품";#N/A,#N/A,FALSE,"초도품 (2)";#N/A,#N/A,FALSE,"초도품 (3)";#N/A,#N/A,FALSE,"초도품 (4)";#N/A,#N/A,FALSE,"초도품 (5)";#N/A,#N/A,FALSE,"초도품 (6)"}</definedName>
    <definedName name="wrn.AU가공.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1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1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1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2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2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2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3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3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1_3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_1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_1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_1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_2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_2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2_2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3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3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3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4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4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4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5" localSheetId="26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5" localSheetId="0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AU가공._5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barry." localSheetId="22" hidden="1">{#N/A,#N/A,FALSE,"BS 16";#N/A,#N/A,FALSE,"BS 16-A";#N/A,#N/A,FALSE,"BS 16-B";#N/A,#N/A,FALSE,"BS 16-C";#N/A,#N/A,FALSE,"NAO BS 16";#N/A,#N/A,FALSE,"Attach A (1998 Targets)"}</definedName>
    <definedName name="wrn.barry." localSheetId="14" hidden="1">{#N/A,#N/A,FALSE,"BS 16";#N/A,#N/A,FALSE,"BS 16-A";#N/A,#N/A,FALSE,"BS 16-B";#N/A,#N/A,FALSE,"BS 16-C";#N/A,#N/A,FALSE,"NAO BS 16";#N/A,#N/A,FALSE,"Attach A (1998 Targets)"}</definedName>
    <definedName name="wrn.barry." localSheetId="29" hidden="1">{#N/A,#N/A,FALSE,"BS 16";#N/A,#N/A,FALSE,"BS 16-A";#N/A,#N/A,FALSE,"BS 16-B";#N/A,#N/A,FALSE,"BS 16-C";#N/A,#N/A,FALSE,"NAO BS 16";#N/A,#N/A,FALSE,"Attach A (1998 Targets)"}</definedName>
    <definedName name="wrn.barry." hidden="1">{#N/A,#N/A,FALSE,"BS 16";#N/A,#N/A,FALSE,"BS 16-A";#N/A,#N/A,FALSE,"BS 16-B";#N/A,#N/A,FALSE,"BS 16-C";#N/A,#N/A,FALSE,"NAO BS 16";#N/A,#N/A,FALSE,"Attach A (1998 Targets)"}</definedName>
    <definedName name="wrn.barry._1" localSheetId="22" hidden="1">{#N/A,#N/A,FALSE,"BS 16";#N/A,#N/A,FALSE,"BS 16-A";#N/A,#N/A,FALSE,"BS 16-B";#N/A,#N/A,FALSE,"BS 16-C";#N/A,#N/A,FALSE,"NAO BS 16";#N/A,#N/A,FALSE,"Attach A (1998 Targets)"}</definedName>
    <definedName name="wrn.barry._1" localSheetId="14" hidden="1">{#N/A,#N/A,FALSE,"BS 16";#N/A,#N/A,FALSE,"BS 16-A";#N/A,#N/A,FALSE,"BS 16-B";#N/A,#N/A,FALSE,"BS 16-C";#N/A,#N/A,FALSE,"NAO BS 16";#N/A,#N/A,FALSE,"Attach A (1998 Targets)"}</definedName>
    <definedName name="wrn.barry._1" localSheetId="29" hidden="1">{#N/A,#N/A,FALSE,"BS 16";#N/A,#N/A,FALSE,"BS 16-A";#N/A,#N/A,FALSE,"BS 16-B";#N/A,#N/A,FALSE,"BS 16-C";#N/A,#N/A,FALSE,"NAO BS 16";#N/A,#N/A,FALSE,"Attach A (1998 Targets)"}</definedName>
    <definedName name="wrn.barry._1" hidden="1">{#N/A,#N/A,FALSE,"BS 16";#N/A,#N/A,FALSE,"BS 16-A";#N/A,#N/A,FALSE,"BS 16-B";#N/A,#N/A,FALSE,"BS 16-C";#N/A,#N/A,FALSE,"NAO BS 16";#N/A,#N/A,FALSE,"Attach A (1998 Targets)"}</definedName>
    <definedName name="wrn.Brief." localSheetId="22" hidden="1">{#N/A,#N/A,TRUE,"Summary";#N/A,#N/A,TRUE,"Balance Sheet";#N/A,#N/A,TRUE,"P &amp; L";#N/A,#N/A,TRUE,"Fixed Assets";#N/A,#N/A,TRUE,"Cash Flows"}</definedName>
    <definedName name="wrn.Brief." localSheetId="26" hidden="1">{#N/A,#N/A,TRUE,"Summary";#N/A,#N/A,TRUE,"Balance Sheet";#N/A,#N/A,TRUE,"P &amp; L";#N/A,#N/A,TRUE,"Fixed Assets";#N/A,#N/A,TRUE,"Cash Flows"}</definedName>
    <definedName name="wrn.Brief." localSheetId="14" hidden="1">{#N/A,#N/A,TRUE,"Summary";#N/A,#N/A,TRUE,"Balance Sheet";#N/A,#N/A,TRUE,"P &amp; L";#N/A,#N/A,TRUE,"Fixed Assets";#N/A,#N/A,TRUE,"Cash Flows"}</definedName>
    <definedName name="wrn.Brief." localSheetId="21" hidden="1">{#N/A,#N/A,TRUE,"Summary";#N/A,#N/A,TRUE,"Balance Sheet";#N/A,#N/A,TRUE,"P &amp; L";#N/A,#N/A,TRUE,"Fixed Assets";#N/A,#N/A,TRUE,"Cash Flows"}</definedName>
    <definedName name="wrn.Brief." localSheetId="3" hidden="1">{#N/A,#N/A,TRUE,"Summary";#N/A,#N/A,TRUE,"Balance Sheet";#N/A,#N/A,TRUE,"P &amp; L";#N/A,#N/A,TRUE,"Fixed Assets";#N/A,#N/A,TRUE,"Cash Flows"}</definedName>
    <definedName name="wrn.Brief." localSheetId="29" hidden="1">{#N/A,#N/A,TRUE,"Summary";#N/A,#N/A,TRUE,"Balance Sheet";#N/A,#N/A,TRUE,"P &amp; L";#N/A,#N/A,TRUE,"Fixed Assets";#N/A,#N/A,TRUE,"Cash Flows"}</definedName>
    <definedName name="wrn.Brief." localSheetId="28" hidden="1">{#N/A,#N/A,TRUE,"Summary";#N/A,#N/A,TRUE,"Balance Sheet";#N/A,#N/A,TRUE,"P &amp; L";#N/A,#N/A,TRUE,"Fixed Assets";#N/A,#N/A,TRUE,"Cash Flows"}</definedName>
    <definedName name="wrn.Brief." localSheetId="27" hidden="1">{#N/A,#N/A,TRUE,"Summary";#N/A,#N/A,TRUE,"Balance Sheet";#N/A,#N/A,TRUE,"P &amp; L";#N/A,#N/A,TRUE,"Fixed Assets";#N/A,#N/A,TRUE,"Cash Flows"}</definedName>
    <definedName name="wrn.Brief." localSheetId="0" hidden="1">{#N/A,#N/A,TRUE,"Summary";#N/A,#N/A,TRUE,"Balance Sheet";#N/A,#N/A,TRUE,"P &amp; L";#N/A,#N/A,TRUE,"Fixed Assets";#N/A,#N/A,TRUE,"Cash Flows"}</definedName>
    <definedName name="wrn.Brief." hidden="1">{#N/A,#N/A,TRUE,"Summary";#N/A,#N/A,TRUE,"Balance Sheet";#N/A,#N/A,TRUE,"P &amp; L";#N/A,#N/A,TRUE,"Fixed Assets";#N/A,#N/A,TRUE,"Cash Flows"}</definedName>
    <definedName name="wrn.Brief._1" localSheetId="26" hidden="1">{#N/A,#N/A,TRUE,"Summary";#N/A,#N/A,TRUE,"Balance Sheet";#N/A,#N/A,TRUE,"P &amp; L";#N/A,#N/A,TRUE,"Fixed Assets";#N/A,#N/A,TRUE,"Cash Flows"}</definedName>
    <definedName name="wrn.Brief._1" localSheetId="0" hidden="1">{#N/A,#N/A,TRUE,"Summary";#N/A,#N/A,TRUE,"Balance Sheet";#N/A,#N/A,TRUE,"P &amp; L";#N/A,#N/A,TRUE,"Fixed Assets";#N/A,#N/A,TRUE,"Cash Flows"}</definedName>
    <definedName name="wrn.Brief._1" hidden="1">{#N/A,#N/A,TRUE,"Summary";#N/A,#N/A,TRUE,"Balance Sheet";#N/A,#N/A,TRUE,"P &amp; L";#N/A,#N/A,TRUE,"Fixed Assets";#N/A,#N/A,TRUE,"Cash Flows"}</definedName>
    <definedName name="wrn.Brief._1_1" localSheetId="26" hidden="1">{#N/A,#N/A,TRUE,"Summary";#N/A,#N/A,TRUE,"Balance Sheet";#N/A,#N/A,TRUE,"P &amp; L";#N/A,#N/A,TRUE,"Fixed Assets";#N/A,#N/A,TRUE,"Cash Flows"}</definedName>
    <definedName name="wrn.Brief._1_1" localSheetId="0" hidden="1">{#N/A,#N/A,TRUE,"Summary";#N/A,#N/A,TRUE,"Balance Sheet";#N/A,#N/A,TRUE,"P &amp; L";#N/A,#N/A,TRUE,"Fixed Assets";#N/A,#N/A,TRUE,"Cash Flows"}</definedName>
    <definedName name="wrn.Brief._1_1" hidden="1">{#N/A,#N/A,TRUE,"Summary";#N/A,#N/A,TRUE,"Balance Sheet";#N/A,#N/A,TRUE,"P &amp; L";#N/A,#N/A,TRUE,"Fixed Assets";#N/A,#N/A,TRUE,"Cash Flows"}</definedName>
    <definedName name="wrn.Brief._1_2" localSheetId="26" hidden="1">{#N/A,#N/A,TRUE,"Summary";#N/A,#N/A,TRUE,"Balance Sheet";#N/A,#N/A,TRUE,"P &amp; L";#N/A,#N/A,TRUE,"Fixed Assets";#N/A,#N/A,TRUE,"Cash Flows"}</definedName>
    <definedName name="wrn.Brief._1_2" localSheetId="0" hidden="1">{#N/A,#N/A,TRUE,"Summary";#N/A,#N/A,TRUE,"Balance Sheet";#N/A,#N/A,TRUE,"P &amp; L";#N/A,#N/A,TRUE,"Fixed Assets";#N/A,#N/A,TRUE,"Cash Flows"}</definedName>
    <definedName name="wrn.Brief._1_2" hidden="1">{#N/A,#N/A,TRUE,"Summary";#N/A,#N/A,TRUE,"Balance Sheet";#N/A,#N/A,TRUE,"P &amp; L";#N/A,#N/A,TRUE,"Fixed Assets";#N/A,#N/A,TRUE,"Cash Flows"}</definedName>
    <definedName name="wrn.Brief._1_3" localSheetId="26" hidden="1">{#N/A,#N/A,TRUE,"Summary";#N/A,#N/A,TRUE,"Balance Sheet";#N/A,#N/A,TRUE,"P &amp; L";#N/A,#N/A,TRUE,"Fixed Assets";#N/A,#N/A,TRUE,"Cash Flows"}</definedName>
    <definedName name="wrn.Brief._1_3" localSheetId="0" hidden="1">{#N/A,#N/A,TRUE,"Summary";#N/A,#N/A,TRUE,"Balance Sheet";#N/A,#N/A,TRUE,"P &amp; L";#N/A,#N/A,TRUE,"Fixed Assets";#N/A,#N/A,TRUE,"Cash Flows"}</definedName>
    <definedName name="wrn.Brief._1_3" hidden="1">{#N/A,#N/A,TRUE,"Summary";#N/A,#N/A,TRUE,"Balance Sheet";#N/A,#N/A,TRUE,"P &amp; L";#N/A,#N/A,TRUE,"Fixed Assets";#N/A,#N/A,TRUE,"Cash Flows"}</definedName>
    <definedName name="wrn.Brief._2" localSheetId="26" hidden="1">{#N/A,#N/A,TRUE,"Summary";#N/A,#N/A,TRUE,"Balance Sheet";#N/A,#N/A,TRUE,"P &amp; L";#N/A,#N/A,TRUE,"Fixed Assets";#N/A,#N/A,TRUE,"Cash Flows"}</definedName>
    <definedName name="wrn.Brief._2" localSheetId="0" hidden="1">{#N/A,#N/A,TRUE,"Summary";#N/A,#N/A,TRUE,"Balance Sheet";#N/A,#N/A,TRUE,"P &amp; L";#N/A,#N/A,TRUE,"Fixed Assets";#N/A,#N/A,TRUE,"Cash Flows"}</definedName>
    <definedName name="wrn.Brief._2" hidden="1">{#N/A,#N/A,TRUE,"Summary";#N/A,#N/A,TRUE,"Balance Sheet";#N/A,#N/A,TRUE,"P &amp; L";#N/A,#N/A,TRUE,"Fixed Assets";#N/A,#N/A,TRUE,"Cash Flows"}</definedName>
    <definedName name="wrn.Brief._2_1" localSheetId="26" hidden="1">{#N/A,#N/A,TRUE,"Summary";#N/A,#N/A,TRUE,"Balance Sheet";#N/A,#N/A,TRUE,"P &amp; L";#N/A,#N/A,TRUE,"Fixed Assets";#N/A,#N/A,TRUE,"Cash Flows"}</definedName>
    <definedName name="wrn.Brief._2_1" localSheetId="0" hidden="1">{#N/A,#N/A,TRUE,"Summary";#N/A,#N/A,TRUE,"Balance Sheet";#N/A,#N/A,TRUE,"P &amp; L";#N/A,#N/A,TRUE,"Fixed Assets";#N/A,#N/A,TRUE,"Cash Flows"}</definedName>
    <definedName name="wrn.Brief._2_1" hidden="1">{#N/A,#N/A,TRUE,"Summary";#N/A,#N/A,TRUE,"Balance Sheet";#N/A,#N/A,TRUE,"P &amp; L";#N/A,#N/A,TRUE,"Fixed Assets";#N/A,#N/A,TRUE,"Cash Flows"}</definedName>
    <definedName name="wrn.Brief._2_2" localSheetId="26" hidden="1">{#N/A,#N/A,TRUE,"Summary";#N/A,#N/A,TRUE,"Balance Sheet";#N/A,#N/A,TRUE,"P &amp; L";#N/A,#N/A,TRUE,"Fixed Assets";#N/A,#N/A,TRUE,"Cash Flows"}</definedName>
    <definedName name="wrn.Brief._2_2" localSheetId="0" hidden="1">{#N/A,#N/A,TRUE,"Summary";#N/A,#N/A,TRUE,"Balance Sheet";#N/A,#N/A,TRUE,"P &amp; L";#N/A,#N/A,TRUE,"Fixed Assets";#N/A,#N/A,TRUE,"Cash Flows"}</definedName>
    <definedName name="wrn.Brief._2_2" hidden="1">{#N/A,#N/A,TRUE,"Summary";#N/A,#N/A,TRUE,"Balance Sheet";#N/A,#N/A,TRUE,"P &amp; L";#N/A,#N/A,TRUE,"Fixed Assets";#N/A,#N/A,TRUE,"Cash Flows"}</definedName>
    <definedName name="wrn.Brief._3" localSheetId="26" hidden="1">{#N/A,#N/A,TRUE,"Summary";#N/A,#N/A,TRUE,"Balance Sheet";#N/A,#N/A,TRUE,"P &amp; L";#N/A,#N/A,TRUE,"Fixed Assets";#N/A,#N/A,TRUE,"Cash Flows"}</definedName>
    <definedName name="wrn.Brief._3" localSheetId="0" hidden="1">{#N/A,#N/A,TRUE,"Summary";#N/A,#N/A,TRUE,"Balance Sheet";#N/A,#N/A,TRUE,"P &amp; L";#N/A,#N/A,TRUE,"Fixed Assets";#N/A,#N/A,TRUE,"Cash Flows"}</definedName>
    <definedName name="wrn.Brief._3" hidden="1">{#N/A,#N/A,TRUE,"Summary";#N/A,#N/A,TRUE,"Balance Sheet";#N/A,#N/A,TRUE,"P &amp; L";#N/A,#N/A,TRUE,"Fixed Assets";#N/A,#N/A,TRUE,"Cash Flows"}</definedName>
    <definedName name="wrn.Brief._4" localSheetId="26" hidden="1">{#N/A,#N/A,TRUE,"Summary";#N/A,#N/A,TRUE,"Balance Sheet";#N/A,#N/A,TRUE,"P &amp; L";#N/A,#N/A,TRUE,"Fixed Assets";#N/A,#N/A,TRUE,"Cash Flows"}</definedName>
    <definedName name="wrn.Brief._4" localSheetId="0" hidden="1">{#N/A,#N/A,TRUE,"Summary";#N/A,#N/A,TRUE,"Balance Sheet";#N/A,#N/A,TRUE,"P &amp; L";#N/A,#N/A,TRUE,"Fixed Assets";#N/A,#N/A,TRUE,"Cash Flows"}</definedName>
    <definedName name="wrn.Brief._4" hidden="1">{#N/A,#N/A,TRUE,"Summary";#N/A,#N/A,TRUE,"Balance Sheet";#N/A,#N/A,TRUE,"P &amp; L";#N/A,#N/A,TRUE,"Fixed Assets";#N/A,#N/A,TRUE,"Cash Flows"}</definedName>
    <definedName name="wrn.Brief._5" localSheetId="26" hidden="1">{#N/A,#N/A,TRUE,"Summary";#N/A,#N/A,TRUE,"Balance Sheet";#N/A,#N/A,TRUE,"P &amp; L";#N/A,#N/A,TRUE,"Fixed Assets";#N/A,#N/A,TRUE,"Cash Flows"}</definedName>
    <definedName name="wrn.Brief._5" localSheetId="0" hidden="1">{#N/A,#N/A,TRUE,"Summary";#N/A,#N/A,TRUE,"Balance Sheet";#N/A,#N/A,TRUE,"P &amp; L";#N/A,#N/A,TRUE,"Fixed Assets";#N/A,#N/A,TRUE,"Cash Flows"}</definedName>
    <definedName name="wrn.Brief._5" hidden="1">{#N/A,#N/A,TRUE,"Summary";#N/A,#N/A,TRUE,"Balance Sheet";#N/A,#N/A,TRUE,"P &amp; L";#N/A,#N/A,TRUE,"Fixed Assets";#N/A,#N/A,TRUE,"Cash Flows"}</definedName>
    <definedName name="wrn.CAPITAL." localSheetId="22" hidden="1">{#N/A,#N/A,FALSE,"SUMMARY";#N/A,#N/A,FALSE,"TOTAL AF";#N/A,#N/A,FALSE,"May A"}</definedName>
    <definedName name="wrn.CAPITAL." localSheetId="14" hidden="1">{#N/A,#N/A,FALSE,"SUMMARY";#N/A,#N/A,FALSE,"TOTAL AF";#N/A,#N/A,FALSE,"May A"}</definedName>
    <definedName name="wrn.CAPITAL." localSheetId="29" hidden="1">{#N/A,#N/A,FALSE,"SUMMARY";#N/A,#N/A,FALSE,"TOTAL AF";#N/A,#N/A,FALSE,"May A"}</definedName>
    <definedName name="wrn.CAPITAL." hidden="1">{#N/A,#N/A,FALSE,"SUMMARY";#N/A,#N/A,FALSE,"TOTAL AF";#N/A,#N/A,FALSE,"May A"}</definedName>
    <definedName name="wrn.CAPITAL._1" localSheetId="22" hidden="1">{#N/A,#N/A,FALSE,"SUMMARY";#N/A,#N/A,FALSE,"TOTAL AF";#N/A,#N/A,FALSE,"May A"}</definedName>
    <definedName name="wrn.CAPITAL._1" localSheetId="14" hidden="1">{#N/A,#N/A,FALSE,"SUMMARY";#N/A,#N/A,FALSE,"TOTAL AF";#N/A,#N/A,FALSE,"May A"}</definedName>
    <definedName name="wrn.CAPITAL._1" localSheetId="29" hidden="1">{#N/A,#N/A,FALSE,"SUMMARY";#N/A,#N/A,FALSE,"TOTAL AF";#N/A,#N/A,FALSE,"May A"}</definedName>
    <definedName name="wrn.CAPITAL._1" hidden="1">{#N/A,#N/A,FALSE,"SUMMARY";#N/A,#N/A,FALSE,"TOTAL AF";#N/A,#N/A,FALSE,"May A"}</definedName>
    <definedName name="wrn.denso." localSheetId="22" hidden="1">{#N/A,#N/A,FALSE,"196126-0690";#N/A,#N/A,FALSE,"196126-0690";#N/A,#N/A,FALSE,"1961165-0201"}</definedName>
    <definedName name="wrn.denso." localSheetId="26" hidden="1">{#N/A,#N/A,FALSE,"196126-0690";#N/A,#N/A,FALSE,"196126-0690";#N/A,#N/A,FALSE,"1961165-0201"}</definedName>
    <definedName name="wrn.denso." localSheetId="14" hidden="1">{#N/A,#N/A,FALSE,"196126-0690";#N/A,#N/A,FALSE,"196126-0690";#N/A,#N/A,FALSE,"1961165-0201"}</definedName>
    <definedName name="wrn.denso." localSheetId="21" hidden="1">{#N/A,#N/A,FALSE,"196126-0690";#N/A,#N/A,FALSE,"196126-0690";#N/A,#N/A,FALSE,"1961165-0201"}</definedName>
    <definedName name="wrn.denso." localSheetId="3" hidden="1">{#N/A,#N/A,FALSE,"196126-0690";#N/A,#N/A,FALSE,"196126-0690";#N/A,#N/A,FALSE,"1961165-0201"}</definedName>
    <definedName name="wrn.denso." localSheetId="29" hidden="1">{#N/A,#N/A,FALSE,"196126-0690";#N/A,#N/A,FALSE,"196126-0690";#N/A,#N/A,FALSE,"1961165-0201"}</definedName>
    <definedName name="wrn.denso." localSheetId="27" hidden="1">{#N/A,#N/A,FALSE,"196126-0690";#N/A,#N/A,FALSE,"196126-0690";#N/A,#N/A,FALSE,"1961165-0201"}</definedName>
    <definedName name="wrn.denso." localSheetId="0" hidden="1">{#N/A,#N/A,FALSE,"196126-0690";#N/A,#N/A,FALSE,"196126-0690";#N/A,#N/A,FALSE,"1961165-0201"}</definedName>
    <definedName name="wrn.denso." hidden="1">{#N/A,#N/A,FALSE,"196126-0690";#N/A,#N/A,FALSE,"196126-0690";#N/A,#N/A,FALSE,"1961165-0201"}</definedName>
    <definedName name="wrn.denso._1" localSheetId="26" hidden="1">{#N/A,#N/A,FALSE,"196126-0690";#N/A,#N/A,FALSE,"196126-0690";#N/A,#N/A,FALSE,"1961165-0201"}</definedName>
    <definedName name="wrn.denso._1" localSheetId="0" hidden="1">{#N/A,#N/A,FALSE,"196126-0690";#N/A,#N/A,FALSE,"196126-0690";#N/A,#N/A,FALSE,"1961165-0201"}</definedName>
    <definedName name="wrn.denso._1" hidden="1">{#N/A,#N/A,FALSE,"196126-0690";#N/A,#N/A,FALSE,"196126-0690";#N/A,#N/A,FALSE,"1961165-0201"}</definedName>
    <definedName name="wrn.denso._1_1" localSheetId="26" hidden="1">{#N/A,#N/A,FALSE,"196126-0690";#N/A,#N/A,FALSE,"196126-0690";#N/A,#N/A,FALSE,"1961165-0201"}</definedName>
    <definedName name="wrn.denso._1_1" localSheetId="0" hidden="1">{#N/A,#N/A,FALSE,"196126-0690";#N/A,#N/A,FALSE,"196126-0690";#N/A,#N/A,FALSE,"1961165-0201"}</definedName>
    <definedName name="wrn.denso._1_1" hidden="1">{#N/A,#N/A,FALSE,"196126-0690";#N/A,#N/A,FALSE,"196126-0690";#N/A,#N/A,FALSE,"1961165-0201"}</definedName>
    <definedName name="wrn.denso._1_2" localSheetId="26" hidden="1">{#N/A,#N/A,FALSE,"196126-0690";#N/A,#N/A,FALSE,"196126-0690";#N/A,#N/A,FALSE,"1961165-0201"}</definedName>
    <definedName name="wrn.denso._1_2" localSheetId="0" hidden="1">{#N/A,#N/A,FALSE,"196126-0690";#N/A,#N/A,FALSE,"196126-0690";#N/A,#N/A,FALSE,"1961165-0201"}</definedName>
    <definedName name="wrn.denso._1_2" hidden="1">{#N/A,#N/A,FALSE,"196126-0690";#N/A,#N/A,FALSE,"196126-0690";#N/A,#N/A,FALSE,"1961165-0201"}</definedName>
    <definedName name="wrn.denso._1_3" localSheetId="26" hidden="1">{#N/A,#N/A,FALSE,"196126-0690";#N/A,#N/A,FALSE,"196126-0690";#N/A,#N/A,FALSE,"1961165-0201"}</definedName>
    <definedName name="wrn.denso._1_3" localSheetId="0" hidden="1">{#N/A,#N/A,FALSE,"196126-0690";#N/A,#N/A,FALSE,"196126-0690";#N/A,#N/A,FALSE,"1961165-0201"}</definedName>
    <definedName name="wrn.denso._1_3" hidden="1">{#N/A,#N/A,FALSE,"196126-0690";#N/A,#N/A,FALSE,"196126-0690";#N/A,#N/A,FALSE,"1961165-0201"}</definedName>
    <definedName name="wrn.denso._2" localSheetId="26" hidden="1">{#N/A,#N/A,FALSE,"196126-0690";#N/A,#N/A,FALSE,"196126-0690";#N/A,#N/A,FALSE,"1961165-0201"}</definedName>
    <definedName name="wrn.denso._2" localSheetId="0" hidden="1">{#N/A,#N/A,FALSE,"196126-0690";#N/A,#N/A,FALSE,"196126-0690";#N/A,#N/A,FALSE,"1961165-0201"}</definedName>
    <definedName name="wrn.denso._2" hidden="1">{#N/A,#N/A,FALSE,"196126-0690";#N/A,#N/A,FALSE,"196126-0690";#N/A,#N/A,FALSE,"1961165-0201"}</definedName>
    <definedName name="wrn.denso._2_1" localSheetId="26" hidden="1">{#N/A,#N/A,FALSE,"196126-0690";#N/A,#N/A,FALSE,"196126-0690";#N/A,#N/A,FALSE,"1961165-0201"}</definedName>
    <definedName name="wrn.denso._2_1" localSheetId="0" hidden="1">{#N/A,#N/A,FALSE,"196126-0690";#N/A,#N/A,FALSE,"196126-0690";#N/A,#N/A,FALSE,"1961165-0201"}</definedName>
    <definedName name="wrn.denso._2_1" hidden="1">{#N/A,#N/A,FALSE,"196126-0690";#N/A,#N/A,FALSE,"196126-0690";#N/A,#N/A,FALSE,"1961165-0201"}</definedName>
    <definedName name="wrn.denso._2_2" localSheetId="26" hidden="1">{#N/A,#N/A,FALSE,"196126-0690";#N/A,#N/A,FALSE,"196126-0690";#N/A,#N/A,FALSE,"1961165-0201"}</definedName>
    <definedName name="wrn.denso._2_2" localSheetId="0" hidden="1">{#N/A,#N/A,FALSE,"196126-0690";#N/A,#N/A,FALSE,"196126-0690";#N/A,#N/A,FALSE,"1961165-0201"}</definedName>
    <definedName name="wrn.denso._2_2" hidden="1">{#N/A,#N/A,FALSE,"196126-0690";#N/A,#N/A,FALSE,"196126-0690";#N/A,#N/A,FALSE,"1961165-0201"}</definedName>
    <definedName name="wrn.denso._3" localSheetId="26" hidden="1">{#N/A,#N/A,FALSE,"196126-0690";#N/A,#N/A,FALSE,"196126-0690";#N/A,#N/A,FALSE,"1961165-0201"}</definedName>
    <definedName name="wrn.denso._3" localSheetId="0" hidden="1">{#N/A,#N/A,FALSE,"196126-0690";#N/A,#N/A,FALSE,"196126-0690";#N/A,#N/A,FALSE,"1961165-0201"}</definedName>
    <definedName name="wrn.denso._3" hidden="1">{#N/A,#N/A,FALSE,"196126-0690";#N/A,#N/A,FALSE,"196126-0690";#N/A,#N/A,FALSE,"1961165-0201"}</definedName>
    <definedName name="wrn.denso._4" localSheetId="26" hidden="1">{#N/A,#N/A,FALSE,"196126-0690";#N/A,#N/A,FALSE,"196126-0690";#N/A,#N/A,FALSE,"1961165-0201"}</definedName>
    <definedName name="wrn.denso._4" localSheetId="0" hidden="1">{#N/A,#N/A,FALSE,"196126-0690";#N/A,#N/A,FALSE,"196126-0690";#N/A,#N/A,FALSE,"1961165-0201"}</definedName>
    <definedName name="wrn.denso._4" hidden="1">{#N/A,#N/A,FALSE,"196126-0690";#N/A,#N/A,FALSE,"196126-0690";#N/A,#N/A,FALSE,"1961165-0201"}</definedName>
    <definedName name="wrn.denso._5" localSheetId="26" hidden="1">{#N/A,#N/A,FALSE,"196126-0690";#N/A,#N/A,FALSE,"196126-0690";#N/A,#N/A,FALSE,"1961165-0201"}</definedName>
    <definedName name="wrn.denso._5" localSheetId="0" hidden="1">{#N/A,#N/A,FALSE,"196126-0690";#N/A,#N/A,FALSE,"196126-0690";#N/A,#N/A,FALSE,"1961165-0201"}</definedName>
    <definedName name="wrn.denso._5" hidden="1">{#N/A,#N/A,FALSE,"196126-0690";#N/A,#N/A,FALSE,"196126-0690";#N/A,#N/A,FALSE,"1961165-0201"}</definedName>
    <definedName name="wrn.DINO." localSheetId="22" hidden="1">{#N/A,#N/A,FALSE,"WORDS";#N/A,#N/A,FALSE,"KEY STATISTICS";#N/A,#N/A,FALSE,"VOLUMES";#N/A,#N/A,FALSE,"Performance";#N/A,#N/A,FALSE,"Performance (E-W)";#N/A,#N/A,FALSE,"performance (Mat &amp; MNG)";#N/A,#N/A,FALSE,"HISTORIC (2)";#N/A,#N/A,FALSE,"CUSTOMERS backup";#N/A,#N/A,FALSE,"HRLY WAGE";#N/A,#N/A,FALSE,"SALES&amp;ebit backup";#N/A,#N/A,FALSE,"CAPITAL DETAIL";#N/A,#N/A,FALSE,"cash flow";#N/A,#N/A,FALSE,"RONA";#N/A,#N/A,FALSE,"SUMMARY HEADCOUNT";#N/A,#N/A,FALSE,"COMPARISON";#N/A,#N/A,FALSE,"SUMMARY $";#N/A,#N/A,FALSE,"Performance (N-S)";#N/A,#N/A,FALSE,"98 Cost Factor with EHPS";#N/A,#N/A,FALSE,"1998 vs 1997 AF backup";#N/A,#N/A,FALSE,"EXCHANGE RATE backup";#N/A,#N/A,FALSE,"Sales &amp; O.P. backup"}</definedName>
    <definedName name="wrn.DINO." localSheetId="14" hidden="1">{#N/A,#N/A,FALSE,"WORDS";#N/A,#N/A,FALSE,"KEY STATISTICS";#N/A,#N/A,FALSE,"VOLUMES";#N/A,#N/A,FALSE,"Performance";#N/A,#N/A,FALSE,"Performance (E-W)";#N/A,#N/A,FALSE,"performance (Mat &amp; MNG)";#N/A,#N/A,FALSE,"HISTORIC (2)";#N/A,#N/A,FALSE,"CUSTOMERS backup";#N/A,#N/A,FALSE,"HRLY WAGE";#N/A,#N/A,FALSE,"SALES&amp;ebit backup";#N/A,#N/A,FALSE,"CAPITAL DETAIL";#N/A,#N/A,FALSE,"cash flow";#N/A,#N/A,FALSE,"RONA";#N/A,#N/A,FALSE,"SUMMARY HEADCOUNT";#N/A,#N/A,FALSE,"COMPARISON";#N/A,#N/A,FALSE,"SUMMARY $";#N/A,#N/A,FALSE,"Performance (N-S)";#N/A,#N/A,FALSE,"98 Cost Factor with EHPS";#N/A,#N/A,FALSE,"1998 vs 1997 AF backup";#N/A,#N/A,FALSE,"EXCHANGE RATE backup";#N/A,#N/A,FALSE,"Sales &amp; O.P. backup"}</definedName>
    <definedName name="wrn.DINO." localSheetId="29" hidden="1">{#N/A,#N/A,FALSE,"WORDS";#N/A,#N/A,FALSE,"KEY STATISTICS";#N/A,#N/A,FALSE,"VOLUMES";#N/A,#N/A,FALSE,"Performance";#N/A,#N/A,FALSE,"Performance (E-W)";#N/A,#N/A,FALSE,"performance (Mat &amp; MNG)";#N/A,#N/A,FALSE,"HISTORIC (2)";#N/A,#N/A,FALSE,"CUSTOMERS backup";#N/A,#N/A,FALSE,"HRLY WAGE";#N/A,#N/A,FALSE,"SALES&amp;ebit backup";#N/A,#N/A,FALSE,"CAPITAL DETAIL";#N/A,#N/A,FALSE,"cash flow";#N/A,#N/A,FALSE,"RONA";#N/A,#N/A,FALSE,"SUMMARY HEADCOUNT";#N/A,#N/A,FALSE,"COMPARISON";#N/A,#N/A,FALSE,"SUMMARY $";#N/A,#N/A,FALSE,"Performance (N-S)";#N/A,#N/A,FALSE,"98 Cost Factor with EHPS";#N/A,#N/A,FALSE,"1998 vs 1997 AF backup";#N/A,#N/A,FALSE,"EXCHANGE RATE backup";#N/A,#N/A,FALSE,"Sales &amp; O.P. backup"}</definedName>
    <definedName name="wrn.DINO." hidden="1">{#N/A,#N/A,FALSE,"WORDS";#N/A,#N/A,FALSE,"KEY STATISTICS";#N/A,#N/A,FALSE,"VOLUMES";#N/A,#N/A,FALSE,"Performance";#N/A,#N/A,FALSE,"Performance (E-W)";#N/A,#N/A,FALSE,"performance (Mat &amp; MNG)";#N/A,#N/A,FALSE,"HISTORIC (2)";#N/A,#N/A,FALSE,"CUSTOMERS backup";#N/A,#N/A,FALSE,"HRLY WAGE";#N/A,#N/A,FALSE,"SALES&amp;ebit backup";#N/A,#N/A,FALSE,"CAPITAL DETAIL";#N/A,#N/A,FALSE,"cash flow";#N/A,#N/A,FALSE,"RONA";#N/A,#N/A,FALSE,"SUMMARY HEADCOUNT";#N/A,#N/A,FALSE,"COMPARISON";#N/A,#N/A,FALSE,"SUMMARY $";#N/A,#N/A,FALSE,"Performance (N-S)";#N/A,#N/A,FALSE,"98 Cost Factor with EHPS";#N/A,#N/A,FALSE,"1998 vs 1997 AF backup";#N/A,#N/A,FALSE,"EXCHANGE RATE backup";#N/A,#N/A,FALSE,"Sales &amp; O.P. backup"}</definedName>
    <definedName name="wrn.DINO._1" localSheetId="22" hidden="1">{#N/A,#N/A,FALSE,"WORDS";#N/A,#N/A,FALSE,"KEY STATISTICS";#N/A,#N/A,FALSE,"VOLUMES";#N/A,#N/A,FALSE,"Performance";#N/A,#N/A,FALSE,"Performance (E-W)";#N/A,#N/A,FALSE,"performance (Mat &amp; MNG)";#N/A,#N/A,FALSE,"HISTORIC (2)";#N/A,#N/A,FALSE,"CUSTOMERS backup";#N/A,#N/A,FALSE,"HRLY WAGE";#N/A,#N/A,FALSE,"SALES&amp;ebit backup";#N/A,#N/A,FALSE,"CAPITAL DETAIL";#N/A,#N/A,FALSE,"cash flow";#N/A,#N/A,FALSE,"RONA";#N/A,#N/A,FALSE,"SUMMARY HEADCOUNT";#N/A,#N/A,FALSE,"COMPARISON";#N/A,#N/A,FALSE,"SUMMARY $";#N/A,#N/A,FALSE,"Performance (N-S)";#N/A,#N/A,FALSE,"98 Cost Factor with EHPS";#N/A,#N/A,FALSE,"1998 vs 1997 AF backup";#N/A,#N/A,FALSE,"EXCHANGE RATE backup";#N/A,#N/A,FALSE,"Sales &amp; O.P. backup"}</definedName>
    <definedName name="wrn.DINO._1" localSheetId="14" hidden="1">{#N/A,#N/A,FALSE,"WORDS";#N/A,#N/A,FALSE,"KEY STATISTICS";#N/A,#N/A,FALSE,"VOLUMES";#N/A,#N/A,FALSE,"Performance";#N/A,#N/A,FALSE,"Performance (E-W)";#N/A,#N/A,FALSE,"performance (Mat &amp; MNG)";#N/A,#N/A,FALSE,"HISTORIC (2)";#N/A,#N/A,FALSE,"CUSTOMERS backup";#N/A,#N/A,FALSE,"HRLY WAGE";#N/A,#N/A,FALSE,"SALES&amp;ebit backup";#N/A,#N/A,FALSE,"CAPITAL DETAIL";#N/A,#N/A,FALSE,"cash flow";#N/A,#N/A,FALSE,"RONA";#N/A,#N/A,FALSE,"SUMMARY HEADCOUNT";#N/A,#N/A,FALSE,"COMPARISON";#N/A,#N/A,FALSE,"SUMMARY $";#N/A,#N/A,FALSE,"Performance (N-S)";#N/A,#N/A,FALSE,"98 Cost Factor with EHPS";#N/A,#N/A,FALSE,"1998 vs 1997 AF backup";#N/A,#N/A,FALSE,"EXCHANGE RATE backup";#N/A,#N/A,FALSE,"Sales &amp; O.P. backup"}</definedName>
    <definedName name="wrn.DINO._1" localSheetId="29" hidden="1">{#N/A,#N/A,FALSE,"WORDS";#N/A,#N/A,FALSE,"KEY STATISTICS";#N/A,#N/A,FALSE,"VOLUMES";#N/A,#N/A,FALSE,"Performance";#N/A,#N/A,FALSE,"Performance (E-W)";#N/A,#N/A,FALSE,"performance (Mat &amp; MNG)";#N/A,#N/A,FALSE,"HISTORIC (2)";#N/A,#N/A,FALSE,"CUSTOMERS backup";#N/A,#N/A,FALSE,"HRLY WAGE";#N/A,#N/A,FALSE,"SALES&amp;ebit backup";#N/A,#N/A,FALSE,"CAPITAL DETAIL";#N/A,#N/A,FALSE,"cash flow";#N/A,#N/A,FALSE,"RONA";#N/A,#N/A,FALSE,"SUMMARY HEADCOUNT";#N/A,#N/A,FALSE,"COMPARISON";#N/A,#N/A,FALSE,"SUMMARY $";#N/A,#N/A,FALSE,"Performance (N-S)";#N/A,#N/A,FALSE,"98 Cost Factor with EHPS";#N/A,#N/A,FALSE,"1998 vs 1997 AF backup";#N/A,#N/A,FALSE,"EXCHANGE RATE backup";#N/A,#N/A,FALSE,"Sales &amp; O.P. backup"}</definedName>
    <definedName name="wrn.DINO._1" hidden="1">{#N/A,#N/A,FALSE,"WORDS";#N/A,#N/A,FALSE,"KEY STATISTICS";#N/A,#N/A,FALSE,"VOLUMES";#N/A,#N/A,FALSE,"Performance";#N/A,#N/A,FALSE,"Performance (E-W)";#N/A,#N/A,FALSE,"performance (Mat &amp; MNG)";#N/A,#N/A,FALSE,"HISTORIC (2)";#N/A,#N/A,FALSE,"CUSTOMERS backup";#N/A,#N/A,FALSE,"HRLY WAGE";#N/A,#N/A,FALSE,"SALES&amp;ebit backup";#N/A,#N/A,FALSE,"CAPITAL DETAIL";#N/A,#N/A,FALSE,"cash flow";#N/A,#N/A,FALSE,"RONA";#N/A,#N/A,FALSE,"SUMMARY HEADCOUNT";#N/A,#N/A,FALSE,"COMPARISON";#N/A,#N/A,FALSE,"SUMMARY $";#N/A,#N/A,FALSE,"Performance (N-S)";#N/A,#N/A,FALSE,"98 Cost Factor with EHPS";#N/A,#N/A,FALSE,"1998 vs 1997 AF backup";#N/A,#N/A,FALSE,"EXCHANGE RATE backup";#N/A,#N/A,FALSE,"Sales &amp; O.P. backup"}</definedName>
    <definedName name="wrn.DQ." localSheetId="26" hidden="1">{#N/A,#N/A,FALSE,"품의서";#N/A,#N/A,FALSE,"추진목적";#N/A,#N/A,FALSE,"활동내용";#N/A,#N/A,FALSE,"캠페인 전개방법";#N/A,#N/A,FALSE,"방송원고,뺏지"}</definedName>
    <definedName name="wrn.DQ." localSheetId="0" hidden="1">{#N/A,#N/A,FALSE,"품의서";#N/A,#N/A,FALSE,"추진목적";#N/A,#N/A,FALSE,"활동내용";#N/A,#N/A,FALSE,"캠페인 전개방법";#N/A,#N/A,FALSE,"방송원고,뺏지"}</definedName>
    <definedName name="wrn.DQ." hidden="1">{#N/A,#N/A,FALSE,"품의서";#N/A,#N/A,FALSE,"추진목적";#N/A,#N/A,FALSE,"활동내용";#N/A,#N/A,FALSE,"캠페인 전개방법";#N/A,#N/A,FALSE,"방송원고,뺏지"}</definedName>
    <definedName name="wrn.DQ._1" localSheetId="26" hidden="1">{#N/A,#N/A,FALSE,"품의서";#N/A,#N/A,FALSE,"추진목적";#N/A,#N/A,FALSE,"활동내용";#N/A,#N/A,FALSE,"캠페인 전개방법";#N/A,#N/A,FALSE,"방송원고,뺏지"}</definedName>
    <definedName name="wrn.DQ._1" localSheetId="0" hidden="1">{#N/A,#N/A,FALSE,"품의서";#N/A,#N/A,FALSE,"추진목적";#N/A,#N/A,FALSE,"활동내용";#N/A,#N/A,FALSE,"캠페인 전개방법";#N/A,#N/A,FALSE,"방송원고,뺏지"}</definedName>
    <definedName name="wrn.DQ._1" hidden="1">{#N/A,#N/A,FALSE,"품의서";#N/A,#N/A,FALSE,"추진목적";#N/A,#N/A,FALSE,"활동내용";#N/A,#N/A,FALSE,"캠페인 전개방법";#N/A,#N/A,FALSE,"방송원고,뺏지"}</definedName>
    <definedName name="wrn.DQ._1_1" localSheetId="26" hidden="1">{#N/A,#N/A,FALSE,"품의서";#N/A,#N/A,FALSE,"추진목적";#N/A,#N/A,FALSE,"활동내용";#N/A,#N/A,FALSE,"캠페인 전개방법";#N/A,#N/A,FALSE,"방송원고,뺏지"}</definedName>
    <definedName name="wrn.DQ._1_1" localSheetId="0" hidden="1">{#N/A,#N/A,FALSE,"품의서";#N/A,#N/A,FALSE,"추진목적";#N/A,#N/A,FALSE,"활동내용";#N/A,#N/A,FALSE,"캠페인 전개방법";#N/A,#N/A,FALSE,"방송원고,뺏지"}</definedName>
    <definedName name="wrn.DQ._1_1" hidden="1">{#N/A,#N/A,FALSE,"품의서";#N/A,#N/A,FALSE,"추진목적";#N/A,#N/A,FALSE,"활동내용";#N/A,#N/A,FALSE,"캠페인 전개방법";#N/A,#N/A,FALSE,"방송원고,뺏지"}</definedName>
    <definedName name="wrn.DQ._1_2" localSheetId="26" hidden="1">{#N/A,#N/A,FALSE,"품의서";#N/A,#N/A,FALSE,"추진목적";#N/A,#N/A,FALSE,"활동내용";#N/A,#N/A,FALSE,"캠페인 전개방법";#N/A,#N/A,FALSE,"방송원고,뺏지"}</definedName>
    <definedName name="wrn.DQ._1_2" localSheetId="0" hidden="1">{#N/A,#N/A,FALSE,"품의서";#N/A,#N/A,FALSE,"추진목적";#N/A,#N/A,FALSE,"활동내용";#N/A,#N/A,FALSE,"캠페인 전개방법";#N/A,#N/A,FALSE,"방송원고,뺏지"}</definedName>
    <definedName name="wrn.DQ._1_2" hidden="1">{#N/A,#N/A,FALSE,"품의서";#N/A,#N/A,FALSE,"추진목적";#N/A,#N/A,FALSE,"활동내용";#N/A,#N/A,FALSE,"캠페인 전개방법";#N/A,#N/A,FALSE,"방송원고,뺏지"}</definedName>
    <definedName name="wrn.DQ._1_3" localSheetId="26" hidden="1">{#N/A,#N/A,FALSE,"품의서";#N/A,#N/A,FALSE,"추진목적";#N/A,#N/A,FALSE,"활동내용";#N/A,#N/A,FALSE,"캠페인 전개방법";#N/A,#N/A,FALSE,"방송원고,뺏지"}</definedName>
    <definedName name="wrn.DQ._1_3" localSheetId="0" hidden="1">{#N/A,#N/A,FALSE,"품의서";#N/A,#N/A,FALSE,"추진목적";#N/A,#N/A,FALSE,"활동내용";#N/A,#N/A,FALSE,"캠페인 전개방법";#N/A,#N/A,FALSE,"방송원고,뺏지"}</definedName>
    <definedName name="wrn.DQ._1_3" hidden="1">{#N/A,#N/A,FALSE,"품의서";#N/A,#N/A,FALSE,"추진목적";#N/A,#N/A,FALSE,"활동내용";#N/A,#N/A,FALSE,"캠페인 전개방법";#N/A,#N/A,FALSE,"방송원고,뺏지"}</definedName>
    <definedName name="wrn.DQ._2" localSheetId="26" hidden="1">{#N/A,#N/A,FALSE,"품의서";#N/A,#N/A,FALSE,"추진목적";#N/A,#N/A,FALSE,"활동내용";#N/A,#N/A,FALSE,"캠페인 전개방법";#N/A,#N/A,FALSE,"방송원고,뺏지"}</definedName>
    <definedName name="wrn.DQ._2" localSheetId="0" hidden="1">{#N/A,#N/A,FALSE,"품의서";#N/A,#N/A,FALSE,"추진목적";#N/A,#N/A,FALSE,"활동내용";#N/A,#N/A,FALSE,"캠페인 전개방법";#N/A,#N/A,FALSE,"방송원고,뺏지"}</definedName>
    <definedName name="wrn.DQ._2" hidden="1">{#N/A,#N/A,FALSE,"품의서";#N/A,#N/A,FALSE,"추진목적";#N/A,#N/A,FALSE,"활동내용";#N/A,#N/A,FALSE,"캠페인 전개방법";#N/A,#N/A,FALSE,"방송원고,뺏지"}</definedName>
    <definedName name="wrn.DQ._2_1" localSheetId="26" hidden="1">{#N/A,#N/A,FALSE,"품의서";#N/A,#N/A,FALSE,"추진목적";#N/A,#N/A,FALSE,"활동내용";#N/A,#N/A,FALSE,"캠페인 전개방법";#N/A,#N/A,FALSE,"방송원고,뺏지"}</definedName>
    <definedName name="wrn.DQ._2_1" localSheetId="0" hidden="1">{#N/A,#N/A,FALSE,"품의서";#N/A,#N/A,FALSE,"추진목적";#N/A,#N/A,FALSE,"활동내용";#N/A,#N/A,FALSE,"캠페인 전개방법";#N/A,#N/A,FALSE,"방송원고,뺏지"}</definedName>
    <definedName name="wrn.DQ._2_1" hidden="1">{#N/A,#N/A,FALSE,"품의서";#N/A,#N/A,FALSE,"추진목적";#N/A,#N/A,FALSE,"활동내용";#N/A,#N/A,FALSE,"캠페인 전개방법";#N/A,#N/A,FALSE,"방송원고,뺏지"}</definedName>
    <definedName name="wrn.DQ._2_2" localSheetId="26" hidden="1">{#N/A,#N/A,FALSE,"품의서";#N/A,#N/A,FALSE,"추진목적";#N/A,#N/A,FALSE,"활동내용";#N/A,#N/A,FALSE,"캠페인 전개방법";#N/A,#N/A,FALSE,"방송원고,뺏지"}</definedName>
    <definedName name="wrn.DQ._2_2" localSheetId="0" hidden="1">{#N/A,#N/A,FALSE,"품의서";#N/A,#N/A,FALSE,"추진목적";#N/A,#N/A,FALSE,"활동내용";#N/A,#N/A,FALSE,"캠페인 전개방법";#N/A,#N/A,FALSE,"방송원고,뺏지"}</definedName>
    <definedName name="wrn.DQ._2_2" hidden="1">{#N/A,#N/A,FALSE,"품의서";#N/A,#N/A,FALSE,"추진목적";#N/A,#N/A,FALSE,"활동내용";#N/A,#N/A,FALSE,"캠페인 전개방법";#N/A,#N/A,FALSE,"방송원고,뺏지"}</definedName>
    <definedName name="wrn.DQ._3" localSheetId="26" hidden="1">{#N/A,#N/A,FALSE,"품의서";#N/A,#N/A,FALSE,"추진목적";#N/A,#N/A,FALSE,"활동내용";#N/A,#N/A,FALSE,"캠페인 전개방법";#N/A,#N/A,FALSE,"방송원고,뺏지"}</definedName>
    <definedName name="wrn.DQ._3" localSheetId="0" hidden="1">{#N/A,#N/A,FALSE,"품의서";#N/A,#N/A,FALSE,"추진목적";#N/A,#N/A,FALSE,"활동내용";#N/A,#N/A,FALSE,"캠페인 전개방법";#N/A,#N/A,FALSE,"방송원고,뺏지"}</definedName>
    <definedName name="wrn.DQ._3" hidden="1">{#N/A,#N/A,FALSE,"품의서";#N/A,#N/A,FALSE,"추진목적";#N/A,#N/A,FALSE,"활동내용";#N/A,#N/A,FALSE,"캠페인 전개방법";#N/A,#N/A,FALSE,"방송원고,뺏지"}</definedName>
    <definedName name="wrn.DQ._4" localSheetId="26" hidden="1">{#N/A,#N/A,FALSE,"품의서";#N/A,#N/A,FALSE,"추진목적";#N/A,#N/A,FALSE,"활동내용";#N/A,#N/A,FALSE,"캠페인 전개방법";#N/A,#N/A,FALSE,"방송원고,뺏지"}</definedName>
    <definedName name="wrn.DQ._4" localSheetId="0" hidden="1">{#N/A,#N/A,FALSE,"품의서";#N/A,#N/A,FALSE,"추진목적";#N/A,#N/A,FALSE,"활동내용";#N/A,#N/A,FALSE,"캠페인 전개방법";#N/A,#N/A,FALSE,"방송원고,뺏지"}</definedName>
    <definedName name="wrn.DQ._4" hidden="1">{#N/A,#N/A,FALSE,"품의서";#N/A,#N/A,FALSE,"추진목적";#N/A,#N/A,FALSE,"활동내용";#N/A,#N/A,FALSE,"캠페인 전개방법";#N/A,#N/A,FALSE,"방송원고,뺏지"}</definedName>
    <definedName name="wrn.DQ._5" localSheetId="26" hidden="1">{#N/A,#N/A,FALSE,"품의서";#N/A,#N/A,FALSE,"추진목적";#N/A,#N/A,FALSE,"활동내용";#N/A,#N/A,FALSE,"캠페인 전개방법";#N/A,#N/A,FALSE,"방송원고,뺏지"}</definedName>
    <definedName name="wrn.DQ._5" localSheetId="0" hidden="1">{#N/A,#N/A,FALSE,"품의서";#N/A,#N/A,FALSE,"추진목적";#N/A,#N/A,FALSE,"활동내용";#N/A,#N/A,FALSE,"캠페인 전개방법";#N/A,#N/A,FALSE,"방송원고,뺏지"}</definedName>
    <definedName name="wrn.DQ._5" hidden="1">{#N/A,#N/A,FALSE,"품의서";#N/A,#N/A,FALSE,"추진목적";#N/A,#N/A,FALSE,"활동내용";#N/A,#N/A,FALSE,"캠페인 전개방법";#N/A,#N/A,FALSE,"방송원고,뺏지"}</definedName>
    <definedName name="wrn.ela" localSheetId="26" hidden="1">{#N/A,#N/A,FALSE,"Cash Flows";#N/A,#N/A,FALSE,"Fixed Assets";#N/A,#N/A,FALSE,"Balance Sheet";#N/A,#N/A,FALSE,"P &amp; L"}</definedName>
    <definedName name="wrn.ela" localSheetId="21" hidden="1">{#N/A,#N/A,FALSE,"Cash Flows";#N/A,#N/A,FALSE,"Fixed Assets";#N/A,#N/A,FALSE,"Balance Sheet";#N/A,#N/A,FALSE,"P &amp; L"}</definedName>
    <definedName name="wrn.ela" localSheetId="3" hidden="1">{#N/A,#N/A,FALSE,"Cash Flows";#N/A,#N/A,FALSE,"Fixed Assets";#N/A,#N/A,FALSE,"Balance Sheet";#N/A,#N/A,FALSE,"P &amp; L"}</definedName>
    <definedName name="wrn.ela" localSheetId="27" hidden="1">{#N/A,#N/A,FALSE,"Cash Flows";#N/A,#N/A,FALSE,"Fixed Assets";#N/A,#N/A,FALSE,"Balance Sheet";#N/A,#N/A,FALSE,"P &amp; L"}</definedName>
    <definedName name="wrn.ela" localSheetId="0" hidden="1">{#N/A,#N/A,FALSE,"Cash Flows";#N/A,#N/A,FALSE,"Fixed Assets";#N/A,#N/A,FALSE,"Balance Sheet";#N/A,#N/A,FALSE,"P &amp; L"}</definedName>
    <definedName name="wrn.ela" hidden="1">{#N/A,#N/A,FALSE,"Cash Flows";#N/A,#N/A,FALSE,"Fixed Assets";#N/A,#N/A,FALSE,"Balance Sheet";#N/A,#N/A,FALSE,"P &amp; L"}</definedName>
    <definedName name="wrn.ela_1" localSheetId="26" hidden="1">{#N/A,#N/A,FALSE,"Cash Flows";#N/A,#N/A,FALSE,"Fixed Assets";#N/A,#N/A,FALSE,"Balance Sheet";#N/A,#N/A,FALSE,"P &amp; L"}</definedName>
    <definedName name="wrn.ela_1" localSheetId="0" hidden="1">{#N/A,#N/A,FALSE,"Cash Flows";#N/A,#N/A,FALSE,"Fixed Assets";#N/A,#N/A,FALSE,"Balance Sheet";#N/A,#N/A,FALSE,"P &amp; L"}</definedName>
    <definedName name="wrn.ela_1" hidden="1">{#N/A,#N/A,FALSE,"Cash Flows";#N/A,#N/A,FALSE,"Fixed Assets";#N/A,#N/A,FALSE,"Balance Sheet";#N/A,#N/A,FALSE,"P &amp; L"}</definedName>
    <definedName name="wrn.ela_1_1" localSheetId="26" hidden="1">{#N/A,#N/A,FALSE,"Cash Flows";#N/A,#N/A,FALSE,"Fixed Assets";#N/A,#N/A,FALSE,"Balance Sheet";#N/A,#N/A,FALSE,"P &amp; L"}</definedName>
    <definedName name="wrn.ela_1_1" localSheetId="0" hidden="1">{#N/A,#N/A,FALSE,"Cash Flows";#N/A,#N/A,FALSE,"Fixed Assets";#N/A,#N/A,FALSE,"Balance Sheet";#N/A,#N/A,FALSE,"P &amp; L"}</definedName>
    <definedName name="wrn.ela_1_1" hidden="1">{#N/A,#N/A,FALSE,"Cash Flows";#N/A,#N/A,FALSE,"Fixed Assets";#N/A,#N/A,FALSE,"Balance Sheet";#N/A,#N/A,FALSE,"P &amp; L"}</definedName>
    <definedName name="wrn.ela_1_2" localSheetId="26" hidden="1">{#N/A,#N/A,FALSE,"Cash Flows";#N/A,#N/A,FALSE,"Fixed Assets";#N/A,#N/A,FALSE,"Balance Sheet";#N/A,#N/A,FALSE,"P &amp; L"}</definedName>
    <definedName name="wrn.ela_1_2" localSheetId="0" hidden="1">{#N/A,#N/A,FALSE,"Cash Flows";#N/A,#N/A,FALSE,"Fixed Assets";#N/A,#N/A,FALSE,"Balance Sheet";#N/A,#N/A,FALSE,"P &amp; L"}</definedName>
    <definedName name="wrn.ela_1_2" hidden="1">{#N/A,#N/A,FALSE,"Cash Flows";#N/A,#N/A,FALSE,"Fixed Assets";#N/A,#N/A,FALSE,"Balance Sheet";#N/A,#N/A,FALSE,"P &amp; L"}</definedName>
    <definedName name="wrn.ela_1_3" localSheetId="26" hidden="1">{#N/A,#N/A,FALSE,"Cash Flows";#N/A,#N/A,FALSE,"Fixed Assets";#N/A,#N/A,FALSE,"Balance Sheet";#N/A,#N/A,FALSE,"P &amp; L"}</definedName>
    <definedName name="wrn.ela_1_3" localSheetId="0" hidden="1">{#N/A,#N/A,FALSE,"Cash Flows";#N/A,#N/A,FALSE,"Fixed Assets";#N/A,#N/A,FALSE,"Balance Sheet";#N/A,#N/A,FALSE,"P &amp; L"}</definedName>
    <definedName name="wrn.ela_1_3" hidden="1">{#N/A,#N/A,FALSE,"Cash Flows";#N/A,#N/A,FALSE,"Fixed Assets";#N/A,#N/A,FALSE,"Balance Sheet";#N/A,#N/A,FALSE,"P &amp; L"}</definedName>
    <definedName name="wrn.ela_2" localSheetId="26" hidden="1">{#N/A,#N/A,FALSE,"Cash Flows";#N/A,#N/A,FALSE,"Fixed Assets";#N/A,#N/A,FALSE,"Balance Sheet";#N/A,#N/A,FALSE,"P &amp; L"}</definedName>
    <definedName name="wrn.ela_2" localSheetId="0" hidden="1">{#N/A,#N/A,FALSE,"Cash Flows";#N/A,#N/A,FALSE,"Fixed Assets";#N/A,#N/A,FALSE,"Balance Sheet";#N/A,#N/A,FALSE,"P &amp; L"}</definedName>
    <definedName name="wrn.ela_2" hidden="1">{#N/A,#N/A,FALSE,"Cash Flows";#N/A,#N/A,FALSE,"Fixed Assets";#N/A,#N/A,FALSE,"Balance Sheet";#N/A,#N/A,FALSE,"P &amp; L"}</definedName>
    <definedName name="wrn.ela_2_1" localSheetId="26" hidden="1">{#N/A,#N/A,FALSE,"Cash Flows";#N/A,#N/A,FALSE,"Fixed Assets";#N/A,#N/A,FALSE,"Balance Sheet";#N/A,#N/A,FALSE,"P &amp; L"}</definedName>
    <definedName name="wrn.ela_2_1" localSheetId="0" hidden="1">{#N/A,#N/A,FALSE,"Cash Flows";#N/A,#N/A,FALSE,"Fixed Assets";#N/A,#N/A,FALSE,"Balance Sheet";#N/A,#N/A,FALSE,"P &amp; L"}</definedName>
    <definedName name="wrn.ela_2_1" hidden="1">{#N/A,#N/A,FALSE,"Cash Flows";#N/A,#N/A,FALSE,"Fixed Assets";#N/A,#N/A,FALSE,"Balance Sheet";#N/A,#N/A,FALSE,"P &amp; L"}</definedName>
    <definedName name="wrn.ela_2_2" localSheetId="26" hidden="1">{#N/A,#N/A,FALSE,"Cash Flows";#N/A,#N/A,FALSE,"Fixed Assets";#N/A,#N/A,FALSE,"Balance Sheet";#N/A,#N/A,FALSE,"P &amp; L"}</definedName>
    <definedName name="wrn.ela_2_2" localSheetId="0" hidden="1">{#N/A,#N/A,FALSE,"Cash Flows";#N/A,#N/A,FALSE,"Fixed Assets";#N/A,#N/A,FALSE,"Balance Sheet";#N/A,#N/A,FALSE,"P &amp; L"}</definedName>
    <definedName name="wrn.ela_2_2" hidden="1">{#N/A,#N/A,FALSE,"Cash Flows";#N/A,#N/A,FALSE,"Fixed Assets";#N/A,#N/A,FALSE,"Balance Sheet";#N/A,#N/A,FALSE,"P &amp; L"}</definedName>
    <definedName name="wrn.ela_3" localSheetId="26" hidden="1">{#N/A,#N/A,FALSE,"Cash Flows";#N/A,#N/A,FALSE,"Fixed Assets";#N/A,#N/A,FALSE,"Balance Sheet";#N/A,#N/A,FALSE,"P &amp; L"}</definedName>
    <definedName name="wrn.ela_3" localSheetId="0" hidden="1">{#N/A,#N/A,FALSE,"Cash Flows";#N/A,#N/A,FALSE,"Fixed Assets";#N/A,#N/A,FALSE,"Balance Sheet";#N/A,#N/A,FALSE,"P &amp; L"}</definedName>
    <definedName name="wrn.ela_3" hidden="1">{#N/A,#N/A,FALSE,"Cash Flows";#N/A,#N/A,FALSE,"Fixed Assets";#N/A,#N/A,FALSE,"Balance Sheet";#N/A,#N/A,FALSE,"P &amp; L"}</definedName>
    <definedName name="wrn.ela_4" localSheetId="26" hidden="1">{#N/A,#N/A,FALSE,"Cash Flows";#N/A,#N/A,FALSE,"Fixed Assets";#N/A,#N/A,FALSE,"Balance Sheet";#N/A,#N/A,FALSE,"P &amp; L"}</definedName>
    <definedName name="wrn.ela_4" localSheetId="0" hidden="1">{#N/A,#N/A,FALSE,"Cash Flows";#N/A,#N/A,FALSE,"Fixed Assets";#N/A,#N/A,FALSE,"Balance Sheet";#N/A,#N/A,FALSE,"P &amp; L"}</definedName>
    <definedName name="wrn.ela_4" hidden="1">{#N/A,#N/A,FALSE,"Cash Flows";#N/A,#N/A,FALSE,"Fixed Assets";#N/A,#N/A,FALSE,"Balance Sheet";#N/A,#N/A,FALSE,"P &amp; L"}</definedName>
    <definedName name="wrn.ela_5" localSheetId="26" hidden="1">{#N/A,#N/A,FALSE,"Cash Flows";#N/A,#N/A,FALSE,"Fixed Assets";#N/A,#N/A,FALSE,"Balance Sheet";#N/A,#N/A,FALSE,"P &amp; L"}</definedName>
    <definedName name="wrn.ela_5" localSheetId="0" hidden="1">{#N/A,#N/A,FALSE,"Cash Flows";#N/A,#N/A,FALSE,"Fixed Assets";#N/A,#N/A,FALSE,"Balance Sheet";#N/A,#N/A,FALSE,"P &amp; L"}</definedName>
    <definedName name="wrn.ela_5" hidden="1">{#N/A,#N/A,FALSE,"Cash Flows";#N/A,#N/A,FALSE,"Fixed Assets";#N/A,#N/A,FALSE,"Balance Sheet";#N/A,#N/A,FALSE,"P &amp; L"}</definedName>
    <definedName name="wrn.Elaborate." localSheetId="22" hidden="1">{#N/A,#N/A,FALSE,"Cash Flows";#N/A,#N/A,FALSE,"Fixed Assets";#N/A,#N/A,FALSE,"Balance Sheet";#N/A,#N/A,FALSE,"P &amp; L"}</definedName>
    <definedName name="wrn.Elaborate." localSheetId="26" hidden="1">{#N/A,#N/A,FALSE,"Cash Flows";#N/A,#N/A,FALSE,"Fixed Assets";#N/A,#N/A,FALSE,"Balance Sheet";#N/A,#N/A,FALSE,"P &amp; L"}</definedName>
    <definedName name="wrn.Elaborate." localSheetId="14" hidden="1">{#N/A,#N/A,FALSE,"Cash Flows";#N/A,#N/A,FALSE,"Fixed Assets";#N/A,#N/A,FALSE,"Balance Sheet";#N/A,#N/A,FALSE,"P &amp; L"}</definedName>
    <definedName name="wrn.Elaborate." localSheetId="21" hidden="1">{#N/A,#N/A,FALSE,"Cash Flows";#N/A,#N/A,FALSE,"Fixed Assets";#N/A,#N/A,FALSE,"Balance Sheet";#N/A,#N/A,FALSE,"P &amp; L"}</definedName>
    <definedName name="wrn.Elaborate." localSheetId="3" hidden="1">{#N/A,#N/A,FALSE,"Cash Flows";#N/A,#N/A,FALSE,"Fixed Assets";#N/A,#N/A,FALSE,"Balance Sheet";#N/A,#N/A,FALSE,"P &amp; L"}</definedName>
    <definedName name="wrn.Elaborate." localSheetId="29" hidden="1">{#N/A,#N/A,FALSE,"Cash Flows";#N/A,#N/A,FALSE,"Fixed Assets";#N/A,#N/A,FALSE,"Balance Sheet";#N/A,#N/A,FALSE,"P &amp; L"}</definedName>
    <definedName name="wrn.Elaborate." localSheetId="28" hidden="1">{#N/A,#N/A,FALSE,"Cash Flows";#N/A,#N/A,FALSE,"Fixed Assets";#N/A,#N/A,FALSE,"Balance Sheet";#N/A,#N/A,FALSE,"P &amp; L"}</definedName>
    <definedName name="wrn.Elaborate." localSheetId="27" hidden="1">{#N/A,#N/A,FALSE,"Cash Flows";#N/A,#N/A,FALSE,"Fixed Assets";#N/A,#N/A,FALSE,"Balance Sheet";#N/A,#N/A,FALSE,"P &amp; L"}</definedName>
    <definedName name="wrn.Elaborate." localSheetId="0" hidden="1">{#N/A,#N/A,FALSE,"Cash Flows";#N/A,#N/A,FALSE,"Fixed Assets";#N/A,#N/A,FALSE,"Balance Sheet";#N/A,#N/A,FALSE,"P &amp; L"}</definedName>
    <definedName name="wrn.Elaborate." hidden="1">{#N/A,#N/A,FALSE,"Cash Flows";#N/A,#N/A,FALSE,"Fixed Assets";#N/A,#N/A,FALSE,"Balance Sheet";#N/A,#N/A,FALSE,"P &amp; L"}</definedName>
    <definedName name="wrn.Elaborate._1" localSheetId="26" hidden="1">{#N/A,#N/A,FALSE,"Cash Flows";#N/A,#N/A,FALSE,"Fixed Assets";#N/A,#N/A,FALSE,"Balance Sheet";#N/A,#N/A,FALSE,"P &amp; L"}</definedName>
    <definedName name="wrn.Elaborate._1" localSheetId="0" hidden="1">{#N/A,#N/A,FALSE,"Cash Flows";#N/A,#N/A,FALSE,"Fixed Assets";#N/A,#N/A,FALSE,"Balance Sheet";#N/A,#N/A,FALSE,"P &amp; L"}</definedName>
    <definedName name="wrn.Elaborate._1" hidden="1">{#N/A,#N/A,FALSE,"Cash Flows";#N/A,#N/A,FALSE,"Fixed Assets";#N/A,#N/A,FALSE,"Balance Sheet";#N/A,#N/A,FALSE,"P &amp; L"}</definedName>
    <definedName name="wrn.Elaborate._1_1" localSheetId="26" hidden="1">{#N/A,#N/A,FALSE,"Cash Flows";#N/A,#N/A,FALSE,"Fixed Assets";#N/A,#N/A,FALSE,"Balance Sheet";#N/A,#N/A,FALSE,"P &amp; L"}</definedName>
    <definedName name="wrn.Elaborate._1_1" localSheetId="0" hidden="1">{#N/A,#N/A,FALSE,"Cash Flows";#N/A,#N/A,FALSE,"Fixed Assets";#N/A,#N/A,FALSE,"Balance Sheet";#N/A,#N/A,FALSE,"P &amp; L"}</definedName>
    <definedName name="wrn.Elaborate._1_1" hidden="1">{#N/A,#N/A,FALSE,"Cash Flows";#N/A,#N/A,FALSE,"Fixed Assets";#N/A,#N/A,FALSE,"Balance Sheet";#N/A,#N/A,FALSE,"P &amp; L"}</definedName>
    <definedName name="wrn.Elaborate._1_2" localSheetId="26" hidden="1">{#N/A,#N/A,FALSE,"Cash Flows";#N/A,#N/A,FALSE,"Fixed Assets";#N/A,#N/A,FALSE,"Balance Sheet";#N/A,#N/A,FALSE,"P &amp; L"}</definedName>
    <definedName name="wrn.Elaborate._1_2" localSheetId="0" hidden="1">{#N/A,#N/A,FALSE,"Cash Flows";#N/A,#N/A,FALSE,"Fixed Assets";#N/A,#N/A,FALSE,"Balance Sheet";#N/A,#N/A,FALSE,"P &amp; L"}</definedName>
    <definedName name="wrn.Elaborate._1_2" hidden="1">{#N/A,#N/A,FALSE,"Cash Flows";#N/A,#N/A,FALSE,"Fixed Assets";#N/A,#N/A,FALSE,"Balance Sheet";#N/A,#N/A,FALSE,"P &amp; L"}</definedName>
    <definedName name="wrn.Elaborate._1_3" localSheetId="26" hidden="1">{#N/A,#N/A,FALSE,"Cash Flows";#N/A,#N/A,FALSE,"Fixed Assets";#N/A,#N/A,FALSE,"Balance Sheet";#N/A,#N/A,FALSE,"P &amp; L"}</definedName>
    <definedName name="wrn.Elaborate._1_3" localSheetId="0" hidden="1">{#N/A,#N/A,FALSE,"Cash Flows";#N/A,#N/A,FALSE,"Fixed Assets";#N/A,#N/A,FALSE,"Balance Sheet";#N/A,#N/A,FALSE,"P &amp; L"}</definedName>
    <definedName name="wrn.Elaborate._1_3" hidden="1">{#N/A,#N/A,FALSE,"Cash Flows";#N/A,#N/A,FALSE,"Fixed Assets";#N/A,#N/A,FALSE,"Balance Sheet";#N/A,#N/A,FALSE,"P &amp; L"}</definedName>
    <definedName name="wrn.Elaborate._2" localSheetId="26" hidden="1">{#N/A,#N/A,FALSE,"Cash Flows";#N/A,#N/A,FALSE,"Fixed Assets";#N/A,#N/A,FALSE,"Balance Sheet";#N/A,#N/A,FALSE,"P &amp; L"}</definedName>
    <definedName name="wrn.Elaborate._2" localSheetId="0" hidden="1">{#N/A,#N/A,FALSE,"Cash Flows";#N/A,#N/A,FALSE,"Fixed Assets";#N/A,#N/A,FALSE,"Balance Sheet";#N/A,#N/A,FALSE,"P &amp; L"}</definedName>
    <definedName name="wrn.Elaborate._2" hidden="1">{#N/A,#N/A,FALSE,"Cash Flows";#N/A,#N/A,FALSE,"Fixed Assets";#N/A,#N/A,FALSE,"Balance Sheet";#N/A,#N/A,FALSE,"P &amp; L"}</definedName>
    <definedName name="wrn.Elaborate._2_1" localSheetId="26" hidden="1">{#N/A,#N/A,FALSE,"Cash Flows";#N/A,#N/A,FALSE,"Fixed Assets";#N/A,#N/A,FALSE,"Balance Sheet";#N/A,#N/A,FALSE,"P &amp; L"}</definedName>
    <definedName name="wrn.Elaborate._2_1" localSheetId="0" hidden="1">{#N/A,#N/A,FALSE,"Cash Flows";#N/A,#N/A,FALSE,"Fixed Assets";#N/A,#N/A,FALSE,"Balance Sheet";#N/A,#N/A,FALSE,"P &amp; L"}</definedName>
    <definedName name="wrn.Elaborate._2_1" hidden="1">{#N/A,#N/A,FALSE,"Cash Flows";#N/A,#N/A,FALSE,"Fixed Assets";#N/A,#N/A,FALSE,"Balance Sheet";#N/A,#N/A,FALSE,"P &amp; L"}</definedName>
    <definedName name="wrn.Elaborate._2_2" localSheetId="26" hidden="1">{#N/A,#N/A,FALSE,"Cash Flows";#N/A,#N/A,FALSE,"Fixed Assets";#N/A,#N/A,FALSE,"Balance Sheet";#N/A,#N/A,FALSE,"P &amp; L"}</definedName>
    <definedName name="wrn.Elaborate._2_2" localSheetId="0" hidden="1">{#N/A,#N/A,FALSE,"Cash Flows";#N/A,#N/A,FALSE,"Fixed Assets";#N/A,#N/A,FALSE,"Balance Sheet";#N/A,#N/A,FALSE,"P &amp; L"}</definedName>
    <definedName name="wrn.Elaborate._2_2" hidden="1">{#N/A,#N/A,FALSE,"Cash Flows";#N/A,#N/A,FALSE,"Fixed Assets";#N/A,#N/A,FALSE,"Balance Sheet";#N/A,#N/A,FALSE,"P &amp; L"}</definedName>
    <definedName name="wrn.Elaborate._3" localSheetId="26" hidden="1">{#N/A,#N/A,FALSE,"Cash Flows";#N/A,#N/A,FALSE,"Fixed Assets";#N/A,#N/A,FALSE,"Balance Sheet";#N/A,#N/A,FALSE,"P &amp; L"}</definedName>
    <definedName name="wrn.Elaborate._3" localSheetId="0" hidden="1">{#N/A,#N/A,FALSE,"Cash Flows";#N/A,#N/A,FALSE,"Fixed Assets";#N/A,#N/A,FALSE,"Balance Sheet";#N/A,#N/A,FALSE,"P &amp; L"}</definedName>
    <definedName name="wrn.Elaborate._3" hidden="1">{#N/A,#N/A,FALSE,"Cash Flows";#N/A,#N/A,FALSE,"Fixed Assets";#N/A,#N/A,FALSE,"Balance Sheet";#N/A,#N/A,FALSE,"P &amp; L"}</definedName>
    <definedName name="wrn.Elaborate._4" localSheetId="26" hidden="1">{#N/A,#N/A,FALSE,"Cash Flows";#N/A,#N/A,FALSE,"Fixed Assets";#N/A,#N/A,FALSE,"Balance Sheet";#N/A,#N/A,FALSE,"P &amp; L"}</definedName>
    <definedName name="wrn.Elaborate._4" localSheetId="0" hidden="1">{#N/A,#N/A,FALSE,"Cash Flows";#N/A,#N/A,FALSE,"Fixed Assets";#N/A,#N/A,FALSE,"Balance Sheet";#N/A,#N/A,FALSE,"P &amp; L"}</definedName>
    <definedName name="wrn.Elaborate._4" hidden="1">{#N/A,#N/A,FALSE,"Cash Flows";#N/A,#N/A,FALSE,"Fixed Assets";#N/A,#N/A,FALSE,"Balance Sheet";#N/A,#N/A,FALSE,"P &amp; L"}</definedName>
    <definedName name="wrn.Elaborate._5" localSheetId="26" hidden="1">{#N/A,#N/A,FALSE,"Cash Flows";#N/A,#N/A,FALSE,"Fixed Assets";#N/A,#N/A,FALSE,"Balance Sheet";#N/A,#N/A,FALSE,"P &amp; L"}</definedName>
    <definedName name="wrn.Elaborate._5" localSheetId="0" hidden="1">{#N/A,#N/A,FALSE,"Cash Flows";#N/A,#N/A,FALSE,"Fixed Assets";#N/A,#N/A,FALSE,"Balance Sheet";#N/A,#N/A,FALSE,"P &amp; L"}</definedName>
    <definedName name="wrn.Elaborate._5" hidden="1">{#N/A,#N/A,FALSE,"Cash Flows";#N/A,#N/A,FALSE,"Fixed Assets";#N/A,#N/A,FALSE,"Balance Sheet";#N/A,#N/A,FALSE,"P &amp; L"}</definedName>
    <definedName name="wrn.graphe." localSheetId="22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" localSheetId="14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" localSheetId="21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" localSheetId="3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" localSheetId="29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" localSheetId="27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1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1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1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2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2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2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3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3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1_3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_1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_1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_1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_2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_2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2_2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3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3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3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4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4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4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5" localSheetId="26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5" localSheetId="0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e._5" hidden="1">{#N/A,#N/A,TRUE,"graphe";#N/A,#N/A,TRUE,"INJCORPS";#N/A,#N/A,TRUE,"INJCOIFFE";#N/A,#N/A,TRUE,"INJCONDUITS";#N/A,#N/A,TRUE,"INJVPOCHE";#N/A,#N/A,TRUE,"SOUDURE_CONDUITS";#N/A,#N/A,TRUE,"FLAMMAGE-ETUVAGE";#N/A,#N/A,TRUE,"MOUSSAGE";#N/A,#N/A,TRUE,"FRAISAGE";#N/A,#N/A,TRUE,"SOUDURE_CONDUIT_CORPS";#N/A,#N/A,TRUE,"SOUDURE_ PORTE_VP";#N/A,#N/A,TRUE,"ASSEMBLAGE_VIDE_POCHE";#N/A,#N/A,TRUE,"PREPARATION_CORPS";#N/A,#N/A,TRUE,"ASSEMBLAGE_PDB";#N/A,#N/A,TRUE,"INJ_CONSOLE";#N/A,#N/A,TRUE,"INJ PLS";#N/A,#N/A,TRUE,"SYNTHESE";#N/A,#N/A,TRUE,"indice"}</definedName>
    <definedName name="wrn.GRAPHS." localSheetId="26" hidden="1">{#N/A,#N/A,FALSE,"Indirect Labor Hourly";#N/A,#N/A,FALSE,"Supplies";#N/A,#N/A,FALSE,"Expense Tools";#N/A,#N/A,FALSE,"Maint Labor";#N/A,#N/A,FALSE,"Maint Matl";#N/A,#N/A,FALSE,"Scrap";#N/A,#N/A,FALSE,"Utilities";#N/A,#N/A,FALSE,"OT Premium";#N/A,#N/A,FALSE,"Total Plant Report";#N/A,#N/A,FALSE,"Total Uncontrollable";#N/A,#N/A,FALSE,"Total Controllable";#N/A,#N/A,FALSE,"Direct Labor";#N/A,#N/A,FALSE,"Sundry"}</definedName>
    <definedName name="wrn.GRAPHS." localSheetId="21" hidden="1">{#N/A,#N/A,FALSE,"Indirect Labor Hourly";#N/A,#N/A,FALSE,"Supplies";#N/A,#N/A,FALSE,"Expense Tools";#N/A,#N/A,FALSE,"Maint Labor";#N/A,#N/A,FALSE,"Maint Matl";#N/A,#N/A,FALSE,"Scrap";#N/A,#N/A,FALSE,"Utilities";#N/A,#N/A,FALSE,"OT Premium";#N/A,#N/A,FALSE,"Total Plant Report";#N/A,#N/A,FALSE,"Total Uncontrollable";#N/A,#N/A,FALSE,"Total Controllable";#N/A,#N/A,FALSE,"Direct Labor";#N/A,#N/A,FALSE,"Sundry"}</definedName>
    <definedName name="wrn.GRAPHS." localSheetId="3" hidden="1">{#N/A,#N/A,FALSE,"Indirect Labor Hourly";#N/A,#N/A,FALSE,"Supplies";#N/A,#N/A,FALSE,"Expense Tools";#N/A,#N/A,FALSE,"Maint Labor";#N/A,#N/A,FALSE,"Maint Matl";#N/A,#N/A,FALSE,"Scrap";#N/A,#N/A,FALSE,"Utilities";#N/A,#N/A,FALSE,"OT Premium";#N/A,#N/A,FALSE,"Total Plant Report";#N/A,#N/A,FALSE,"Total Uncontrollable";#N/A,#N/A,FALSE,"Total Controllable";#N/A,#N/A,FALSE,"Direct Labor";#N/A,#N/A,FALSE,"Sundry"}</definedName>
    <definedName name="wrn.GRAPHS." localSheetId="28" hidden="1">{#N/A,#N/A,FALSE,"Indirect Labor Hourly";#N/A,#N/A,FALSE,"Supplies";#N/A,#N/A,FALSE,"Expense Tools";#N/A,#N/A,FALSE,"Maint Labor";#N/A,#N/A,FALSE,"Maint Matl";#N/A,#N/A,FALSE,"Scrap";#N/A,#N/A,FALSE,"Utilities";#N/A,#N/A,FALSE,"OT Premium";#N/A,#N/A,FALSE,"Total Plant Report";#N/A,#N/A,FALSE,"Total Uncontrollable";#N/A,#N/A,FALSE,"Total Controllable";#N/A,#N/A,FALSE,"Direct Labor";#N/A,#N/A,FALSE,"Sundry"}</definedName>
    <definedName name="wrn.GRAPHS." localSheetId="27" hidden="1">{#N/A,#N/A,FALSE,"Indirect Labor Hourly";#N/A,#N/A,FALSE,"Supplies";#N/A,#N/A,FALSE,"Expense Tools";#N/A,#N/A,FALSE,"Maint Labor";#N/A,#N/A,FALSE,"Maint Matl";#N/A,#N/A,FALSE,"Scrap";#N/A,#N/A,FALSE,"Utilities";#N/A,#N/A,FALSE,"OT Premium";#N/A,#N/A,FALSE,"Total Plant Report";#N/A,#N/A,FALSE,"Total Uncontrollable";#N/A,#N/A,FALSE,"Total Controllable";#N/A,#N/A,FALSE,"Direct Labor";#N/A,#N/A,FALSE,"Sundry"}</definedName>
    <definedName name="wrn.GRAPHS." localSheetId="0" hidden="1">{#N/A,#N/A,FALSE,"Indirect Labor Hourly";#N/A,#N/A,FALSE,"Supplies";#N/A,#N/A,FALSE,"Expense Tools";#N/A,#N/A,FALSE,"Maint Labor";#N/A,#N/A,FALSE,"Maint Matl";#N/A,#N/A,FALSE,"Scrap";#N/A,#N/A,FALSE,"Utilities";#N/A,#N/A,FALSE,"OT Premium";#N/A,#N/A,FALSE,"Total Plant Report";#N/A,#N/A,FALSE,"Total Uncontrollable";#N/A,#N/A,FALSE,"Total Controllable";#N/A,#N/A,FALSE,"Direct Labor";#N/A,#N/A,FALSE,"Sundry"}</definedName>
    <definedName name="wrn.GRAPHS." hidden="1">{#N/A,#N/A,FALSE,"Indirect Labor Hourly";#N/A,#N/A,FALSE,"Supplies";#N/A,#N/A,FALSE,"Expense Tools";#N/A,#N/A,FALSE,"Maint Labor";#N/A,#N/A,FALSE,"Maint Matl";#N/A,#N/A,FALSE,"Scrap";#N/A,#N/A,FALSE,"Utilities";#N/A,#N/A,FALSE,"OT Premium";#N/A,#N/A,FALSE,"Total Plant Report";#N/A,#N/A,FALSE,"Total Uncontrollable";#N/A,#N/A,FALSE,"Total Controllable";#N/A,#N/A,FALSE,"Direct Labor";#N/A,#N/A,FALSE,"Sundry"}</definedName>
    <definedName name="wrn.LL." localSheetId="22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rn.LL." localSheetId="14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rn.LL." localSheetId="29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rn.LL.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rn.LL._1" localSheetId="22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rn.LL._1" localSheetId="14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rn.LL._1" localSheetId="29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rn.LL._1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wrn.Manpower." localSheetId="26" hidden="1">{"Manpower Graph",#N/A,FALSE,"Plant6";"Actual Plant 6",#N/A,FALSE,"Plant6";"GMT800 Plant 6",#N/A,FALSE,"Plant6"}</definedName>
    <definedName name="wrn.Manpower." localSheetId="21" hidden="1">{"Manpower Graph",#N/A,FALSE,"Plant6";"Actual Plant 6",#N/A,FALSE,"Plant6";"GMT800 Plant 6",#N/A,FALSE,"Plant6"}</definedName>
    <definedName name="wrn.Manpower." localSheetId="3" hidden="1">{"Manpower Graph",#N/A,FALSE,"Plant6";"Actual Plant 6",#N/A,FALSE,"Plant6";"GMT800 Plant 6",#N/A,FALSE,"Plant6"}</definedName>
    <definedName name="wrn.Manpower." localSheetId="28" hidden="1">{"Manpower Graph",#N/A,FALSE,"Plant6";"Actual Plant 6",#N/A,FALSE,"Plant6";"GMT800 Plant 6",#N/A,FALSE,"Plant6"}</definedName>
    <definedName name="wrn.Manpower." localSheetId="27" hidden="1">{"Manpower Graph",#N/A,FALSE,"Plant6";"Actual Plant 6",#N/A,FALSE,"Plant6";"GMT800 Plant 6",#N/A,FALSE,"Plant6"}</definedName>
    <definedName name="wrn.Manpower." localSheetId="0" hidden="1">{"Manpower Graph",#N/A,FALSE,"Plant6";"Actual Plant 6",#N/A,FALSE,"Plant6";"GMT800 Plant 6",#N/A,FALSE,"Plant6"}</definedName>
    <definedName name="wrn.Manpower." hidden="1">{"Manpower Graph",#N/A,FALSE,"Plant6";"Actual Plant 6",#N/A,FALSE,"Plant6";"GMT800 Plant 6",#N/A,FALSE,"Plant6"}</definedName>
    <definedName name="wrn.MASTER._.FILE." localSheetId="26" hidden="1">{#N/A,#N/A,FALSE,"Working-OLD"}</definedName>
    <definedName name="wrn.MASTER._.FILE." localSheetId="0" hidden="1">{#N/A,#N/A,FALSE,"Working-OLD"}</definedName>
    <definedName name="wrn.MASTER._.FILE." hidden="1">{#N/A,#N/A,FALSE,"Working-OLD"}</definedName>
    <definedName name="wrn.MASTER._.FILE._1" localSheetId="26" hidden="1">{#N/A,#N/A,FALSE,"Working-OLD"}</definedName>
    <definedName name="wrn.MASTER._.FILE._1" localSheetId="0" hidden="1">{#N/A,#N/A,FALSE,"Working-OLD"}</definedName>
    <definedName name="wrn.MASTER._.FILE._1" hidden="1">{#N/A,#N/A,FALSE,"Working-OLD"}</definedName>
    <definedName name="wrn.MASTER._.FILE._1_1" localSheetId="26" hidden="1">{#N/A,#N/A,FALSE,"Working-OLD"}</definedName>
    <definedName name="wrn.MASTER._.FILE._1_1" localSheetId="0" hidden="1">{#N/A,#N/A,FALSE,"Working-OLD"}</definedName>
    <definedName name="wrn.MASTER._.FILE._1_1" hidden="1">{#N/A,#N/A,FALSE,"Working-OLD"}</definedName>
    <definedName name="wrn.MASTER._.FILE._1_2" localSheetId="26" hidden="1">{#N/A,#N/A,FALSE,"Working-OLD"}</definedName>
    <definedName name="wrn.MASTER._.FILE._1_2" localSheetId="0" hidden="1">{#N/A,#N/A,FALSE,"Working-OLD"}</definedName>
    <definedName name="wrn.MASTER._.FILE._1_2" hidden="1">{#N/A,#N/A,FALSE,"Working-OLD"}</definedName>
    <definedName name="wrn.MASTER._.FILE._1_3" localSheetId="26" hidden="1">{#N/A,#N/A,FALSE,"Working-OLD"}</definedName>
    <definedName name="wrn.MASTER._.FILE._1_3" localSheetId="0" hidden="1">{#N/A,#N/A,FALSE,"Working-OLD"}</definedName>
    <definedName name="wrn.MASTER._.FILE._1_3" hidden="1">{#N/A,#N/A,FALSE,"Working-OLD"}</definedName>
    <definedName name="wrn.MASTER._.FILE._2" localSheetId="26" hidden="1">{#N/A,#N/A,FALSE,"Working-OLD"}</definedName>
    <definedName name="wrn.MASTER._.FILE._2" localSheetId="0" hidden="1">{#N/A,#N/A,FALSE,"Working-OLD"}</definedName>
    <definedName name="wrn.MASTER._.FILE._2" hidden="1">{#N/A,#N/A,FALSE,"Working-OLD"}</definedName>
    <definedName name="wrn.MASTER._.FILE._2_1" localSheetId="26" hidden="1">{#N/A,#N/A,FALSE,"Working-OLD"}</definedName>
    <definedName name="wrn.MASTER._.FILE._2_1" localSheetId="0" hidden="1">{#N/A,#N/A,FALSE,"Working-OLD"}</definedName>
    <definedName name="wrn.MASTER._.FILE._2_1" hidden="1">{#N/A,#N/A,FALSE,"Working-OLD"}</definedName>
    <definedName name="wrn.MASTER._.FILE._2_2" localSheetId="26" hidden="1">{#N/A,#N/A,FALSE,"Working-OLD"}</definedName>
    <definedName name="wrn.MASTER._.FILE._2_2" localSheetId="0" hidden="1">{#N/A,#N/A,FALSE,"Working-OLD"}</definedName>
    <definedName name="wrn.MASTER._.FILE._2_2" hidden="1">{#N/A,#N/A,FALSE,"Working-OLD"}</definedName>
    <definedName name="wrn.MASTER._.FILE._3" localSheetId="26" hidden="1">{#N/A,#N/A,FALSE,"Working-OLD"}</definedName>
    <definedName name="wrn.MASTER._.FILE._3" localSheetId="0" hidden="1">{#N/A,#N/A,FALSE,"Working-OLD"}</definedName>
    <definedName name="wrn.MASTER._.FILE._3" hidden="1">{#N/A,#N/A,FALSE,"Working-OLD"}</definedName>
    <definedName name="wrn.MASTER._.FILE._4" localSheetId="26" hidden="1">{#N/A,#N/A,FALSE,"Working-OLD"}</definedName>
    <definedName name="wrn.MASTER._.FILE._4" localSheetId="0" hidden="1">{#N/A,#N/A,FALSE,"Working-OLD"}</definedName>
    <definedName name="wrn.MASTER._.FILE._4" hidden="1">{#N/A,#N/A,FALSE,"Working-OLD"}</definedName>
    <definedName name="wrn.MASTER._.FILE._5" localSheetId="26" hidden="1">{#N/A,#N/A,FALSE,"Working-OLD"}</definedName>
    <definedName name="wrn.MASTER._.FILE._5" localSheetId="0" hidden="1">{#N/A,#N/A,FALSE,"Working-OLD"}</definedName>
    <definedName name="wrn.MASTER._.FILE._5" hidden="1">{#N/A,#N/A,FALSE,"Working-OLD"}</definedName>
    <definedName name="wrn.PRINT." localSheetId="22" hidden="1">{#N/A,#N/A,FALSE,"BS 8 96 - 95";#N/A,#N/A,FALSE,"BS 8 96 - 96";#N/A,#N/A,FALSE,"BS 8 97 - 96";#N/A,#N/A,FALSE,"BS 8 98 - 97";#N/A,#N/A,FALSE,"BS 8 99 - 98";#N/A,#N/A,FALSE,"BS 8 00 - 99"}</definedName>
    <definedName name="wrn.PRINT." localSheetId="14" hidden="1">{#N/A,#N/A,FALSE,"BS 8 96 - 95";#N/A,#N/A,FALSE,"BS 8 96 - 96";#N/A,#N/A,FALSE,"BS 8 97 - 96";#N/A,#N/A,FALSE,"BS 8 98 - 97";#N/A,#N/A,FALSE,"BS 8 99 - 98";#N/A,#N/A,FALSE,"BS 8 00 - 99"}</definedName>
    <definedName name="wrn.PRINT." localSheetId="29" hidden="1">{#N/A,#N/A,FALSE,"BS 8 96 - 95";#N/A,#N/A,FALSE,"BS 8 96 - 96";#N/A,#N/A,FALSE,"BS 8 97 - 96";#N/A,#N/A,FALSE,"BS 8 98 - 97";#N/A,#N/A,FALSE,"BS 8 99 - 98";#N/A,#N/A,FALSE,"BS 8 00 - 99"}</definedName>
    <definedName name="wrn.PRINT." hidden="1">{#N/A,#N/A,FALSE,"BS 8 96 - 95";#N/A,#N/A,FALSE,"BS 8 96 - 96";#N/A,#N/A,FALSE,"BS 8 97 - 96";#N/A,#N/A,FALSE,"BS 8 98 - 97";#N/A,#N/A,FALSE,"BS 8 99 - 98";#N/A,#N/A,FALSE,"BS 8 00 - 99"}</definedName>
    <definedName name="wrn.PRINT._1" localSheetId="22" hidden="1">{#N/A,#N/A,FALSE,"BS 8 96 - 95";#N/A,#N/A,FALSE,"BS 8 96 - 96";#N/A,#N/A,FALSE,"BS 8 97 - 96";#N/A,#N/A,FALSE,"BS 8 98 - 97";#N/A,#N/A,FALSE,"BS 8 99 - 98";#N/A,#N/A,FALSE,"BS 8 00 - 99"}</definedName>
    <definedName name="wrn.PRINT._1" localSheetId="14" hidden="1">{#N/A,#N/A,FALSE,"BS 8 96 - 95";#N/A,#N/A,FALSE,"BS 8 96 - 96";#N/A,#N/A,FALSE,"BS 8 97 - 96";#N/A,#N/A,FALSE,"BS 8 98 - 97";#N/A,#N/A,FALSE,"BS 8 99 - 98";#N/A,#N/A,FALSE,"BS 8 00 - 99"}</definedName>
    <definedName name="wrn.PRINT._1" localSheetId="29" hidden="1">{#N/A,#N/A,FALSE,"BS 8 96 - 95";#N/A,#N/A,FALSE,"BS 8 96 - 96";#N/A,#N/A,FALSE,"BS 8 97 - 96";#N/A,#N/A,FALSE,"BS 8 98 - 97";#N/A,#N/A,FALSE,"BS 8 99 - 98";#N/A,#N/A,FALSE,"BS 8 00 - 99"}</definedName>
    <definedName name="wrn.PRINT._1" hidden="1">{#N/A,#N/A,FALSE,"BS 8 96 - 95";#N/A,#N/A,FALSE,"BS 8 96 - 96";#N/A,#N/A,FALSE,"BS 8 97 - 96";#N/A,#N/A,FALSE,"BS 8 98 - 97";#N/A,#N/A,FALSE,"BS 8 99 - 98";#N/A,#N/A,FALSE,"BS 8 00 - 99"}</definedName>
    <definedName name="wrn.Print4SQ." localSheetId="26" hidden="1">{#N/A,#N/A,FALSE,"Level 1";#N/A,#N/A,FALSE,"L 2 (Supplier)";#N/A,#N/A,FALSE,"L 2 (PPAP)"}</definedName>
    <definedName name="wrn.Print4SQ." localSheetId="21" hidden="1">{#N/A,#N/A,FALSE,"Level 1";#N/A,#N/A,FALSE,"L 2 (Supplier)";#N/A,#N/A,FALSE,"L 2 (PPAP)"}</definedName>
    <definedName name="wrn.Print4SQ." localSheetId="3" hidden="1">{#N/A,#N/A,FALSE,"Level 1";#N/A,#N/A,FALSE,"L 2 (Supplier)";#N/A,#N/A,FALSE,"L 2 (PPAP)"}</definedName>
    <definedName name="wrn.Print4SQ." localSheetId="28" hidden="1">{#N/A,#N/A,FALSE,"Level 1";#N/A,#N/A,FALSE,"L 2 (Supplier)";#N/A,#N/A,FALSE,"L 2 (PPAP)"}</definedName>
    <definedName name="wrn.Print4SQ." localSheetId="27" hidden="1">{#N/A,#N/A,FALSE,"Level 1";#N/A,#N/A,FALSE,"L 2 (Supplier)";#N/A,#N/A,FALSE,"L 2 (PPAP)"}</definedName>
    <definedName name="wrn.Print4SQ." localSheetId="0" hidden="1">{#N/A,#N/A,FALSE,"Level 1";#N/A,#N/A,FALSE,"L 2 (Supplier)";#N/A,#N/A,FALSE,"L 2 (PPAP)"}</definedName>
    <definedName name="wrn.Print4SQ." hidden="1">{#N/A,#N/A,FALSE,"Level 1";#N/A,#N/A,FALSE,"L 2 (Supplier)";#N/A,#N/A,FALSE,"L 2 (PPAP)"}</definedName>
    <definedName name="wrn.PROJ." localSheetId="22" hidden="1">{"total",#N/A,FALSE,"PROJ2050"}</definedName>
    <definedName name="wrn.PROJ." localSheetId="14" hidden="1">{"total",#N/A,FALSE,"PROJ2050"}</definedName>
    <definedName name="wrn.PROJ." localSheetId="29" hidden="1">{"total",#N/A,FALSE,"PROJ2050"}</definedName>
    <definedName name="wrn.PROJ." hidden="1">{"total",#N/A,FALSE,"PROJ2050"}</definedName>
    <definedName name="wrn.PROJ._1" localSheetId="22" hidden="1">{"total",#N/A,FALSE,"PROJ2050"}</definedName>
    <definedName name="wrn.PROJ._1" localSheetId="14" hidden="1">{"total",#N/A,FALSE,"PROJ2050"}</definedName>
    <definedName name="wrn.PROJ._1" localSheetId="29" hidden="1">{"total",#N/A,FALSE,"PROJ2050"}</definedName>
    <definedName name="wrn.PROJ._1" hidden="1">{"total",#N/A,FALSE,"PROJ2050"}</definedName>
    <definedName name="wrn.PVC." localSheetId="26" hidden="1">{#N/A,#N/A,FALSE,"P.V.C 9월 압출 CAPA";#N/A,#N/A,FALSE,"P.V.C 10월 압출 CAPA ";#N/A,#N/A,FALSE,"P.V.C 11월 압출 CAPA ";#N/A,#N/A,FALSE,"P.V.C 12월 압출 CAPA "}</definedName>
    <definedName name="wrn.PVC." localSheetId="0" hidden="1">{#N/A,#N/A,FALSE,"P.V.C 9월 압출 CAPA";#N/A,#N/A,FALSE,"P.V.C 10월 압출 CAPA ";#N/A,#N/A,FALSE,"P.V.C 11월 압출 CAPA ";#N/A,#N/A,FALSE,"P.V.C 12월 압출 CAPA "}</definedName>
    <definedName name="wrn.PVC." hidden="1">{#N/A,#N/A,FALSE,"P.V.C 9월 압출 CAPA";#N/A,#N/A,FALSE,"P.V.C 10월 압출 CAPA ";#N/A,#N/A,FALSE,"P.V.C 11월 압출 CAPA ";#N/A,#N/A,FALSE,"P.V.C 12월 압출 CAPA "}</definedName>
    <definedName name="wrn.PVC._1" localSheetId="26" hidden="1">{#N/A,#N/A,FALSE,"P.V.C 9월 압출 CAPA";#N/A,#N/A,FALSE,"P.V.C 10월 압출 CAPA ";#N/A,#N/A,FALSE,"P.V.C 11월 압출 CAPA ";#N/A,#N/A,FALSE,"P.V.C 12월 압출 CAPA "}</definedName>
    <definedName name="wrn.PVC._1" localSheetId="0" hidden="1">{#N/A,#N/A,FALSE,"P.V.C 9월 압출 CAPA";#N/A,#N/A,FALSE,"P.V.C 10월 압출 CAPA ";#N/A,#N/A,FALSE,"P.V.C 11월 압출 CAPA ";#N/A,#N/A,FALSE,"P.V.C 12월 압출 CAPA "}</definedName>
    <definedName name="wrn.PVC._1" hidden="1">{#N/A,#N/A,FALSE,"P.V.C 9월 압출 CAPA";#N/A,#N/A,FALSE,"P.V.C 10월 압출 CAPA ";#N/A,#N/A,FALSE,"P.V.C 11월 압출 CAPA ";#N/A,#N/A,FALSE,"P.V.C 12월 압출 CAPA "}</definedName>
    <definedName name="wrn.PVC._1_1" localSheetId="26" hidden="1">{#N/A,#N/A,FALSE,"P.V.C 9월 압출 CAPA";#N/A,#N/A,FALSE,"P.V.C 10월 압출 CAPA ";#N/A,#N/A,FALSE,"P.V.C 11월 압출 CAPA ";#N/A,#N/A,FALSE,"P.V.C 12월 압출 CAPA "}</definedName>
    <definedName name="wrn.PVC._1_1" localSheetId="0" hidden="1">{#N/A,#N/A,FALSE,"P.V.C 9월 압출 CAPA";#N/A,#N/A,FALSE,"P.V.C 10월 압출 CAPA ";#N/A,#N/A,FALSE,"P.V.C 11월 압출 CAPA ";#N/A,#N/A,FALSE,"P.V.C 12월 압출 CAPA "}</definedName>
    <definedName name="wrn.PVC._1_1" hidden="1">{#N/A,#N/A,FALSE,"P.V.C 9월 압출 CAPA";#N/A,#N/A,FALSE,"P.V.C 10월 압출 CAPA ";#N/A,#N/A,FALSE,"P.V.C 11월 압출 CAPA ";#N/A,#N/A,FALSE,"P.V.C 12월 압출 CAPA "}</definedName>
    <definedName name="wrn.PVC._1_2" localSheetId="26" hidden="1">{#N/A,#N/A,FALSE,"P.V.C 9월 압출 CAPA";#N/A,#N/A,FALSE,"P.V.C 10월 압출 CAPA ";#N/A,#N/A,FALSE,"P.V.C 11월 압출 CAPA ";#N/A,#N/A,FALSE,"P.V.C 12월 압출 CAPA "}</definedName>
    <definedName name="wrn.PVC._1_2" localSheetId="0" hidden="1">{#N/A,#N/A,FALSE,"P.V.C 9월 압출 CAPA";#N/A,#N/A,FALSE,"P.V.C 10월 압출 CAPA ";#N/A,#N/A,FALSE,"P.V.C 11월 압출 CAPA ";#N/A,#N/A,FALSE,"P.V.C 12월 압출 CAPA "}</definedName>
    <definedName name="wrn.PVC._1_2" hidden="1">{#N/A,#N/A,FALSE,"P.V.C 9월 압출 CAPA";#N/A,#N/A,FALSE,"P.V.C 10월 압출 CAPA ";#N/A,#N/A,FALSE,"P.V.C 11월 압출 CAPA ";#N/A,#N/A,FALSE,"P.V.C 12월 압출 CAPA "}</definedName>
    <definedName name="wrn.PVC._1_3" localSheetId="26" hidden="1">{#N/A,#N/A,FALSE,"P.V.C 9월 압출 CAPA";#N/A,#N/A,FALSE,"P.V.C 10월 압출 CAPA ";#N/A,#N/A,FALSE,"P.V.C 11월 압출 CAPA ";#N/A,#N/A,FALSE,"P.V.C 12월 압출 CAPA "}</definedName>
    <definedName name="wrn.PVC._1_3" localSheetId="0" hidden="1">{#N/A,#N/A,FALSE,"P.V.C 9월 압출 CAPA";#N/A,#N/A,FALSE,"P.V.C 10월 압출 CAPA ";#N/A,#N/A,FALSE,"P.V.C 11월 압출 CAPA ";#N/A,#N/A,FALSE,"P.V.C 12월 압출 CAPA "}</definedName>
    <definedName name="wrn.PVC._1_3" hidden="1">{#N/A,#N/A,FALSE,"P.V.C 9월 압출 CAPA";#N/A,#N/A,FALSE,"P.V.C 10월 압출 CAPA ";#N/A,#N/A,FALSE,"P.V.C 11월 압출 CAPA ";#N/A,#N/A,FALSE,"P.V.C 12월 압출 CAPA "}</definedName>
    <definedName name="wrn.PVC._2" localSheetId="26" hidden="1">{#N/A,#N/A,FALSE,"P.V.C 9월 압출 CAPA";#N/A,#N/A,FALSE,"P.V.C 10월 압출 CAPA ";#N/A,#N/A,FALSE,"P.V.C 11월 압출 CAPA ";#N/A,#N/A,FALSE,"P.V.C 12월 압출 CAPA "}</definedName>
    <definedName name="wrn.PVC._2" localSheetId="0" hidden="1">{#N/A,#N/A,FALSE,"P.V.C 9월 압출 CAPA";#N/A,#N/A,FALSE,"P.V.C 10월 압출 CAPA ";#N/A,#N/A,FALSE,"P.V.C 11월 압출 CAPA ";#N/A,#N/A,FALSE,"P.V.C 12월 압출 CAPA "}</definedName>
    <definedName name="wrn.PVC._2" hidden="1">{#N/A,#N/A,FALSE,"P.V.C 9월 압출 CAPA";#N/A,#N/A,FALSE,"P.V.C 10월 압출 CAPA ";#N/A,#N/A,FALSE,"P.V.C 11월 압출 CAPA ";#N/A,#N/A,FALSE,"P.V.C 12월 압출 CAPA "}</definedName>
    <definedName name="wrn.PVC._2_1" localSheetId="26" hidden="1">{#N/A,#N/A,FALSE,"P.V.C 9월 압출 CAPA";#N/A,#N/A,FALSE,"P.V.C 10월 압출 CAPA ";#N/A,#N/A,FALSE,"P.V.C 11월 압출 CAPA ";#N/A,#N/A,FALSE,"P.V.C 12월 압출 CAPA "}</definedName>
    <definedName name="wrn.PVC._2_1" localSheetId="0" hidden="1">{#N/A,#N/A,FALSE,"P.V.C 9월 압출 CAPA";#N/A,#N/A,FALSE,"P.V.C 10월 압출 CAPA ";#N/A,#N/A,FALSE,"P.V.C 11월 압출 CAPA ";#N/A,#N/A,FALSE,"P.V.C 12월 압출 CAPA "}</definedName>
    <definedName name="wrn.PVC._2_1" hidden="1">{#N/A,#N/A,FALSE,"P.V.C 9월 압출 CAPA";#N/A,#N/A,FALSE,"P.V.C 10월 압출 CAPA ";#N/A,#N/A,FALSE,"P.V.C 11월 압출 CAPA ";#N/A,#N/A,FALSE,"P.V.C 12월 압출 CAPA "}</definedName>
    <definedName name="wrn.PVC._2_2" localSheetId="26" hidden="1">{#N/A,#N/A,FALSE,"P.V.C 9월 압출 CAPA";#N/A,#N/A,FALSE,"P.V.C 10월 압출 CAPA ";#N/A,#N/A,FALSE,"P.V.C 11월 압출 CAPA ";#N/A,#N/A,FALSE,"P.V.C 12월 압출 CAPA "}</definedName>
    <definedName name="wrn.PVC._2_2" localSheetId="0" hidden="1">{#N/A,#N/A,FALSE,"P.V.C 9월 압출 CAPA";#N/A,#N/A,FALSE,"P.V.C 10월 압출 CAPA ";#N/A,#N/A,FALSE,"P.V.C 11월 압출 CAPA ";#N/A,#N/A,FALSE,"P.V.C 12월 압출 CAPA "}</definedName>
    <definedName name="wrn.PVC._2_2" hidden="1">{#N/A,#N/A,FALSE,"P.V.C 9월 압출 CAPA";#N/A,#N/A,FALSE,"P.V.C 10월 압출 CAPA ";#N/A,#N/A,FALSE,"P.V.C 11월 압출 CAPA ";#N/A,#N/A,FALSE,"P.V.C 12월 압출 CAPA "}</definedName>
    <definedName name="wrn.PVC._3" localSheetId="26" hidden="1">{#N/A,#N/A,FALSE,"P.V.C 9월 압출 CAPA";#N/A,#N/A,FALSE,"P.V.C 10월 압출 CAPA ";#N/A,#N/A,FALSE,"P.V.C 11월 압출 CAPA ";#N/A,#N/A,FALSE,"P.V.C 12월 압출 CAPA "}</definedName>
    <definedName name="wrn.PVC._3" localSheetId="0" hidden="1">{#N/A,#N/A,FALSE,"P.V.C 9월 압출 CAPA";#N/A,#N/A,FALSE,"P.V.C 10월 압출 CAPA ";#N/A,#N/A,FALSE,"P.V.C 11월 압출 CAPA ";#N/A,#N/A,FALSE,"P.V.C 12월 압출 CAPA "}</definedName>
    <definedName name="wrn.PVC._3" hidden="1">{#N/A,#N/A,FALSE,"P.V.C 9월 압출 CAPA";#N/A,#N/A,FALSE,"P.V.C 10월 압출 CAPA ";#N/A,#N/A,FALSE,"P.V.C 11월 압출 CAPA ";#N/A,#N/A,FALSE,"P.V.C 12월 압출 CAPA "}</definedName>
    <definedName name="wrn.PVC._4" localSheetId="26" hidden="1">{#N/A,#N/A,FALSE,"P.V.C 9월 압출 CAPA";#N/A,#N/A,FALSE,"P.V.C 10월 압출 CAPA ";#N/A,#N/A,FALSE,"P.V.C 11월 압출 CAPA ";#N/A,#N/A,FALSE,"P.V.C 12월 압출 CAPA "}</definedName>
    <definedName name="wrn.PVC._4" localSheetId="0" hidden="1">{#N/A,#N/A,FALSE,"P.V.C 9월 압출 CAPA";#N/A,#N/A,FALSE,"P.V.C 10월 압출 CAPA ";#N/A,#N/A,FALSE,"P.V.C 11월 압출 CAPA ";#N/A,#N/A,FALSE,"P.V.C 12월 압출 CAPA "}</definedName>
    <definedName name="wrn.PVC._4" hidden="1">{#N/A,#N/A,FALSE,"P.V.C 9월 압출 CAPA";#N/A,#N/A,FALSE,"P.V.C 10월 압출 CAPA ";#N/A,#N/A,FALSE,"P.V.C 11월 압출 CAPA ";#N/A,#N/A,FALSE,"P.V.C 12월 압출 CAPA "}</definedName>
    <definedName name="wrn.PVC._5" localSheetId="26" hidden="1">{#N/A,#N/A,FALSE,"P.V.C 9월 압출 CAPA";#N/A,#N/A,FALSE,"P.V.C 10월 압출 CAPA ";#N/A,#N/A,FALSE,"P.V.C 11월 압출 CAPA ";#N/A,#N/A,FALSE,"P.V.C 12월 압출 CAPA "}</definedName>
    <definedName name="wrn.PVC._5" localSheetId="0" hidden="1">{#N/A,#N/A,FALSE,"P.V.C 9월 압출 CAPA";#N/A,#N/A,FALSE,"P.V.C 10월 압출 CAPA ";#N/A,#N/A,FALSE,"P.V.C 11월 압출 CAPA ";#N/A,#N/A,FALSE,"P.V.C 12월 압출 CAPA "}</definedName>
    <definedName name="wrn.PVC._5" hidden="1">{#N/A,#N/A,FALSE,"P.V.C 9월 압출 CAPA";#N/A,#N/A,FALSE,"P.V.C 10월 압출 CAPA ";#N/A,#N/A,FALSE,"P.V.C 11월 압출 CAPA ";#N/A,#N/A,FALSE,"P.V.C 12월 압출 CAPA "}</definedName>
    <definedName name="wrn.SALES._.FORECAST." localSheetId="26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wrn.SALES._.FORECAST." localSheetId="21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wrn.SALES._.FORECAST." localSheetId="3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wrn.SALES._.FORECAST." localSheetId="28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wrn.SALES._.FORECAST." localSheetId="27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wrn.SALES._.FORECAST." localSheetId="0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wrn.SALES._.FORECAST." hidden="1">{#N/A,#N/A,FALSE,"97 Actual - Detail";#N/A,#N/A,FALSE,"96 Actual";#N/A,#N/A,FALSE,"97 Timed Budget";#N/A,#N/A,FALSE,"Forecast - Summ";#N/A,#N/A,FALSE,"Var 97 Act to 96 Act - Qtrly";#N/A,#N/A,FALSE,"Var 97 Act to 96 Actual  - Mos";#N/A,#N/A,FALSE,"Var 97 Act to 97 TB - Qtrly";#N/A,#N/A,FALSE,"Var 97 Act to 97 TB - Mos";#N/A,#N/A,FALSE,"Var 97 Prior to 97 Curr Mos Qtr";#N/A,#N/A,FALSE,"Var 97 Prior Mos to 97 Curr Mos";#N/A,#N/A,FALSE,"Matt's Recap"}</definedName>
    <definedName name="wrn.Volumes." localSheetId="26" hidden="1">{#N/A,#N/A,TRUE,"Volumes"}</definedName>
    <definedName name="wrn.Volumes." localSheetId="0" hidden="1">{#N/A,#N/A,TRUE,"Volumes"}</definedName>
    <definedName name="wrn.Volumes." hidden="1">{#N/A,#N/A,TRUE,"Volumes"}</definedName>
    <definedName name="wrn.Volumes._1" localSheetId="26" hidden="1">{#N/A,#N/A,TRUE,"Volumes"}</definedName>
    <definedName name="wrn.Volumes._1" localSheetId="0" hidden="1">{#N/A,#N/A,TRUE,"Volumes"}</definedName>
    <definedName name="wrn.Volumes._1" hidden="1">{#N/A,#N/A,TRUE,"Volumes"}</definedName>
    <definedName name="wrn.Volumes._1_1" localSheetId="26" hidden="1">{#N/A,#N/A,TRUE,"Volumes"}</definedName>
    <definedName name="wrn.Volumes._1_1" localSheetId="0" hidden="1">{#N/A,#N/A,TRUE,"Volumes"}</definedName>
    <definedName name="wrn.Volumes._1_1" hidden="1">{#N/A,#N/A,TRUE,"Volumes"}</definedName>
    <definedName name="wrn.Volumes._1_2" localSheetId="26" hidden="1">{#N/A,#N/A,TRUE,"Volumes"}</definedName>
    <definedName name="wrn.Volumes._1_2" localSheetId="0" hidden="1">{#N/A,#N/A,TRUE,"Volumes"}</definedName>
    <definedName name="wrn.Volumes._1_2" hidden="1">{#N/A,#N/A,TRUE,"Volumes"}</definedName>
    <definedName name="wrn.Volumes._1_3" localSheetId="26" hidden="1">{#N/A,#N/A,TRUE,"Volumes"}</definedName>
    <definedName name="wrn.Volumes._1_3" localSheetId="0" hidden="1">{#N/A,#N/A,TRUE,"Volumes"}</definedName>
    <definedName name="wrn.Volumes._1_3" hidden="1">{#N/A,#N/A,TRUE,"Volumes"}</definedName>
    <definedName name="wrn.Volumes._2" localSheetId="26" hidden="1">{#N/A,#N/A,TRUE,"Volumes"}</definedName>
    <definedName name="wrn.Volumes._2" localSheetId="0" hidden="1">{#N/A,#N/A,TRUE,"Volumes"}</definedName>
    <definedName name="wrn.Volumes._2" hidden="1">{#N/A,#N/A,TRUE,"Volumes"}</definedName>
    <definedName name="wrn.Volumes._2_1" localSheetId="26" hidden="1">{#N/A,#N/A,TRUE,"Volumes"}</definedName>
    <definedName name="wrn.Volumes._2_1" localSheetId="0" hidden="1">{#N/A,#N/A,TRUE,"Volumes"}</definedName>
    <definedName name="wrn.Volumes._2_1" hidden="1">{#N/A,#N/A,TRUE,"Volumes"}</definedName>
    <definedName name="wrn.Volumes._2_2" localSheetId="26" hidden="1">{#N/A,#N/A,TRUE,"Volumes"}</definedName>
    <definedName name="wrn.Volumes._2_2" localSheetId="0" hidden="1">{#N/A,#N/A,TRUE,"Volumes"}</definedName>
    <definedName name="wrn.Volumes._2_2" hidden="1">{#N/A,#N/A,TRUE,"Volumes"}</definedName>
    <definedName name="wrn.Volumes._3" localSheetId="26" hidden="1">{#N/A,#N/A,TRUE,"Volumes"}</definedName>
    <definedName name="wrn.Volumes._3" localSheetId="0" hidden="1">{#N/A,#N/A,TRUE,"Volumes"}</definedName>
    <definedName name="wrn.Volumes._3" hidden="1">{#N/A,#N/A,TRUE,"Volumes"}</definedName>
    <definedName name="wrn.Volumes._4" localSheetId="26" hidden="1">{#N/A,#N/A,TRUE,"Volumes"}</definedName>
    <definedName name="wrn.Volumes._4" localSheetId="0" hidden="1">{#N/A,#N/A,TRUE,"Volumes"}</definedName>
    <definedName name="wrn.Volumes._4" hidden="1">{#N/A,#N/A,TRUE,"Volumes"}</definedName>
    <definedName name="wrn.Volumes._5" localSheetId="26" hidden="1">{#N/A,#N/A,TRUE,"Volumes"}</definedName>
    <definedName name="wrn.Volumes._5" localSheetId="0" hidden="1">{#N/A,#N/A,TRUE,"Volumes"}</definedName>
    <definedName name="wrn.Volumes._5" hidden="1">{#N/A,#N/A,TRUE,"Volumes"}</definedName>
    <definedName name="wrn.신규dep._.full._.set." localSheetId="26" hidden="1">{#N/A,#N/A,FALSE,"신규dep";#N/A,#N/A,FALSE,"신규dep-금형상각후";#N/A,#N/A,FALSE,"신규dep-연구비상각후";#N/A,#N/A,FALSE,"신규dep-기계,공구상각후"}</definedName>
    <definedName name="wrn.신규dep._.full._.set." localSheetId="0" hidden="1">{#N/A,#N/A,FALSE,"신규dep";#N/A,#N/A,FALSE,"신규dep-금형상각후";#N/A,#N/A,FALSE,"신규dep-연구비상각후";#N/A,#N/A,FALSE,"신규dep-기계,공구상각후"}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신규dep._.full._.set._1" localSheetId="26" hidden="1">{#N/A,#N/A,FALSE,"신규dep";#N/A,#N/A,FALSE,"신규dep-금형상각후";#N/A,#N/A,FALSE,"신규dep-연구비상각후";#N/A,#N/A,FALSE,"신규dep-기계,공구상각후"}</definedName>
    <definedName name="wrn.신규dep._.full._.set._1" localSheetId="0" hidden="1">{#N/A,#N/A,FALSE,"신규dep";#N/A,#N/A,FALSE,"신규dep-금형상각후";#N/A,#N/A,FALSE,"신규dep-연구비상각후";#N/A,#N/A,FALSE,"신규dep-기계,공구상각후"}</definedName>
    <definedName name="wrn.신규dep._.full._.set._1" hidden="1">{#N/A,#N/A,FALSE,"신규dep";#N/A,#N/A,FALSE,"신규dep-금형상각후";#N/A,#N/A,FALSE,"신규dep-연구비상각후";#N/A,#N/A,FALSE,"신규dep-기계,공구상각후"}</definedName>
    <definedName name="wrn.신규dep._.full._.set._1_1" localSheetId="26" hidden="1">{#N/A,#N/A,FALSE,"신규dep";#N/A,#N/A,FALSE,"신규dep-금형상각후";#N/A,#N/A,FALSE,"신규dep-연구비상각후";#N/A,#N/A,FALSE,"신규dep-기계,공구상각후"}</definedName>
    <definedName name="wrn.신규dep._.full._.set._1_1" localSheetId="0" hidden="1">{#N/A,#N/A,FALSE,"신규dep";#N/A,#N/A,FALSE,"신규dep-금형상각후";#N/A,#N/A,FALSE,"신규dep-연구비상각후";#N/A,#N/A,FALSE,"신규dep-기계,공구상각후"}</definedName>
    <definedName name="wrn.신규dep._.full._.set._1_1" hidden="1">{#N/A,#N/A,FALSE,"신규dep";#N/A,#N/A,FALSE,"신규dep-금형상각후";#N/A,#N/A,FALSE,"신규dep-연구비상각후";#N/A,#N/A,FALSE,"신규dep-기계,공구상각후"}</definedName>
    <definedName name="wrn.신규dep._.full._.set._1_2" localSheetId="26" hidden="1">{#N/A,#N/A,FALSE,"신규dep";#N/A,#N/A,FALSE,"신규dep-금형상각후";#N/A,#N/A,FALSE,"신규dep-연구비상각후";#N/A,#N/A,FALSE,"신규dep-기계,공구상각후"}</definedName>
    <definedName name="wrn.신규dep._.full._.set._1_2" localSheetId="0" hidden="1">{#N/A,#N/A,FALSE,"신규dep";#N/A,#N/A,FALSE,"신규dep-금형상각후";#N/A,#N/A,FALSE,"신규dep-연구비상각후";#N/A,#N/A,FALSE,"신규dep-기계,공구상각후"}</definedName>
    <definedName name="wrn.신규dep._.full._.set._1_2" hidden="1">{#N/A,#N/A,FALSE,"신규dep";#N/A,#N/A,FALSE,"신규dep-금형상각후";#N/A,#N/A,FALSE,"신규dep-연구비상각후";#N/A,#N/A,FALSE,"신규dep-기계,공구상각후"}</definedName>
    <definedName name="wrn.신규dep._.full._.set._1_3" localSheetId="26" hidden="1">{#N/A,#N/A,FALSE,"신규dep";#N/A,#N/A,FALSE,"신규dep-금형상각후";#N/A,#N/A,FALSE,"신규dep-연구비상각후";#N/A,#N/A,FALSE,"신규dep-기계,공구상각후"}</definedName>
    <definedName name="wrn.신규dep._.full._.set._1_3" localSheetId="0" hidden="1">{#N/A,#N/A,FALSE,"신규dep";#N/A,#N/A,FALSE,"신규dep-금형상각후";#N/A,#N/A,FALSE,"신규dep-연구비상각후";#N/A,#N/A,FALSE,"신규dep-기계,공구상각후"}</definedName>
    <definedName name="wrn.신규dep._.full._.set._1_3" hidden="1">{#N/A,#N/A,FALSE,"신규dep";#N/A,#N/A,FALSE,"신규dep-금형상각후";#N/A,#N/A,FALSE,"신규dep-연구비상각후";#N/A,#N/A,FALSE,"신규dep-기계,공구상각후"}</definedName>
    <definedName name="wrn.신규dep._.full._.set._2" localSheetId="26" hidden="1">{#N/A,#N/A,FALSE,"신규dep";#N/A,#N/A,FALSE,"신규dep-금형상각후";#N/A,#N/A,FALSE,"신규dep-연구비상각후";#N/A,#N/A,FALSE,"신규dep-기계,공구상각후"}</definedName>
    <definedName name="wrn.신규dep._.full._.set._2" localSheetId="0" hidden="1">{#N/A,#N/A,FALSE,"신규dep";#N/A,#N/A,FALSE,"신규dep-금형상각후";#N/A,#N/A,FALSE,"신규dep-연구비상각후";#N/A,#N/A,FALSE,"신규dep-기계,공구상각후"}</definedName>
    <definedName name="wrn.신규dep._.full._.set._2" hidden="1">{#N/A,#N/A,FALSE,"신규dep";#N/A,#N/A,FALSE,"신규dep-금형상각후";#N/A,#N/A,FALSE,"신규dep-연구비상각후";#N/A,#N/A,FALSE,"신규dep-기계,공구상각후"}</definedName>
    <definedName name="wrn.신규dep._.full._.set._2_1" localSheetId="26" hidden="1">{#N/A,#N/A,FALSE,"신규dep";#N/A,#N/A,FALSE,"신규dep-금형상각후";#N/A,#N/A,FALSE,"신규dep-연구비상각후";#N/A,#N/A,FALSE,"신규dep-기계,공구상각후"}</definedName>
    <definedName name="wrn.신규dep._.full._.set._2_1" localSheetId="0" hidden="1">{#N/A,#N/A,FALSE,"신규dep";#N/A,#N/A,FALSE,"신규dep-금형상각후";#N/A,#N/A,FALSE,"신규dep-연구비상각후";#N/A,#N/A,FALSE,"신규dep-기계,공구상각후"}</definedName>
    <definedName name="wrn.신규dep._.full._.set._2_1" hidden="1">{#N/A,#N/A,FALSE,"신규dep";#N/A,#N/A,FALSE,"신규dep-금형상각후";#N/A,#N/A,FALSE,"신규dep-연구비상각후";#N/A,#N/A,FALSE,"신규dep-기계,공구상각후"}</definedName>
    <definedName name="wrn.신규dep._.full._.set._2_2" localSheetId="26" hidden="1">{#N/A,#N/A,FALSE,"신규dep";#N/A,#N/A,FALSE,"신규dep-금형상각후";#N/A,#N/A,FALSE,"신규dep-연구비상각후";#N/A,#N/A,FALSE,"신규dep-기계,공구상각후"}</definedName>
    <definedName name="wrn.신규dep._.full._.set._2_2" localSheetId="0" hidden="1">{#N/A,#N/A,FALSE,"신규dep";#N/A,#N/A,FALSE,"신규dep-금형상각후";#N/A,#N/A,FALSE,"신규dep-연구비상각후";#N/A,#N/A,FALSE,"신규dep-기계,공구상각후"}</definedName>
    <definedName name="wrn.신규dep._.full._.set._2_2" hidden="1">{#N/A,#N/A,FALSE,"신규dep";#N/A,#N/A,FALSE,"신규dep-금형상각후";#N/A,#N/A,FALSE,"신규dep-연구비상각후";#N/A,#N/A,FALSE,"신규dep-기계,공구상각후"}</definedName>
    <definedName name="wrn.신규dep._.full._.set._3" localSheetId="26" hidden="1">{#N/A,#N/A,FALSE,"신규dep";#N/A,#N/A,FALSE,"신규dep-금형상각후";#N/A,#N/A,FALSE,"신규dep-연구비상각후";#N/A,#N/A,FALSE,"신규dep-기계,공구상각후"}</definedName>
    <definedName name="wrn.신규dep._.full._.set._3" localSheetId="0" hidden="1">{#N/A,#N/A,FALSE,"신규dep";#N/A,#N/A,FALSE,"신규dep-금형상각후";#N/A,#N/A,FALSE,"신규dep-연구비상각후";#N/A,#N/A,FALSE,"신규dep-기계,공구상각후"}</definedName>
    <definedName name="wrn.신규dep._.full._.set._3" hidden="1">{#N/A,#N/A,FALSE,"신규dep";#N/A,#N/A,FALSE,"신규dep-금형상각후";#N/A,#N/A,FALSE,"신규dep-연구비상각후";#N/A,#N/A,FALSE,"신규dep-기계,공구상각후"}</definedName>
    <definedName name="wrn.신규dep._.full._.set._4" localSheetId="26" hidden="1">{#N/A,#N/A,FALSE,"신규dep";#N/A,#N/A,FALSE,"신규dep-금형상각후";#N/A,#N/A,FALSE,"신규dep-연구비상각후";#N/A,#N/A,FALSE,"신규dep-기계,공구상각후"}</definedName>
    <definedName name="wrn.신규dep._.full._.set._4" localSheetId="0" hidden="1">{#N/A,#N/A,FALSE,"신규dep";#N/A,#N/A,FALSE,"신규dep-금형상각후";#N/A,#N/A,FALSE,"신규dep-연구비상각후";#N/A,#N/A,FALSE,"신규dep-기계,공구상각후"}</definedName>
    <definedName name="wrn.신규dep._.full._.set._4" hidden="1">{#N/A,#N/A,FALSE,"신규dep";#N/A,#N/A,FALSE,"신규dep-금형상각후";#N/A,#N/A,FALSE,"신규dep-연구비상각후";#N/A,#N/A,FALSE,"신규dep-기계,공구상각후"}</definedName>
    <definedName name="wrn.신규dep._.full._.set._5" localSheetId="26" hidden="1">{#N/A,#N/A,FALSE,"신규dep";#N/A,#N/A,FALSE,"신규dep-금형상각후";#N/A,#N/A,FALSE,"신규dep-연구비상각후";#N/A,#N/A,FALSE,"신규dep-기계,공구상각후"}</definedName>
    <definedName name="wrn.신규dep._.full._.set._5" localSheetId="0" hidden="1">{#N/A,#N/A,FALSE,"신규dep";#N/A,#N/A,FALSE,"신규dep-금형상각후";#N/A,#N/A,FALSE,"신규dep-연구비상각후";#N/A,#N/A,FALSE,"신규dep-기계,공구상각후"}</definedName>
    <definedName name="wrn.신규dep._.full._.set._5" hidden="1">{#N/A,#N/A,FALSE,"신규dep";#N/A,#N/A,FALSE,"신규dep-금형상각후";#N/A,#N/A,FALSE,"신규dep-연구비상각후";#N/A,#N/A,FALSE,"신규dep-기계,공구상각후"}</definedName>
    <definedName name="wrn.전부인쇄." localSheetId="26" hidden="1">{#N/A,#N/A,FALSE,"단축1";#N/A,#N/A,FALSE,"단축2";#N/A,#N/A,FALSE,"단축3";#N/A,#N/A,FALSE,"장축";#N/A,#N/A,FALSE,"4WD"}</definedName>
    <definedName name="wrn.전부인쇄." localSheetId="0" hidden="1">{#N/A,#N/A,FALSE,"단축1";#N/A,#N/A,FALSE,"단축2";#N/A,#N/A,FALSE,"단축3";#N/A,#N/A,FALSE,"장축";#N/A,#N/A,FALSE,"4WD"}</definedName>
    <definedName name="wrn.전부인쇄." hidden="1">{#N/A,#N/A,FALSE,"단축1";#N/A,#N/A,FALSE,"단축2";#N/A,#N/A,FALSE,"단축3";#N/A,#N/A,FALSE,"장축";#N/A,#N/A,FALSE,"4WD"}</definedName>
    <definedName name="wrn.전부인쇄._1" localSheetId="26" hidden="1">{#N/A,#N/A,FALSE,"단축1";#N/A,#N/A,FALSE,"단축2";#N/A,#N/A,FALSE,"단축3";#N/A,#N/A,FALSE,"장축";#N/A,#N/A,FALSE,"4WD"}</definedName>
    <definedName name="wrn.전부인쇄._1" localSheetId="0" hidden="1">{#N/A,#N/A,FALSE,"단축1";#N/A,#N/A,FALSE,"단축2";#N/A,#N/A,FALSE,"단축3";#N/A,#N/A,FALSE,"장축";#N/A,#N/A,FALSE,"4WD"}</definedName>
    <definedName name="wrn.전부인쇄._1" hidden="1">{#N/A,#N/A,FALSE,"단축1";#N/A,#N/A,FALSE,"단축2";#N/A,#N/A,FALSE,"단축3";#N/A,#N/A,FALSE,"장축";#N/A,#N/A,FALSE,"4WD"}</definedName>
    <definedName name="wrn.전부인쇄._1_1" localSheetId="26" hidden="1">{#N/A,#N/A,FALSE,"단축1";#N/A,#N/A,FALSE,"단축2";#N/A,#N/A,FALSE,"단축3";#N/A,#N/A,FALSE,"장축";#N/A,#N/A,FALSE,"4WD"}</definedName>
    <definedName name="wrn.전부인쇄._1_1" localSheetId="0" hidden="1">{#N/A,#N/A,FALSE,"단축1";#N/A,#N/A,FALSE,"단축2";#N/A,#N/A,FALSE,"단축3";#N/A,#N/A,FALSE,"장축";#N/A,#N/A,FALSE,"4WD"}</definedName>
    <definedName name="wrn.전부인쇄._1_1" hidden="1">{#N/A,#N/A,FALSE,"단축1";#N/A,#N/A,FALSE,"단축2";#N/A,#N/A,FALSE,"단축3";#N/A,#N/A,FALSE,"장축";#N/A,#N/A,FALSE,"4WD"}</definedName>
    <definedName name="wrn.전부인쇄._1_2" localSheetId="26" hidden="1">{#N/A,#N/A,FALSE,"단축1";#N/A,#N/A,FALSE,"단축2";#N/A,#N/A,FALSE,"단축3";#N/A,#N/A,FALSE,"장축";#N/A,#N/A,FALSE,"4WD"}</definedName>
    <definedName name="wrn.전부인쇄._1_2" localSheetId="0" hidden="1">{#N/A,#N/A,FALSE,"단축1";#N/A,#N/A,FALSE,"단축2";#N/A,#N/A,FALSE,"단축3";#N/A,#N/A,FALSE,"장축";#N/A,#N/A,FALSE,"4WD"}</definedName>
    <definedName name="wrn.전부인쇄._1_2" hidden="1">{#N/A,#N/A,FALSE,"단축1";#N/A,#N/A,FALSE,"단축2";#N/A,#N/A,FALSE,"단축3";#N/A,#N/A,FALSE,"장축";#N/A,#N/A,FALSE,"4WD"}</definedName>
    <definedName name="wrn.전부인쇄._1_3" localSheetId="26" hidden="1">{#N/A,#N/A,FALSE,"단축1";#N/A,#N/A,FALSE,"단축2";#N/A,#N/A,FALSE,"단축3";#N/A,#N/A,FALSE,"장축";#N/A,#N/A,FALSE,"4WD"}</definedName>
    <definedName name="wrn.전부인쇄._1_3" localSheetId="0" hidden="1">{#N/A,#N/A,FALSE,"단축1";#N/A,#N/A,FALSE,"단축2";#N/A,#N/A,FALSE,"단축3";#N/A,#N/A,FALSE,"장축";#N/A,#N/A,FALSE,"4WD"}</definedName>
    <definedName name="wrn.전부인쇄._1_3" hidden="1">{#N/A,#N/A,FALSE,"단축1";#N/A,#N/A,FALSE,"단축2";#N/A,#N/A,FALSE,"단축3";#N/A,#N/A,FALSE,"장축";#N/A,#N/A,FALSE,"4WD"}</definedName>
    <definedName name="wrn.전부인쇄._2" localSheetId="26" hidden="1">{#N/A,#N/A,FALSE,"단축1";#N/A,#N/A,FALSE,"단축2";#N/A,#N/A,FALSE,"단축3";#N/A,#N/A,FALSE,"장축";#N/A,#N/A,FALSE,"4WD"}</definedName>
    <definedName name="wrn.전부인쇄._2" localSheetId="0" hidden="1">{#N/A,#N/A,FALSE,"단축1";#N/A,#N/A,FALSE,"단축2";#N/A,#N/A,FALSE,"단축3";#N/A,#N/A,FALSE,"장축";#N/A,#N/A,FALSE,"4WD"}</definedName>
    <definedName name="wrn.전부인쇄._2" hidden="1">{#N/A,#N/A,FALSE,"단축1";#N/A,#N/A,FALSE,"단축2";#N/A,#N/A,FALSE,"단축3";#N/A,#N/A,FALSE,"장축";#N/A,#N/A,FALSE,"4WD"}</definedName>
    <definedName name="wrn.전부인쇄._2_1" localSheetId="26" hidden="1">{#N/A,#N/A,FALSE,"단축1";#N/A,#N/A,FALSE,"단축2";#N/A,#N/A,FALSE,"단축3";#N/A,#N/A,FALSE,"장축";#N/A,#N/A,FALSE,"4WD"}</definedName>
    <definedName name="wrn.전부인쇄._2_1" localSheetId="0" hidden="1">{#N/A,#N/A,FALSE,"단축1";#N/A,#N/A,FALSE,"단축2";#N/A,#N/A,FALSE,"단축3";#N/A,#N/A,FALSE,"장축";#N/A,#N/A,FALSE,"4WD"}</definedName>
    <definedName name="wrn.전부인쇄._2_1" hidden="1">{#N/A,#N/A,FALSE,"단축1";#N/A,#N/A,FALSE,"단축2";#N/A,#N/A,FALSE,"단축3";#N/A,#N/A,FALSE,"장축";#N/A,#N/A,FALSE,"4WD"}</definedName>
    <definedName name="wrn.전부인쇄._2_2" localSheetId="26" hidden="1">{#N/A,#N/A,FALSE,"단축1";#N/A,#N/A,FALSE,"단축2";#N/A,#N/A,FALSE,"단축3";#N/A,#N/A,FALSE,"장축";#N/A,#N/A,FALSE,"4WD"}</definedName>
    <definedName name="wrn.전부인쇄._2_2" localSheetId="0" hidden="1">{#N/A,#N/A,FALSE,"단축1";#N/A,#N/A,FALSE,"단축2";#N/A,#N/A,FALSE,"단축3";#N/A,#N/A,FALSE,"장축";#N/A,#N/A,FALSE,"4WD"}</definedName>
    <definedName name="wrn.전부인쇄._2_2" hidden="1">{#N/A,#N/A,FALSE,"단축1";#N/A,#N/A,FALSE,"단축2";#N/A,#N/A,FALSE,"단축3";#N/A,#N/A,FALSE,"장축";#N/A,#N/A,FALSE,"4WD"}</definedName>
    <definedName name="wrn.전부인쇄._3" localSheetId="26" hidden="1">{#N/A,#N/A,FALSE,"단축1";#N/A,#N/A,FALSE,"단축2";#N/A,#N/A,FALSE,"단축3";#N/A,#N/A,FALSE,"장축";#N/A,#N/A,FALSE,"4WD"}</definedName>
    <definedName name="wrn.전부인쇄._3" localSheetId="0" hidden="1">{#N/A,#N/A,FALSE,"단축1";#N/A,#N/A,FALSE,"단축2";#N/A,#N/A,FALSE,"단축3";#N/A,#N/A,FALSE,"장축";#N/A,#N/A,FALSE,"4WD"}</definedName>
    <definedName name="wrn.전부인쇄._3" hidden="1">{#N/A,#N/A,FALSE,"단축1";#N/A,#N/A,FALSE,"단축2";#N/A,#N/A,FALSE,"단축3";#N/A,#N/A,FALSE,"장축";#N/A,#N/A,FALSE,"4WD"}</definedName>
    <definedName name="wrn.전부인쇄._4" localSheetId="26" hidden="1">{#N/A,#N/A,FALSE,"단축1";#N/A,#N/A,FALSE,"단축2";#N/A,#N/A,FALSE,"단축3";#N/A,#N/A,FALSE,"장축";#N/A,#N/A,FALSE,"4WD"}</definedName>
    <definedName name="wrn.전부인쇄._4" localSheetId="0" hidden="1">{#N/A,#N/A,FALSE,"단축1";#N/A,#N/A,FALSE,"단축2";#N/A,#N/A,FALSE,"단축3";#N/A,#N/A,FALSE,"장축";#N/A,#N/A,FALSE,"4WD"}</definedName>
    <definedName name="wrn.전부인쇄._4" hidden="1">{#N/A,#N/A,FALSE,"단축1";#N/A,#N/A,FALSE,"단축2";#N/A,#N/A,FALSE,"단축3";#N/A,#N/A,FALSE,"장축";#N/A,#N/A,FALSE,"4WD"}</definedName>
    <definedName name="wrn.전부인쇄._5" localSheetId="26" hidden="1">{#N/A,#N/A,FALSE,"단축1";#N/A,#N/A,FALSE,"단축2";#N/A,#N/A,FALSE,"단축3";#N/A,#N/A,FALSE,"장축";#N/A,#N/A,FALSE,"4WD"}</definedName>
    <definedName name="wrn.전부인쇄._5" localSheetId="0" hidden="1">{#N/A,#N/A,FALSE,"단축1";#N/A,#N/A,FALSE,"단축2";#N/A,#N/A,FALSE,"단축3";#N/A,#N/A,FALSE,"장축";#N/A,#N/A,FALSE,"4WD"}</definedName>
    <definedName name="wrn.전부인쇄._5" hidden="1">{#N/A,#N/A,FALSE,"단축1";#N/A,#N/A,FALSE,"단축2";#N/A,#N/A,FALSE,"단축3";#N/A,#N/A,FALSE,"장축";#N/A,#N/A,FALSE,"4WD"}</definedName>
    <definedName name="wrn_1" localSheetId="26" hidden="1">{#N/A,#N/A,FALSE,"단축1";#N/A,#N/A,FALSE,"단축2";#N/A,#N/A,FALSE,"단축3";#N/A,#N/A,FALSE,"장축";#N/A,#N/A,FALSE,"4WD"}</definedName>
    <definedName name="wrn_1" localSheetId="0" hidden="1">{#N/A,#N/A,FALSE,"단축1";#N/A,#N/A,FALSE,"단축2";#N/A,#N/A,FALSE,"단축3";#N/A,#N/A,FALSE,"장축";#N/A,#N/A,FALSE,"4WD"}</definedName>
    <definedName name="wrn_1" hidden="1">{#N/A,#N/A,FALSE,"단축1";#N/A,#N/A,FALSE,"단축2";#N/A,#N/A,FALSE,"단축3";#N/A,#N/A,FALSE,"장축";#N/A,#N/A,FALSE,"4WD"}</definedName>
    <definedName name="wrn_1_1" localSheetId="26" hidden="1">{#N/A,#N/A,FALSE,"단축1";#N/A,#N/A,FALSE,"단축2";#N/A,#N/A,FALSE,"단축3";#N/A,#N/A,FALSE,"장축";#N/A,#N/A,FALSE,"4WD"}</definedName>
    <definedName name="wrn_1_1" localSheetId="0" hidden="1">{#N/A,#N/A,FALSE,"단축1";#N/A,#N/A,FALSE,"단축2";#N/A,#N/A,FALSE,"단축3";#N/A,#N/A,FALSE,"장축";#N/A,#N/A,FALSE,"4WD"}</definedName>
    <definedName name="wrn_1_1" hidden="1">{#N/A,#N/A,FALSE,"단축1";#N/A,#N/A,FALSE,"단축2";#N/A,#N/A,FALSE,"단축3";#N/A,#N/A,FALSE,"장축";#N/A,#N/A,FALSE,"4WD"}</definedName>
    <definedName name="wrn_1_2" localSheetId="26" hidden="1">{#N/A,#N/A,FALSE,"단축1";#N/A,#N/A,FALSE,"단축2";#N/A,#N/A,FALSE,"단축3";#N/A,#N/A,FALSE,"장축";#N/A,#N/A,FALSE,"4WD"}</definedName>
    <definedName name="wrn_1_2" localSheetId="0" hidden="1">{#N/A,#N/A,FALSE,"단축1";#N/A,#N/A,FALSE,"단축2";#N/A,#N/A,FALSE,"단축3";#N/A,#N/A,FALSE,"장축";#N/A,#N/A,FALSE,"4WD"}</definedName>
    <definedName name="wrn_1_2" hidden="1">{#N/A,#N/A,FALSE,"단축1";#N/A,#N/A,FALSE,"단축2";#N/A,#N/A,FALSE,"단축3";#N/A,#N/A,FALSE,"장축";#N/A,#N/A,FALSE,"4WD"}</definedName>
    <definedName name="wrn_1_3" localSheetId="26" hidden="1">{#N/A,#N/A,FALSE,"단축1";#N/A,#N/A,FALSE,"단축2";#N/A,#N/A,FALSE,"단축3";#N/A,#N/A,FALSE,"장축";#N/A,#N/A,FALSE,"4WD"}</definedName>
    <definedName name="wrn_1_3" localSheetId="0" hidden="1">{#N/A,#N/A,FALSE,"단축1";#N/A,#N/A,FALSE,"단축2";#N/A,#N/A,FALSE,"단축3";#N/A,#N/A,FALSE,"장축";#N/A,#N/A,FALSE,"4WD"}</definedName>
    <definedName name="wrn_1_3" hidden="1">{#N/A,#N/A,FALSE,"단축1";#N/A,#N/A,FALSE,"단축2";#N/A,#N/A,FALSE,"단축3";#N/A,#N/A,FALSE,"장축";#N/A,#N/A,FALSE,"4WD"}</definedName>
    <definedName name="wrn_2" localSheetId="26" hidden="1">{#N/A,#N/A,FALSE,"단축1";#N/A,#N/A,FALSE,"단축2";#N/A,#N/A,FALSE,"단축3";#N/A,#N/A,FALSE,"장축";#N/A,#N/A,FALSE,"4WD"}</definedName>
    <definedName name="wrn_2" localSheetId="0" hidden="1">{#N/A,#N/A,FALSE,"단축1";#N/A,#N/A,FALSE,"단축2";#N/A,#N/A,FALSE,"단축3";#N/A,#N/A,FALSE,"장축";#N/A,#N/A,FALSE,"4WD"}</definedName>
    <definedName name="wrn_2" hidden="1">{#N/A,#N/A,FALSE,"단축1";#N/A,#N/A,FALSE,"단축2";#N/A,#N/A,FALSE,"단축3";#N/A,#N/A,FALSE,"장축";#N/A,#N/A,FALSE,"4WD"}</definedName>
    <definedName name="wrn_2_1" localSheetId="26" hidden="1">{#N/A,#N/A,FALSE,"단축1";#N/A,#N/A,FALSE,"단축2";#N/A,#N/A,FALSE,"단축3";#N/A,#N/A,FALSE,"장축";#N/A,#N/A,FALSE,"4WD"}</definedName>
    <definedName name="wrn_2_1" localSheetId="0" hidden="1">{#N/A,#N/A,FALSE,"단축1";#N/A,#N/A,FALSE,"단축2";#N/A,#N/A,FALSE,"단축3";#N/A,#N/A,FALSE,"장축";#N/A,#N/A,FALSE,"4WD"}</definedName>
    <definedName name="wrn_2_1" hidden="1">{#N/A,#N/A,FALSE,"단축1";#N/A,#N/A,FALSE,"단축2";#N/A,#N/A,FALSE,"단축3";#N/A,#N/A,FALSE,"장축";#N/A,#N/A,FALSE,"4WD"}</definedName>
    <definedName name="wrn_2_2" localSheetId="26" hidden="1">{#N/A,#N/A,FALSE,"단축1";#N/A,#N/A,FALSE,"단축2";#N/A,#N/A,FALSE,"단축3";#N/A,#N/A,FALSE,"장축";#N/A,#N/A,FALSE,"4WD"}</definedName>
    <definedName name="wrn_2_2" localSheetId="0" hidden="1">{#N/A,#N/A,FALSE,"단축1";#N/A,#N/A,FALSE,"단축2";#N/A,#N/A,FALSE,"단축3";#N/A,#N/A,FALSE,"장축";#N/A,#N/A,FALSE,"4WD"}</definedName>
    <definedName name="wrn_2_2" hidden="1">{#N/A,#N/A,FALSE,"단축1";#N/A,#N/A,FALSE,"단축2";#N/A,#N/A,FALSE,"단축3";#N/A,#N/A,FALSE,"장축";#N/A,#N/A,FALSE,"4WD"}</definedName>
    <definedName name="wrn_3" localSheetId="26" hidden="1">{#N/A,#N/A,FALSE,"단축1";#N/A,#N/A,FALSE,"단축2";#N/A,#N/A,FALSE,"단축3";#N/A,#N/A,FALSE,"장축";#N/A,#N/A,FALSE,"4WD"}</definedName>
    <definedName name="wrn_3" localSheetId="0" hidden="1">{#N/A,#N/A,FALSE,"단축1";#N/A,#N/A,FALSE,"단축2";#N/A,#N/A,FALSE,"단축3";#N/A,#N/A,FALSE,"장축";#N/A,#N/A,FALSE,"4WD"}</definedName>
    <definedName name="wrn_3" hidden="1">{#N/A,#N/A,FALSE,"단축1";#N/A,#N/A,FALSE,"단축2";#N/A,#N/A,FALSE,"단축3";#N/A,#N/A,FALSE,"장축";#N/A,#N/A,FALSE,"4WD"}</definedName>
    <definedName name="wrn_4" localSheetId="26" hidden="1">{#N/A,#N/A,FALSE,"단축1";#N/A,#N/A,FALSE,"단축2";#N/A,#N/A,FALSE,"단축3";#N/A,#N/A,FALSE,"장축";#N/A,#N/A,FALSE,"4WD"}</definedName>
    <definedName name="wrn_4" localSheetId="0" hidden="1">{#N/A,#N/A,FALSE,"단축1";#N/A,#N/A,FALSE,"단축2";#N/A,#N/A,FALSE,"단축3";#N/A,#N/A,FALSE,"장축";#N/A,#N/A,FALSE,"4WD"}</definedName>
    <definedName name="wrn_4" hidden="1">{#N/A,#N/A,FALSE,"단축1";#N/A,#N/A,FALSE,"단축2";#N/A,#N/A,FALSE,"단축3";#N/A,#N/A,FALSE,"장축";#N/A,#N/A,FALSE,"4WD"}</definedName>
    <definedName name="wrn_5" localSheetId="26" hidden="1">{#N/A,#N/A,FALSE,"단축1";#N/A,#N/A,FALSE,"단축2";#N/A,#N/A,FALSE,"단축3";#N/A,#N/A,FALSE,"장축";#N/A,#N/A,FALSE,"4WD"}</definedName>
    <definedName name="wrn_5" localSheetId="0" hidden="1">{#N/A,#N/A,FALSE,"단축1";#N/A,#N/A,FALSE,"단축2";#N/A,#N/A,FALSE,"단축3";#N/A,#N/A,FALSE,"장축";#N/A,#N/A,FALSE,"4WD"}</definedName>
    <definedName name="wrn_5" hidden="1">{#N/A,#N/A,FALSE,"단축1";#N/A,#N/A,FALSE,"단축2";#N/A,#N/A,FALSE,"단축3";#N/A,#N/A,FALSE,"장축";#N/A,#N/A,FALSE,"4WD"}</definedName>
    <definedName name="wrn1.brief" localSheetId="22" hidden="1">{#N/A,#N/A,TRUE,"Summary";#N/A,#N/A,TRUE,"Balance Sheet";#N/A,#N/A,TRUE,"P &amp; L";#N/A,#N/A,TRUE,"Fixed Assets";#N/A,#N/A,TRUE,"Cash Flows"}</definedName>
    <definedName name="wrn1.brief" localSheetId="26" hidden="1">{#N/A,#N/A,TRUE,"Summary";#N/A,#N/A,TRUE,"Balance Sheet";#N/A,#N/A,TRUE,"P &amp; L";#N/A,#N/A,TRUE,"Fixed Assets";#N/A,#N/A,TRUE,"Cash Flows"}</definedName>
    <definedName name="wrn1.brief" localSheetId="14" hidden="1">{#N/A,#N/A,TRUE,"Summary";#N/A,#N/A,TRUE,"Balance Sheet";#N/A,#N/A,TRUE,"P &amp; L";#N/A,#N/A,TRUE,"Fixed Assets";#N/A,#N/A,TRUE,"Cash Flows"}</definedName>
    <definedName name="wrn1.brief" localSheetId="21" hidden="1">{#N/A,#N/A,TRUE,"Summary";#N/A,#N/A,TRUE,"Balance Sheet";#N/A,#N/A,TRUE,"P &amp; L";#N/A,#N/A,TRUE,"Fixed Assets";#N/A,#N/A,TRUE,"Cash Flows"}</definedName>
    <definedName name="wrn1.brief" localSheetId="3" hidden="1">{#N/A,#N/A,TRUE,"Summary";#N/A,#N/A,TRUE,"Balance Sheet";#N/A,#N/A,TRUE,"P &amp; L";#N/A,#N/A,TRUE,"Fixed Assets";#N/A,#N/A,TRUE,"Cash Flows"}</definedName>
    <definedName name="wrn1.brief" localSheetId="29" hidden="1">{#N/A,#N/A,TRUE,"Summary";#N/A,#N/A,TRUE,"Balance Sheet";#N/A,#N/A,TRUE,"P &amp; L";#N/A,#N/A,TRUE,"Fixed Assets";#N/A,#N/A,TRUE,"Cash Flows"}</definedName>
    <definedName name="wrn1.brief" localSheetId="28" hidden="1">{#N/A,#N/A,TRUE,"Summary";#N/A,#N/A,TRUE,"Balance Sheet";#N/A,#N/A,TRUE,"P &amp; L";#N/A,#N/A,TRUE,"Fixed Assets";#N/A,#N/A,TRUE,"Cash Flows"}</definedName>
    <definedName name="wrn1.brief" localSheetId="27" hidden="1">{#N/A,#N/A,TRUE,"Summary";#N/A,#N/A,TRUE,"Balance Sheet";#N/A,#N/A,TRUE,"P &amp; L";#N/A,#N/A,TRUE,"Fixed Assets";#N/A,#N/A,TRUE,"Cash Flows"}</definedName>
    <definedName name="wrn1.brief" localSheetId="0" hidden="1">{#N/A,#N/A,TRUE,"Summary";#N/A,#N/A,TRUE,"Balance Sheet";#N/A,#N/A,TRUE,"P &amp; L";#N/A,#N/A,TRUE,"Fixed Assets";#N/A,#N/A,TRUE,"Cash Flows"}</definedName>
    <definedName name="wrn1.brief" hidden="1">{#N/A,#N/A,TRUE,"Summary";#N/A,#N/A,TRUE,"Balance Sheet";#N/A,#N/A,TRUE,"P &amp; L";#N/A,#N/A,TRUE,"Fixed Assets";#N/A,#N/A,TRUE,"Cash Flows"}</definedName>
    <definedName name="wrn1.brief_1" localSheetId="26" hidden="1">{#N/A,#N/A,TRUE,"Summary";#N/A,#N/A,TRUE,"Balance Sheet";#N/A,#N/A,TRUE,"P &amp; L";#N/A,#N/A,TRUE,"Fixed Assets";#N/A,#N/A,TRUE,"Cash Flows"}</definedName>
    <definedName name="wrn1.brief_1" localSheetId="0" hidden="1">{#N/A,#N/A,TRUE,"Summary";#N/A,#N/A,TRUE,"Balance Sheet";#N/A,#N/A,TRUE,"P &amp; L";#N/A,#N/A,TRUE,"Fixed Assets";#N/A,#N/A,TRUE,"Cash Flows"}</definedName>
    <definedName name="wrn1.brief_1" hidden="1">{#N/A,#N/A,TRUE,"Summary";#N/A,#N/A,TRUE,"Balance Sheet";#N/A,#N/A,TRUE,"P &amp; L";#N/A,#N/A,TRUE,"Fixed Assets";#N/A,#N/A,TRUE,"Cash Flows"}</definedName>
    <definedName name="wrn1.brief_1_1" localSheetId="26" hidden="1">{#N/A,#N/A,TRUE,"Summary";#N/A,#N/A,TRUE,"Balance Sheet";#N/A,#N/A,TRUE,"P &amp; L";#N/A,#N/A,TRUE,"Fixed Assets";#N/A,#N/A,TRUE,"Cash Flows"}</definedName>
    <definedName name="wrn1.brief_1_1" localSheetId="0" hidden="1">{#N/A,#N/A,TRUE,"Summary";#N/A,#N/A,TRUE,"Balance Sheet";#N/A,#N/A,TRUE,"P &amp; L";#N/A,#N/A,TRUE,"Fixed Assets";#N/A,#N/A,TRUE,"Cash Flows"}</definedName>
    <definedName name="wrn1.brief_1_1" hidden="1">{#N/A,#N/A,TRUE,"Summary";#N/A,#N/A,TRUE,"Balance Sheet";#N/A,#N/A,TRUE,"P &amp; L";#N/A,#N/A,TRUE,"Fixed Assets";#N/A,#N/A,TRUE,"Cash Flows"}</definedName>
    <definedName name="wrn1.brief_1_2" localSheetId="26" hidden="1">{#N/A,#N/A,TRUE,"Summary";#N/A,#N/A,TRUE,"Balance Sheet";#N/A,#N/A,TRUE,"P &amp; L";#N/A,#N/A,TRUE,"Fixed Assets";#N/A,#N/A,TRUE,"Cash Flows"}</definedName>
    <definedName name="wrn1.brief_1_2" localSheetId="0" hidden="1">{#N/A,#N/A,TRUE,"Summary";#N/A,#N/A,TRUE,"Balance Sheet";#N/A,#N/A,TRUE,"P &amp; L";#N/A,#N/A,TRUE,"Fixed Assets";#N/A,#N/A,TRUE,"Cash Flows"}</definedName>
    <definedName name="wrn1.brief_1_2" hidden="1">{#N/A,#N/A,TRUE,"Summary";#N/A,#N/A,TRUE,"Balance Sheet";#N/A,#N/A,TRUE,"P &amp; L";#N/A,#N/A,TRUE,"Fixed Assets";#N/A,#N/A,TRUE,"Cash Flows"}</definedName>
    <definedName name="wrn1.brief_1_3" localSheetId="26" hidden="1">{#N/A,#N/A,TRUE,"Summary";#N/A,#N/A,TRUE,"Balance Sheet";#N/A,#N/A,TRUE,"P &amp; L";#N/A,#N/A,TRUE,"Fixed Assets";#N/A,#N/A,TRUE,"Cash Flows"}</definedName>
    <definedName name="wrn1.brief_1_3" localSheetId="0" hidden="1">{#N/A,#N/A,TRUE,"Summary";#N/A,#N/A,TRUE,"Balance Sheet";#N/A,#N/A,TRUE,"P &amp; L";#N/A,#N/A,TRUE,"Fixed Assets";#N/A,#N/A,TRUE,"Cash Flows"}</definedName>
    <definedName name="wrn1.brief_1_3" hidden="1">{#N/A,#N/A,TRUE,"Summary";#N/A,#N/A,TRUE,"Balance Sheet";#N/A,#N/A,TRUE,"P &amp; L";#N/A,#N/A,TRUE,"Fixed Assets";#N/A,#N/A,TRUE,"Cash Flows"}</definedName>
    <definedName name="wrn1.brief_2" localSheetId="26" hidden="1">{#N/A,#N/A,TRUE,"Summary";#N/A,#N/A,TRUE,"Balance Sheet";#N/A,#N/A,TRUE,"P &amp; L";#N/A,#N/A,TRUE,"Fixed Assets";#N/A,#N/A,TRUE,"Cash Flows"}</definedName>
    <definedName name="wrn1.brief_2" localSheetId="0" hidden="1">{#N/A,#N/A,TRUE,"Summary";#N/A,#N/A,TRUE,"Balance Sheet";#N/A,#N/A,TRUE,"P &amp; L";#N/A,#N/A,TRUE,"Fixed Assets";#N/A,#N/A,TRUE,"Cash Flows"}</definedName>
    <definedName name="wrn1.brief_2" hidden="1">{#N/A,#N/A,TRUE,"Summary";#N/A,#N/A,TRUE,"Balance Sheet";#N/A,#N/A,TRUE,"P &amp; L";#N/A,#N/A,TRUE,"Fixed Assets";#N/A,#N/A,TRUE,"Cash Flows"}</definedName>
    <definedName name="wrn1.brief_2_1" localSheetId="26" hidden="1">{#N/A,#N/A,TRUE,"Summary";#N/A,#N/A,TRUE,"Balance Sheet";#N/A,#N/A,TRUE,"P &amp; L";#N/A,#N/A,TRUE,"Fixed Assets";#N/A,#N/A,TRUE,"Cash Flows"}</definedName>
    <definedName name="wrn1.brief_2_1" localSheetId="0" hidden="1">{#N/A,#N/A,TRUE,"Summary";#N/A,#N/A,TRUE,"Balance Sheet";#N/A,#N/A,TRUE,"P &amp; L";#N/A,#N/A,TRUE,"Fixed Assets";#N/A,#N/A,TRUE,"Cash Flows"}</definedName>
    <definedName name="wrn1.brief_2_1" hidden="1">{#N/A,#N/A,TRUE,"Summary";#N/A,#N/A,TRUE,"Balance Sheet";#N/A,#N/A,TRUE,"P &amp; L";#N/A,#N/A,TRUE,"Fixed Assets";#N/A,#N/A,TRUE,"Cash Flows"}</definedName>
    <definedName name="wrn1.brief_2_2" localSheetId="26" hidden="1">{#N/A,#N/A,TRUE,"Summary";#N/A,#N/A,TRUE,"Balance Sheet";#N/A,#N/A,TRUE,"P &amp; L";#N/A,#N/A,TRUE,"Fixed Assets";#N/A,#N/A,TRUE,"Cash Flows"}</definedName>
    <definedName name="wrn1.brief_2_2" localSheetId="0" hidden="1">{#N/A,#N/A,TRUE,"Summary";#N/A,#N/A,TRUE,"Balance Sheet";#N/A,#N/A,TRUE,"P &amp; L";#N/A,#N/A,TRUE,"Fixed Assets";#N/A,#N/A,TRUE,"Cash Flows"}</definedName>
    <definedName name="wrn1.brief_2_2" hidden="1">{#N/A,#N/A,TRUE,"Summary";#N/A,#N/A,TRUE,"Balance Sheet";#N/A,#N/A,TRUE,"P &amp; L";#N/A,#N/A,TRUE,"Fixed Assets";#N/A,#N/A,TRUE,"Cash Flows"}</definedName>
    <definedName name="wrn1.brief_3" localSheetId="26" hidden="1">{#N/A,#N/A,TRUE,"Summary";#N/A,#N/A,TRUE,"Balance Sheet";#N/A,#N/A,TRUE,"P &amp; L";#N/A,#N/A,TRUE,"Fixed Assets";#N/A,#N/A,TRUE,"Cash Flows"}</definedName>
    <definedName name="wrn1.brief_3" localSheetId="0" hidden="1">{#N/A,#N/A,TRUE,"Summary";#N/A,#N/A,TRUE,"Balance Sheet";#N/A,#N/A,TRUE,"P &amp; L";#N/A,#N/A,TRUE,"Fixed Assets";#N/A,#N/A,TRUE,"Cash Flows"}</definedName>
    <definedName name="wrn1.brief_3" hidden="1">{#N/A,#N/A,TRUE,"Summary";#N/A,#N/A,TRUE,"Balance Sheet";#N/A,#N/A,TRUE,"P &amp; L";#N/A,#N/A,TRUE,"Fixed Assets";#N/A,#N/A,TRUE,"Cash Flows"}</definedName>
    <definedName name="wrn1.brief_4" localSheetId="26" hidden="1">{#N/A,#N/A,TRUE,"Summary";#N/A,#N/A,TRUE,"Balance Sheet";#N/A,#N/A,TRUE,"P &amp; L";#N/A,#N/A,TRUE,"Fixed Assets";#N/A,#N/A,TRUE,"Cash Flows"}</definedName>
    <definedName name="wrn1.brief_4" localSheetId="0" hidden="1">{#N/A,#N/A,TRUE,"Summary";#N/A,#N/A,TRUE,"Balance Sheet";#N/A,#N/A,TRUE,"P &amp; L";#N/A,#N/A,TRUE,"Fixed Assets";#N/A,#N/A,TRUE,"Cash Flows"}</definedName>
    <definedName name="wrn1.brief_4" hidden="1">{#N/A,#N/A,TRUE,"Summary";#N/A,#N/A,TRUE,"Balance Sheet";#N/A,#N/A,TRUE,"P &amp; L";#N/A,#N/A,TRUE,"Fixed Assets";#N/A,#N/A,TRUE,"Cash Flows"}</definedName>
    <definedName name="wrn1.brief_5" localSheetId="26" hidden="1">{#N/A,#N/A,TRUE,"Summary";#N/A,#N/A,TRUE,"Balance Sheet";#N/A,#N/A,TRUE,"P &amp; L";#N/A,#N/A,TRUE,"Fixed Assets";#N/A,#N/A,TRUE,"Cash Flows"}</definedName>
    <definedName name="wrn1.brief_5" localSheetId="0" hidden="1">{#N/A,#N/A,TRUE,"Summary";#N/A,#N/A,TRUE,"Balance Sheet";#N/A,#N/A,TRUE,"P &amp; L";#N/A,#N/A,TRUE,"Fixed Assets";#N/A,#N/A,TRUE,"Cash Flows"}</definedName>
    <definedName name="wrn1.brief_5" hidden="1">{#N/A,#N/A,TRUE,"Summary";#N/A,#N/A,TRUE,"Balance Sheet";#N/A,#N/A,TRUE,"P &amp; L";#N/A,#N/A,TRUE,"Fixed Assets";#N/A,#N/A,TRUE,"Cash Flows"}</definedName>
    <definedName name="wrn1.elaborate" localSheetId="22" hidden="1">{#N/A,#N/A,FALSE,"Cash Flows";#N/A,#N/A,FALSE,"Fixed Assets";#N/A,#N/A,FALSE,"Balance Sheet";#N/A,#N/A,FALSE,"P &amp; L"}</definedName>
    <definedName name="wrn1.elaborate" localSheetId="26" hidden="1">{#N/A,#N/A,FALSE,"Cash Flows";#N/A,#N/A,FALSE,"Fixed Assets";#N/A,#N/A,FALSE,"Balance Sheet";#N/A,#N/A,FALSE,"P &amp; L"}</definedName>
    <definedName name="wrn1.elaborate" localSheetId="14" hidden="1">{#N/A,#N/A,FALSE,"Cash Flows";#N/A,#N/A,FALSE,"Fixed Assets";#N/A,#N/A,FALSE,"Balance Sheet";#N/A,#N/A,FALSE,"P &amp; L"}</definedName>
    <definedName name="wrn1.elaborate" localSheetId="21" hidden="1">{#N/A,#N/A,FALSE,"Cash Flows";#N/A,#N/A,FALSE,"Fixed Assets";#N/A,#N/A,FALSE,"Balance Sheet";#N/A,#N/A,FALSE,"P &amp; L"}</definedName>
    <definedName name="wrn1.elaborate" localSheetId="3" hidden="1">{#N/A,#N/A,FALSE,"Cash Flows";#N/A,#N/A,FALSE,"Fixed Assets";#N/A,#N/A,FALSE,"Balance Sheet";#N/A,#N/A,FALSE,"P &amp; L"}</definedName>
    <definedName name="wrn1.elaborate" localSheetId="29" hidden="1">{#N/A,#N/A,FALSE,"Cash Flows";#N/A,#N/A,FALSE,"Fixed Assets";#N/A,#N/A,FALSE,"Balance Sheet";#N/A,#N/A,FALSE,"P &amp; L"}</definedName>
    <definedName name="wrn1.elaborate" localSheetId="28" hidden="1">{#N/A,#N/A,FALSE,"Cash Flows";#N/A,#N/A,FALSE,"Fixed Assets";#N/A,#N/A,FALSE,"Balance Sheet";#N/A,#N/A,FALSE,"P &amp; L"}</definedName>
    <definedName name="wrn1.elaborate" localSheetId="27" hidden="1">{#N/A,#N/A,FALSE,"Cash Flows";#N/A,#N/A,FALSE,"Fixed Assets";#N/A,#N/A,FALSE,"Balance Sheet";#N/A,#N/A,FALSE,"P &amp; L"}</definedName>
    <definedName name="wrn1.elaborate" localSheetId="0" hidden="1">{#N/A,#N/A,FALSE,"Cash Flows";#N/A,#N/A,FALSE,"Fixed Assets";#N/A,#N/A,FALSE,"Balance Sheet";#N/A,#N/A,FALSE,"P &amp; L"}</definedName>
    <definedName name="wrn1.elaborate" hidden="1">{#N/A,#N/A,FALSE,"Cash Flows";#N/A,#N/A,FALSE,"Fixed Assets";#N/A,#N/A,FALSE,"Balance Sheet";#N/A,#N/A,FALSE,"P &amp; L"}</definedName>
    <definedName name="wrn1.elaborate_1" localSheetId="26" hidden="1">{#N/A,#N/A,FALSE,"Cash Flows";#N/A,#N/A,FALSE,"Fixed Assets";#N/A,#N/A,FALSE,"Balance Sheet";#N/A,#N/A,FALSE,"P &amp; L"}</definedName>
    <definedName name="wrn1.elaborate_1" localSheetId="0" hidden="1">{#N/A,#N/A,FALSE,"Cash Flows";#N/A,#N/A,FALSE,"Fixed Assets";#N/A,#N/A,FALSE,"Balance Sheet";#N/A,#N/A,FALSE,"P &amp; L"}</definedName>
    <definedName name="wrn1.elaborate_1" hidden="1">{#N/A,#N/A,FALSE,"Cash Flows";#N/A,#N/A,FALSE,"Fixed Assets";#N/A,#N/A,FALSE,"Balance Sheet";#N/A,#N/A,FALSE,"P &amp; L"}</definedName>
    <definedName name="wrn1.elaborate_1_1" localSheetId="26" hidden="1">{#N/A,#N/A,FALSE,"Cash Flows";#N/A,#N/A,FALSE,"Fixed Assets";#N/A,#N/A,FALSE,"Balance Sheet";#N/A,#N/A,FALSE,"P &amp; L"}</definedName>
    <definedName name="wrn1.elaborate_1_1" localSheetId="0" hidden="1">{#N/A,#N/A,FALSE,"Cash Flows";#N/A,#N/A,FALSE,"Fixed Assets";#N/A,#N/A,FALSE,"Balance Sheet";#N/A,#N/A,FALSE,"P &amp; L"}</definedName>
    <definedName name="wrn1.elaborate_1_1" hidden="1">{#N/A,#N/A,FALSE,"Cash Flows";#N/A,#N/A,FALSE,"Fixed Assets";#N/A,#N/A,FALSE,"Balance Sheet";#N/A,#N/A,FALSE,"P &amp; L"}</definedName>
    <definedName name="wrn1.elaborate_1_2" localSheetId="26" hidden="1">{#N/A,#N/A,FALSE,"Cash Flows";#N/A,#N/A,FALSE,"Fixed Assets";#N/A,#N/A,FALSE,"Balance Sheet";#N/A,#N/A,FALSE,"P &amp; L"}</definedName>
    <definedName name="wrn1.elaborate_1_2" localSheetId="0" hidden="1">{#N/A,#N/A,FALSE,"Cash Flows";#N/A,#N/A,FALSE,"Fixed Assets";#N/A,#N/A,FALSE,"Balance Sheet";#N/A,#N/A,FALSE,"P &amp; L"}</definedName>
    <definedName name="wrn1.elaborate_1_2" hidden="1">{#N/A,#N/A,FALSE,"Cash Flows";#N/A,#N/A,FALSE,"Fixed Assets";#N/A,#N/A,FALSE,"Balance Sheet";#N/A,#N/A,FALSE,"P &amp; L"}</definedName>
    <definedName name="wrn1.elaborate_1_3" localSheetId="26" hidden="1">{#N/A,#N/A,FALSE,"Cash Flows";#N/A,#N/A,FALSE,"Fixed Assets";#N/A,#N/A,FALSE,"Balance Sheet";#N/A,#N/A,FALSE,"P &amp; L"}</definedName>
    <definedName name="wrn1.elaborate_1_3" localSheetId="0" hidden="1">{#N/A,#N/A,FALSE,"Cash Flows";#N/A,#N/A,FALSE,"Fixed Assets";#N/A,#N/A,FALSE,"Balance Sheet";#N/A,#N/A,FALSE,"P &amp; L"}</definedName>
    <definedName name="wrn1.elaborate_1_3" hidden="1">{#N/A,#N/A,FALSE,"Cash Flows";#N/A,#N/A,FALSE,"Fixed Assets";#N/A,#N/A,FALSE,"Balance Sheet";#N/A,#N/A,FALSE,"P &amp; L"}</definedName>
    <definedName name="wrn1.elaborate_2" localSheetId="26" hidden="1">{#N/A,#N/A,FALSE,"Cash Flows";#N/A,#N/A,FALSE,"Fixed Assets";#N/A,#N/A,FALSE,"Balance Sheet";#N/A,#N/A,FALSE,"P &amp; L"}</definedName>
    <definedName name="wrn1.elaborate_2" localSheetId="0" hidden="1">{#N/A,#N/A,FALSE,"Cash Flows";#N/A,#N/A,FALSE,"Fixed Assets";#N/A,#N/A,FALSE,"Balance Sheet";#N/A,#N/A,FALSE,"P &amp; L"}</definedName>
    <definedName name="wrn1.elaborate_2" hidden="1">{#N/A,#N/A,FALSE,"Cash Flows";#N/A,#N/A,FALSE,"Fixed Assets";#N/A,#N/A,FALSE,"Balance Sheet";#N/A,#N/A,FALSE,"P &amp; L"}</definedName>
    <definedName name="wrn1.elaborate_2_1" localSheetId="26" hidden="1">{#N/A,#N/A,FALSE,"Cash Flows";#N/A,#N/A,FALSE,"Fixed Assets";#N/A,#N/A,FALSE,"Balance Sheet";#N/A,#N/A,FALSE,"P &amp; L"}</definedName>
    <definedName name="wrn1.elaborate_2_1" localSheetId="0" hidden="1">{#N/A,#N/A,FALSE,"Cash Flows";#N/A,#N/A,FALSE,"Fixed Assets";#N/A,#N/A,FALSE,"Balance Sheet";#N/A,#N/A,FALSE,"P &amp; L"}</definedName>
    <definedName name="wrn1.elaborate_2_1" hidden="1">{#N/A,#N/A,FALSE,"Cash Flows";#N/A,#N/A,FALSE,"Fixed Assets";#N/A,#N/A,FALSE,"Balance Sheet";#N/A,#N/A,FALSE,"P &amp; L"}</definedName>
    <definedName name="wrn1.elaborate_2_2" localSheetId="26" hidden="1">{#N/A,#N/A,FALSE,"Cash Flows";#N/A,#N/A,FALSE,"Fixed Assets";#N/A,#N/A,FALSE,"Balance Sheet";#N/A,#N/A,FALSE,"P &amp; L"}</definedName>
    <definedName name="wrn1.elaborate_2_2" localSheetId="0" hidden="1">{#N/A,#N/A,FALSE,"Cash Flows";#N/A,#N/A,FALSE,"Fixed Assets";#N/A,#N/A,FALSE,"Balance Sheet";#N/A,#N/A,FALSE,"P &amp; L"}</definedName>
    <definedName name="wrn1.elaborate_2_2" hidden="1">{#N/A,#N/A,FALSE,"Cash Flows";#N/A,#N/A,FALSE,"Fixed Assets";#N/A,#N/A,FALSE,"Balance Sheet";#N/A,#N/A,FALSE,"P &amp; L"}</definedName>
    <definedName name="wrn1.elaborate_3" localSheetId="26" hidden="1">{#N/A,#N/A,FALSE,"Cash Flows";#N/A,#N/A,FALSE,"Fixed Assets";#N/A,#N/A,FALSE,"Balance Sheet";#N/A,#N/A,FALSE,"P &amp; L"}</definedName>
    <definedName name="wrn1.elaborate_3" localSheetId="0" hidden="1">{#N/A,#N/A,FALSE,"Cash Flows";#N/A,#N/A,FALSE,"Fixed Assets";#N/A,#N/A,FALSE,"Balance Sheet";#N/A,#N/A,FALSE,"P &amp; L"}</definedName>
    <definedName name="wrn1.elaborate_3" hidden="1">{#N/A,#N/A,FALSE,"Cash Flows";#N/A,#N/A,FALSE,"Fixed Assets";#N/A,#N/A,FALSE,"Balance Sheet";#N/A,#N/A,FALSE,"P &amp; L"}</definedName>
    <definedName name="wrn1.elaborate_4" localSheetId="26" hidden="1">{#N/A,#N/A,FALSE,"Cash Flows";#N/A,#N/A,FALSE,"Fixed Assets";#N/A,#N/A,FALSE,"Balance Sheet";#N/A,#N/A,FALSE,"P &amp; L"}</definedName>
    <definedName name="wrn1.elaborate_4" localSheetId="0" hidden="1">{#N/A,#N/A,FALSE,"Cash Flows";#N/A,#N/A,FALSE,"Fixed Assets";#N/A,#N/A,FALSE,"Balance Sheet";#N/A,#N/A,FALSE,"P &amp; L"}</definedName>
    <definedName name="wrn1.elaborate_4" hidden="1">{#N/A,#N/A,FALSE,"Cash Flows";#N/A,#N/A,FALSE,"Fixed Assets";#N/A,#N/A,FALSE,"Balance Sheet";#N/A,#N/A,FALSE,"P &amp; L"}</definedName>
    <definedName name="wrn1.elaborate_5" localSheetId="26" hidden="1">{#N/A,#N/A,FALSE,"Cash Flows";#N/A,#N/A,FALSE,"Fixed Assets";#N/A,#N/A,FALSE,"Balance Sheet";#N/A,#N/A,FALSE,"P &amp; L"}</definedName>
    <definedName name="wrn1.elaborate_5" localSheetId="0" hidden="1">{#N/A,#N/A,FALSE,"Cash Flows";#N/A,#N/A,FALSE,"Fixed Assets";#N/A,#N/A,FALSE,"Balance Sheet";#N/A,#N/A,FALSE,"P &amp; L"}</definedName>
    <definedName name="wrn1.elaborate_5" hidden="1">{#N/A,#N/A,FALSE,"Cash Flows";#N/A,#N/A,FALSE,"Fixed Assets";#N/A,#N/A,FALSE,"Balance Sheet";#N/A,#N/A,FALSE,"P &amp; L"}</definedName>
    <definedName name="wrn10.elaborate" localSheetId="26" hidden="1">{#N/A,#N/A,FALSE,"Cash Flows";#N/A,#N/A,FALSE,"Fixed Assets";#N/A,#N/A,FALSE,"Balance Sheet";#N/A,#N/A,FALSE,"P &amp; L"}</definedName>
    <definedName name="wrn10.elaborate" localSheetId="21" hidden="1">{#N/A,#N/A,FALSE,"Cash Flows";#N/A,#N/A,FALSE,"Fixed Assets";#N/A,#N/A,FALSE,"Balance Sheet";#N/A,#N/A,FALSE,"P &amp; L"}</definedName>
    <definedName name="wrn10.elaborate" localSheetId="3" hidden="1">{#N/A,#N/A,FALSE,"Cash Flows";#N/A,#N/A,FALSE,"Fixed Assets";#N/A,#N/A,FALSE,"Balance Sheet";#N/A,#N/A,FALSE,"P &amp; L"}</definedName>
    <definedName name="wrn10.elaborate" localSheetId="27" hidden="1">{#N/A,#N/A,FALSE,"Cash Flows";#N/A,#N/A,FALSE,"Fixed Assets";#N/A,#N/A,FALSE,"Balance Sheet";#N/A,#N/A,FALSE,"P &amp; L"}</definedName>
    <definedName name="wrn10.elaborate" localSheetId="0" hidden="1">{#N/A,#N/A,FALSE,"Cash Flows";#N/A,#N/A,FALSE,"Fixed Assets";#N/A,#N/A,FALSE,"Balance Sheet";#N/A,#N/A,FALSE,"P &amp; L"}</definedName>
    <definedName name="wrn10.elaborate" hidden="1">{#N/A,#N/A,FALSE,"Cash Flows";#N/A,#N/A,FALSE,"Fixed Assets";#N/A,#N/A,FALSE,"Balance Sheet";#N/A,#N/A,FALSE,"P &amp; L"}</definedName>
    <definedName name="wrn10.elaborate_1" localSheetId="26" hidden="1">{#N/A,#N/A,FALSE,"Cash Flows";#N/A,#N/A,FALSE,"Fixed Assets";#N/A,#N/A,FALSE,"Balance Sheet";#N/A,#N/A,FALSE,"P &amp; L"}</definedName>
    <definedName name="wrn10.elaborate_1" localSheetId="0" hidden="1">{#N/A,#N/A,FALSE,"Cash Flows";#N/A,#N/A,FALSE,"Fixed Assets";#N/A,#N/A,FALSE,"Balance Sheet";#N/A,#N/A,FALSE,"P &amp; L"}</definedName>
    <definedName name="wrn10.elaborate_1" hidden="1">{#N/A,#N/A,FALSE,"Cash Flows";#N/A,#N/A,FALSE,"Fixed Assets";#N/A,#N/A,FALSE,"Balance Sheet";#N/A,#N/A,FALSE,"P &amp; L"}</definedName>
    <definedName name="wrn10.elaborate_1_1" localSheetId="26" hidden="1">{#N/A,#N/A,FALSE,"Cash Flows";#N/A,#N/A,FALSE,"Fixed Assets";#N/A,#N/A,FALSE,"Balance Sheet";#N/A,#N/A,FALSE,"P &amp; L"}</definedName>
    <definedName name="wrn10.elaborate_1_1" localSheetId="0" hidden="1">{#N/A,#N/A,FALSE,"Cash Flows";#N/A,#N/A,FALSE,"Fixed Assets";#N/A,#N/A,FALSE,"Balance Sheet";#N/A,#N/A,FALSE,"P &amp; L"}</definedName>
    <definedName name="wrn10.elaborate_1_1" hidden="1">{#N/A,#N/A,FALSE,"Cash Flows";#N/A,#N/A,FALSE,"Fixed Assets";#N/A,#N/A,FALSE,"Balance Sheet";#N/A,#N/A,FALSE,"P &amp; L"}</definedName>
    <definedName name="wrn10.elaborate_1_2" localSheetId="26" hidden="1">{#N/A,#N/A,FALSE,"Cash Flows";#N/A,#N/A,FALSE,"Fixed Assets";#N/A,#N/A,FALSE,"Balance Sheet";#N/A,#N/A,FALSE,"P &amp; L"}</definedName>
    <definedName name="wrn10.elaborate_1_2" localSheetId="0" hidden="1">{#N/A,#N/A,FALSE,"Cash Flows";#N/A,#N/A,FALSE,"Fixed Assets";#N/A,#N/A,FALSE,"Balance Sheet";#N/A,#N/A,FALSE,"P &amp; L"}</definedName>
    <definedName name="wrn10.elaborate_1_2" hidden="1">{#N/A,#N/A,FALSE,"Cash Flows";#N/A,#N/A,FALSE,"Fixed Assets";#N/A,#N/A,FALSE,"Balance Sheet";#N/A,#N/A,FALSE,"P &amp; L"}</definedName>
    <definedName name="wrn10.elaborate_1_3" localSheetId="26" hidden="1">{#N/A,#N/A,FALSE,"Cash Flows";#N/A,#N/A,FALSE,"Fixed Assets";#N/A,#N/A,FALSE,"Balance Sheet";#N/A,#N/A,FALSE,"P &amp; L"}</definedName>
    <definedName name="wrn10.elaborate_1_3" localSheetId="0" hidden="1">{#N/A,#N/A,FALSE,"Cash Flows";#N/A,#N/A,FALSE,"Fixed Assets";#N/A,#N/A,FALSE,"Balance Sheet";#N/A,#N/A,FALSE,"P &amp; L"}</definedName>
    <definedName name="wrn10.elaborate_1_3" hidden="1">{#N/A,#N/A,FALSE,"Cash Flows";#N/A,#N/A,FALSE,"Fixed Assets";#N/A,#N/A,FALSE,"Balance Sheet";#N/A,#N/A,FALSE,"P &amp; L"}</definedName>
    <definedName name="wrn10.elaborate_2" localSheetId="26" hidden="1">{#N/A,#N/A,FALSE,"Cash Flows";#N/A,#N/A,FALSE,"Fixed Assets";#N/A,#N/A,FALSE,"Balance Sheet";#N/A,#N/A,FALSE,"P &amp; L"}</definedName>
    <definedName name="wrn10.elaborate_2" localSheetId="0" hidden="1">{#N/A,#N/A,FALSE,"Cash Flows";#N/A,#N/A,FALSE,"Fixed Assets";#N/A,#N/A,FALSE,"Balance Sheet";#N/A,#N/A,FALSE,"P &amp; L"}</definedName>
    <definedName name="wrn10.elaborate_2" hidden="1">{#N/A,#N/A,FALSE,"Cash Flows";#N/A,#N/A,FALSE,"Fixed Assets";#N/A,#N/A,FALSE,"Balance Sheet";#N/A,#N/A,FALSE,"P &amp; L"}</definedName>
    <definedName name="wrn10.elaborate_2_1" localSheetId="26" hidden="1">{#N/A,#N/A,FALSE,"Cash Flows";#N/A,#N/A,FALSE,"Fixed Assets";#N/A,#N/A,FALSE,"Balance Sheet";#N/A,#N/A,FALSE,"P &amp; L"}</definedName>
    <definedName name="wrn10.elaborate_2_1" localSheetId="0" hidden="1">{#N/A,#N/A,FALSE,"Cash Flows";#N/A,#N/A,FALSE,"Fixed Assets";#N/A,#N/A,FALSE,"Balance Sheet";#N/A,#N/A,FALSE,"P &amp; L"}</definedName>
    <definedName name="wrn10.elaborate_2_1" hidden="1">{#N/A,#N/A,FALSE,"Cash Flows";#N/A,#N/A,FALSE,"Fixed Assets";#N/A,#N/A,FALSE,"Balance Sheet";#N/A,#N/A,FALSE,"P &amp; L"}</definedName>
    <definedName name="wrn10.elaborate_2_2" localSheetId="26" hidden="1">{#N/A,#N/A,FALSE,"Cash Flows";#N/A,#N/A,FALSE,"Fixed Assets";#N/A,#N/A,FALSE,"Balance Sheet";#N/A,#N/A,FALSE,"P &amp; L"}</definedName>
    <definedName name="wrn10.elaborate_2_2" localSheetId="0" hidden="1">{#N/A,#N/A,FALSE,"Cash Flows";#N/A,#N/A,FALSE,"Fixed Assets";#N/A,#N/A,FALSE,"Balance Sheet";#N/A,#N/A,FALSE,"P &amp; L"}</definedName>
    <definedName name="wrn10.elaborate_2_2" hidden="1">{#N/A,#N/A,FALSE,"Cash Flows";#N/A,#N/A,FALSE,"Fixed Assets";#N/A,#N/A,FALSE,"Balance Sheet";#N/A,#N/A,FALSE,"P &amp; L"}</definedName>
    <definedName name="wrn10.elaborate_3" localSheetId="26" hidden="1">{#N/A,#N/A,FALSE,"Cash Flows";#N/A,#N/A,FALSE,"Fixed Assets";#N/A,#N/A,FALSE,"Balance Sheet";#N/A,#N/A,FALSE,"P &amp; L"}</definedName>
    <definedName name="wrn10.elaborate_3" localSheetId="0" hidden="1">{#N/A,#N/A,FALSE,"Cash Flows";#N/A,#N/A,FALSE,"Fixed Assets";#N/A,#N/A,FALSE,"Balance Sheet";#N/A,#N/A,FALSE,"P &amp; L"}</definedName>
    <definedName name="wrn10.elaborate_3" hidden="1">{#N/A,#N/A,FALSE,"Cash Flows";#N/A,#N/A,FALSE,"Fixed Assets";#N/A,#N/A,FALSE,"Balance Sheet";#N/A,#N/A,FALSE,"P &amp; L"}</definedName>
    <definedName name="wrn10.elaborate_4" localSheetId="26" hidden="1">{#N/A,#N/A,FALSE,"Cash Flows";#N/A,#N/A,FALSE,"Fixed Assets";#N/A,#N/A,FALSE,"Balance Sheet";#N/A,#N/A,FALSE,"P &amp; L"}</definedName>
    <definedName name="wrn10.elaborate_4" localSheetId="0" hidden="1">{#N/A,#N/A,FALSE,"Cash Flows";#N/A,#N/A,FALSE,"Fixed Assets";#N/A,#N/A,FALSE,"Balance Sheet";#N/A,#N/A,FALSE,"P &amp; L"}</definedName>
    <definedName name="wrn10.elaborate_4" hidden="1">{#N/A,#N/A,FALSE,"Cash Flows";#N/A,#N/A,FALSE,"Fixed Assets";#N/A,#N/A,FALSE,"Balance Sheet";#N/A,#N/A,FALSE,"P &amp; L"}</definedName>
    <definedName name="wrn10.elaborate_5" localSheetId="26" hidden="1">{#N/A,#N/A,FALSE,"Cash Flows";#N/A,#N/A,FALSE,"Fixed Assets";#N/A,#N/A,FALSE,"Balance Sheet";#N/A,#N/A,FALSE,"P &amp; L"}</definedName>
    <definedName name="wrn10.elaborate_5" localSheetId="0" hidden="1">{#N/A,#N/A,FALSE,"Cash Flows";#N/A,#N/A,FALSE,"Fixed Assets";#N/A,#N/A,FALSE,"Balance Sheet";#N/A,#N/A,FALSE,"P &amp; L"}</definedName>
    <definedName name="wrn10.elaborate_5" hidden="1">{#N/A,#N/A,FALSE,"Cash Flows";#N/A,#N/A,FALSE,"Fixed Assets";#N/A,#N/A,FALSE,"Balance Sheet";#N/A,#N/A,FALSE,"P &amp; L"}</definedName>
    <definedName name="wrn2.brief" localSheetId="26" hidden="1">{#N/A,#N/A,TRUE,"Summary";#N/A,#N/A,TRUE,"Balance Sheet";#N/A,#N/A,TRUE,"P &amp; L";#N/A,#N/A,TRUE,"Fixed Assets";#N/A,#N/A,TRUE,"Cash Flows"}</definedName>
    <definedName name="wrn2.brief" localSheetId="21" hidden="1">{#N/A,#N/A,TRUE,"Summary";#N/A,#N/A,TRUE,"Balance Sheet";#N/A,#N/A,TRUE,"P &amp; L";#N/A,#N/A,TRUE,"Fixed Assets";#N/A,#N/A,TRUE,"Cash Flows"}</definedName>
    <definedName name="wrn2.brief" localSheetId="3" hidden="1">{#N/A,#N/A,TRUE,"Summary";#N/A,#N/A,TRUE,"Balance Sheet";#N/A,#N/A,TRUE,"P &amp; L";#N/A,#N/A,TRUE,"Fixed Assets";#N/A,#N/A,TRUE,"Cash Flows"}</definedName>
    <definedName name="wrn2.brief" localSheetId="27" hidden="1">{#N/A,#N/A,TRUE,"Summary";#N/A,#N/A,TRUE,"Balance Sheet";#N/A,#N/A,TRUE,"P &amp; L";#N/A,#N/A,TRUE,"Fixed Assets";#N/A,#N/A,TRUE,"Cash Flows"}</definedName>
    <definedName name="wrn2.brief" localSheetId="0" hidden="1">{#N/A,#N/A,TRUE,"Summary";#N/A,#N/A,TRUE,"Balance Sheet";#N/A,#N/A,TRUE,"P &amp; L";#N/A,#N/A,TRUE,"Fixed Assets";#N/A,#N/A,TRUE,"Cash Flows"}</definedName>
    <definedName name="wrn2.brief" hidden="1">{#N/A,#N/A,TRUE,"Summary";#N/A,#N/A,TRUE,"Balance Sheet";#N/A,#N/A,TRUE,"P &amp; L";#N/A,#N/A,TRUE,"Fixed Assets";#N/A,#N/A,TRUE,"Cash Flows"}</definedName>
    <definedName name="wrn2.brief_1" localSheetId="26" hidden="1">{#N/A,#N/A,TRUE,"Summary";#N/A,#N/A,TRUE,"Balance Sheet";#N/A,#N/A,TRUE,"P &amp; L";#N/A,#N/A,TRUE,"Fixed Assets";#N/A,#N/A,TRUE,"Cash Flows"}</definedName>
    <definedName name="wrn2.brief_1" localSheetId="0" hidden="1">{#N/A,#N/A,TRUE,"Summary";#N/A,#N/A,TRUE,"Balance Sheet";#N/A,#N/A,TRUE,"P &amp; L";#N/A,#N/A,TRUE,"Fixed Assets";#N/A,#N/A,TRUE,"Cash Flows"}</definedName>
    <definedName name="wrn2.brief_1" hidden="1">{#N/A,#N/A,TRUE,"Summary";#N/A,#N/A,TRUE,"Balance Sheet";#N/A,#N/A,TRUE,"P &amp; L";#N/A,#N/A,TRUE,"Fixed Assets";#N/A,#N/A,TRUE,"Cash Flows"}</definedName>
    <definedName name="wrn2.brief_1_1" localSheetId="26" hidden="1">{#N/A,#N/A,TRUE,"Summary";#N/A,#N/A,TRUE,"Balance Sheet";#N/A,#N/A,TRUE,"P &amp; L";#N/A,#N/A,TRUE,"Fixed Assets";#N/A,#N/A,TRUE,"Cash Flows"}</definedName>
    <definedName name="wrn2.brief_1_1" localSheetId="0" hidden="1">{#N/A,#N/A,TRUE,"Summary";#N/A,#N/A,TRUE,"Balance Sheet";#N/A,#N/A,TRUE,"P &amp; L";#N/A,#N/A,TRUE,"Fixed Assets";#N/A,#N/A,TRUE,"Cash Flows"}</definedName>
    <definedName name="wrn2.brief_1_1" hidden="1">{#N/A,#N/A,TRUE,"Summary";#N/A,#N/A,TRUE,"Balance Sheet";#N/A,#N/A,TRUE,"P &amp; L";#N/A,#N/A,TRUE,"Fixed Assets";#N/A,#N/A,TRUE,"Cash Flows"}</definedName>
    <definedName name="wrn2.brief_1_2" localSheetId="26" hidden="1">{#N/A,#N/A,TRUE,"Summary";#N/A,#N/A,TRUE,"Balance Sheet";#N/A,#N/A,TRUE,"P &amp; L";#N/A,#N/A,TRUE,"Fixed Assets";#N/A,#N/A,TRUE,"Cash Flows"}</definedName>
    <definedName name="wrn2.brief_1_2" localSheetId="0" hidden="1">{#N/A,#N/A,TRUE,"Summary";#N/A,#N/A,TRUE,"Balance Sheet";#N/A,#N/A,TRUE,"P &amp; L";#N/A,#N/A,TRUE,"Fixed Assets";#N/A,#N/A,TRUE,"Cash Flows"}</definedName>
    <definedName name="wrn2.brief_1_2" hidden="1">{#N/A,#N/A,TRUE,"Summary";#N/A,#N/A,TRUE,"Balance Sheet";#N/A,#N/A,TRUE,"P &amp; L";#N/A,#N/A,TRUE,"Fixed Assets";#N/A,#N/A,TRUE,"Cash Flows"}</definedName>
    <definedName name="wrn2.brief_1_3" localSheetId="26" hidden="1">{#N/A,#N/A,TRUE,"Summary";#N/A,#N/A,TRUE,"Balance Sheet";#N/A,#N/A,TRUE,"P &amp; L";#N/A,#N/A,TRUE,"Fixed Assets";#N/A,#N/A,TRUE,"Cash Flows"}</definedName>
    <definedName name="wrn2.brief_1_3" localSheetId="0" hidden="1">{#N/A,#N/A,TRUE,"Summary";#N/A,#N/A,TRUE,"Balance Sheet";#N/A,#N/A,TRUE,"P &amp; L";#N/A,#N/A,TRUE,"Fixed Assets";#N/A,#N/A,TRUE,"Cash Flows"}</definedName>
    <definedName name="wrn2.brief_1_3" hidden="1">{#N/A,#N/A,TRUE,"Summary";#N/A,#N/A,TRUE,"Balance Sheet";#N/A,#N/A,TRUE,"P &amp; L";#N/A,#N/A,TRUE,"Fixed Assets";#N/A,#N/A,TRUE,"Cash Flows"}</definedName>
    <definedName name="wrn2.brief_2" localSheetId="26" hidden="1">{#N/A,#N/A,TRUE,"Summary";#N/A,#N/A,TRUE,"Balance Sheet";#N/A,#N/A,TRUE,"P &amp; L";#N/A,#N/A,TRUE,"Fixed Assets";#N/A,#N/A,TRUE,"Cash Flows"}</definedName>
    <definedName name="wrn2.brief_2" localSheetId="0" hidden="1">{#N/A,#N/A,TRUE,"Summary";#N/A,#N/A,TRUE,"Balance Sheet";#N/A,#N/A,TRUE,"P &amp; L";#N/A,#N/A,TRUE,"Fixed Assets";#N/A,#N/A,TRUE,"Cash Flows"}</definedName>
    <definedName name="wrn2.brief_2" hidden="1">{#N/A,#N/A,TRUE,"Summary";#N/A,#N/A,TRUE,"Balance Sheet";#N/A,#N/A,TRUE,"P &amp; L";#N/A,#N/A,TRUE,"Fixed Assets";#N/A,#N/A,TRUE,"Cash Flows"}</definedName>
    <definedName name="wrn2.brief_2_1" localSheetId="26" hidden="1">{#N/A,#N/A,TRUE,"Summary";#N/A,#N/A,TRUE,"Balance Sheet";#N/A,#N/A,TRUE,"P &amp; L";#N/A,#N/A,TRUE,"Fixed Assets";#N/A,#N/A,TRUE,"Cash Flows"}</definedName>
    <definedName name="wrn2.brief_2_1" localSheetId="0" hidden="1">{#N/A,#N/A,TRUE,"Summary";#N/A,#N/A,TRUE,"Balance Sheet";#N/A,#N/A,TRUE,"P &amp; L";#N/A,#N/A,TRUE,"Fixed Assets";#N/A,#N/A,TRUE,"Cash Flows"}</definedName>
    <definedName name="wrn2.brief_2_1" hidden="1">{#N/A,#N/A,TRUE,"Summary";#N/A,#N/A,TRUE,"Balance Sheet";#N/A,#N/A,TRUE,"P &amp; L";#N/A,#N/A,TRUE,"Fixed Assets";#N/A,#N/A,TRUE,"Cash Flows"}</definedName>
    <definedName name="wrn2.brief_2_2" localSheetId="26" hidden="1">{#N/A,#N/A,TRUE,"Summary";#N/A,#N/A,TRUE,"Balance Sheet";#N/A,#N/A,TRUE,"P &amp; L";#N/A,#N/A,TRUE,"Fixed Assets";#N/A,#N/A,TRUE,"Cash Flows"}</definedName>
    <definedName name="wrn2.brief_2_2" localSheetId="0" hidden="1">{#N/A,#N/A,TRUE,"Summary";#N/A,#N/A,TRUE,"Balance Sheet";#N/A,#N/A,TRUE,"P &amp; L";#N/A,#N/A,TRUE,"Fixed Assets";#N/A,#N/A,TRUE,"Cash Flows"}</definedName>
    <definedName name="wrn2.brief_2_2" hidden="1">{#N/A,#N/A,TRUE,"Summary";#N/A,#N/A,TRUE,"Balance Sheet";#N/A,#N/A,TRUE,"P &amp; L";#N/A,#N/A,TRUE,"Fixed Assets";#N/A,#N/A,TRUE,"Cash Flows"}</definedName>
    <definedName name="wrn2.brief_3" localSheetId="26" hidden="1">{#N/A,#N/A,TRUE,"Summary";#N/A,#N/A,TRUE,"Balance Sheet";#N/A,#N/A,TRUE,"P &amp; L";#N/A,#N/A,TRUE,"Fixed Assets";#N/A,#N/A,TRUE,"Cash Flows"}</definedName>
    <definedName name="wrn2.brief_3" localSheetId="0" hidden="1">{#N/A,#N/A,TRUE,"Summary";#N/A,#N/A,TRUE,"Balance Sheet";#N/A,#N/A,TRUE,"P &amp; L";#N/A,#N/A,TRUE,"Fixed Assets";#N/A,#N/A,TRUE,"Cash Flows"}</definedName>
    <definedName name="wrn2.brief_3" hidden="1">{#N/A,#N/A,TRUE,"Summary";#N/A,#N/A,TRUE,"Balance Sheet";#N/A,#N/A,TRUE,"P &amp; L";#N/A,#N/A,TRUE,"Fixed Assets";#N/A,#N/A,TRUE,"Cash Flows"}</definedName>
    <definedName name="wrn2.brief_4" localSheetId="26" hidden="1">{#N/A,#N/A,TRUE,"Summary";#N/A,#N/A,TRUE,"Balance Sheet";#N/A,#N/A,TRUE,"P &amp; L";#N/A,#N/A,TRUE,"Fixed Assets";#N/A,#N/A,TRUE,"Cash Flows"}</definedName>
    <definedName name="wrn2.brief_4" localSheetId="0" hidden="1">{#N/A,#N/A,TRUE,"Summary";#N/A,#N/A,TRUE,"Balance Sheet";#N/A,#N/A,TRUE,"P &amp; L";#N/A,#N/A,TRUE,"Fixed Assets";#N/A,#N/A,TRUE,"Cash Flows"}</definedName>
    <definedName name="wrn2.brief_4" hidden="1">{#N/A,#N/A,TRUE,"Summary";#N/A,#N/A,TRUE,"Balance Sheet";#N/A,#N/A,TRUE,"P &amp; L";#N/A,#N/A,TRUE,"Fixed Assets";#N/A,#N/A,TRUE,"Cash Flows"}</definedName>
    <definedName name="wrn2.brief_5" localSheetId="26" hidden="1">{#N/A,#N/A,TRUE,"Summary";#N/A,#N/A,TRUE,"Balance Sheet";#N/A,#N/A,TRUE,"P &amp; L";#N/A,#N/A,TRUE,"Fixed Assets";#N/A,#N/A,TRUE,"Cash Flows"}</definedName>
    <definedName name="wrn2.brief_5" localSheetId="0" hidden="1">{#N/A,#N/A,TRUE,"Summary";#N/A,#N/A,TRUE,"Balance Sheet";#N/A,#N/A,TRUE,"P &amp; L";#N/A,#N/A,TRUE,"Fixed Assets";#N/A,#N/A,TRUE,"Cash Flows"}</definedName>
    <definedName name="wrn2.brief_5" hidden="1">{#N/A,#N/A,TRUE,"Summary";#N/A,#N/A,TRUE,"Balance Sheet";#N/A,#N/A,TRUE,"P &amp; L";#N/A,#N/A,TRUE,"Fixed Assets";#N/A,#N/A,TRUE,"Cash Flows"}</definedName>
    <definedName name="WRN2_1" localSheetId="26" hidden="1">{#N/A,#N/A,FALSE,"단축1";#N/A,#N/A,FALSE,"단축2";#N/A,#N/A,FALSE,"단축3";#N/A,#N/A,FALSE,"장축";#N/A,#N/A,FALSE,"4WD"}</definedName>
    <definedName name="WRN2_1" localSheetId="0" hidden="1">{#N/A,#N/A,FALSE,"단축1";#N/A,#N/A,FALSE,"단축2";#N/A,#N/A,FALSE,"단축3";#N/A,#N/A,FALSE,"장축";#N/A,#N/A,FALSE,"4WD"}</definedName>
    <definedName name="WRN2_1" hidden="1">{#N/A,#N/A,FALSE,"단축1";#N/A,#N/A,FALSE,"단축2";#N/A,#N/A,FALSE,"단축3";#N/A,#N/A,FALSE,"장축";#N/A,#N/A,FALSE,"4WD"}</definedName>
    <definedName name="WRN2_1_1" localSheetId="26" hidden="1">{#N/A,#N/A,FALSE,"단축1";#N/A,#N/A,FALSE,"단축2";#N/A,#N/A,FALSE,"단축3";#N/A,#N/A,FALSE,"장축";#N/A,#N/A,FALSE,"4WD"}</definedName>
    <definedName name="WRN2_1_1" localSheetId="0" hidden="1">{#N/A,#N/A,FALSE,"단축1";#N/A,#N/A,FALSE,"단축2";#N/A,#N/A,FALSE,"단축3";#N/A,#N/A,FALSE,"장축";#N/A,#N/A,FALSE,"4WD"}</definedName>
    <definedName name="WRN2_1_1" hidden="1">{#N/A,#N/A,FALSE,"단축1";#N/A,#N/A,FALSE,"단축2";#N/A,#N/A,FALSE,"단축3";#N/A,#N/A,FALSE,"장축";#N/A,#N/A,FALSE,"4WD"}</definedName>
    <definedName name="WRN2_1_2" localSheetId="26" hidden="1">{#N/A,#N/A,FALSE,"단축1";#N/A,#N/A,FALSE,"단축2";#N/A,#N/A,FALSE,"단축3";#N/A,#N/A,FALSE,"장축";#N/A,#N/A,FALSE,"4WD"}</definedName>
    <definedName name="WRN2_1_2" localSheetId="0" hidden="1">{#N/A,#N/A,FALSE,"단축1";#N/A,#N/A,FALSE,"단축2";#N/A,#N/A,FALSE,"단축3";#N/A,#N/A,FALSE,"장축";#N/A,#N/A,FALSE,"4WD"}</definedName>
    <definedName name="WRN2_1_2" hidden="1">{#N/A,#N/A,FALSE,"단축1";#N/A,#N/A,FALSE,"단축2";#N/A,#N/A,FALSE,"단축3";#N/A,#N/A,FALSE,"장축";#N/A,#N/A,FALSE,"4WD"}</definedName>
    <definedName name="WRN2_1_3" localSheetId="26" hidden="1">{#N/A,#N/A,FALSE,"단축1";#N/A,#N/A,FALSE,"단축2";#N/A,#N/A,FALSE,"단축3";#N/A,#N/A,FALSE,"장축";#N/A,#N/A,FALSE,"4WD"}</definedName>
    <definedName name="WRN2_1_3" localSheetId="0" hidden="1">{#N/A,#N/A,FALSE,"단축1";#N/A,#N/A,FALSE,"단축2";#N/A,#N/A,FALSE,"단축3";#N/A,#N/A,FALSE,"장축";#N/A,#N/A,FALSE,"4WD"}</definedName>
    <definedName name="WRN2_1_3" hidden="1">{#N/A,#N/A,FALSE,"단축1";#N/A,#N/A,FALSE,"단축2";#N/A,#N/A,FALSE,"단축3";#N/A,#N/A,FALSE,"장축";#N/A,#N/A,FALSE,"4WD"}</definedName>
    <definedName name="WRN2_2" localSheetId="26" hidden="1">{#N/A,#N/A,FALSE,"단축1";#N/A,#N/A,FALSE,"단축2";#N/A,#N/A,FALSE,"단축3";#N/A,#N/A,FALSE,"장축";#N/A,#N/A,FALSE,"4WD"}</definedName>
    <definedName name="WRN2_2" localSheetId="0" hidden="1">{#N/A,#N/A,FALSE,"단축1";#N/A,#N/A,FALSE,"단축2";#N/A,#N/A,FALSE,"단축3";#N/A,#N/A,FALSE,"장축";#N/A,#N/A,FALSE,"4WD"}</definedName>
    <definedName name="WRN2_2" hidden="1">{#N/A,#N/A,FALSE,"단축1";#N/A,#N/A,FALSE,"단축2";#N/A,#N/A,FALSE,"단축3";#N/A,#N/A,FALSE,"장축";#N/A,#N/A,FALSE,"4WD"}</definedName>
    <definedName name="WRN2_2_1" localSheetId="26" hidden="1">{#N/A,#N/A,FALSE,"단축1";#N/A,#N/A,FALSE,"단축2";#N/A,#N/A,FALSE,"단축3";#N/A,#N/A,FALSE,"장축";#N/A,#N/A,FALSE,"4WD"}</definedName>
    <definedName name="WRN2_2_1" localSheetId="0" hidden="1">{#N/A,#N/A,FALSE,"단축1";#N/A,#N/A,FALSE,"단축2";#N/A,#N/A,FALSE,"단축3";#N/A,#N/A,FALSE,"장축";#N/A,#N/A,FALSE,"4WD"}</definedName>
    <definedName name="WRN2_2_1" hidden="1">{#N/A,#N/A,FALSE,"단축1";#N/A,#N/A,FALSE,"단축2";#N/A,#N/A,FALSE,"단축3";#N/A,#N/A,FALSE,"장축";#N/A,#N/A,FALSE,"4WD"}</definedName>
    <definedName name="WRN2_2_2" localSheetId="26" hidden="1">{#N/A,#N/A,FALSE,"단축1";#N/A,#N/A,FALSE,"단축2";#N/A,#N/A,FALSE,"단축3";#N/A,#N/A,FALSE,"장축";#N/A,#N/A,FALSE,"4WD"}</definedName>
    <definedName name="WRN2_2_2" localSheetId="0" hidden="1">{#N/A,#N/A,FALSE,"단축1";#N/A,#N/A,FALSE,"단축2";#N/A,#N/A,FALSE,"단축3";#N/A,#N/A,FALSE,"장축";#N/A,#N/A,FALSE,"4WD"}</definedName>
    <definedName name="WRN2_2_2" hidden="1">{#N/A,#N/A,FALSE,"단축1";#N/A,#N/A,FALSE,"단축2";#N/A,#N/A,FALSE,"단축3";#N/A,#N/A,FALSE,"장축";#N/A,#N/A,FALSE,"4WD"}</definedName>
    <definedName name="WRN2_3" localSheetId="26" hidden="1">{#N/A,#N/A,FALSE,"단축1";#N/A,#N/A,FALSE,"단축2";#N/A,#N/A,FALSE,"단축3";#N/A,#N/A,FALSE,"장축";#N/A,#N/A,FALSE,"4WD"}</definedName>
    <definedName name="WRN2_3" localSheetId="0" hidden="1">{#N/A,#N/A,FALSE,"단축1";#N/A,#N/A,FALSE,"단축2";#N/A,#N/A,FALSE,"단축3";#N/A,#N/A,FALSE,"장축";#N/A,#N/A,FALSE,"4WD"}</definedName>
    <definedName name="WRN2_3" hidden="1">{#N/A,#N/A,FALSE,"단축1";#N/A,#N/A,FALSE,"단축2";#N/A,#N/A,FALSE,"단축3";#N/A,#N/A,FALSE,"장축";#N/A,#N/A,FALSE,"4WD"}</definedName>
    <definedName name="WRN2_4" localSheetId="26" hidden="1">{#N/A,#N/A,FALSE,"단축1";#N/A,#N/A,FALSE,"단축2";#N/A,#N/A,FALSE,"단축3";#N/A,#N/A,FALSE,"장축";#N/A,#N/A,FALSE,"4WD"}</definedName>
    <definedName name="WRN2_4" localSheetId="0" hidden="1">{#N/A,#N/A,FALSE,"단축1";#N/A,#N/A,FALSE,"단축2";#N/A,#N/A,FALSE,"단축3";#N/A,#N/A,FALSE,"장축";#N/A,#N/A,FALSE,"4WD"}</definedName>
    <definedName name="WRN2_4" hidden="1">{#N/A,#N/A,FALSE,"단축1";#N/A,#N/A,FALSE,"단축2";#N/A,#N/A,FALSE,"단축3";#N/A,#N/A,FALSE,"장축";#N/A,#N/A,FALSE,"4WD"}</definedName>
    <definedName name="WRN2_5" localSheetId="26" hidden="1">{#N/A,#N/A,FALSE,"단축1";#N/A,#N/A,FALSE,"단축2";#N/A,#N/A,FALSE,"단축3";#N/A,#N/A,FALSE,"장축";#N/A,#N/A,FALSE,"4WD"}</definedName>
    <definedName name="WRN2_5" localSheetId="0" hidden="1">{#N/A,#N/A,FALSE,"단축1";#N/A,#N/A,FALSE,"단축2";#N/A,#N/A,FALSE,"단축3";#N/A,#N/A,FALSE,"장축";#N/A,#N/A,FALSE,"4WD"}</definedName>
    <definedName name="WRN2_5" hidden="1">{#N/A,#N/A,FALSE,"단축1";#N/A,#N/A,FALSE,"단축2";#N/A,#N/A,FALSE,"단축3";#N/A,#N/A,FALSE,"장축";#N/A,#N/A,FALSE,"4WD"}</definedName>
    <definedName name="wrn3.elaborate" localSheetId="26" hidden="1">{#N/A,#N/A,FALSE,"Cash Flows";#N/A,#N/A,FALSE,"Fixed Assets";#N/A,#N/A,FALSE,"Balance Sheet";#N/A,#N/A,FALSE,"P &amp; L"}</definedName>
    <definedName name="wrn3.elaborate" localSheetId="21" hidden="1">{#N/A,#N/A,FALSE,"Cash Flows";#N/A,#N/A,FALSE,"Fixed Assets";#N/A,#N/A,FALSE,"Balance Sheet";#N/A,#N/A,FALSE,"P &amp; L"}</definedName>
    <definedName name="wrn3.elaborate" localSheetId="3" hidden="1">{#N/A,#N/A,FALSE,"Cash Flows";#N/A,#N/A,FALSE,"Fixed Assets";#N/A,#N/A,FALSE,"Balance Sheet";#N/A,#N/A,FALSE,"P &amp; L"}</definedName>
    <definedName name="wrn3.elaborate" localSheetId="27" hidden="1">{#N/A,#N/A,FALSE,"Cash Flows";#N/A,#N/A,FALSE,"Fixed Assets";#N/A,#N/A,FALSE,"Balance Sheet";#N/A,#N/A,FALSE,"P &amp; L"}</definedName>
    <definedName name="wrn3.elaborate" localSheetId="0" hidden="1">{#N/A,#N/A,FALSE,"Cash Flows";#N/A,#N/A,FALSE,"Fixed Assets";#N/A,#N/A,FALSE,"Balance Sheet";#N/A,#N/A,FALSE,"P &amp; L"}</definedName>
    <definedName name="wrn3.elaborate" hidden="1">{#N/A,#N/A,FALSE,"Cash Flows";#N/A,#N/A,FALSE,"Fixed Assets";#N/A,#N/A,FALSE,"Balance Sheet";#N/A,#N/A,FALSE,"P &amp; L"}</definedName>
    <definedName name="wrn3.elaborate_1" localSheetId="26" hidden="1">{#N/A,#N/A,FALSE,"Cash Flows";#N/A,#N/A,FALSE,"Fixed Assets";#N/A,#N/A,FALSE,"Balance Sheet";#N/A,#N/A,FALSE,"P &amp; L"}</definedName>
    <definedName name="wrn3.elaborate_1" localSheetId="0" hidden="1">{#N/A,#N/A,FALSE,"Cash Flows";#N/A,#N/A,FALSE,"Fixed Assets";#N/A,#N/A,FALSE,"Balance Sheet";#N/A,#N/A,FALSE,"P &amp; L"}</definedName>
    <definedName name="wrn3.elaborate_1" hidden="1">{#N/A,#N/A,FALSE,"Cash Flows";#N/A,#N/A,FALSE,"Fixed Assets";#N/A,#N/A,FALSE,"Balance Sheet";#N/A,#N/A,FALSE,"P &amp; L"}</definedName>
    <definedName name="wrn3.elaborate_1_1" localSheetId="26" hidden="1">{#N/A,#N/A,FALSE,"Cash Flows";#N/A,#N/A,FALSE,"Fixed Assets";#N/A,#N/A,FALSE,"Balance Sheet";#N/A,#N/A,FALSE,"P &amp; L"}</definedName>
    <definedName name="wrn3.elaborate_1_1" localSheetId="0" hidden="1">{#N/A,#N/A,FALSE,"Cash Flows";#N/A,#N/A,FALSE,"Fixed Assets";#N/A,#N/A,FALSE,"Balance Sheet";#N/A,#N/A,FALSE,"P &amp; L"}</definedName>
    <definedName name="wrn3.elaborate_1_1" hidden="1">{#N/A,#N/A,FALSE,"Cash Flows";#N/A,#N/A,FALSE,"Fixed Assets";#N/A,#N/A,FALSE,"Balance Sheet";#N/A,#N/A,FALSE,"P &amp; L"}</definedName>
    <definedName name="wrn3.elaborate_1_2" localSheetId="26" hidden="1">{#N/A,#N/A,FALSE,"Cash Flows";#N/A,#N/A,FALSE,"Fixed Assets";#N/A,#N/A,FALSE,"Balance Sheet";#N/A,#N/A,FALSE,"P &amp; L"}</definedName>
    <definedName name="wrn3.elaborate_1_2" localSheetId="0" hidden="1">{#N/A,#N/A,FALSE,"Cash Flows";#N/A,#N/A,FALSE,"Fixed Assets";#N/A,#N/A,FALSE,"Balance Sheet";#N/A,#N/A,FALSE,"P &amp; L"}</definedName>
    <definedName name="wrn3.elaborate_1_2" hidden="1">{#N/A,#N/A,FALSE,"Cash Flows";#N/A,#N/A,FALSE,"Fixed Assets";#N/A,#N/A,FALSE,"Balance Sheet";#N/A,#N/A,FALSE,"P &amp; L"}</definedName>
    <definedName name="wrn3.elaborate_1_3" localSheetId="26" hidden="1">{#N/A,#N/A,FALSE,"Cash Flows";#N/A,#N/A,FALSE,"Fixed Assets";#N/A,#N/A,FALSE,"Balance Sheet";#N/A,#N/A,FALSE,"P &amp; L"}</definedName>
    <definedName name="wrn3.elaborate_1_3" localSheetId="0" hidden="1">{#N/A,#N/A,FALSE,"Cash Flows";#N/A,#N/A,FALSE,"Fixed Assets";#N/A,#N/A,FALSE,"Balance Sheet";#N/A,#N/A,FALSE,"P &amp; L"}</definedName>
    <definedName name="wrn3.elaborate_1_3" hidden="1">{#N/A,#N/A,FALSE,"Cash Flows";#N/A,#N/A,FALSE,"Fixed Assets";#N/A,#N/A,FALSE,"Balance Sheet";#N/A,#N/A,FALSE,"P &amp; L"}</definedName>
    <definedName name="wrn3.elaborate_2" localSheetId="26" hidden="1">{#N/A,#N/A,FALSE,"Cash Flows";#N/A,#N/A,FALSE,"Fixed Assets";#N/A,#N/A,FALSE,"Balance Sheet";#N/A,#N/A,FALSE,"P &amp; L"}</definedName>
    <definedName name="wrn3.elaborate_2" localSheetId="0" hidden="1">{#N/A,#N/A,FALSE,"Cash Flows";#N/A,#N/A,FALSE,"Fixed Assets";#N/A,#N/A,FALSE,"Balance Sheet";#N/A,#N/A,FALSE,"P &amp; L"}</definedName>
    <definedName name="wrn3.elaborate_2" hidden="1">{#N/A,#N/A,FALSE,"Cash Flows";#N/A,#N/A,FALSE,"Fixed Assets";#N/A,#N/A,FALSE,"Balance Sheet";#N/A,#N/A,FALSE,"P &amp; L"}</definedName>
    <definedName name="wrn3.elaborate_2_1" localSheetId="26" hidden="1">{#N/A,#N/A,FALSE,"Cash Flows";#N/A,#N/A,FALSE,"Fixed Assets";#N/A,#N/A,FALSE,"Balance Sheet";#N/A,#N/A,FALSE,"P &amp; L"}</definedName>
    <definedName name="wrn3.elaborate_2_1" localSheetId="0" hidden="1">{#N/A,#N/A,FALSE,"Cash Flows";#N/A,#N/A,FALSE,"Fixed Assets";#N/A,#N/A,FALSE,"Balance Sheet";#N/A,#N/A,FALSE,"P &amp; L"}</definedName>
    <definedName name="wrn3.elaborate_2_1" hidden="1">{#N/A,#N/A,FALSE,"Cash Flows";#N/A,#N/A,FALSE,"Fixed Assets";#N/A,#N/A,FALSE,"Balance Sheet";#N/A,#N/A,FALSE,"P &amp; L"}</definedName>
    <definedName name="wrn3.elaborate_2_2" localSheetId="26" hidden="1">{#N/A,#N/A,FALSE,"Cash Flows";#N/A,#N/A,FALSE,"Fixed Assets";#N/A,#N/A,FALSE,"Balance Sheet";#N/A,#N/A,FALSE,"P &amp; L"}</definedName>
    <definedName name="wrn3.elaborate_2_2" localSheetId="0" hidden="1">{#N/A,#N/A,FALSE,"Cash Flows";#N/A,#N/A,FALSE,"Fixed Assets";#N/A,#N/A,FALSE,"Balance Sheet";#N/A,#N/A,FALSE,"P &amp; L"}</definedName>
    <definedName name="wrn3.elaborate_2_2" hidden="1">{#N/A,#N/A,FALSE,"Cash Flows";#N/A,#N/A,FALSE,"Fixed Assets";#N/A,#N/A,FALSE,"Balance Sheet";#N/A,#N/A,FALSE,"P &amp; L"}</definedName>
    <definedName name="wrn3.elaborate_3" localSheetId="26" hidden="1">{#N/A,#N/A,FALSE,"Cash Flows";#N/A,#N/A,FALSE,"Fixed Assets";#N/A,#N/A,FALSE,"Balance Sheet";#N/A,#N/A,FALSE,"P &amp; L"}</definedName>
    <definedName name="wrn3.elaborate_3" localSheetId="0" hidden="1">{#N/A,#N/A,FALSE,"Cash Flows";#N/A,#N/A,FALSE,"Fixed Assets";#N/A,#N/A,FALSE,"Balance Sheet";#N/A,#N/A,FALSE,"P &amp; L"}</definedName>
    <definedName name="wrn3.elaborate_3" hidden="1">{#N/A,#N/A,FALSE,"Cash Flows";#N/A,#N/A,FALSE,"Fixed Assets";#N/A,#N/A,FALSE,"Balance Sheet";#N/A,#N/A,FALSE,"P &amp; L"}</definedName>
    <definedName name="wrn3.elaborate_4" localSheetId="26" hidden="1">{#N/A,#N/A,FALSE,"Cash Flows";#N/A,#N/A,FALSE,"Fixed Assets";#N/A,#N/A,FALSE,"Balance Sheet";#N/A,#N/A,FALSE,"P &amp; L"}</definedName>
    <definedName name="wrn3.elaborate_4" localSheetId="0" hidden="1">{#N/A,#N/A,FALSE,"Cash Flows";#N/A,#N/A,FALSE,"Fixed Assets";#N/A,#N/A,FALSE,"Balance Sheet";#N/A,#N/A,FALSE,"P &amp; L"}</definedName>
    <definedName name="wrn3.elaborate_4" hidden="1">{#N/A,#N/A,FALSE,"Cash Flows";#N/A,#N/A,FALSE,"Fixed Assets";#N/A,#N/A,FALSE,"Balance Sheet";#N/A,#N/A,FALSE,"P &amp; L"}</definedName>
    <definedName name="wrn3.elaborate_5" localSheetId="26" hidden="1">{#N/A,#N/A,FALSE,"Cash Flows";#N/A,#N/A,FALSE,"Fixed Assets";#N/A,#N/A,FALSE,"Balance Sheet";#N/A,#N/A,FALSE,"P &amp; L"}</definedName>
    <definedName name="wrn3.elaborate_5" localSheetId="0" hidden="1">{#N/A,#N/A,FALSE,"Cash Flows";#N/A,#N/A,FALSE,"Fixed Assets";#N/A,#N/A,FALSE,"Balance Sheet";#N/A,#N/A,FALSE,"P &amp; L"}</definedName>
    <definedName name="wrn3.elaborate_5" hidden="1">{#N/A,#N/A,FALSE,"Cash Flows";#N/A,#N/A,FALSE,"Fixed Assets";#N/A,#N/A,FALSE,"Balance Sheet";#N/A,#N/A,FALSE,"P &amp; L"}</definedName>
    <definedName name="wrn5.brief" localSheetId="26" hidden="1">{#N/A,#N/A,TRUE,"Summary";#N/A,#N/A,TRUE,"Balance Sheet";#N/A,#N/A,TRUE,"P &amp; L";#N/A,#N/A,TRUE,"Fixed Assets";#N/A,#N/A,TRUE,"Cash Flows"}</definedName>
    <definedName name="wrn5.brief" localSheetId="21" hidden="1">{#N/A,#N/A,TRUE,"Summary";#N/A,#N/A,TRUE,"Balance Sheet";#N/A,#N/A,TRUE,"P &amp; L";#N/A,#N/A,TRUE,"Fixed Assets";#N/A,#N/A,TRUE,"Cash Flows"}</definedName>
    <definedName name="wrn5.brief" localSheetId="3" hidden="1">{#N/A,#N/A,TRUE,"Summary";#N/A,#N/A,TRUE,"Balance Sheet";#N/A,#N/A,TRUE,"P &amp; L";#N/A,#N/A,TRUE,"Fixed Assets";#N/A,#N/A,TRUE,"Cash Flows"}</definedName>
    <definedName name="wrn5.brief" localSheetId="27" hidden="1">{#N/A,#N/A,TRUE,"Summary";#N/A,#N/A,TRUE,"Balance Sheet";#N/A,#N/A,TRUE,"P &amp; L";#N/A,#N/A,TRUE,"Fixed Assets";#N/A,#N/A,TRUE,"Cash Flows"}</definedName>
    <definedName name="wrn5.brief" localSheetId="0" hidden="1">{#N/A,#N/A,TRUE,"Summary";#N/A,#N/A,TRUE,"Balance Sheet";#N/A,#N/A,TRUE,"P &amp; L";#N/A,#N/A,TRUE,"Fixed Assets";#N/A,#N/A,TRUE,"Cash Flows"}</definedName>
    <definedName name="wrn5.brief" hidden="1">{#N/A,#N/A,TRUE,"Summary";#N/A,#N/A,TRUE,"Balance Sheet";#N/A,#N/A,TRUE,"P &amp; L";#N/A,#N/A,TRUE,"Fixed Assets";#N/A,#N/A,TRUE,"Cash Flows"}</definedName>
    <definedName name="wrn5.brief_1" localSheetId="26" hidden="1">{#N/A,#N/A,TRUE,"Summary";#N/A,#N/A,TRUE,"Balance Sheet";#N/A,#N/A,TRUE,"P &amp; L";#N/A,#N/A,TRUE,"Fixed Assets";#N/A,#N/A,TRUE,"Cash Flows"}</definedName>
    <definedName name="wrn5.brief_1" localSheetId="0" hidden="1">{#N/A,#N/A,TRUE,"Summary";#N/A,#N/A,TRUE,"Balance Sheet";#N/A,#N/A,TRUE,"P &amp; L";#N/A,#N/A,TRUE,"Fixed Assets";#N/A,#N/A,TRUE,"Cash Flows"}</definedName>
    <definedName name="wrn5.brief_1" hidden="1">{#N/A,#N/A,TRUE,"Summary";#N/A,#N/A,TRUE,"Balance Sheet";#N/A,#N/A,TRUE,"P &amp; L";#N/A,#N/A,TRUE,"Fixed Assets";#N/A,#N/A,TRUE,"Cash Flows"}</definedName>
    <definedName name="wrn5.brief_1_1" localSheetId="26" hidden="1">{#N/A,#N/A,TRUE,"Summary";#N/A,#N/A,TRUE,"Balance Sheet";#N/A,#N/A,TRUE,"P &amp; L";#N/A,#N/A,TRUE,"Fixed Assets";#N/A,#N/A,TRUE,"Cash Flows"}</definedName>
    <definedName name="wrn5.brief_1_1" localSheetId="0" hidden="1">{#N/A,#N/A,TRUE,"Summary";#N/A,#N/A,TRUE,"Balance Sheet";#N/A,#N/A,TRUE,"P &amp; L";#N/A,#N/A,TRUE,"Fixed Assets";#N/A,#N/A,TRUE,"Cash Flows"}</definedName>
    <definedName name="wrn5.brief_1_1" hidden="1">{#N/A,#N/A,TRUE,"Summary";#N/A,#N/A,TRUE,"Balance Sheet";#N/A,#N/A,TRUE,"P &amp; L";#N/A,#N/A,TRUE,"Fixed Assets";#N/A,#N/A,TRUE,"Cash Flows"}</definedName>
    <definedName name="wrn5.brief_1_2" localSheetId="26" hidden="1">{#N/A,#N/A,TRUE,"Summary";#N/A,#N/A,TRUE,"Balance Sheet";#N/A,#N/A,TRUE,"P &amp; L";#N/A,#N/A,TRUE,"Fixed Assets";#N/A,#N/A,TRUE,"Cash Flows"}</definedName>
    <definedName name="wrn5.brief_1_2" localSheetId="0" hidden="1">{#N/A,#N/A,TRUE,"Summary";#N/A,#N/A,TRUE,"Balance Sheet";#N/A,#N/A,TRUE,"P &amp; L";#N/A,#N/A,TRUE,"Fixed Assets";#N/A,#N/A,TRUE,"Cash Flows"}</definedName>
    <definedName name="wrn5.brief_1_2" hidden="1">{#N/A,#N/A,TRUE,"Summary";#N/A,#N/A,TRUE,"Balance Sheet";#N/A,#N/A,TRUE,"P &amp; L";#N/A,#N/A,TRUE,"Fixed Assets";#N/A,#N/A,TRUE,"Cash Flows"}</definedName>
    <definedName name="wrn5.brief_1_3" localSheetId="26" hidden="1">{#N/A,#N/A,TRUE,"Summary";#N/A,#N/A,TRUE,"Balance Sheet";#N/A,#N/A,TRUE,"P &amp; L";#N/A,#N/A,TRUE,"Fixed Assets";#N/A,#N/A,TRUE,"Cash Flows"}</definedName>
    <definedName name="wrn5.brief_1_3" localSheetId="0" hidden="1">{#N/A,#N/A,TRUE,"Summary";#N/A,#N/A,TRUE,"Balance Sheet";#N/A,#N/A,TRUE,"P &amp; L";#N/A,#N/A,TRUE,"Fixed Assets";#N/A,#N/A,TRUE,"Cash Flows"}</definedName>
    <definedName name="wrn5.brief_1_3" hidden="1">{#N/A,#N/A,TRUE,"Summary";#N/A,#N/A,TRUE,"Balance Sheet";#N/A,#N/A,TRUE,"P &amp; L";#N/A,#N/A,TRUE,"Fixed Assets";#N/A,#N/A,TRUE,"Cash Flows"}</definedName>
    <definedName name="wrn5.brief_2" localSheetId="26" hidden="1">{#N/A,#N/A,TRUE,"Summary";#N/A,#N/A,TRUE,"Balance Sheet";#N/A,#N/A,TRUE,"P &amp; L";#N/A,#N/A,TRUE,"Fixed Assets";#N/A,#N/A,TRUE,"Cash Flows"}</definedName>
    <definedName name="wrn5.brief_2" localSheetId="0" hidden="1">{#N/A,#N/A,TRUE,"Summary";#N/A,#N/A,TRUE,"Balance Sheet";#N/A,#N/A,TRUE,"P &amp; L";#N/A,#N/A,TRUE,"Fixed Assets";#N/A,#N/A,TRUE,"Cash Flows"}</definedName>
    <definedName name="wrn5.brief_2" hidden="1">{#N/A,#N/A,TRUE,"Summary";#N/A,#N/A,TRUE,"Balance Sheet";#N/A,#N/A,TRUE,"P &amp; L";#N/A,#N/A,TRUE,"Fixed Assets";#N/A,#N/A,TRUE,"Cash Flows"}</definedName>
    <definedName name="wrn5.brief_2_1" localSheetId="26" hidden="1">{#N/A,#N/A,TRUE,"Summary";#N/A,#N/A,TRUE,"Balance Sheet";#N/A,#N/A,TRUE,"P &amp; L";#N/A,#N/A,TRUE,"Fixed Assets";#N/A,#N/A,TRUE,"Cash Flows"}</definedName>
    <definedName name="wrn5.brief_2_1" localSheetId="0" hidden="1">{#N/A,#N/A,TRUE,"Summary";#N/A,#N/A,TRUE,"Balance Sheet";#N/A,#N/A,TRUE,"P &amp; L";#N/A,#N/A,TRUE,"Fixed Assets";#N/A,#N/A,TRUE,"Cash Flows"}</definedName>
    <definedName name="wrn5.brief_2_1" hidden="1">{#N/A,#N/A,TRUE,"Summary";#N/A,#N/A,TRUE,"Balance Sheet";#N/A,#N/A,TRUE,"P &amp; L";#N/A,#N/A,TRUE,"Fixed Assets";#N/A,#N/A,TRUE,"Cash Flows"}</definedName>
    <definedName name="wrn5.brief_2_2" localSheetId="26" hidden="1">{#N/A,#N/A,TRUE,"Summary";#N/A,#N/A,TRUE,"Balance Sheet";#N/A,#N/A,TRUE,"P &amp; L";#N/A,#N/A,TRUE,"Fixed Assets";#N/A,#N/A,TRUE,"Cash Flows"}</definedName>
    <definedName name="wrn5.brief_2_2" localSheetId="0" hidden="1">{#N/A,#N/A,TRUE,"Summary";#N/A,#N/A,TRUE,"Balance Sheet";#N/A,#N/A,TRUE,"P &amp; L";#N/A,#N/A,TRUE,"Fixed Assets";#N/A,#N/A,TRUE,"Cash Flows"}</definedName>
    <definedName name="wrn5.brief_2_2" hidden="1">{#N/A,#N/A,TRUE,"Summary";#N/A,#N/A,TRUE,"Balance Sheet";#N/A,#N/A,TRUE,"P &amp; L";#N/A,#N/A,TRUE,"Fixed Assets";#N/A,#N/A,TRUE,"Cash Flows"}</definedName>
    <definedName name="wrn5.brief_3" localSheetId="26" hidden="1">{#N/A,#N/A,TRUE,"Summary";#N/A,#N/A,TRUE,"Balance Sheet";#N/A,#N/A,TRUE,"P &amp; L";#N/A,#N/A,TRUE,"Fixed Assets";#N/A,#N/A,TRUE,"Cash Flows"}</definedName>
    <definedName name="wrn5.brief_3" localSheetId="0" hidden="1">{#N/A,#N/A,TRUE,"Summary";#N/A,#N/A,TRUE,"Balance Sheet";#N/A,#N/A,TRUE,"P &amp; L";#N/A,#N/A,TRUE,"Fixed Assets";#N/A,#N/A,TRUE,"Cash Flows"}</definedName>
    <definedName name="wrn5.brief_3" hidden="1">{#N/A,#N/A,TRUE,"Summary";#N/A,#N/A,TRUE,"Balance Sheet";#N/A,#N/A,TRUE,"P &amp; L";#N/A,#N/A,TRUE,"Fixed Assets";#N/A,#N/A,TRUE,"Cash Flows"}</definedName>
    <definedName name="wrn5.brief_4" localSheetId="26" hidden="1">{#N/A,#N/A,TRUE,"Summary";#N/A,#N/A,TRUE,"Balance Sheet";#N/A,#N/A,TRUE,"P &amp; L";#N/A,#N/A,TRUE,"Fixed Assets";#N/A,#N/A,TRUE,"Cash Flows"}</definedName>
    <definedName name="wrn5.brief_4" localSheetId="0" hidden="1">{#N/A,#N/A,TRUE,"Summary";#N/A,#N/A,TRUE,"Balance Sheet";#N/A,#N/A,TRUE,"P &amp; L";#N/A,#N/A,TRUE,"Fixed Assets";#N/A,#N/A,TRUE,"Cash Flows"}</definedName>
    <definedName name="wrn5.brief_4" hidden="1">{#N/A,#N/A,TRUE,"Summary";#N/A,#N/A,TRUE,"Balance Sheet";#N/A,#N/A,TRUE,"P &amp; L";#N/A,#N/A,TRUE,"Fixed Assets";#N/A,#N/A,TRUE,"Cash Flows"}</definedName>
    <definedName name="wrn5.brief_5" localSheetId="26" hidden="1">{#N/A,#N/A,TRUE,"Summary";#N/A,#N/A,TRUE,"Balance Sheet";#N/A,#N/A,TRUE,"P &amp; L";#N/A,#N/A,TRUE,"Fixed Assets";#N/A,#N/A,TRUE,"Cash Flows"}</definedName>
    <definedName name="wrn5.brief_5" localSheetId="0" hidden="1">{#N/A,#N/A,TRUE,"Summary";#N/A,#N/A,TRUE,"Balance Sheet";#N/A,#N/A,TRUE,"P &amp; L";#N/A,#N/A,TRUE,"Fixed Assets";#N/A,#N/A,TRUE,"Cash Flows"}</definedName>
    <definedName name="wrn5.brief_5" hidden="1">{#N/A,#N/A,TRUE,"Summary";#N/A,#N/A,TRUE,"Balance Sheet";#N/A,#N/A,TRUE,"P &amp; L";#N/A,#N/A,TRUE,"Fixed Assets";#N/A,#N/A,TRUE,"Cash Flows"}</definedName>
    <definedName name="wrn6.elaborate" localSheetId="26" hidden="1">{#N/A,#N/A,FALSE,"Cash Flows";#N/A,#N/A,FALSE,"Fixed Assets";#N/A,#N/A,FALSE,"Balance Sheet";#N/A,#N/A,FALSE,"P &amp; L"}</definedName>
    <definedName name="wrn6.elaborate" localSheetId="21" hidden="1">{#N/A,#N/A,FALSE,"Cash Flows";#N/A,#N/A,FALSE,"Fixed Assets";#N/A,#N/A,FALSE,"Balance Sheet";#N/A,#N/A,FALSE,"P &amp; L"}</definedName>
    <definedName name="wrn6.elaborate" localSheetId="3" hidden="1">{#N/A,#N/A,FALSE,"Cash Flows";#N/A,#N/A,FALSE,"Fixed Assets";#N/A,#N/A,FALSE,"Balance Sheet";#N/A,#N/A,FALSE,"P &amp; L"}</definedName>
    <definedName name="wrn6.elaborate" localSheetId="27" hidden="1">{#N/A,#N/A,FALSE,"Cash Flows";#N/A,#N/A,FALSE,"Fixed Assets";#N/A,#N/A,FALSE,"Balance Sheet";#N/A,#N/A,FALSE,"P &amp; L"}</definedName>
    <definedName name="wrn6.elaborate" localSheetId="0" hidden="1">{#N/A,#N/A,FALSE,"Cash Flows";#N/A,#N/A,FALSE,"Fixed Assets";#N/A,#N/A,FALSE,"Balance Sheet";#N/A,#N/A,FALSE,"P &amp; L"}</definedName>
    <definedName name="wrn6.elaborate" hidden="1">{#N/A,#N/A,FALSE,"Cash Flows";#N/A,#N/A,FALSE,"Fixed Assets";#N/A,#N/A,FALSE,"Balance Sheet";#N/A,#N/A,FALSE,"P &amp; L"}</definedName>
    <definedName name="wrn6.elaborate_1" localSheetId="26" hidden="1">{#N/A,#N/A,FALSE,"Cash Flows";#N/A,#N/A,FALSE,"Fixed Assets";#N/A,#N/A,FALSE,"Balance Sheet";#N/A,#N/A,FALSE,"P &amp; L"}</definedName>
    <definedName name="wrn6.elaborate_1" localSheetId="0" hidden="1">{#N/A,#N/A,FALSE,"Cash Flows";#N/A,#N/A,FALSE,"Fixed Assets";#N/A,#N/A,FALSE,"Balance Sheet";#N/A,#N/A,FALSE,"P &amp; L"}</definedName>
    <definedName name="wrn6.elaborate_1" hidden="1">{#N/A,#N/A,FALSE,"Cash Flows";#N/A,#N/A,FALSE,"Fixed Assets";#N/A,#N/A,FALSE,"Balance Sheet";#N/A,#N/A,FALSE,"P &amp; L"}</definedName>
    <definedName name="wrn6.elaborate_1_1" localSheetId="26" hidden="1">{#N/A,#N/A,FALSE,"Cash Flows";#N/A,#N/A,FALSE,"Fixed Assets";#N/A,#N/A,FALSE,"Balance Sheet";#N/A,#N/A,FALSE,"P &amp; L"}</definedName>
    <definedName name="wrn6.elaborate_1_1" localSheetId="0" hidden="1">{#N/A,#N/A,FALSE,"Cash Flows";#N/A,#N/A,FALSE,"Fixed Assets";#N/A,#N/A,FALSE,"Balance Sheet";#N/A,#N/A,FALSE,"P &amp; L"}</definedName>
    <definedName name="wrn6.elaborate_1_1" hidden="1">{#N/A,#N/A,FALSE,"Cash Flows";#N/A,#N/A,FALSE,"Fixed Assets";#N/A,#N/A,FALSE,"Balance Sheet";#N/A,#N/A,FALSE,"P &amp; L"}</definedName>
    <definedName name="wrn6.elaborate_1_2" localSheetId="26" hidden="1">{#N/A,#N/A,FALSE,"Cash Flows";#N/A,#N/A,FALSE,"Fixed Assets";#N/A,#N/A,FALSE,"Balance Sheet";#N/A,#N/A,FALSE,"P &amp; L"}</definedName>
    <definedName name="wrn6.elaborate_1_2" localSheetId="0" hidden="1">{#N/A,#N/A,FALSE,"Cash Flows";#N/A,#N/A,FALSE,"Fixed Assets";#N/A,#N/A,FALSE,"Balance Sheet";#N/A,#N/A,FALSE,"P &amp; L"}</definedName>
    <definedName name="wrn6.elaborate_1_2" hidden="1">{#N/A,#N/A,FALSE,"Cash Flows";#N/A,#N/A,FALSE,"Fixed Assets";#N/A,#N/A,FALSE,"Balance Sheet";#N/A,#N/A,FALSE,"P &amp; L"}</definedName>
    <definedName name="wrn6.elaborate_1_3" localSheetId="26" hidden="1">{#N/A,#N/A,FALSE,"Cash Flows";#N/A,#N/A,FALSE,"Fixed Assets";#N/A,#N/A,FALSE,"Balance Sheet";#N/A,#N/A,FALSE,"P &amp; L"}</definedName>
    <definedName name="wrn6.elaborate_1_3" localSheetId="0" hidden="1">{#N/A,#N/A,FALSE,"Cash Flows";#N/A,#N/A,FALSE,"Fixed Assets";#N/A,#N/A,FALSE,"Balance Sheet";#N/A,#N/A,FALSE,"P &amp; L"}</definedName>
    <definedName name="wrn6.elaborate_1_3" hidden="1">{#N/A,#N/A,FALSE,"Cash Flows";#N/A,#N/A,FALSE,"Fixed Assets";#N/A,#N/A,FALSE,"Balance Sheet";#N/A,#N/A,FALSE,"P &amp; L"}</definedName>
    <definedName name="wrn6.elaborate_2" localSheetId="26" hidden="1">{#N/A,#N/A,FALSE,"Cash Flows";#N/A,#N/A,FALSE,"Fixed Assets";#N/A,#N/A,FALSE,"Balance Sheet";#N/A,#N/A,FALSE,"P &amp; L"}</definedName>
    <definedName name="wrn6.elaborate_2" localSheetId="0" hidden="1">{#N/A,#N/A,FALSE,"Cash Flows";#N/A,#N/A,FALSE,"Fixed Assets";#N/A,#N/A,FALSE,"Balance Sheet";#N/A,#N/A,FALSE,"P &amp; L"}</definedName>
    <definedName name="wrn6.elaborate_2" hidden="1">{#N/A,#N/A,FALSE,"Cash Flows";#N/A,#N/A,FALSE,"Fixed Assets";#N/A,#N/A,FALSE,"Balance Sheet";#N/A,#N/A,FALSE,"P &amp; L"}</definedName>
    <definedName name="wrn6.elaborate_2_1" localSheetId="26" hidden="1">{#N/A,#N/A,FALSE,"Cash Flows";#N/A,#N/A,FALSE,"Fixed Assets";#N/A,#N/A,FALSE,"Balance Sheet";#N/A,#N/A,FALSE,"P &amp; L"}</definedName>
    <definedName name="wrn6.elaborate_2_1" localSheetId="0" hidden="1">{#N/A,#N/A,FALSE,"Cash Flows";#N/A,#N/A,FALSE,"Fixed Assets";#N/A,#N/A,FALSE,"Balance Sheet";#N/A,#N/A,FALSE,"P &amp; L"}</definedName>
    <definedName name="wrn6.elaborate_2_1" hidden="1">{#N/A,#N/A,FALSE,"Cash Flows";#N/A,#N/A,FALSE,"Fixed Assets";#N/A,#N/A,FALSE,"Balance Sheet";#N/A,#N/A,FALSE,"P &amp; L"}</definedName>
    <definedName name="wrn6.elaborate_2_2" localSheetId="26" hidden="1">{#N/A,#N/A,FALSE,"Cash Flows";#N/A,#N/A,FALSE,"Fixed Assets";#N/A,#N/A,FALSE,"Balance Sheet";#N/A,#N/A,FALSE,"P &amp; L"}</definedName>
    <definedName name="wrn6.elaborate_2_2" localSheetId="0" hidden="1">{#N/A,#N/A,FALSE,"Cash Flows";#N/A,#N/A,FALSE,"Fixed Assets";#N/A,#N/A,FALSE,"Balance Sheet";#N/A,#N/A,FALSE,"P &amp; L"}</definedName>
    <definedName name="wrn6.elaborate_2_2" hidden="1">{#N/A,#N/A,FALSE,"Cash Flows";#N/A,#N/A,FALSE,"Fixed Assets";#N/A,#N/A,FALSE,"Balance Sheet";#N/A,#N/A,FALSE,"P &amp; L"}</definedName>
    <definedName name="wrn6.elaborate_3" localSheetId="26" hidden="1">{#N/A,#N/A,FALSE,"Cash Flows";#N/A,#N/A,FALSE,"Fixed Assets";#N/A,#N/A,FALSE,"Balance Sheet";#N/A,#N/A,FALSE,"P &amp; L"}</definedName>
    <definedName name="wrn6.elaborate_3" localSheetId="0" hidden="1">{#N/A,#N/A,FALSE,"Cash Flows";#N/A,#N/A,FALSE,"Fixed Assets";#N/A,#N/A,FALSE,"Balance Sheet";#N/A,#N/A,FALSE,"P &amp; L"}</definedName>
    <definedName name="wrn6.elaborate_3" hidden="1">{#N/A,#N/A,FALSE,"Cash Flows";#N/A,#N/A,FALSE,"Fixed Assets";#N/A,#N/A,FALSE,"Balance Sheet";#N/A,#N/A,FALSE,"P &amp; L"}</definedName>
    <definedName name="wrn6.elaborate_4" localSheetId="26" hidden="1">{#N/A,#N/A,FALSE,"Cash Flows";#N/A,#N/A,FALSE,"Fixed Assets";#N/A,#N/A,FALSE,"Balance Sheet";#N/A,#N/A,FALSE,"P &amp; L"}</definedName>
    <definedName name="wrn6.elaborate_4" localSheetId="0" hidden="1">{#N/A,#N/A,FALSE,"Cash Flows";#N/A,#N/A,FALSE,"Fixed Assets";#N/A,#N/A,FALSE,"Balance Sheet";#N/A,#N/A,FALSE,"P &amp; L"}</definedName>
    <definedName name="wrn6.elaborate_4" hidden="1">{#N/A,#N/A,FALSE,"Cash Flows";#N/A,#N/A,FALSE,"Fixed Assets";#N/A,#N/A,FALSE,"Balance Sheet";#N/A,#N/A,FALSE,"P &amp; L"}</definedName>
    <definedName name="wrn6.elaborate_5" localSheetId="26" hidden="1">{#N/A,#N/A,FALSE,"Cash Flows";#N/A,#N/A,FALSE,"Fixed Assets";#N/A,#N/A,FALSE,"Balance Sheet";#N/A,#N/A,FALSE,"P &amp; L"}</definedName>
    <definedName name="wrn6.elaborate_5" localSheetId="0" hidden="1">{#N/A,#N/A,FALSE,"Cash Flows";#N/A,#N/A,FALSE,"Fixed Assets";#N/A,#N/A,FALSE,"Balance Sheet";#N/A,#N/A,FALSE,"P &amp; L"}</definedName>
    <definedName name="wrn6.elaborate_5" hidden="1">{#N/A,#N/A,FALSE,"Cash Flows";#N/A,#N/A,FALSE,"Fixed Assets";#N/A,#N/A,FALSE,"Balance Sheet";#N/A,#N/A,FALSE,"P &amp; L"}</definedName>
    <definedName name="wrn7.brief" localSheetId="26" hidden="1">{#N/A,#N/A,TRUE,"Summary";#N/A,#N/A,TRUE,"Balance Sheet";#N/A,#N/A,TRUE,"P &amp; L";#N/A,#N/A,TRUE,"Fixed Assets";#N/A,#N/A,TRUE,"Cash Flows"}</definedName>
    <definedName name="wrn7.brief" localSheetId="21" hidden="1">{#N/A,#N/A,TRUE,"Summary";#N/A,#N/A,TRUE,"Balance Sheet";#N/A,#N/A,TRUE,"P &amp; L";#N/A,#N/A,TRUE,"Fixed Assets";#N/A,#N/A,TRUE,"Cash Flows"}</definedName>
    <definedName name="wrn7.brief" localSheetId="3" hidden="1">{#N/A,#N/A,TRUE,"Summary";#N/A,#N/A,TRUE,"Balance Sheet";#N/A,#N/A,TRUE,"P &amp; L";#N/A,#N/A,TRUE,"Fixed Assets";#N/A,#N/A,TRUE,"Cash Flows"}</definedName>
    <definedName name="wrn7.brief" localSheetId="27" hidden="1">{#N/A,#N/A,TRUE,"Summary";#N/A,#N/A,TRUE,"Balance Sheet";#N/A,#N/A,TRUE,"P &amp; L";#N/A,#N/A,TRUE,"Fixed Assets";#N/A,#N/A,TRUE,"Cash Flows"}</definedName>
    <definedName name="wrn7.brief" localSheetId="0" hidden="1">{#N/A,#N/A,TRUE,"Summary";#N/A,#N/A,TRUE,"Balance Sheet";#N/A,#N/A,TRUE,"P &amp; L";#N/A,#N/A,TRUE,"Fixed Assets";#N/A,#N/A,TRUE,"Cash Flows"}</definedName>
    <definedName name="wrn7.brief" hidden="1">{#N/A,#N/A,TRUE,"Summary";#N/A,#N/A,TRUE,"Balance Sheet";#N/A,#N/A,TRUE,"P &amp; L";#N/A,#N/A,TRUE,"Fixed Assets";#N/A,#N/A,TRUE,"Cash Flows"}</definedName>
    <definedName name="wrn7.brief_1" localSheetId="26" hidden="1">{#N/A,#N/A,TRUE,"Summary";#N/A,#N/A,TRUE,"Balance Sheet";#N/A,#N/A,TRUE,"P &amp; L";#N/A,#N/A,TRUE,"Fixed Assets";#N/A,#N/A,TRUE,"Cash Flows"}</definedName>
    <definedName name="wrn7.brief_1" localSheetId="0" hidden="1">{#N/A,#N/A,TRUE,"Summary";#N/A,#N/A,TRUE,"Balance Sheet";#N/A,#N/A,TRUE,"P &amp; L";#N/A,#N/A,TRUE,"Fixed Assets";#N/A,#N/A,TRUE,"Cash Flows"}</definedName>
    <definedName name="wrn7.brief_1" hidden="1">{#N/A,#N/A,TRUE,"Summary";#N/A,#N/A,TRUE,"Balance Sheet";#N/A,#N/A,TRUE,"P &amp; L";#N/A,#N/A,TRUE,"Fixed Assets";#N/A,#N/A,TRUE,"Cash Flows"}</definedName>
    <definedName name="wrn7.brief_1_1" localSheetId="26" hidden="1">{#N/A,#N/A,TRUE,"Summary";#N/A,#N/A,TRUE,"Balance Sheet";#N/A,#N/A,TRUE,"P &amp; L";#N/A,#N/A,TRUE,"Fixed Assets";#N/A,#N/A,TRUE,"Cash Flows"}</definedName>
    <definedName name="wrn7.brief_1_1" localSheetId="0" hidden="1">{#N/A,#N/A,TRUE,"Summary";#N/A,#N/A,TRUE,"Balance Sheet";#N/A,#N/A,TRUE,"P &amp; L";#N/A,#N/A,TRUE,"Fixed Assets";#N/A,#N/A,TRUE,"Cash Flows"}</definedName>
    <definedName name="wrn7.brief_1_1" hidden="1">{#N/A,#N/A,TRUE,"Summary";#N/A,#N/A,TRUE,"Balance Sheet";#N/A,#N/A,TRUE,"P &amp; L";#N/A,#N/A,TRUE,"Fixed Assets";#N/A,#N/A,TRUE,"Cash Flows"}</definedName>
    <definedName name="wrn7.brief_1_2" localSheetId="26" hidden="1">{#N/A,#N/A,TRUE,"Summary";#N/A,#N/A,TRUE,"Balance Sheet";#N/A,#N/A,TRUE,"P &amp; L";#N/A,#N/A,TRUE,"Fixed Assets";#N/A,#N/A,TRUE,"Cash Flows"}</definedName>
    <definedName name="wrn7.brief_1_2" localSheetId="0" hidden="1">{#N/A,#N/A,TRUE,"Summary";#N/A,#N/A,TRUE,"Balance Sheet";#N/A,#N/A,TRUE,"P &amp; L";#N/A,#N/A,TRUE,"Fixed Assets";#N/A,#N/A,TRUE,"Cash Flows"}</definedName>
    <definedName name="wrn7.brief_1_2" hidden="1">{#N/A,#N/A,TRUE,"Summary";#N/A,#N/A,TRUE,"Balance Sheet";#N/A,#N/A,TRUE,"P &amp; L";#N/A,#N/A,TRUE,"Fixed Assets";#N/A,#N/A,TRUE,"Cash Flows"}</definedName>
    <definedName name="wrn7.brief_1_3" localSheetId="26" hidden="1">{#N/A,#N/A,TRUE,"Summary";#N/A,#N/A,TRUE,"Balance Sheet";#N/A,#N/A,TRUE,"P &amp; L";#N/A,#N/A,TRUE,"Fixed Assets";#N/A,#N/A,TRUE,"Cash Flows"}</definedName>
    <definedName name="wrn7.brief_1_3" localSheetId="0" hidden="1">{#N/A,#N/A,TRUE,"Summary";#N/A,#N/A,TRUE,"Balance Sheet";#N/A,#N/A,TRUE,"P &amp; L";#N/A,#N/A,TRUE,"Fixed Assets";#N/A,#N/A,TRUE,"Cash Flows"}</definedName>
    <definedName name="wrn7.brief_1_3" hidden="1">{#N/A,#N/A,TRUE,"Summary";#N/A,#N/A,TRUE,"Balance Sheet";#N/A,#N/A,TRUE,"P &amp; L";#N/A,#N/A,TRUE,"Fixed Assets";#N/A,#N/A,TRUE,"Cash Flows"}</definedName>
    <definedName name="wrn7.brief_2" localSheetId="26" hidden="1">{#N/A,#N/A,TRUE,"Summary";#N/A,#N/A,TRUE,"Balance Sheet";#N/A,#N/A,TRUE,"P &amp; L";#N/A,#N/A,TRUE,"Fixed Assets";#N/A,#N/A,TRUE,"Cash Flows"}</definedName>
    <definedName name="wrn7.brief_2" localSheetId="0" hidden="1">{#N/A,#N/A,TRUE,"Summary";#N/A,#N/A,TRUE,"Balance Sheet";#N/A,#N/A,TRUE,"P &amp; L";#N/A,#N/A,TRUE,"Fixed Assets";#N/A,#N/A,TRUE,"Cash Flows"}</definedName>
    <definedName name="wrn7.brief_2" hidden="1">{#N/A,#N/A,TRUE,"Summary";#N/A,#N/A,TRUE,"Balance Sheet";#N/A,#N/A,TRUE,"P &amp; L";#N/A,#N/A,TRUE,"Fixed Assets";#N/A,#N/A,TRUE,"Cash Flows"}</definedName>
    <definedName name="wrn7.brief_2_1" localSheetId="26" hidden="1">{#N/A,#N/A,TRUE,"Summary";#N/A,#N/A,TRUE,"Balance Sheet";#N/A,#N/A,TRUE,"P &amp; L";#N/A,#N/A,TRUE,"Fixed Assets";#N/A,#N/A,TRUE,"Cash Flows"}</definedName>
    <definedName name="wrn7.brief_2_1" localSheetId="0" hidden="1">{#N/A,#N/A,TRUE,"Summary";#N/A,#N/A,TRUE,"Balance Sheet";#N/A,#N/A,TRUE,"P &amp; L";#N/A,#N/A,TRUE,"Fixed Assets";#N/A,#N/A,TRUE,"Cash Flows"}</definedName>
    <definedName name="wrn7.brief_2_1" hidden="1">{#N/A,#N/A,TRUE,"Summary";#N/A,#N/A,TRUE,"Balance Sheet";#N/A,#N/A,TRUE,"P &amp; L";#N/A,#N/A,TRUE,"Fixed Assets";#N/A,#N/A,TRUE,"Cash Flows"}</definedName>
    <definedName name="wrn7.brief_2_2" localSheetId="26" hidden="1">{#N/A,#N/A,TRUE,"Summary";#N/A,#N/A,TRUE,"Balance Sheet";#N/A,#N/A,TRUE,"P &amp; L";#N/A,#N/A,TRUE,"Fixed Assets";#N/A,#N/A,TRUE,"Cash Flows"}</definedName>
    <definedName name="wrn7.brief_2_2" localSheetId="0" hidden="1">{#N/A,#N/A,TRUE,"Summary";#N/A,#N/A,TRUE,"Balance Sheet";#N/A,#N/A,TRUE,"P &amp; L";#N/A,#N/A,TRUE,"Fixed Assets";#N/A,#N/A,TRUE,"Cash Flows"}</definedName>
    <definedName name="wrn7.brief_2_2" hidden="1">{#N/A,#N/A,TRUE,"Summary";#N/A,#N/A,TRUE,"Balance Sheet";#N/A,#N/A,TRUE,"P &amp; L";#N/A,#N/A,TRUE,"Fixed Assets";#N/A,#N/A,TRUE,"Cash Flows"}</definedName>
    <definedName name="wrn7.brief_3" localSheetId="26" hidden="1">{#N/A,#N/A,TRUE,"Summary";#N/A,#N/A,TRUE,"Balance Sheet";#N/A,#N/A,TRUE,"P &amp; L";#N/A,#N/A,TRUE,"Fixed Assets";#N/A,#N/A,TRUE,"Cash Flows"}</definedName>
    <definedName name="wrn7.brief_3" localSheetId="0" hidden="1">{#N/A,#N/A,TRUE,"Summary";#N/A,#N/A,TRUE,"Balance Sheet";#N/A,#N/A,TRUE,"P &amp; L";#N/A,#N/A,TRUE,"Fixed Assets";#N/A,#N/A,TRUE,"Cash Flows"}</definedName>
    <definedName name="wrn7.brief_3" hidden="1">{#N/A,#N/A,TRUE,"Summary";#N/A,#N/A,TRUE,"Balance Sheet";#N/A,#N/A,TRUE,"P &amp; L";#N/A,#N/A,TRUE,"Fixed Assets";#N/A,#N/A,TRUE,"Cash Flows"}</definedName>
    <definedName name="wrn7.brief_4" localSheetId="26" hidden="1">{#N/A,#N/A,TRUE,"Summary";#N/A,#N/A,TRUE,"Balance Sheet";#N/A,#N/A,TRUE,"P &amp; L";#N/A,#N/A,TRUE,"Fixed Assets";#N/A,#N/A,TRUE,"Cash Flows"}</definedName>
    <definedName name="wrn7.brief_4" localSheetId="0" hidden="1">{#N/A,#N/A,TRUE,"Summary";#N/A,#N/A,TRUE,"Balance Sheet";#N/A,#N/A,TRUE,"P &amp; L";#N/A,#N/A,TRUE,"Fixed Assets";#N/A,#N/A,TRUE,"Cash Flows"}</definedName>
    <definedName name="wrn7.brief_4" hidden="1">{#N/A,#N/A,TRUE,"Summary";#N/A,#N/A,TRUE,"Balance Sheet";#N/A,#N/A,TRUE,"P &amp; L";#N/A,#N/A,TRUE,"Fixed Assets";#N/A,#N/A,TRUE,"Cash Flows"}</definedName>
    <definedName name="wrn7.brief_5" localSheetId="26" hidden="1">{#N/A,#N/A,TRUE,"Summary";#N/A,#N/A,TRUE,"Balance Sheet";#N/A,#N/A,TRUE,"P &amp; L";#N/A,#N/A,TRUE,"Fixed Assets";#N/A,#N/A,TRUE,"Cash Flows"}</definedName>
    <definedName name="wrn7.brief_5" localSheetId="0" hidden="1">{#N/A,#N/A,TRUE,"Summary";#N/A,#N/A,TRUE,"Balance Sheet";#N/A,#N/A,TRUE,"P &amp; L";#N/A,#N/A,TRUE,"Fixed Assets";#N/A,#N/A,TRUE,"Cash Flows"}</definedName>
    <definedName name="wrn7.brief_5" hidden="1">{#N/A,#N/A,TRUE,"Summary";#N/A,#N/A,TRUE,"Balance Sheet";#N/A,#N/A,TRUE,"P &amp; L";#N/A,#N/A,TRUE,"Fixed Assets";#N/A,#N/A,TRUE,"Cash Flows"}</definedName>
    <definedName name="wrn8.elaborate" localSheetId="26" hidden="1">{#N/A,#N/A,FALSE,"Cash Flows";#N/A,#N/A,FALSE,"Fixed Assets";#N/A,#N/A,FALSE,"Balance Sheet";#N/A,#N/A,FALSE,"P &amp; L"}</definedName>
    <definedName name="wrn8.elaborate" localSheetId="21" hidden="1">{#N/A,#N/A,FALSE,"Cash Flows";#N/A,#N/A,FALSE,"Fixed Assets";#N/A,#N/A,FALSE,"Balance Sheet";#N/A,#N/A,FALSE,"P &amp; L"}</definedName>
    <definedName name="wrn8.elaborate" localSheetId="3" hidden="1">{#N/A,#N/A,FALSE,"Cash Flows";#N/A,#N/A,FALSE,"Fixed Assets";#N/A,#N/A,FALSE,"Balance Sheet";#N/A,#N/A,FALSE,"P &amp; L"}</definedName>
    <definedName name="wrn8.elaborate" localSheetId="27" hidden="1">{#N/A,#N/A,FALSE,"Cash Flows";#N/A,#N/A,FALSE,"Fixed Assets";#N/A,#N/A,FALSE,"Balance Sheet";#N/A,#N/A,FALSE,"P &amp; L"}</definedName>
    <definedName name="wrn8.elaborate" localSheetId="0" hidden="1">{#N/A,#N/A,FALSE,"Cash Flows";#N/A,#N/A,FALSE,"Fixed Assets";#N/A,#N/A,FALSE,"Balance Sheet";#N/A,#N/A,FALSE,"P &amp; L"}</definedName>
    <definedName name="wrn8.elaborate" hidden="1">{#N/A,#N/A,FALSE,"Cash Flows";#N/A,#N/A,FALSE,"Fixed Assets";#N/A,#N/A,FALSE,"Balance Sheet";#N/A,#N/A,FALSE,"P &amp; L"}</definedName>
    <definedName name="wrn8.elaborate_1" localSheetId="26" hidden="1">{#N/A,#N/A,FALSE,"Cash Flows";#N/A,#N/A,FALSE,"Fixed Assets";#N/A,#N/A,FALSE,"Balance Sheet";#N/A,#N/A,FALSE,"P &amp; L"}</definedName>
    <definedName name="wrn8.elaborate_1" localSheetId="0" hidden="1">{#N/A,#N/A,FALSE,"Cash Flows";#N/A,#N/A,FALSE,"Fixed Assets";#N/A,#N/A,FALSE,"Balance Sheet";#N/A,#N/A,FALSE,"P &amp; L"}</definedName>
    <definedName name="wrn8.elaborate_1" hidden="1">{#N/A,#N/A,FALSE,"Cash Flows";#N/A,#N/A,FALSE,"Fixed Assets";#N/A,#N/A,FALSE,"Balance Sheet";#N/A,#N/A,FALSE,"P &amp; L"}</definedName>
    <definedName name="wrn8.elaborate_1_1" localSheetId="26" hidden="1">{#N/A,#N/A,FALSE,"Cash Flows";#N/A,#N/A,FALSE,"Fixed Assets";#N/A,#N/A,FALSE,"Balance Sheet";#N/A,#N/A,FALSE,"P &amp; L"}</definedName>
    <definedName name="wrn8.elaborate_1_1" localSheetId="0" hidden="1">{#N/A,#N/A,FALSE,"Cash Flows";#N/A,#N/A,FALSE,"Fixed Assets";#N/A,#N/A,FALSE,"Balance Sheet";#N/A,#N/A,FALSE,"P &amp; L"}</definedName>
    <definedName name="wrn8.elaborate_1_1" hidden="1">{#N/A,#N/A,FALSE,"Cash Flows";#N/A,#N/A,FALSE,"Fixed Assets";#N/A,#N/A,FALSE,"Balance Sheet";#N/A,#N/A,FALSE,"P &amp; L"}</definedName>
    <definedName name="wrn8.elaborate_1_2" localSheetId="26" hidden="1">{#N/A,#N/A,FALSE,"Cash Flows";#N/A,#N/A,FALSE,"Fixed Assets";#N/A,#N/A,FALSE,"Balance Sheet";#N/A,#N/A,FALSE,"P &amp; L"}</definedName>
    <definedName name="wrn8.elaborate_1_2" localSheetId="0" hidden="1">{#N/A,#N/A,FALSE,"Cash Flows";#N/A,#N/A,FALSE,"Fixed Assets";#N/A,#N/A,FALSE,"Balance Sheet";#N/A,#N/A,FALSE,"P &amp; L"}</definedName>
    <definedName name="wrn8.elaborate_1_2" hidden="1">{#N/A,#N/A,FALSE,"Cash Flows";#N/A,#N/A,FALSE,"Fixed Assets";#N/A,#N/A,FALSE,"Balance Sheet";#N/A,#N/A,FALSE,"P &amp; L"}</definedName>
    <definedName name="wrn8.elaborate_1_3" localSheetId="26" hidden="1">{#N/A,#N/A,FALSE,"Cash Flows";#N/A,#N/A,FALSE,"Fixed Assets";#N/A,#N/A,FALSE,"Balance Sheet";#N/A,#N/A,FALSE,"P &amp; L"}</definedName>
    <definedName name="wrn8.elaborate_1_3" localSheetId="0" hidden="1">{#N/A,#N/A,FALSE,"Cash Flows";#N/A,#N/A,FALSE,"Fixed Assets";#N/A,#N/A,FALSE,"Balance Sheet";#N/A,#N/A,FALSE,"P &amp; L"}</definedName>
    <definedName name="wrn8.elaborate_1_3" hidden="1">{#N/A,#N/A,FALSE,"Cash Flows";#N/A,#N/A,FALSE,"Fixed Assets";#N/A,#N/A,FALSE,"Balance Sheet";#N/A,#N/A,FALSE,"P &amp; L"}</definedName>
    <definedName name="wrn8.elaborate_2" localSheetId="26" hidden="1">{#N/A,#N/A,FALSE,"Cash Flows";#N/A,#N/A,FALSE,"Fixed Assets";#N/A,#N/A,FALSE,"Balance Sheet";#N/A,#N/A,FALSE,"P &amp; L"}</definedName>
    <definedName name="wrn8.elaborate_2" localSheetId="0" hidden="1">{#N/A,#N/A,FALSE,"Cash Flows";#N/A,#N/A,FALSE,"Fixed Assets";#N/A,#N/A,FALSE,"Balance Sheet";#N/A,#N/A,FALSE,"P &amp; L"}</definedName>
    <definedName name="wrn8.elaborate_2" hidden="1">{#N/A,#N/A,FALSE,"Cash Flows";#N/A,#N/A,FALSE,"Fixed Assets";#N/A,#N/A,FALSE,"Balance Sheet";#N/A,#N/A,FALSE,"P &amp; L"}</definedName>
    <definedName name="wrn8.elaborate_2_1" localSheetId="26" hidden="1">{#N/A,#N/A,FALSE,"Cash Flows";#N/A,#N/A,FALSE,"Fixed Assets";#N/A,#N/A,FALSE,"Balance Sheet";#N/A,#N/A,FALSE,"P &amp; L"}</definedName>
    <definedName name="wrn8.elaborate_2_1" localSheetId="0" hidden="1">{#N/A,#N/A,FALSE,"Cash Flows";#N/A,#N/A,FALSE,"Fixed Assets";#N/A,#N/A,FALSE,"Balance Sheet";#N/A,#N/A,FALSE,"P &amp; L"}</definedName>
    <definedName name="wrn8.elaborate_2_1" hidden="1">{#N/A,#N/A,FALSE,"Cash Flows";#N/A,#N/A,FALSE,"Fixed Assets";#N/A,#N/A,FALSE,"Balance Sheet";#N/A,#N/A,FALSE,"P &amp; L"}</definedName>
    <definedName name="wrn8.elaborate_2_2" localSheetId="26" hidden="1">{#N/A,#N/A,FALSE,"Cash Flows";#N/A,#N/A,FALSE,"Fixed Assets";#N/A,#N/A,FALSE,"Balance Sheet";#N/A,#N/A,FALSE,"P &amp; L"}</definedName>
    <definedName name="wrn8.elaborate_2_2" localSheetId="0" hidden="1">{#N/A,#N/A,FALSE,"Cash Flows";#N/A,#N/A,FALSE,"Fixed Assets";#N/A,#N/A,FALSE,"Balance Sheet";#N/A,#N/A,FALSE,"P &amp; L"}</definedName>
    <definedName name="wrn8.elaborate_2_2" hidden="1">{#N/A,#N/A,FALSE,"Cash Flows";#N/A,#N/A,FALSE,"Fixed Assets";#N/A,#N/A,FALSE,"Balance Sheet";#N/A,#N/A,FALSE,"P &amp; L"}</definedName>
    <definedName name="wrn8.elaborate_3" localSheetId="26" hidden="1">{#N/A,#N/A,FALSE,"Cash Flows";#N/A,#N/A,FALSE,"Fixed Assets";#N/A,#N/A,FALSE,"Balance Sheet";#N/A,#N/A,FALSE,"P &amp; L"}</definedName>
    <definedName name="wrn8.elaborate_3" localSheetId="0" hidden="1">{#N/A,#N/A,FALSE,"Cash Flows";#N/A,#N/A,FALSE,"Fixed Assets";#N/A,#N/A,FALSE,"Balance Sheet";#N/A,#N/A,FALSE,"P &amp; L"}</definedName>
    <definedName name="wrn8.elaborate_3" hidden="1">{#N/A,#N/A,FALSE,"Cash Flows";#N/A,#N/A,FALSE,"Fixed Assets";#N/A,#N/A,FALSE,"Balance Sheet";#N/A,#N/A,FALSE,"P &amp; L"}</definedName>
    <definedName name="wrn8.elaborate_4" localSheetId="26" hidden="1">{#N/A,#N/A,FALSE,"Cash Flows";#N/A,#N/A,FALSE,"Fixed Assets";#N/A,#N/A,FALSE,"Balance Sheet";#N/A,#N/A,FALSE,"P &amp; L"}</definedName>
    <definedName name="wrn8.elaborate_4" localSheetId="0" hidden="1">{#N/A,#N/A,FALSE,"Cash Flows";#N/A,#N/A,FALSE,"Fixed Assets";#N/A,#N/A,FALSE,"Balance Sheet";#N/A,#N/A,FALSE,"P &amp; L"}</definedName>
    <definedName name="wrn8.elaborate_4" hidden="1">{#N/A,#N/A,FALSE,"Cash Flows";#N/A,#N/A,FALSE,"Fixed Assets";#N/A,#N/A,FALSE,"Balance Sheet";#N/A,#N/A,FALSE,"P &amp; L"}</definedName>
    <definedName name="wrn8.elaborate_5" localSheetId="26" hidden="1">{#N/A,#N/A,FALSE,"Cash Flows";#N/A,#N/A,FALSE,"Fixed Assets";#N/A,#N/A,FALSE,"Balance Sheet";#N/A,#N/A,FALSE,"P &amp; L"}</definedName>
    <definedName name="wrn8.elaborate_5" localSheetId="0" hidden="1">{#N/A,#N/A,FALSE,"Cash Flows";#N/A,#N/A,FALSE,"Fixed Assets";#N/A,#N/A,FALSE,"Balance Sheet";#N/A,#N/A,FALSE,"P &amp; L"}</definedName>
    <definedName name="wrn8.elaborate_5" hidden="1">{#N/A,#N/A,FALSE,"Cash Flows";#N/A,#N/A,FALSE,"Fixed Assets";#N/A,#N/A,FALSE,"Balance Sheet";#N/A,#N/A,FALSE,"P &amp; L"}</definedName>
    <definedName name="wrn9.brief" localSheetId="26" hidden="1">{#N/A,#N/A,TRUE,"Summary";#N/A,#N/A,TRUE,"Balance Sheet";#N/A,#N/A,TRUE,"P &amp; L";#N/A,#N/A,TRUE,"Fixed Assets";#N/A,#N/A,TRUE,"Cash Flows"}</definedName>
    <definedName name="wrn9.brief" localSheetId="21" hidden="1">{#N/A,#N/A,TRUE,"Summary";#N/A,#N/A,TRUE,"Balance Sheet";#N/A,#N/A,TRUE,"P &amp; L";#N/A,#N/A,TRUE,"Fixed Assets";#N/A,#N/A,TRUE,"Cash Flows"}</definedName>
    <definedName name="wrn9.brief" localSheetId="3" hidden="1">{#N/A,#N/A,TRUE,"Summary";#N/A,#N/A,TRUE,"Balance Sheet";#N/A,#N/A,TRUE,"P &amp; L";#N/A,#N/A,TRUE,"Fixed Assets";#N/A,#N/A,TRUE,"Cash Flows"}</definedName>
    <definedName name="wrn9.brief" localSheetId="27" hidden="1">{#N/A,#N/A,TRUE,"Summary";#N/A,#N/A,TRUE,"Balance Sheet";#N/A,#N/A,TRUE,"P &amp; L";#N/A,#N/A,TRUE,"Fixed Assets";#N/A,#N/A,TRUE,"Cash Flows"}</definedName>
    <definedName name="wrn9.brief" localSheetId="0" hidden="1">{#N/A,#N/A,TRUE,"Summary";#N/A,#N/A,TRUE,"Balance Sheet";#N/A,#N/A,TRUE,"P &amp; L";#N/A,#N/A,TRUE,"Fixed Assets";#N/A,#N/A,TRUE,"Cash Flows"}</definedName>
    <definedName name="wrn9.brief" hidden="1">{#N/A,#N/A,TRUE,"Summary";#N/A,#N/A,TRUE,"Balance Sheet";#N/A,#N/A,TRUE,"P &amp; L";#N/A,#N/A,TRUE,"Fixed Assets";#N/A,#N/A,TRUE,"Cash Flows"}</definedName>
    <definedName name="wrn9.brief_1" localSheetId="26" hidden="1">{#N/A,#N/A,TRUE,"Summary";#N/A,#N/A,TRUE,"Balance Sheet";#N/A,#N/A,TRUE,"P &amp; L";#N/A,#N/A,TRUE,"Fixed Assets";#N/A,#N/A,TRUE,"Cash Flows"}</definedName>
    <definedName name="wrn9.brief_1" localSheetId="0" hidden="1">{#N/A,#N/A,TRUE,"Summary";#N/A,#N/A,TRUE,"Balance Sheet";#N/A,#N/A,TRUE,"P &amp; L";#N/A,#N/A,TRUE,"Fixed Assets";#N/A,#N/A,TRUE,"Cash Flows"}</definedName>
    <definedName name="wrn9.brief_1" hidden="1">{#N/A,#N/A,TRUE,"Summary";#N/A,#N/A,TRUE,"Balance Sheet";#N/A,#N/A,TRUE,"P &amp; L";#N/A,#N/A,TRUE,"Fixed Assets";#N/A,#N/A,TRUE,"Cash Flows"}</definedName>
    <definedName name="wrn9.brief_1_1" localSheetId="26" hidden="1">{#N/A,#N/A,TRUE,"Summary";#N/A,#N/A,TRUE,"Balance Sheet";#N/A,#N/A,TRUE,"P &amp; L";#N/A,#N/A,TRUE,"Fixed Assets";#N/A,#N/A,TRUE,"Cash Flows"}</definedName>
    <definedName name="wrn9.brief_1_1" localSheetId="0" hidden="1">{#N/A,#N/A,TRUE,"Summary";#N/A,#N/A,TRUE,"Balance Sheet";#N/A,#N/A,TRUE,"P &amp; L";#N/A,#N/A,TRUE,"Fixed Assets";#N/A,#N/A,TRUE,"Cash Flows"}</definedName>
    <definedName name="wrn9.brief_1_1" hidden="1">{#N/A,#N/A,TRUE,"Summary";#N/A,#N/A,TRUE,"Balance Sheet";#N/A,#N/A,TRUE,"P &amp; L";#N/A,#N/A,TRUE,"Fixed Assets";#N/A,#N/A,TRUE,"Cash Flows"}</definedName>
    <definedName name="wrn9.brief_1_2" localSheetId="26" hidden="1">{#N/A,#N/A,TRUE,"Summary";#N/A,#N/A,TRUE,"Balance Sheet";#N/A,#N/A,TRUE,"P &amp; L";#N/A,#N/A,TRUE,"Fixed Assets";#N/A,#N/A,TRUE,"Cash Flows"}</definedName>
    <definedName name="wrn9.brief_1_2" localSheetId="0" hidden="1">{#N/A,#N/A,TRUE,"Summary";#N/A,#N/A,TRUE,"Balance Sheet";#N/A,#N/A,TRUE,"P &amp; L";#N/A,#N/A,TRUE,"Fixed Assets";#N/A,#N/A,TRUE,"Cash Flows"}</definedName>
    <definedName name="wrn9.brief_1_2" hidden="1">{#N/A,#N/A,TRUE,"Summary";#N/A,#N/A,TRUE,"Balance Sheet";#N/A,#N/A,TRUE,"P &amp; L";#N/A,#N/A,TRUE,"Fixed Assets";#N/A,#N/A,TRUE,"Cash Flows"}</definedName>
    <definedName name="wrn9.brief_1_3" localSheetId="26" hidden="1">{#N/A,#N/A,TRUE,"Summary";#N/A,#N/A,TRUE,"Balance Sheet";#N/A,#N/A,TRUE,"P &amp; L";#N/A,#N/A,TRUE,"Fixed Assets";#N/A,#N/A,TRUE,"Cash Flows"}</definedName>
    <definedName name="wrn9.brief_1_3" localSheetId="0" hidden="1">{#N/A,#N/A,TRUE,"Summary";#N/A,#N/A,TRUE,"Balance Sheet";#N/A,#N/A,TRUE,"P &amp; L";#N/A,#N/A,TRUE,"Fixed Assets";#N/A,#N/A,TRUE,"Cash Flows"}</definedName>
    <definedName name="wrn9.brief_1_3" hidden="1">{#N/A,#N/A,TRUE,"Summary";#N/A,#N/A,TRUE,"Balance Sheet";#N/A,#N/A,TRUE,"P &amp; L";#N/A,#N/A,TRUE,"Fixed Assets";#N/A,#N/A,TRUE,"Cash Flows"}</definedName>
    <definedName name="wrn9.brief_2" localSheetId="26" hidden="1">{#N/A,#N/A,TRUE,"Summary";#N/A,#N/A,TRUE,"Balance Sheet";#N/A,#N/A,TRUE,"P &amp; L";#N/A,#N/A,TRUE,"Fixed Assets";#N/A,#N/A,TRUE,"Cash Flows"}</definedName>
    <definedName name="wrn9.brief_2" localSheetId="0" hidden="1">{#N/A,#N/A,TRUE,"Summary";#N/A,#N/A,TRUE,"Balance Sheet";#N/A,#N/A,TRUE,"P &amp; L";#N/A,#N/A,TRUE,"Fixed Assets";#N/A,#N/A,TRUE,"Cash Flows"}</definedName>
    <definedName name="wrn9.brief_2" hidden="1">{#N/A,#N/A,TRUE,"Summary";#N/A,#N/A,TRUE,"Balance Sheet";#N/A,#N/A,TRUE,"P &amp; L";#N/A,#N/A,TRUE,"Fixed Assets";#N/A,#N/A,TRUE,"Cash Flows"}</definedName>
    <definedName name="wrn9.brief_2_1" localSheetId="26" hidden="1">{#N/A,#N/A,TRUE,"Summary";#N/A,#N/A,TRUE,"Balance Sheet";#N/A,#N/A,TRUE,"P &amp; L";#N/A,#N/A,TRUE,"Fixed Assets";#N/A,#N/A,TRUE,"Cash Flows"}</definedName>
    <definedName name="wrn9.brief_2_1" localSheetId="0" hidden="1">{#N/A,#N/A,TRUE,"Summary";#N/A,#N/A,TRUE,"Balance Sheet";#N/A,#N/A,TRUE,"P &amp; L";#N/A,#N/A,TRUE,"Fixed Assets";#N/A,#N/A,TRUE,"Cash Flows"}</definedName>
    <definedName name="wrn9.brief_2_1" hidden="1">{#N/A,#N/A,TRUE,"Summary";#N/A,#N/A,TRUE,"Balance Sheet";#N/A,#N/A,TRUE,"P &amp; L";#N/A,#N/A,TRUE,"Fixed Assets";#N/A,#N/A,TRUE,"Cash Flows"}</definedName>
    <definedName name="wrn9.brief_2_2" localSheetId="26" hidden="1">{#N/A,#N/A,TRUE,"Summary";#N/A,#N/A,TRUE,"Balance Sheet";#N/A,#N/A,TRUE,"P &amp; L";#N/A,#N/A,TRUE,"Fixed Assets";#N/A,#N/A,TRUE,"Cash Flows"}</definedName>
    <definedName name="wrn9.brief_2_2" localSheetId="0" hidden="1">{#N/A,#N/A,TRUE,"Summary";#N/A,#N/A,TRUE,"Balance Sheet";#N/A,#N/A,TRUE,"P &amp; L";#N/A,#N/A,TRUE,"Fixed Assets";#N/A,#N/A,TRUE,"Cash Flows"}</definedName>
    <definedName name="wrn9.brief_2_2" hidden="1">{#N/A,#N/A,TRUE,"Summary";#N/A,#N/A,TRUE,"Balance Sheet";#N/A,#N/A,TRUE,"P &amp; L";#N/A,#N/A,TRUE,"Fixed Assets";#N/A,#N/A,TRUE,"Cash Flows"}</definedName>
    <definedName name="wrn9.brief_3" localSheetId="26" hidden="1">{#N/A,#N/A,TRUE,"Summary";#N/A,#N/A,TRUE,"Balance Sheet";#N/A,#N/A,TRUE,"P &amp; L";#N/A,#N/A,TRUE,"Fixed Assets";#N/A,#N/A,TRUE,"Cash Flows"}</definedName>
    <definedName name="wrn9.brief_3" localSheetId="0" hidden="1">{#N/A,#N/A,TRUE,"Summary";#N/A,#N/A,TRUE,"Balance Sheet";#N/A,#N/A,TRUE,"P &amp; L";#N/A,#N/A,TRUE,"Fixed Assets";#N/A,#N/A,TRUE,"Cash Flows"}</definedName>
    <definedName name="wrn9.brief_3" hidden="1">{#N/A,#N/A,TRUE,"Summary";#N/A,#N/A,TRUE,"Balance Sheet";#N/A,#N/A,TRUE,"P &amp; L";#N/A,#N/A,TRUE,"Fixed Assets";#N/A,#N/A,TRUE,"Cash Flows"}</definedName>
    <definedName name="wrn9.brief_4" localSheetId="26" hidden="1">{#N/A,#N/A,TRUE,"Summary";#N/A,#N/A,TRUE,"Balance Sheet";#N/A,#N/A,TRUE,"P &amp; L";#N/A,#N/A,TRUE,"Fixed Assets";#N/A,#N/A,TRUE,"Cash Flows"}</definedName>
    <definedName name="wrn9.brief_4" localSheetId="0" hidden="1">{#N/A,#N/A,TRUE,"Summary";#N/A,#N/A,TRUE,"Balance Sheet";#N/A,#N/A,TRUE,"P &amp; L";#N/A,#N/A,TRUE,"Fixed Assets";#N/A,#N/A,TRUE,"Cash Flows"}</definedName>
    <definedName name="wrn9.brief_4" hidden="1">{#N/A,#N/A,TRUE,"Summary";#N/A,#N/A,TRUE,"Balance Sheet";#N/A,#N/A,TRUE,"P &amp; L";#N/A,#N/A,TRUE,"Fixed Assets";#N/A,#N/A,TRUE,"Cash Flows"}</definedName>
    <definedName name="wrn9.brief_5" localSheetId="26" hidden="1">{#N/A,#N/A,TRUE,"Summary";#N/A,#N/A,TRUE,"Balance Sheet";#N/A,#N/A,TRUE,"P &amp; L";#N/A,#N/A,TRUE,"Fixed Assets";#N/A,#N/A,TRUE,"Cash Flows"}</definedName>
    <definedName name="wrn9.brief_5" localSheetId="0" hidden="1">{#N/A,#N/A,TRUE,"Summary";#N/A,#N/A,TRUE,"Balance Sheet";#N/A,#N/A,TRUE,"P &amp; L";#N/A,#N/A,TRUE,"Fixed Assets";#N/A,#N/A,TRUE,"Cash Flows"}</definedName>
    <definedName name="wrn9.brief_5" hidden="1">{#N/A,#N/A,TRUE,"Summary";#N/A,#N/A,TRUE,"Balance Sheet";#N/A,#N/A,TRUE,"P &amp; L";#N/A,#N/A,TRUE,"Fixed Assets";#N/A,#N/A,TRUE,"Cash Flows"}</definedName>
    <definedName name="WWW" localSheetId="26" hidden="1">{#N/A,#N/A,FALSE,"P.V.C 9월 압출 CAPA";#N/A,#N/A,FALSE,"P.V.C 10월 압출 CAPA ";#N/A,#N/A,FALSE,"P.V.C 11월 압출 CAPA ";#N/A,#N/A,FALSE,"P.V.C 12월 압출 CAPA "}</definedName>
    <definedName name="WWW" localSheetId="0" hidden="1">{#N/A,#N/A,FALSE,"P.V.C 9월 압출 CAPA";#N/A,#N/A,FALSE,"P.V.C 10월 압출 CAPA ";#N/A,#N/A,FALSE,"P.V.C 11월 압출 CAPA ";#N/A,#N/A,FALSE,"P.V.C 12월 압출 CAPA "}</definedName>
    <definedName name="WWW" hidden="1">{#N/A,#N/A,FALSE,"P.V.C 9월 압출 CAPA";#N/A,#N/A,FALSE,"P.V.C 10월 압출 CAPA ";#N/A,#N/A,FALSE,"P.V.C 11월 압출 CAPA ";#N/A,#N/A,FALSE,"P.V.C 12월 압출 CAPA "}</definedName>
    <definedName name="WWW_1" localSheetId="26" hidden="1">{#N/A,#N/A,FALSE,"P.V.C 9월 압출 CAPA";#N/A,#N/A,FALSE,"P.V.C 10월 압출 CAPA ";#N/A,#N/A,FALSE,"P.V.C 11월 압출 CAPA ";#N/A,#N/A,FALSE,"P.V.C 12월 압출 CAPA "}</definedName>
    <definedName name="WWW_1" localSheetId="0" hidden="1">{#N/A,#N/A,FALSE,"P.V.C 9월 압출 CAPA";#N/A,#N/A,FALSE,"P.V.C 10월 압출 CAPA ";#N/A,#N/A,FALSE,"P.V.C 11월 압출 CAPA ";#N/A,#N/A,FALSE,"P.V.C 12월 압출 CAPA "}</definedName>
    <definedName name="WWW_1" hidden="1">{#N/A,#N/A,FALSE,"P.V.C 9월 압출 CAPA";#N/A,#N/A,FALSE,"P.V.C 10월 압출 CAPA ";#N/A,#N/A,FALSE,"P.V.C 11월 압출 CAPA ";#N/A,#N/A,FALSE,"P.V.C 12월 압출 CAPA "}</definedName>
    <definedName name="WWW_1_1" localSheetId="26" hidden="1">{#N/A,#N/A,FALSE,"P.V.C 9월 압출 CAPA";#N/A,#N/A,FALSE,"P.V.C 10월 압출 CAPA ";#N/A,#N/A,FALSE,"P.V.C 11월 압출 CAPA ";#N/A,#N/A,FALSE,"P.V.C 12월 압출 CAPA "}</definedName>
    <definedName name="WWW_1_1" localSheetId="0" hidden="1">{#N/A,#N/A,FALSE,"P.V.C 9월 압출 CAPA";#N/A,#N/A,FALSE,"P.V.C 10월 압출 CAPA ";#N/A,#N/A,FALSE,"P.V.C 11월 압출 CAPA ";#N/A,#N/A,FALSE,"P.V.C 12월 압출 CAPA "}</definedName>
    <definedName name="WWW_1_1" hidden="1">{#N/A,#N/A,FALSE,"P.V.C 9월 압출 CAPA";#N/A,#N/A,FALSE,"P.V.C 10월 압출 CAPA ";#N/A,#N/A,FALSE,"P.V.C 11월 압출 CAPA ";#N/A,#N/A,FALSE,"P.V.C 12월 압출 CAPA "}</definedName>
    <definedName name="WWW_1_2" localSheetId="26" hidden="1">{#N/A,#N/A,FALSE,"P.V.C 9월 압출 CAPA";#N/A,#N/A,FALSE,"P.V.C 10월 압출 CAPA ";#N/A,#N/A,FALSE,"P.V.C 11월 압출 CAPA ";#N/A,#N/A,FALSE,"P.V.C 12월 압출 CAPA "}</definedName>
    <definedName name="WWW_1_2" localSheetId="0" hidden="1">{#N/A,#N/A,FALSE,"P.V.C 9월 압출 CAPA";#N/A,#N/A,FALSE,"P.V.C 10월 압출 CAPA ";#N/A,#N/A,FALSE,"P.V.C 11월 압출 CAPA ";#N/A,#N/A,FALSE,"P.V.C 12월 압출 CAPA "}</definedName>
    <definedName name="WWW_1_2" hidden="1">{#N/A,#N/A,FALSE,"P.V.C 9월 압출 CAPA";#N/A,#N/A,FALSE,"P.V.C 10월 압출 CAPA ";#N/A,#N/A,FALSE,"P.V.C 11월 압출 CAPA ";#N/A,#N/A,FALSE,"P.V.C 12월 압출 CAPA "}</definedName>
    <definedName name="WWW_1_3" localSheetId="26" hidden="1">{#N/A,#N/A,FALSE,"P.V.C 9월 압출 CAPA";#N/A,#N/A,FALSE,"P.V.C 10월 압출 CAPA ";#N/A,#N/A,FALSE,"P.V.C 11월 압출 CAPA ";#N/A,#N/A,FALSE,"P.V.C 12월 압출 CAPA "}</definedName>
    <definedName name="WWW_1_3" localSheetId="0" hidden="1">{#N/A,#N/A,FALSE,"P.V.C 9월 압출 CAPA";#N/A,#N/A,FALSE,"P.V.C 10월 압출 CAPA ";#N/A,#N/A,FALSE,"P.V.C 11월 압출 CAPA ";#N/A,#N/A,FALSE,"P.V.C 12월 압출 CAPA "}</definedName>
    <definedName name="WWW_1_3" hidden="1">{#N/A,#N/A,FALSE,"P.V.C 9월 압출 CAPA";#N/A,#N/A,FALSE,"P.V.C 10월 압출 CAPA ";#N/A,#N/A,FALSE,"P.V.C 11월 압출 CAPA ";#N/A,#N/A,FALSE,"P.V.C 12월 압출 CAPA "}</definedName>
    <definedName name="WWW_2" localSheetId="26" hidden="1">{#N/A,#N/A,FALSE,"P.V.C 9월 압출 CAPA";#N/A,#N/A,FALSE,"P.V.C 10월 압출 CAPA ";#N/A,#N/A,FALSE,"P.V.C 11월 압출 CAPA ";#N/A,#N/A,FALSE,"P.V.C 12월 압출 CAPA "}</definedName>
    <definedName name="WWW_2" localSheetId="0" hidden="1">{#N/A,#N/A,FALSE,"P.V.C 9월 압출 CAPA";#N/A,#N/A,FALSE,"P.V.C 10월 압출 CAPA ";#N/A,#N/A,FALSE,"P.V.C 11월 압출 CAPA ";#N/A,#N/A,FALSE,"P.V.C 12월 압출 CAPA "}</definedName>
    <definedName name="WWW_2" hidden="1">{#N/A,#N/A,FALSE,"P.V.C 9월 압출 CAPA";#N/A,#N/A,FALSE,"P.V.C 10월 압출 CAPA ";#N/A,#N/A,FALSE,"P.V.C 11월 압출 CAPA ";#N/A,#N/A,FALSE,"P.V.C 12월 압출 CAPA "}</definedName>
    <definedName name="WWW_2_1" localSheetId="26" hidden="1">{#N/A,#N/A,FALSE,"P.V.C 9월 압출 CAPA";#N/A,#N/A,FALSE,"P.V.C 10월 압출 CAPA ";#N/A,#N/A,FALSE,"P.V.C 11월 압출 CAPA ";#N/A,#N/A,FALSE,"P.V.C 12월 압출 CAPA "}</definedName>
    <definedName name="WWW_2_1" localSheetId="0" hidden="1">{#N/A,#N/A,FALSE,"P.V.C 9월 압출 CAPA";#N/A,#N/A,FALSE,"P.V.C 10월 압출 CAPA ";#N/A,#N/A,FALSE,"P.V.C 11월 압출 CAPA ";#N/A,#N/A,FALSE,"P.V.C 12월 압출 CAPA "}</definedName>
    <definedName name="WWW_2_1" hidden="1">{#N/A,#N/A,FALSE,"P.V.C 9월 압출 CAPA";#N/A,#N/A,FALSE,"P.V.C 10월 압출 CAPA ";#N/A,#N/A,FALSE,"P.V.C 11월 압출 CAPA ";#N/A,#N/A,FALSE,"P.V.C 12월 압출 CAPA "}</definedName>
    <definedName name="WWW_2_2" localSheetId="26" hidden="1">{#N/A,#N/A,FALSE,"P.V.C 9월 압출 CAPA";#N/A,#N/A,FALSE,"P.V.C 10월 압출 CAPA ";#N/A,#N/A,FALSE,"P.V.C 11월 압출 CAPA ";#N/A,#N/A,FALSE,"P.V.C 12월 압출 CAPA "}</definedName>
    <definedName name="WWW_2_2" localSheetId="0" hidden="1">{#N/A,#N/A,FALSE,"P.V.C 9월 압출 CAPA";#N/A,#N/A,FALSE,"P.V.C 10월 압출 CAPA ";#N/A,#N/A,FALSE,"P.V.C 11월 압출 CAPA ";#N/A,#N/A,FALSE,"P.V.C 12월 압출 CAPA "}</definedName>
    <definedName name="WWW_2_2" hidden="1">{#N/A,#N/A,FALSE,"P.V.C 9월 압출 CAPA";#N/A,#N/A,FALSE,"P.V.C 10월 압출 CAPA ";#N/A,#N/A,FALSE,"P.V.C 11월 압출 CAPA ";#N/A,#N/A,FALSE,"P.V.C 12월 압출 CAPA "}</definedName>
    <definedName name="WWW_3" localSheetId="26" hidden="1">{#N/A,#N/A,FALSE,"P.V.C 9월 압출 CAPA";#N/A,#N/A,FALSE,"P.V.C 10월 압출 CAPA ";#N/A,#N/A,FALSE,"P.V.C 11월 압출 CAPA ";#N/A,#N/A,FALSE,"P.V.C 12월 압출 CAPA "}</definedName>
    <definedName name="WWW_3" localSheetId="0" hidden="1">{#N/A,#N/A,FALSE,"P.V.C 9월 압출 CAPA";#N/A,#N/A,FALSE,"P.V.C 10월 압출 CAPA ";#N/A,#N/A,FALSE,"P.V.C 11월 압출 CAPA ";#N/A,#N/A,FALSE,"P.V.C 12월 압출 CAPA "}</definedName>
    <definedName name="WWW_3" hidden="1">{#N/A,#N/A,FALSE,"P.V.C 9월 압출 CAPA";#N/A,#N/A,FALSE,"P.V.C 10월 압출 CAPA ";#N/A,#N/A,FALSE,"P.V.C 11월 압출 CAPA ";#N/A,#N/A,FALSE,"P.V.C 12월 압출 CAPA "}</definedName>
    <definedName name="WWW_4" localSheetId="26" hidden="1">{#N/A,#N/A,FALSE,"P.V.C 9월 압출 CAPA";#N/A,#N/A,FALSE,"P.V.C 10월 압출 CAPA ";#N/A,#N/A,FALSE,"P.V.C 11월 압출 CAPA ";#N/A,#N/A,FALSE,"P.V.C 12월 압출 CAPA "}</definedName>
    <definedName name="WWW_4" localSheetId="0" hidden="1">{#N/A,#N/A,FALSE,"P.V.C 9월 압출 CAPA";#N/A,#N/A,FALSE,"P.V.C 10월 압출 CAPA ";#N/A,#N/A,FALSE,"P.V.C 11월 압출 CAPA ";#N/A,#N/A,FALSE,"P.V.C 12월 압출 CAPA "}</definedName>
    <definedName name="WWW_4" hidden="1">{#N/A,#N/A,FALSE,"P.V.C 9월 압출 CAPA";#N/A,#N/A,FALSE,"P.V.C 10월 압출 CAPA ";#N/A,#N/A,FALSE,"P.V.C 11월 압출 CAPA ";#N/A,#N/A,FALSE,"P.V.C 12월 압출 CAPA "}</definedName>
    <definedName name="WWW_5" localSheetId="26" hidden="1">{#N/A,#N/A,FALSE,"P.V.C 9월 압출 CAPA";#N/A,#N/A,FALSE,"P.V.C 10월 압출 CAPA ";#N/A,#N/A,FALSE,"P.V.C 11월 압출 CAPA ";#N/A,#N/A,FALSE,"P.V.C 12월 압출 CAPA "}</definedName>
    <definedName name="WWW_5" localSheetId="0" hidden="1">{#N/A,#N/A,FALSE,"P.V.C 9월 압출 CAPA";#N/A,#N/A,FALSE,"P.V.C 10월 압출 CAPA ";#N/A,#N/A,FALSE,"P.V.C 11월 압출 CAPA ";#N/A,#N/A,FALSE,"P.V.C 12월 압출 CAPA "}</definedName>
    <definedName name="WWW_5" hidden="1">{#N/A,#N/A,FALSE,"P.V.C 9월 압출 CAPA";#N/A,#N/A,FALSE,"P.V.C 10월 압출 CAPA ";#N/A,#N/A,FALSE,"P.V.C 11월 압출 CAPA ";#N/A,#N/A,FALSE,"P.V.C 12월 압출 CAPA "}</definedName>
    <definedName name="xcsax" localSheetId="26" hidden="1">{#N/A,#N/A,FALSE,"Cash Flows";#N/A,#N/A,FALSE,"Fixed Assets";#N/A,#N/A,FALSE,"Balance Sheet";#N/A,#N/A,FALSE,"P &amp; L"}</definedName>
    <definedName name="xcsax" localSheetId="0" hidden="1">{#N/A,#N/A,FALSE,"Cash Flows";#N/A,#N/A,FALSE,"Fixed Assets";#N/A,#N/A,FALSE,"Balance Sheet";#N/A,#N/A,FALSE,"P &amp; L"}</definedName>
    <definedName name="xcsax" hidden="1">{#N/A,#N/A,FALSE,"Cash Flows";#N/A,#N/A,FALSE,"Fixed Assets";#N/A,#N/A,FALSE,"Balance Sheet";#N/A,#N/A,FALSE,"P &amp; L"}</definedName>
    <definedName name="xcsax_1" localSheetId="26" hidden="1">{#N/A,#N/A,FALSE,"Cash Flows";#N/A,#N/A,FALSE,"Fixed Assets";#N/A,#N/A,FALSE,"Balance Sheet";#N/A,#N/A,FALSE,"P &amp; L"}</definedName>
    <definedName name="xcsax_1" localSheetId="0" hidden="1">{#N/A,#N/A,FALSE,"Cash Flows";#N/A,#N/A,FALSE,"Fixed Assets";#N/A,#N/A,FALSE,"Balance Sheet";#N/A,#N/A,FALSE,"P &amp; L"}</definedName>
    <definedName name="xcsax_1" hidden="1">{#N/A,#N/A,FALSE,"Cash Flows";#N/A,#N/A,FALSE,"Fixed Assets";#N/A,#N/A,FALSE,"Balance Sheet";#N/A,#N/A,FALSE,"P &amp; L"}</definedName>
    <definedName name="xcsax_1_1" localSheetId="26" hidden="1">{#N/A,#N/A,FALSE,"Cash Flows";#N/A,#N/A,FALSE,"Fixed Assets";#N/A,#N/A,FALSE,"Balance Sheet";#N/A,#N/A,FALSE,"P &amp; L"}</definedName>
    <definedName name="xcsax_1_1" localSheetId="0" hidden="1">{#N/A,#N/A,FALSE,"Cash Flows";#N/A,#N/A,FALSE,"Fixed Assets";#N/A,#N/A,FALSE,"Balance Sheet";#N/A,#N/A,FALSE,"P &amp; L"}</definedName>
    <definedName name="xcsax_1_1" hidden="1">{#N/A,#N/A,FALSE,"Cash Flows";#N/A,#N/A,FALSE,"Fixed Assets";#N/A,#N/A,FALSE,"Balance Sheet";#N/A,#N/A,FALSE,"P &amp; L"}</definedName>
    <definedName name="xcsax_1_2" localSheetId="26" hidden="1">{#N/A,#N/A,FALSE,"Cash Flows";#N/A,#N/A,FALSE,"Fixed Assets";#N/A,#N/A,FALSE,"Balance Sheet";#N/A,#N/A,FALSE,"P &amp; L"}</definedName>
    <definedName name="xcsax_1_2" localSheetId="0" hidden="1">{#N/A,#N/A,FALSE,"Cash Flows";#N/A,#N/A,FALSE,"Fixed Assets";#N/A,#N/A,FALSE,"Balance Sheet";#N/A,#N/A,FALSE,"P &amp; L"}</definedName>
    <definedName name="xcsax_1_2" hidden="1">{#N/A,#N/A,FALSE,"Cash Flows";#N/A,#N/A,FALSE,"Fixed Assets";#N/A,#N/A,FALSE,"Balance Sheet";#N/A,#N/A,FALSE,"P &amp; L"}</definedName>
    <definedName name="xcsax_1_3" localSheetId="26" hidden="1">{#N/A,#N/A,FALSE,"Cash Flows";#N/A,#N/A,FALSE,"Fixed Assets";#N/A,#N/A,FALSE,"Balance Sheet";#N/A,#N/A,FALSE,"P &amp; L"}</definedName>
    <definedName name="xcsax_1_3" localSheetId="0" hidden="1">{#N/A,#N/A,FALSE,"Cash Flows";#N/A,#N/A,FALSE,"Fixed Assets";#N/A,#N/A,FALSE,"Balance Sheet";#N/A,#N/A,FALSE,"P &amp; L"}</definedName>
    <definedName name="xcsax_1_3" hidden="1">{#N/A,#N/A,FALSE,"Cash Flows";#N/A,#N/A,FALSE,"Fixed Assets";#N/A,#N/A,FALSE,"Balance Sheet";#N/A,#N/A,FALSE,"P &amp; L"}</definedName>
    <definedName name="xcsax_2" localSheetId="26" hidden="1">{#N/A,#N/A,FALSE,"Cash Flows";#N/A,#N/A,FALSE,"Fixed Assets";#N/A,#N/A,FALSE,"Balance Sheet";#N/A,#N/A,FALSE,"P &amp; L"}</definedName>
    <definedName name="xcsax_2" localSheetId="0" hidden="1">{#N/A,#N/A,FALSE,"Cash Flows";#N/A,#N/A,FALSE,"Fixed Assets";#N/A,#N/A,FALSE,"Balance Sheet";#N/A,#N/A,FALSE,"P &amp; L"}</definedName>
    <definedName name="xcsax_2" hidden="1">{#N/A,#N/A,FALSE,"Cash Flows";#N/A,#N/A,FALSE,"Fixed Assets";#N/A,#N/A,FALSE,"Balance Sheet";#N/A,#N/A,FALSE,"P &amp; L"}</definedName>
    <definedName name="xcsax_2_1" localSheetId="26" hidden="1">{#N/A,#N/A,FALSE,"Cash Flows";#N/A,#N/A,FALSE,"Fixed Assets";#N/A,#N/A,FALSE,"Balance Sheet";#N/A,#N/A,FALSE,"P &amp; L"}</definedName>
    <definedName name="xcsax_2_1" localSheetId="0" hidden="1">{#N/A,#N/A,FALSE,"Cash Flows";#N/A,#N/A,FALSE,"Fixed Assets";#N/A,#N/A,FALSE,"Balance Sheet";#N/A,#N/A,FALSE,"P &amp; L"}</definedName>
    <definedName name="xcsax_2_1" hidden="1">{#N/A,#N/A,FALSE,"Cash Flows";#N/A,#N/A,FALSE,"Fixed Assets";#N/A,#N/A,FALSE,"Balance Sheet";#N/A,#N/A,FALSE,"P &amp; L"}</definedName>
    <definedName name="xcsax_2_2" localSheetId="26" hidden="1">{#N/A,#N/A,FALSE,"Cash Flows";#N/A,#N/A,FALSE,"Fixed Assets";#N/A,#N/A,FALSE,"Balance Sheet";#N/A,#N/A,FALSE,"P &amp; L"}</definedName>
    <definedName name="xcsax_2_2" localSheetId="0" hidden="1">{#N/A,#N/A,FALSE,"Cash Flows";#N/A,#N/A,FALSE,"Fixed Assets";#N/A,#N/A,FALSE,"Balance Sheet";#N/A,#N/A,FALSE,"P &amp; L"}</definedName>
    <definedName name="xcsax_2_2" hidden="1">{#N/A,#N/A,FALSE,"Cash Flows";#N/A,#N/A,FALSE,"Fixed Assets";#N/A,#N/A,FALSE,"Balance Sheet";#N/A,#N/A,FALSE,"P &amp; L"}</definedName>
    <definedName name="xcsax_3" localSheetId="26" hidden="1">{#N/A,#N/A,FALSE,"Cash Flows";#N/A,#N/A,FALSE,"Fixed Assets";#N/A,#N/A,FALSE,"Balance Sheet";#N/A,#N/A,FALSE,"P &amp; L"}</definedName>
    <definedName name="xcsax_3" localSheetId="0" hidden="1">{#N/A,#N/A,FALSE,"Cash Flows";#N/A,#N/A,FALSE,"Fixed Assets";#N/A,#N/A,FALSE,"Balance Sheet";#N/A,#N/A,FALSE,"P &amp; L"}</definedName>
    <definedName name="xcsax_3" hidden="1">{#N/A,#N/A,FALSE,"Cash Flows";#N/A,#N/A,FALSE,"Fixed Assets";#N/A,#N/A,FALSE,"Balance Sheet";#N/A,#N/A,FALSE,"P &amp; L"}</definedName>
    <definedName name="xcsax_4" localSheetId="26" hidden="1">{#N/A,#N/A,FALSE,"Cash Flows";#N/A,#N/A,FALSE,"Fixed Assets";#N/A,#N/A,FALSE,"Balance Sheet";#N/A,#N/A,FALSE,"P &amp; L"}</definedName>
    <definedName name="xcsax_4" localSheetId="0" hidden="1">{#N/A,#N/A,FALSE,"Cash Flows";#N/A,#N/A,FALSE,"Fixed Assets";#N/A,#N/A,FALSE,"Balance Sheet";#N/A,#N/A,FALSE,"P &amp; L"}</definedName>
    <definedName name="xcsax_4" hidden="1">{#N/A,#N/A,FALSE,"Cash Flows";#N/A,#N/A,FALSE,"Fixed Assets";#N/A,#N/A,FALSE,"Balance Sheet";#N/A,#N/A,FALSE,"P &amp; L"}</definedName>
    <definedName name="xcsax_5" localSheetId="26" hidden="1">{#N/A,#N/A,FALSE,"Cash Flows";#N/A,#N/A,FALSE,"Fixed Assets";#N/A,#N/A,FALSE,"Balance Sheet";#N/A,#N/A,FALSE,"P &amp; L"}</definedName>
    <definedName name="xcsax_5" localSheetId="0" hidden="1">{#N/A,#N/A,FALSE,"Cash Flows";#N/A,#N/A,FALSE,"Fixed Assets";#N/A,#N/A,FALSE,"Balance Sheet";#N/A,#N/A,FALSE,"P &amp; L"}</definedName>
    <definedName name="xcsax_5" hidden="1">{#N/A,#N/A,FALSE,"Cash Flows";#N/A,#N/A,FALSE,"Fixed Assets";#N/A,#N/A,FALSE,"Balance Sheet";#N/A,#N/A,FALSE,"P &amp; L"}</definedName>
    <definedName name="XDS" localSheetId="26" hidden="1">{#N/A,#N/A,FALSE,"을지 (4)";#N/A,#N/A,FALSE,"을지 (5)";#N/A,#N/A,FALSE,"을지 (6)"}</definedName>
    <definedName name="XDS" localSheetId="0" hidden="1">{#N/A,#N/A,FALSE,"을지 (4)";#N/A,#N/A,FALSE,"을지 (5)";#N/A,#N/A,FALSE,"을지 (6)"}</definedName>
    <definedName name="XDS" hidden="1">{#N/A,#N/A,FALSE,"을지 (4)";#N/A,#N/A,FALSE,"을지 (5)";#N/A,#N/A,FALSE,"을지 (6)"}</definedName>
    <definedName name="XDS_1" localSheetId="26" hidden="1">{#N/A,#N/A,FALSE,"을지 (4)";#N/A,#N/A,FALSE,"을지 (5)";#N/A,#N/A,FALSE,"을지 (6)"}</definedName>
    <definedName name="XDS_1" localSheetId="0" hidden="1">{#N/A,#N/A,FALSE,"을지 (4)";#N/A,#N/A,FALSE,"을지 (5)";#N/A,#N/A,FALSE,"을지 (6)"}</definedName>
    <definedName name="XDS_1" hidden="1">{#N/A,#N/A,FALSE,"을지 (4)";#N/A,#N/A,FALSE,"을지 (5)";#N/A,#N/A,FALSE,"을지 (6)"}</definedName>
    <definedName name="XDS_1_1" localSheetId="26" hidden="1">{#N/A,#N/A,FALSE,"을지 (4)";#N/A,#N/A,FALSE,"을지 (5)";#N/A,#N/A,FALSE,"을지 (6)"}</definedName>
    <definedName name="XDS_1_1" localSheetId="0" hidden="1">{#N/A,#N/A,FALSE,"을지 (4)";#N/A,#N/A,FALSE,"을지 (5)";#N/A,#N/A,FALSE,"을지 (6)"}</definedName>
    <definedName name="XDS_1_1" hidden="1">{#N/A,#N/A,FALSE,"을지 (4)";#N/A,#N/A,FALSE,"을지 (5)";#N/A,#N/A,FALSE,"을지 (6)"}</definedName>
    <definedName name="XDS_1_2" localSheetId="26" hidden="1">{#N/A,#N/A,FALSE,"을지 (4)";#N/A,#N/A,FALSE,"을지 (5)";#N/A,#N/A,FALSE,"을지 (6)"}</definedName>
    <definedName name="XDS_1_2" localSheetId="0" hidden="1">{#N/A,#N/A,FALSE,"을지 (4)";#N/A,#N/A,FALSE,"을지 (5)";#N/A,#N/A,FALSE,"을지 (6)"}</definedName>
    <definedName name="XDS_1_2" hidden="1">{#N/A,#N/A,FALSE,"을지 (4)";#N/A,#N/A,FALSE,"을지 (5)";#N/A,#N/A,FALSE,"을지 (6)"}</definedName>
    <definedName name="XDS_1_3" localSheetId="26" hidden="1">{#N/A,#N/A,FALSE,"을지 (4)";#N/A,#N/A,FALSE,"을지 (5)";#N/A,#N/A,FALSE,"을지 (6)"}</definedName>
    <definedName name="XDS_1_3" localSheetId="0" hidden="1">{#N/A,#N/A,FALSE,"을지 (4)";#N/A,#N/A,FALSE,"을지 (5)";#N/A,#N/A,FALSE,"을지 (6)"}</definedName>
    <definedName name="XDS_1_3" hidden="1">{#N/A,#N/A,FALSE,"을지 (4)";#N/A,#N/A,FALSE,"을지 (5)";#N/A,#N/A,FALSE,"을지 (6)"}</definedName>
    <definedName name="XDS_2" localSheetId="26" hidden="1">{#N/A,#N/A,FALSE,"을지 (4)";#N/A,#N/A,FALSE,"을지 (5)";#N/A,#N/A,FALSE,"을지 (6)"}</definedName>
    <definedName name="XDS_2" localSheetId="0" hidden="1">{#N/A,#N/A,FALSE,"을지 (4)";#N/A,#N/A,FALSE,"을지 (5)";#N/A,#N/A,FALSE,"을지 (6)"}</definedName>
    <definedName name="XDS_2" hidden="1">{#N/A,#N/A,FALSE,"을지 (4)";#N/A,#N/A,FALSE,"을지 (5)";#N/A,#N/A,FALSE,"을지 (6)"}</definedName>
    <definedName name="XDS_2_1" localSheetId="26" hidden="1">{#N/A,#N/A,FALSE,"을지 (4)";#N/A,#N/A,FALSE,"을지 (5)";#N/A,#N/A,FALSE,"을지 (6)"}</definedName>
    <definedName name="XDS_2_1" localSheetId="0" hidden="1">{#N/A,#N/A,FALSE,"을지 (4)";#N/A,#N/A,FALSE,"을지 (5)";#N/A,#N/A,FALSE,"을지 (6)"}</definedName>
    <definedName name="XDS_2_1" hidden="1">{#N/A,#N/A,FALSE,"을지 (4)";#N/A,#N/A,FALSE,"을지 (5)";#N/A,#N/A,FALSE,"을지 (6)"}</definedName>
    <definedName name="XDS_2_2" localSheetId="26" hidden="1">{#N/A,#N/A,FALSE,"을지 (4)";#N/A,#N/A,FALSE,"을지 (5)";#N/A,#N/A,FALSE,"을지 (6)"}</definedName>
    <definedName name="XDS_2_2" localSheetId="0" hidden="1">{#N/A,#N/A,FALSE,"을지 (4)";#N/A,#N/A,FALSE,"을지 (5)";#N/A,#N/A,FALSE,"을지 (6)"}</definedName>
    <definedName name="XDS_2_2" hidden="1">{#N/A,#N/A,FALSE,"을지 (4)";#N/A,#N/A,FALSE,"을지 (5)";#N/A,#N/A,FALSE,"을지 (6)"}</definedName>
    <definedName name="XDS_3" localSheetId="26" hidden="1">{#N/A,#N/A,FALSE,"을지 (4)";#N/A,#N/A,FALSE,"을지 (5)";#N/A,#N/A,FALSE,"을지 (6)"}</definedName>
    <definedName name="XDS_3" localSheetId="0" hidden="1">{#N/A,#N/A,FALSE,"을지 (4)";#N/A,#N/A,FALSE,"을지 (5)";#N/A,#N/A,FALSE,"을지 (6)"}</definedName>
    <definedName name="XDS_3" hidden="1">{#N/A,#N/A,FALSE,"을지 (4)";#N/A,#N/A,FALSE,"을지 (5)";#N/A,#N/A,FALSE,"을지 (6)"}</definedName>
    <definedName name="XDS_4" localSheetId="26" hidden="1">{#N/A,#N/A,FALSE,"을지 (4)";#N/A,#N/A,FALSE,"을지 (5)";#N/A,#N/A,FALSE,"을지 (6)"}</definedName>
    <definedName name="XDS_4" localSheetId="0" hidden="1">{#N/A,#N/A,FALSE,"을지 (4)";#N/A,#N/A,FALSE,"을지 (5)";#N/A,#N/A,FALSE,"을지 (6)"}</definedName>
    <definedName name="XDS_4" hidden="1">{#N/A,#N/A,FALSE,"을지 (4)";#N/A,#N/A,FALSE,"을지 (5)";#N/A,#N/A,FALSE,"을지 (6)"}</definedName>
    <definedName name="XDS_5" localSheetId="26" hidden="1">{#N/A,#N/A,FALSE,"을지 (4)";#N/A,#N/A,FALSE,"을지 (5)";#N/A,#N/A,FALSE,"을지 (6)"}</definedName>
    <definedName name="XDS_5" localSheetId="0" hidden="1">{#N/A,#N/A,FALSE,"을지 (4)";#N/A,#N/A,FALSE,"을지 (5)";#N/A,#N/A,FALSE,"을지 (6)"}</definedName>
    <definedName name="XDS_5" hidden="1">{#N/A,#N/A,FALSE,"을지 (4)";#N/A,#N/A,FALSE,"을지 (5)";#N/A,#N/A,FALSE,"을지 (6)"}</definedName>
    <definedName name="XS" localSheetId="26" hidden="1">{#N/A,#N/A,FALSE,"을지 (4)";#N/A,#N/A,FALSE,"을지 (5)";#N/A,#N/A,FALSE,"을지 (6)"}</definedName>
    <definedName name="XS" localSheetId="0" hidden="1">{#N/A,#N/A,FALSE,"을지 (4)";#N/A,#N/A,FALSE,"을지 (5)";#N/A,#N/A,FALSE,"을지 (6)"}</definedName>
    <definedName name="XS" hidden="1">{#N/A,#N/A,FALSE,"을지 (4)";#N/A,#N/A,FALSE,"을지 (5)";#N/A,#N/A,FALSE,"을지 (6)"}</definedName>
    <definedName name="XS_1" localSheetId="26" hidden="1">{#N/A,#N/A,FALSE,"을지 (4)";#N/A,#N/A,FALSE,"을지 (5)";#N/A,#N/A,FALSE,"을지 (6)"}</definedName>
    <definedName name="XS_1" localSheetId="0" hidden="1">{#N/A,#N/A,FALSE,"을지 (4)";#N/A,#N/A,FALSE,"을지 (5)";#N/A,#N/A,FALSE,"을지 (6)"}</definedName>
    <definedName name="XS_1" hidden="1">{#N/A,#N/A,FALSE,"을지 (4)";#N/A,#N/A,FALSE,"을지 (5)";#N/A,#N/A,FALSE,"을지 (6)"}</definedName>
    <definedName name="XS_1_1" localSheetId="26" hidden="1">{#N/A,#N/A,FALSE,"을지 (4)";#N/A,#N/A,FALSE,"을지 (5)";#N/A,#N/A,FALSE,"을지 (6)"}</definedName>
    <definedName name="XS_1_1" localSheetId="0" hidden="1">{#N/A,#N/A,FALSE,"을지 (4)";#N/A,#N/A,FALSE,"을지 (5)";#N/A,#N/A,FALSE,"을지 (6)"}</definedName>
    <definedName name="XS_1_1" hidden="1">{#N/A,#N/A,FALSE,"을지 (4)";#N/A,#N/A,FALSE,"을지 (5)";#N/A,#N/A,FALSE,"을지 (6)"}</definedName>
    <definedName name="XS_1_2" localSheetId="26" hidden="1">{#N/A,#N/A,FALSE,"을지 (4)";#N/A,#N/A,FALSE,"을지 (5)";#N/A,#N/A,FALSE,"을지 (6)"}</definedName>
    <definedName name="XS_1_2" localSheetId="0" hidden="1">{#N/A,#N/A,FALSE,"을지 (4)";#N/A,#N/A,FALSE,"을지 (5)";#N/A,#N/A,FALSE,"을지 (6)"}</definedName>
    <definedName name="XS_1_2" hidden="1">{#N/A,#N/A,FALSE,"을지 (4)";#N/A,#N/A,FALSE,"을지 (5)";#N/A,#N/A,FALSE,"을지 (6)"}</definedName>
    <definedName name="XS_1_3" localSheetId="26" hidden="1">{#N/A,#N/A,FALSE,"을지 (4)";#N/A,#N/A,FALSE,"을지 (5)";#N/A,#N/A,FALSE,"을지 (6)"}</definedName>
    <definedName name="XS_1_3" localSheetId="0" hidden="1">{#N/A,#N/A,FALSE,"을지 (4)";#N/A,#N/A,FALSE,"을지 (5)";#N/A,#N/A,FALSE,"을지 (6)"}</definedName>
    <definedName name="XS_1_3" hidden="1">{#N/A,#N/A,FALSE,"을지 (4)";#N/A,#N/A,FALSE,"을지 (5)";#N/A,#N/A,FALSE,"을지 (6)"}</definedName>
    <definedName name="XS_2" localSheetId="26" hidden="1">{#N/A,#N/A,FALSE,"을지 (4)";#N/A,#N/A,FALSE,"을지 (5)";#N/A,#N/A,FALSE,"을지 (6)"}</definedName>
    <definedName name="XS_2" localSheetId="0" hidden="1">{#N/A,#N/A,FALSE,"을지 (4)";#N/A,#N/A,FALSE,"을지 (5)";#N/A,#N/A,FALSE,"을지 (6)"}</definedName>
    <definedName name="XS_2" hidden="1">{#N/A,#N/A,FALSE,"을지 (4)";#N/A,#N/A,FALSE,"을지 (5)";#N/A,#N/A,FALSE,"을지 (6)"}</definedName>
    <definedName name="XS_2_1" localSheetId="26" hidden="1">{#N/A,#N/A,FALSE,"을지 (4)";#N/A,#N/A,FALSE,"을지 (5)";#N/A,#N/A,FALSE,"을지 (6)"}</definedName>
    <definedName name="XS_2_1" localSheetId="0" hidden="1">{#N/A,#N/A,FALSE,"을지 (4)";#N/A,#N/A,FALSE,"을지 (5)";#N/A,#N/A,FALSE,"을지 (6)"}</definedName>
    <definedName name="XS_2_1" hidden="1">{#N/A,#N/A,FALSE,"을지 (4)";#N/A,#N/A,FALSE,"을지 (5)";#N/A,#N/A,FALSE,"을지 (6)"}</definedName>
    <definedName name="XS_2_2" localSheetId="26" hidden="1">{#N/A,#N/A,FALSE,"을지 (4)";#N/A,#N/A,FALSE,"을지 (5)";#N/A,#N/A,FALSE,"을지 (6)"}</definedName>
    <definedName name="XS_2_2" localSheetId="0" hidden="1">{#N/A,#N/A,FALSE,"을지 (4)";#N/A,#N/A,FALSE,"을지 (5)";#N/A,#N/A,FALSE,"을지 (6)"}</definedName>
    <definedName name="XS_2_2" hidden="1">{#N/A,#N/A,FALSE,"을지 (4)";#N/A,#N/A,FALSE,"을지 (5)";#N/A,#N/A,FALSE,"을지 (6)"}</definedName>
    <definedName name="XS_3" localSheetId="26" hidden="1">{#N/A,#N/A,FALSE,"을지 (4)";#N/A,#N/A,FALSE,"을지 (5)";#N/A,#N/A,FALSE,"을지 (6)"}</definedName>
    <definedName name="XS_3" localSheetId="0" hidden="1">{#N/A,#N/A,FALSE,"을지 (4)";#N/A,#N/A,FALSE,"을지 (5)";#N/A,#N/A,FALSE,"을지 (6)"}</definedName>
    <definedName name="XS_3" hidden="1">{#N/A,#N/A,FALSE,"을지 (4)";#N/A,#N/A,FALSE,"을지 (5)";#N/A,#N/A,FALSE,"을지 (6)"}</definedName>
    <definedName name="XS_4" localSheetId="26" hidden="1">{#N/A,#N/A,FALSE,"을지 (4)";#N/A,#N/A,FALSE,"을지 (5)";#N/A,#N/A,FALSE,"을지 (6)"}</definedName>
    <definedName name="XS_4" localSheetId="0" hidden="1">{#N/A,#N/A,FALSE,"을지 (4)";#N/A,#N/A,FALSE,"을지 (5)";#N/A,#N/A,FALSE,"을지 (6)"}</definedName>
    <definedName name="XS_4" hidden="1">{#N/A,#N/A,FALSE,"을지 (4)";#N/A,#N/A,FALSE,"을지 (5)";#N/A,#N/A,FALSE,"을지 (6)"}</definedName>
    <definedName name="XS_5" localSheetId="26" hidden="1">{#N/A,#N/A,FALSE,"을지 (4)";#N/A,#N/A,FALSE,"을지 (5)";#N/A,#N/A,FALSE,"을지 (6)"}</definedName>
    <definedName name="XS_5" localSheetId="0" hidden="1">{#N/A,#N/A,FALSE,"을지 (4)";#N/A,#N/A,FALSE,"을지 (5)";#N/A,#N/A,FALSE,"을지 (6)"}</definedName>
    <definedName name="XS_5" hidden="1">{#N/A,#N/A,FALSE,"을지 (4)";#N/A,#N/A,FALSE,"을지 (5)";#N/A,#N/A,FALSE,"을지 (6)"}</definedName>
    <definedName name="xx" localSheetId="22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xx" localSheetId="14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xx" localSheetId="29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xx" hidden="1">{#N/A,#N/A,FALSE,"WORDS";#N/A,#N/A,FALSE,"KEY STATISTICS";#N/A,#N/A,FALSE,"VOLUMES";#N/A,#N/A,FALSE,"Performance";#N/A,#N/A,FALSE,"Performance (N-S-E-W)";#N/A,#N/A,FALSE,"performance (Mat &amp; MNG)";#N/A,#N/A,FALSE,"HRLY WAGE";#N/A,#N/A,FALSE,"cash flow";#N/A,#N/A,FALSE,"RONA";#N/A,#N/A,FALSE,"SALES&amp;ebit backup";#N/A,#N/A,FALSE,"1998 vs 1997 AF backup";#N/A,#N/A,FALSE,"Sales &amp; O.P. backup";#N/A,#N/A,FALSE,"EXCHANGE RATE backup";#N/A,#N/A,FALSE,"SUMMARY HEADCOUNTOfficial";#N/A,#N/A,FALSE,"CUSTOMERS backup";#N/A,#N/A,FALSE,"SAles adj"}</definedName>
    <definedName name="XXXXX" localSheetId="26" hidden="1">{#N/A,#N/A,FALSE,"단축1";#N/A,#N/A,FALSE,"단축2";#N/A,#N/A,FALSE,"단축3";#N/A,#N/A,FALSE,"장축";#N/A,#N/A,FALSE,"4WD"}</definedName>
    <definedName name="XXXXX" localSheetId="0" hidden="1">{#N/A,#N/A,FALSE,"단축1";#N/A,#N/A,FALSE,"단축2";#N/A,#N/A,FALSE,"단축3";#N/A,#N/A,FALSE,"장축";#N/A,#N/A,FALSE,"4WD"}</definedName>
    <definedName name="XXXXX" hidden="1">{#N/A,#N/A,FALSE,"단축1";#N/A,#N/A,FALSE,"단축2";#N/A,#N/A,FALSE,"단축3";#N/A,#N/A,FALSE,"장축";#N/A,#N/A,FALSE,"4WD"}</definedName>
    <definedName name="XXXXX_1" localSheetId="26" hidden="1">{#N/A,#N/A,FALSE,"단축1";#N/A,#N/A,FALSE,"단축2";#N/A,#N/A,FALSE,"단축3";#N/A,#N/A,FALSE,"장축";#N/A,#N/A,FALSE,"4WD"}</definedName>
    <definedName name="XXXXX_1" localSheetId="0" hidden="1">{#N/A,#N/A,FALSE,"단축1";#N/A,#N/A,FALSE,"단축2";#N/A,#N/A,FALSE,"단축3";#N/A,#N/A,FALSE,"장축";#N/A,#N/A,FALSE,"4WD"}</definedName>
    <definedName name="XXXXX_1" hidden="1">{#N/A,#N/A,FALSE,"단축1";#N/A,#N/A,FALSE,"단축2";#N/A,#N/A,FALSE,"단축3";#N/A,#N/A,FALSE,"장축";#N/A,#N/A,FALSE,"4WD"}</definedName>
    <definedName name="XXXXX_1_1" localSheetId="26" hidden="1">{#N/A,#N/A,FALSE,"단축1";#N/A,#N/A,FALSE,"단축2";#N/A,#N/A,FALSE,"단축3";#N/A,#N/A,FALSE,"장축";#N/A,#N/A,FALSE,"4WD"}</definedName>
    <definedName name="XXXXX_1_1" localSheetId="0" hidden="1">{#N/A,#N/A,FALSE,"단축1";#N/A,#N/A,FALSE,"단축2";#N/A,#N/A,FALSE,"단축3";#N/A,#N/A,FALSE,"장축";#N/A,#N/A,FALSE,"4WD"}</definedName>
    <definedName name="XXXXX_1_1" hidden="1">{#N/A,#N/A,FALSE,"단축1";#N/A,#N/A,FALSE,"단축2";#N/A,#N/A,FALSE,"단축3";#N/A,#N/A,FALSE,"장축";#N/A,#N/A,FALSE,"4WD"}</definedName>
    <definedName name="XXXXX_1_2" localSheetId="26" hidden="1">{#N/A,#N/A,FALSE,"단축1";#N/A,#N/A,FALSE,"단축2";#N/A,#N/A,FALSE,"단축3";#N/A,#N/A,FALSE,"장축";#N/A,#N/A,FALSE,"4WD"}</definedName>
    <definedName name="XXXXX_1_2" localSheetId="0" hidden="1">{#N/A,#N/A,FALSE,"단축1";#N/A,#N/A,FALSE,"단축2";#N/A,#N/A,FALSE,"단축3";#N/A,#N/A,FALSE,"장축";#N/A,#N/A,FALSE,"4WD"}</definedName>
    <definedName name="XXXXX_1_2" hidden="1">{#N/A,#N/A,FALSE,"단축1";#N/A,#N/A,FALSE,"단축2";#N/A,#N/A,FALSE,"단축3";#N/A,#N/A,FALSE,"장축";#N/A,#N/A,FALSE,"4WD"}</definedName>
    <definedName name="XXXXX_1_3" localSheetId="26" hidden="1">{#N/A,#N/A,FALSE,"단축1";#N/A,#N/A,FALSE,"단축2";#N/A,#N/A,FALSE,"단축3";#N/A,#N/A,FALSE,"장축";#N/A,#N/A,FALSE,"4WD"}</definedName>
    <definedName name="XXXXX_1_3" localSheetId="0" hidden="1">{#N/A,#N/A,FALSE,"단축1";#N/A,#N/A,FALSE,"단축2";#N/A,#N/A,FALSE,"단축3";#N/A,#N/A,FALSE,"장축";#N/A,#N/A,FALSE,"4WD"}</definedName>
    <definedName name="XXXXX_1_3" hidden="1">{#N/A,#N/A,FALSE,"단축1";#N/A,#N/A,FALSE,"단축2";#N/A,#N/A,FALSE,"단축3";#N/A,#N/A,FALSE,"장축";#N/A,#N/A,FALSE,"4WD"}</definedName>
    <definedName name="XXXXX_2" localSheetId="26" hidden="1">{#N/A,#N/A,FALSE,"단축1";#N/A,#N/A,FALSE,"단축2";#N/A,#N/A,FALSE,"단축3";#N/A,#N/A,FALSE,"장축";#N/A,#N/A,FALSE,"4WD"}</definedName>
    <definedName name="XXXXX_2" localSheetId="0" hidden="1">{#N/A,#N/A,FALSE,"단축1";#N/A,#N/A,FALSE,"단축2";#N/A,#N/A,FALSE,"단축3";#N/A,#N/A,FALSE,"장축";#N/A,#N/A,FALSE,"4WD"}</definedName>
    <definedName name="XXXXX_2" hidden="1">{#N/A,#N/A,FALSE,"단축1";#N/A,#N/A,FALSE,"단축2";#N/A,#N/A,FALSE,"단축3";#N/A,#N/A,FALSE,"장축";#N/A,#N/A,FALSE,"4WD"}</definedName>
    <definedName name="XXXXX_2_1" localSheetId="26" hidden="1">{#N/A,#N/A,FALSE,"단축1";#N/A,#N/A,FALSE,"단축2";#N/A,#N/A,FALSE,"단축3";#N/A,#N/A,FALSE,"장축";#N/A,#N/A,FALSE,"4WD"}</definedName>
    <definedName name="XXXXX_2_1" localSheetId="0" hidden="1">{#N/A,#N/A,FALSE,"단축1";#N/A,#N/A,FALSE,"단축2";#N/A,#N/A,FALSE,"단축3";#N/A,#N/A,FALSE,"장축";#N/A,#N/A,FALSE,"4WD"}</definedName>
    <definedName name="XXXXX_2_1" hidden="1">{#N/A,#N/A,FALSE,"단축1";#N/A,#N/A,FALSE,"단축2";#N/A,#N/A,FALSE,"단축3";#N/A,#N/A,FALSE,"장축";#N/A,#N/A,FALSE,"4WD"}</definedName>
    <definedName name="XXXXX_2_2" localSheetId="26" hidden="1">{#N/A,#N/A,FALSE,"단축1";#N/A,#N/A,FALSE,"단축2";#N/A,#N/A,FALSE,"단축3";#N/A,#N/A,FALSE,"장축";#N/A,#N/A,FALSE,"4WD"}</definedName>
    <definedName name="XXXXX_2_2" localSheetId="0" hidden="1">{#N/A,#N/A,FALSE,"단축1";#N/A,#N/A,FALSE,"단축2";#N/A,#N/A,FALSE,"단축3";#N/A,#N/A,FALSE,"장축";#N/A,#N/A,FALSE,"4WD"}</definedName>
    <definedName name="XXXXX_2_2" hidden="1">{#N/A,#N/A,FALSE,"단축1";#N/A,#N/A,FALSE,"단축2";#N/A,#N/A,FALSE,"단축3";#N/A,#N/A,FALSE,"장축";#N/A,#N/A,FALSE,"4WD"}</definedName>
    <definedName name="XXXXX_3" localSheetId="26" hidden="1">{#N/A,#N/A,FALSE,"단축1";#N/A,#N/A,FALSE,"단축2";#N/A,#N/A,FALSE,"단축3";#N/A,#N/A,FALSE,"장축";#N/A,#N/A,FALSE,"4WD"}</definedName>
    <definedName name="XXXXX_3" localSheetId="0" hidden="1">{#N/A,#N/A,FALSE,"단축1";#N/A,#N/A,FALSE,"단축2";#N/A,#N/A,FALSE,"단축3";#N/A,#N/A,FALSE,"장축";#N/A,#N/A,FALSE,"4WD"}</definedName>
    <definedName name="XXXXX_3" hidden="1">{#N/A,#N/A,FALSE,"단축1";#N/A,#N/A,FALSE,"단축2";#N/A,#N/A,FALSE,"단축3";#N/A,#N/A,FALSE,"장축";#N/A,#N/A,FALSE,"4WD"}</definedName>
    <definedName name="XXXXX_4" localSheetId="26" hidden="1">{#N/A,#N/A,FALSE,"단축1";#N/A,#N/A,FALSE,"단축2";#N/A,#N/A,FALSE,"단축3";#N/A,#N/A,FALSE,"장축";#N/A,#N/A,FALSE,"4WD"}</definedName>
    <definedName name="XXXXX_4" localSheetId="0" hidden="1">{#N/A,#N/A,FALSE,"단축1";#N/A,#N/A,FALSE,"단축2";#N/A,#N/A,FALSE,"단축3";#N/A,#N/A,FALSE,"장축";#N/A,#N/A,FALSE,"4WD"}</definedName>
    <definedName name="XXXXX_4" hidden="1">{#N/A,#N/A,FALSE,"단축1";#N/A,#N/A,FALSE,"단축2";#N/A,#N/A,FALSE,"단축3";#N/A,#N/A,FALSE,"장축";#N/A,#N/A,FALSE,"4WD"}</definedName>
    <definedName name="XXXXX_5" localSheetId="26" hidden="1">{#N/A,#N/A,FALSE,"단축1";#N/A,#N/A,FALSE,"단축2";#N/A,#N/A,FALSE,"단축3";#N/A,#N/A,FALSE,"장축";#N/A,#N/A,FALSE,"4WD"}</definedName>
    <definedName name="XXXXX_5" localSheetId="0" hidden="1">{#N/A,#N/A,FALSE,"단축1";#N/A,#N/A,FALSE,"단축2";#N/A,#N/A,FALSE,"단축3";#N/A,#N/A,FALSE,"장축";#N/A,#N/A,FALSE,"4WD"}</definedName>
    <definedName name="XXXXX_5" hidden="1">{#N/A,#N/A,FALSE,"단축1";#N/A,#N/A,FALSE,"단축2";#N/A,#N/A,FALSE,"단축3";#N/A,#N/A,FALSE,"장축";#N/A,#N/A,FALSE,"4WD"}</definedName>
    <definedName name="XXXXXXXX" localSheetId="9" hidden="1">1/EUReXToATS</definedName>
    <definedName name="XXXXXXXX" localSheetId="1" hidden="1">1/EUReXToATS</definedName>
    <definedName name="XXXXXXXX" localSheetId="26" hidden="1">1/EUReXToATS</definedName>
    <definedName name="XXXXXXXX" localSheetId="21" hidden="1">1/EUReXToATS</definedName>
    <definedName name="XXXXXXXX" localSheetId="3" hidden="1">1/EUReXToATS</definedName>
    <definedName name="XXXXXXXX" localSheetId="28" hidden="1">1/EUReXToATS</definedName>
    <definedName name="XXXXXXXX" localSheetId="27" hidden="1">1/EUReXToATS</definedName>
    <definedName name="XXXXXXXX" localSheetId="0" hidden="1">1/EUReXToATS</definedName>
    <definedName name="XXXXXXXX" hidden="1">1/EUReXToATS</definedName>
    <definedName name="xyz" localSheetId="26" hidden="1">{#N/A,#N/A,FALSE,"Cash Flows";#N/A,#N/A,FALSE,"Fixed Assets";#N/A,#N/A,FALSE,"Balance Sheet";#N/A,#N/A,FALSE,"P &amp; L"}</definedName>
    <definedName name="xyz" localSheetId="0" hidden="1">{#N/A,#N/A,FALSE,"Cash Flows";#N/A,#N/A,FALSE,"Fixed Assets";#N/A,#N/A,FALSE,"Balance Sheet";#N/A,#N/A,FALSE,"P &amp; L"}</definedName>
    <definedName name="xyz" hidden="1">{#N/A,#N/A,FALSE,"Cash Flows";#N/A,#N/A,FALSE,"Fixed Assets";#N/A,#N/A,FALSE,"Balance Sheet";#N/A,#N/A,FALSE,"P &amp; L"}</definedName>
    <definedName name="xyz_1" localSheetId="26" hidden="1">{#N/A,#N/A,FALSE,"Cash Flows";#N/A,#N/A,FALSE,"Fixed Assets";#N/A,#N/A,FALSE,"Balance Sheet";#N/A,#N/A,FALSE,"P &amp; L"}</definedName>
    <definedName name="xyz_1" localSheetId="0" hidden="1">{#N/A,#N/A,FALSE,"Cash Flows";#N/A,#N/A,FALSE,"Fixed Assets";#N/A,#N/A,FALSE,"Balance Sheet";#N/A,#N/A,FALSE,"P &amp; L"}</definedName>
    <definedName name="xyz_1" hidden="1">{#N/A,#N/A,FALSE,"Cash Flows";#N/A,#N/A,FALSE,"Fixed Assets";#N/A,#N/A,FALSE,"Balance Sheet";#N/A,#N/A,FALSE,"P &amp; L"}</definedName>
    <definedName name="xyz_1_1" localSheetId="26" hidden="1">{#N/A,#N/A,FALSE,"Cash Flows";#N/A,#N/A,FALSE,"Fixed Assets";#N/A,#N/A,FALSE,"Balance Sheet";#N/A,#N/A,FALSE,"P &amp; L"}</definedName>
    <definedName name="xyz_1_1" localSheetId="0" hidden="1">{#N/A,#N/A,FALSE,"Cash Flows";#N/A,#N/A,FALSE,"Fixed Assets";#N/A,#N/A,FALSE,"Balance Sheet";#N/A,#N/A,FALSE,"P &amp; L"}</definedName>
    <definedName name="xyz_1_1" hidden="1">{#N/A,#N/A,FALSE,"Cash Flows";#N/A,#N/A,FALSE,"Fixed Assets";#N/A,#N/A,FALSE,"Balance Sheet";#N/A,#N/A,FALSE,"P &amp; L"}</definedName>
    <definedName name="xyz_1_2" localSheetId="26" hidden="1">{#N/A,#N/A,FALSE,"Cash Flows";#N/A,#N/A,FALSE,"Fixed Assets";#N/A,#N/A,FALSE,"Balance Sheet";#N/A,#N/A,FALSE,"P &amp; L"}</definedName>
    <definedName name="xyz_1_2" localSheetId="0" hidden="1">{#N/A,#N/A,FALSE,"Cash Flows";#N/A,#N/A,FALSE,"Fixed Assets";#N/A,#N/A,FALSE,"Balance Sheet";#N/A,#N/A,FALSE,"P &amp; L"}</definedName>
    <definedName name="xyz_1_2" hidden="1">{#N/A,#N/A,FALSE,"Cash Flows";#N/A,#N/A,FALSE,"Fixed Assets";#N/A,#N/A,FALSE,"Balance Sheet";#N/A,#N/A,FALSE,"P &amp; L"}</definedName>
    <definedName name="xyz_1_3" localSheetId="26" hidden="1">{#N/A,#N/A,FALSE,"Cash Flows";#N/A,#N/A,FALSE,"Fixed Assets";#N/A,#N/A,FALSE,"Balance Sheet";#N/A,#N/A,FALSE,"P &amp; L"}</definedName>
    <definedName name="xyz_1_3" localSheetId="0" hidden="1">{#N/A,#N/A,FALSE,"Cash Flows";#N/A,#N/A,FALSE,"Fixed Assets";#N/A,#N/A,FALSE,"Balance Sheet";#N/A,#N/A,FALSE,"P &amp; L"}</definedName>
    <definedName name="xyz_1_3" hidden="1">{#N/A,#N/A,FALSE,"Cash Flows";#N/A,#N/A,FALSE,"Fixed Assets";#N/A,#N/A,FALSE,"Balance Sheet";#N/A,#N/A,FALSE,"P &amp; L"}</definedName>
    <definedName name="xyz_2" localSheetId="26" hidden="1">{#N/A,#N/A,FALSE,"Cash Flows";#N/A,#N/A,FALSE,"Fixed Assets";#N/A,#N/A,FALSE,"Balance Sheet";#N/A,#N/A,FALSE,"P &amp; L"}</definedName>
    <definedName name="xyz_2" localSheetId="0" hidden="1">{#N/A,#N/A,FALSE,"Cash Flows";#N/A,#N/A,FALSE,"Fixed Assets";#N/A,#N/A,FALSE,"Balance Sheet";#N/A,#N/A,FALSE,"P &amp; L"}</definedName>
    <definedName name="xyz_2" hidden="1">{#N/A,#N/A,FALSE,"Cash Flows";#N/A,#N/A,FALSE,"Fixed Assets";#N/A,#N/A,FALSE,"Balance Sheet";#N/A,#N/A,FALSE,"P &amp; L"}</definedName>
    <definedName name="xyz_2_1" localSheetId="26" hidden="1">{#N/A,#N/A,FALSE,"Cash Flows";#N/A,#N/A,FALSE,"Fixed Assets";#N/A,#N/A,FALSE,"Balance Sheet";#N/A,#N/A,FALSE,"P &amp; L"}</definedName>
    <definedName name="xyz_2_1" localSheetId="0" hidden="1">{#N/A,#N/A,FALSE,"Cash Flows";#N/A,#N/A,FALSE,"Fixed Assets";#N/A,#N/A,FALSE,"Balance Sheet";#N/A,#N/A,FALSE,"P &amp; L"}</definedName>
    <definedName name="xyz_2_1" hidden="1">{#N/A,#N/A,FALSE,"Cash Flows";#N/A,#N/A,FALSE,"Fixed Assets";#N/A,#N/A,FALSE,"Balance Sheet";#N/A,#N/A,FALSE,"P &amp; L"}</definedName>
    <definedName name="xyz_2_2" localSheetId="26" hidden="1">{#N/A,#N/A,FALSE,"Cash Flows";#N/A,#N/A,FALSE,"Fixed Assets";#N/A,#N/A,FALSE,"Balance Sheet";#N/A,#N/A,FALSE,"P &amp; L"}</definedName>
    <definedName name="xyz_2_2" localSheetId="0" hidden="1">{#N/A,#N/A,FALSE,"Cash Flows";#N/A,#N/A,FALSE,"Fixed Assets";#N/A,#N/A,FALSE,"Balance Sheet";#N/A,#N/A,FALSE,"P &amp; L"}</definedName>
    <definedName name="xyz_2_2" hidden="1">{#N/A,#N/A,FALSE,"Cash Flows";#N/A,#N/A,FALSE,"Fixed Assets";#N/A,#N/A,FALSE,"Balance Sheet";#N/A,#N/A,FALSE,"P &amp; L"}</definedName>
    <definedName name="xyz_3" localSheetId="26" hidden="1">{#N/A,#N/A,FALSE,"Cash Flows";#N/A,#N/A,FALSE,"Fixed Assets";#N/A,#N/A,FALSE,"Balance Sheet";#N/A,#N/A,FALSE,"P &amp; L"}</definedName>
    <definedName name="xyz_3" localSheetId="0" hidden="1">{#N/A,#N/A,FALSE,"Cash Flows";#N/A,#N/A,FALSE,"Fixed Assets";#N/A,#N/A,FALSE,"Balance Sheet";#N/A,#N/A,FALSE,"P &amp; L"}</definedName>
    <definedName name="xyz_3" hidden="1">{#N/A,#N/A,FALSE,"Cash Flows";#N/A,#N/A,FALSE,"Fixed Assets";#N/A,#N/A,FALSE,"Balance Sheet";#N/A,#N/A,FALSE,"P &amp; L"}</definedName>
    <definedName name="xyz_4" localSheetId="26" hidden="1">{#N/A,#N/A,FALSE,"Cash Flows";#N/A,#N/A,FALSE,"Fixed Assets";#N/A,#N/A,FALSE,"Balance Sheet";#N/A,#N/A,FALSE,"P &amp; L"}</definedName>
    <definedName name="xyz_4" localSheetId="0" hidden="1">{#N/A,#N/A,FALSE,"Cash Flows";#N/A,#N/A,FALSE,"Fixed Assets";#N/A,#N/A,FALSE,"Balance Sheet";#N/A,#N/A,FALSE,"P &amp; L"}</definedName>
    <definedName name="xyz_4" hidden="1">{#N/A,#N/A,FALSE,"Cash Flows";#N/A,#N/A,FALSE,"Fixed Assets";#N/A,#N/A,FALSE,"Balance Sheet";#N/A,#N/A,FALSE,"P &amp; L"}</definedName>
    <definedName name="xyz_5" localSheetId="26" hidden="1">{#N/A,#N/A,FALSE,"Cash Flows";#N/A,#N/A,FALSE,"Fixed Assets";#N/A,#N/A,FALSE,"Balance Sheet";#N/A,#N/A,FALSE,"P &amp; L"}</definedName>
    <definedName name="xyz_5" localSheetId="0" hidden="1">{#N/A,#N/A,FALSE,"Cash Flows";#N/A,#N/A,FALSE,"Fixed Assets";#N/A,#N/A,FALSE,"Balance Sheet";#N/A,#N/A,FALSE,"P &amp; L"}</definedName>
    <definedName name="xyz_5" hidden="1">{#N/A,#N/A,FALSE,"Cash Flows";#N/A,#N/A,FALSE,"Fixed Assets";#N/A,#N/A,FALSE,"Balance Sheet";#N/A,#N/A,FALSE,"P &amp; L"}</definedName>
    <definedName name="xyz1" localSheetId="26" hidden="1">{#N/A,#N/A,FALSE,"Cash Flows";#N/A,#N/A,FALSE,"Fixed Assets";#N/A,#N/A,FALSE,"Balance Sheet";#N/A,#N/A,FALSE,"P &amp; L"}</definedName>
    <definedName name="xyz1" localSheetId="0" hidden="1">{#N/A,#N/A,FALSE,"Cash Flows";#N/A,#N/A,FALSE,"Fixed Assets";#N/A,#N/A,FALSE,"Balance Sheet";#N/A,#N/A,FALSE,"P &amp; L"}</definedName>
    <definedName name="xyz1" hidden="1">{#N/A,#N/A,FALSE,"Cash Flows";#N/A,#N/A,FALSE,"Fixed Assets";#N/A,#N/A,FALSE,"Balance Sheet";#N/A,#N/A,FALSE,"P &amp; L"}</definedName>
    <definedName name="xyz1_1" localSheetId="26" hidden="1">{#N/A,#N/A,FALSE,"Cash Flows";#N/A,#N/A,FALSE,"Fixed Assets";#N/A,#N/A,FALSE,"Balance Sheet";#N/A,#N/A,FALSE,"P &amp; L"}</definedName>
    <definedName name="xyz1_1" localSheetId="0" hidden="1">{#N/A,#N/A,FALSE,"Cash Flows";#N/A,#N/A,FALSE,"Fixed Assets";#N/A,#N/A,FALSE,"Balance Sheet";#N/A,#N/A,FALSE,"P &amp; L"}</definedName>
    <definedName name="xyz1_1" hidden="1">{#N/A,#N/A,FALSE,"Cash Flows";#N/A,#N/A,FALSE,"Fixed Assets";#N/A,#N/A,FALSE,"Balance Sheet";#N/A,#N/A,FALSE,"P &amp; L"}</definedName>
    <definedName name="xyz1_1_1" localSheetId="26" hidden="1">{#N/A,#N/A,FALSE,"Cash Flows";#N/A,#N/A,FALSE,"Fixed Assets";#N/A,#N/A,FALSE,"Balance Sheet";#N/A,#N/A,FALSE,"P &amp; L"}</definedName>
    <definedName name="xyz1_1_1" localSheetId="0" hidden="1">{#N/A,#N/A,FALSE,"Cash Flows";#N/A,#N/A,FALSE,"Fixed Assets";#N/A,#N/A,FALSE,"Balance Sheet";#N/A,#N/A,FALSE,"P &amp; L"}</definedName>
    <definedName name="xyz1_1_1" hidden="1">{#N/A,#N/A,FALSE,"Cash Flows";#N/A,#N/A,FALSE,"Fixed Assets";#N/A,#N/A,FALSE,"Balance Sheet";#N/A,#N/A,FALSE,"P &amp; L"}</definedName>
    <definedName name="xyz1_1_2" localSheetId="26" hidden="1">{#N/A,#N/A,FALSE,"Cash Flows";#N/A,#N/A,FALSE,"Fixed Assets";#N/A,#N/A,FALSE,"Balance Sheet";#N/A,#N/A,FALSE,"P &amp; L"}</definedName>
    <definedName name="xyz1_1_2" localSheetId="0" hidden="1">{#N/A,#N/A,FALSE,"Cash Flows";#N/A,#N/A,FALSE,"Fixed Assets";#N/A,#N/A,FALSE,"Balance Sheet";#N/A,#N/A,FALSE,"P &amp; L"}</definedName>
    <definedName name="xyz1_1_2" hidden="1">{#N/A,#N/A,FALSE,"Cash Flows";#N/A,#N/A,FALSE,"Fixed Assets";#N/A,#N/A,FALSE,"Balance Sheet";#N/A,#N/A,FALSE,"P &amp; L"}</definedName>
    <definedName name="xyz1_1_3" localSheetId="26" hidden="1">{#N/A,#N/A,FALSE,"Cash Flows";#N/A,#N/A,FALSE,"Fixed Assets";#N/A,#N/A,FALSE,"Balance Sheet";#N/A,#N/A,FALSE,"P &amp; L"}</definedName>
    <definedName name="xyz1_1_3" localSheetId="0" hidden="1">{#N/A,#N/A,FALSE,"Cash Flows";#N/A,#N/A,FALSE,"Fixed Assets";#N/A,#N/A,FALSE,"Balance Sheet";#N/A,#N/A,FALSE,"P &amp; L"}</definedName>
    <definedName name="xyz1_1_3" hidden="1">{#N/A,#N/A,FALSE,"Cash Flows";#N/A,#N/A,FALSE,"Fixed Assets";#N/A,#N/A,FALSE,"Balance Sheet";#N/A,#N/A,FALSE,"P &amp; L"}</definedName>
    <definedName name="xyz1_2" localSheetId="26" hidden="1">{#N/A,#N/A,FALSE,"Cash Flows";#N/A,#N/A,FALSE,"Fixed Assets";#N/A,#N/A,FALSE,"Balance Sheet";#N/A,#N/A,FALSE,"P &amp; L"}</definedName>
    <definedName name="xyz1_2" localSheetId="0" hidden="1">{#N/A,#N/A,FALSE,"Cash Flows";#N/A,#N/A,FALSE,"Fixed Assets";#N/A,#N/A,FALSE,"Balance Sheet";#N/A,#N/A,FALSE,"P &amp; L"}</definedName>
    <definedName name="xyz1_2" hidden="1">{#N/A,#N/A,FALSE,"Cash Flows";#N/A,#N/A,FALSE,"Fixed Assets";#N/A,#N/A,FALSE,"Balance Sheet";#N/A,#N/A,FALSE,"P &amp; L"}</definedName>
    <definedName name="xyz1_2_1" localSheetId="26" hidden="1">{#N/A,#N/A,FALSE,"Cash Flows";#N/A,#N/A,FALSE,"Fixed Assets";#N/A,#N/A,FALSE,"Balance Sheet";#N/A,#N/A,FALSE,"P &amp; L"}</definedName>
    <definedName name="xyz1_2_1" localSheetId="0" hidden="1">{#N/A,#N/A,FALSE,"Cash Flows";#N/A,#N/A,FALSE,"Fixed Assets";#N/A,#N/A,FALSE,"Balance Sheet";#N/A,#N/A,FALSE,"P &amp; L"}</definedName>
    <definedName name="xyz1_2_1" hidden="1">{#N/A,#N/A,FALSE,"Cash Flows";#N/A,#N/A,FALSE,"Fixed Assets";#N/A,#N/A,FALSE,"Balance Sheet";#N/A,#N/A,FALSE,"P &amp; L"}</definedName>
    <definedName name="xyz1_2_2" localSheetId="26" hidden="1">{#N/A,#N/A,FALSE,"Cash Flows";#N/A,#N/A,FALSE,"Fixed Assets";#N/A,#N/A,FALSE,"Balance Sheet";#N/A,#N/A,FALSE,"P &amp; L"}</definedName>
    <definedName name="xyz1_2_2" localSheetId="0" hidden="1">{#N/A,#N/A,FALSE,"Cash Flows";#N/A,#N/A,FALSE,"Fixed Assets";#N/A,#N/A,FALSE,"Balance Sheet";#N/A,#N/A,FALSE,"P &amp; L"}</definedName>
    <definedName name="xyz1_2_2" hidden="1">{#N/A,#N/A,FALSE,"Cash Flows";#N/A,#N/A,FALSE,"Fixed Assets";#N/A,#N/A,FALSE,"Balance Sheet";#N/A,#N/A,FALSE,"P &amp; L"}</definedName>
    <definedName name="xyz1_3" localSheetId="26" hidden="1">{#N/A,#N/A,FALSE,"Cash Flows";#N/A,#N/A,FALSE,"Fixed Assets";#N/A,#N/A,FALSE,"Balance Sheet";#N/A,#N/A,FALSE,"P &amp; L"}</definedName>
    <definedName name="xyz1_3" localSheetId="0" hidden="1">{#N/A,#N/A,FALSE,"Cash Flows";#N/A,#N/A,FALSE,"Fixed Assets";#N/A,#N/A,FALSE,"Balance Sheet";#N/A,#N/A,FALSE,"P &amp; L"}</definedName>
    <definedName name="xyz1_3" hidden="1">{#N/A,#N/A,FALSE,"Cash Flows";#N/A,#N/A,FALSE,"Fixed Assets";#N/A,#N/A,FALSE,"Balance Sheet";#N/A,#N/A,FALSE,"P &amp; L"}</definedName>
    <definedName name="xyz1_4" localSheetId="26" hidden="1">{#N/A,#N/A,FALSE,"Cash Flows";#N/A,#N/A,FALSE,"Fixed Assets";#N/A,#N/A,FALSE,"Balance Sheet";#N/A,#N/A,FALSE,"P &amp; L"}</definedName>
    <definedName name="xyz1_4" localSheetId="0" hidden="1">{#N/A,#N/A,FALSE,"Cash Flows";#N/A,#N/A,FALSE,"Fixed Assets";#N/A,#N/A,FALSE,"Balance Sheet";#N/A,#N/A,FALSE,"P &amp; L"}</definedName>
    <definedName name="xyz1_4" hidden="1">{#N/A,#N/A,FALSE,"Cash Flows";#N/A,#N/A,FALSE,"Fixed Assets";#N/A,#N/A,FALSE,"Balance Sheet";#N/A,#N/A,FALSE,"P &amp; L"}</definedName>
    <definedName name="xyz1_5" localSheetId="26" hidden="1">{#N/A,#N/A,FALSE,"Cash Flows";#N/A,#N/A,FALSE,"Fixed Assets";#N/A,#N/A,FALSE,"Balance Sheet";#N/A,#N/A,FALSE,"P &amp; L"}</definedName>
    <definedName name="xyz1_5" localSheetId="0" hidden="1">{#N/A,#N/A,FALSE,"Cash Flows";#N/A,#N/A,FALSE,"Fixed Assets";#N/A,#N/A,FALSE,"Balance Sheet";#N/A,#N/A,FALSE,"P &amp; L"}</definedName>
    <definedName name="xyz1_5" hidden="1">{#N/A,#N/A,FALSE,"Cash Flows";#N/A,#N/A,FALSE,"Fixed Assets";#N/A,#N/A,FALSE,"Balance Sheet";#N/A,#N/A,FALSE,"P &amp; L"}</definedName>
    <definedName name="xyz10" localSheetId="26" hidden="1">{#N/A,#N/A,FALSE,"Cash Flows";#N/A,#N/A,FALSE,"Fixed Assets";#N/A,#N/A,FALSE,"Balance Sheet";#N/A,#N/A,FALSE,"P &amp; L"}</definedName>
    <definedName name="xyz10" localSheetId="0" hidden="1">{#N/A,#N/A,FALSE,"Cash Flows";#N/A,#N/A,FALSE,"Fixed Assets";#N/A,#N/A,FALSE,"Balance Sheet";#N/A,#N/A,FALSE,"P &amp; L"}</definedName>
    <definedName name="xyz10" hidden="1">{#N/A,#N/A,FALSE,"Cash Flows";#N/A,#N/A,FALSE,"Fixed Assets";#N/A,#N/A,FALSE,"Balance Sheet";#N/A,#N/A,FALSE,"P &amp; L"}</definedName>
    <definedName name="xyz10_1" localSheetId="26" hidden="1">{#N/A,#N/A,FALSE,"Cash Flows";#N/A,#N/A,FALSE,"Fixed Assets";#N/A,#N/A,FALSE,"Balance Sheet";#N/A,#N/A,FALSE,"P &amp; L"}</definedName>
    <definedName name="xyz10_1" localSheetId="0" hidden="1">{#N/A,#N/A,FALSE,"Cash Flows";#N/A,#N/A,FALSE,"Fixed Assets";#N/A,#N/A,FALSE,"Balance Sheet";#N/A,#N/A,FALSE,"P &amp; L"}</definedName>
    <definedName name="xyz10_1" hidden="1">{#N/A,#N/A,FALSE,"Cash Flows";#N/A,#N/A,FALSE,"Fixed Assets";#N/A,#N/A,FALSE,"Balance Sheet";#N/A,#N/A,FALSE,"P &amp; L"}</definedName>
    <definedName name="xyz10_1_1" localSheetId="26" hidden="1">{#N/A,#N/A,FALSE,"Cash Flows";#N/A,#N/A,FALSE,"Fixed Assets";#N/A,#N/A,FALSE,"Balance Sheet";#N/A,#N/A,FALSE,"P &amp; L"}</definedName>
    <definedName name="xyz10_1_1" localSheetId="0" hidden="1">{#N/A,#N/A,FALSE,"Cash Flows";#N/A,#N/A,FALSE,"Fixed Assets";#N/A,#N/A,FALSE,"Balance Sheet";#N/A,#N/A,FALSE,"P &amp; L"}</definedName>
    <definedName name="xyz10_1_1" hidden="1">{#N/A,#N/A,FALSE,"Cash Flows";#N/A,#N/A,FALSE,"Fixed Assets";#N/A,#N/A,FALSE,"Balance Sheet";#N/A,#N/A,FALSE,"P &amp; L"}</definedName>
    <definedName name="xyz10_1_2" localSheetId="26" hidden="1">{#N/A,#N/A,FALSE,"Cash Flows";#N/A,#N/A,FALSE,"Fixed Assets";#N/A,#N/A,FALSE,"Balance Sheet";#N/A,#N/A,FALSE,"P &amp; L"}</definedName>
    <definedName name="xyz10_1_2" localSheetId="0" hidden="1">{#N/A,#N/A,FALSE,"Cash Flows";#N/A,#N/A,FALSE,"Fixed Assets";#N/A,#N/A,FALSE,"Balance Sheet";#N/A,#N/A,FALSE,"P &amp; L"}</definedName>
    <definedName name="xyz10_1_2" hidden="1">{#N/A,#N/A,FALSE,"Cash Flows";#N/A,#N/A,FALSE,"Fixed Assets";#N/A,#N/A,FALSE,"Balance Sheet";#N/A,#N/A,FALSE,"P &amp; L"}</definedName>
    <definedName name="xyz10_1_3" localSheetId="26" hidden="1">{#N/A,#N/A,FALSE,"Cash Flows";#N/A,#N/A,FALSE,"Fixed Assets";#N/A,#N/A,FALSE,"Balance Sheet";#N/A,#N/A,FALSE,"P &amp; L"}</definedName>
    <definedName name="xyz10_1_3" localSheetId="0" hidden="1">{#N/A,#N/A,FALSE,"Cash Flows";#N/A,#N/A,FALSE,"Fixed Assets";#N/A,#N/A,FALSE,"Balance Sheet";#N/A,#N/A,FALSE,"P &amp; L"}</definedName>
    <definedName name="xyz10_1_3" hidden="1">{#N/A,#N/A,FALSE,"Cash Flows";#N/A,#N/A,FALSE,"Fixed Assets";#N/A,#N/A,FALSE,"Balance Sheet";#N/A,#N/A,FALSE,"P &amp; L"}</definedName>
    <definedName name="xyz10_2" localSheetId="26" hidden="1">{#N/A,#N/A,FALSE,"Cash Flows";#N/A,#N/A,FALSE,"Fixed Assets";#N/A,#N/A,FALSE,"Balance Sheet";#N/A,#N/A,FALSE,"P &amp; L"}</definedName>
    <definedName name="xyz10_2" localSheetId="0" hidden="1">{#N/A,#N/A,FALSE,"Cash Flows";#N/A,#N/A,FALSE,"Fixed Assets";#N/A,#N/A,FALSE,"Balance Sheet";#N/A,#N/A,FALSE,"P &amp; L"}</definedName>
    <definedName name="xyz10_2" hidden="1">{#N/A,#N/A,FALSE,"Cash Flows";#N/A,#N/A,FALSE,"Fixed Assets";#N/A,#N/A,FALSE,"Balance Sheet";#N/A,#N/A,FALSE,"P &amp; L"}</definedName>
    <definedName name="xyz10_2_1" localSheetId="26" hidden="1">{#N/A,#N/A,FALSE,"Cash Flows";#N/A,#N/A,FALSE,"Fixed Assets";#N/A,#N/A,FALSE,"Balance Sheet";#N/A,#N/A,FALSE,"P &amp; L"}</definedName>
    <definedName name="xyz10_2_1" localSheetId="0" hidden="1">{#N/A,#N/A,FALSE,"Cash Flows";#N/A,#N/A,FALSE,"Fixed Assets";#N/A,#N/A,FALSE,"Balance Sheet";#N/A,#N/A,FALSE,"P &amp; L"}</definedName>
    <definedName name="xyz10_2_1" hidden="1">{#N/A,#N/A,FALSE,"Cash Flows";#N/A,#N/A,FALSE,"Fixed Assets";#N/A,#N/A,FALSE,"Balance Sheet";#N/A,#N/A,FALSE,"P &amp; L"}</definedName>
    <definedName name="xyz10_2_2" localSheetId="26" hidden="1">{#N/A,#N/A,FALSE,"Cash Flows";#N/A,#N/A,FALSE,"Fixed Assets";#N/A,#N/A,FALSE,"Balance Sheet";#N/A,#N/A,FALSE,"P &amp; L"}</definedName>
    <definedName name="xyz10_2_2" localSheetId="0" hidden="1">{#N/A,#N/A,FALSE,"Cash Flows";#N/A,#N/A,FALSE,"Fixed Assets";#N/A,#N/A,FALSE,"Balance Sheet";#N/A,#N/A,FALSE,"P &amp; L"}</definedName>
    <definedName name="xyz10_2_2" hidden="1">{#N/A,#N/A,FALSE,"Cash Flows";#N/A,#N/A,FALSE,"Fixed Assets";#N/A,#N/A,FALSE,"Balance Sheet";#N/A,#N/A,FALSE,"P &amp; L"}</definedName>
    <definedName name="xyz10_3" localSheetId="26" hidden="1">{#N/A,#N/A,FALSE,"Cash Flows";#N/A,#N/A,FALSE,"Fixed Assets";#N/A,#N/A,FALSE,"Balance Sheet";#N/A,#N/A,FALSE,"P &amp; L"}</definedName>
    <definedName name="xyz10_3" localSheetId="0" hidden="1">{#N/A,#N/A,FALSE,"Cash Flows";#N/A,#N/A,FALSE,"Fixed Assets";#N/A,#N/A,FALSE,"Balance Sheet";#N/A,#N/A,FALSE,"P &amp; L"}</definedName>
    <definedName name="xyz10_3" hidden="1">{#N/A,#N/A,FALSE,"Cash Flows";#N/A,#N/A,FALSE,"Fixed Assets";#N/A,#N/A,FALSE,"Balance Sheet";#N/A,#N/A,FALSE,"P &amp; L"}</definedName>
    <definedName name="xyz10_4" localSheetId="26" hidden="1">{#N/A,#N/A,FALSE,"Cash Flows";#N/A,#N/A,FALSE,"Fixed Assets";#N/A,#N/A,FALSE,"Balance Sheet";#N/A,#N/A,FALSE,"P &amp; L"}</definedName>
    <definedName name="xyz10_4" localSheetId="0" hidden="1">{#N/A,#N/A,FALSE,"Cash Flows";#N/A,#N/A,FALSE,"Fixed Assets";#N/A,#N/A,FALSE,"Balance Sheet";#N/A,#N/A,FALSE,"P &amp; L"}</definedName>
    <definedName name="xyz10_4" hidden="1">{#N/A,#N/A,FALSE,"Cash Flows";#N/A,#N/A,FALSE,"Fixed Assets";#N/A,#N/A,FALSE,"Balance Sheet";#N/A,#N/A,FALSE,"P &amp; L"}</definedName>
    <definedName name="xyz10_5" localSheetId="26" hidden="1">{#N/A,#N/A,FALSE,"Cash Flows";#N/A,#N/A,FALSE,"Fixed Assets";#N/A,#N/A,FALSE,"Balance Sheet";#N/A,#N/A,FALSE,"P &amp; L"}</definedName>
    <definedName name="xyz10_5" localSheetId="0" hidden="1">{#N/A,#N/A,FALSE,"Cash Flows";#N/A,#N/A,FALSE,"Fixed Assets";#N/A,#N/A,FALSE,"Balance Sheet";#N/A,#N/A,FALSE,"P &amp; L"}</definedName>
    <definedName name="xyz10_5" hidden="1">{#N/A,#N/A,FALSE,"Cash Flows";#N/A,#N/A,FALSE,"Fixed Assets";#N/A,#N/A,FALSE,"Balance Sheet";#N/A,#N/A,FALSE,"P &amp; L"}</definedName>
    <definedName name="xyz11" localSheetId="26" hidden="1">{#N/A,#N/A,FALSE,"Cash Flows";#N/A,#N/A,FALSE,"Fixed Assets";#N/A,#N/A,FALSE,"Balance Sheet";#N/A,#N/A,FALSE,"P &amp; L"}</definedName>
    <definedName name="xyz11" localSheetId="0" hidden="1">{#N/A,#N/A,FALSE,"Cash Flows";#N/A,#N/A,FALSE,"Fixed Assets";#N/A,#N/A,FALSE,"Balance Sheet";#N/A,#N/A,FALSE,"P &amp; L"}</definedName>
    <definedName name="xyz11" hidden="1">{#N/A,#N/A,FALSE,"Cash Flows";#N/A,#N/A,FALSE,"Fixed Assets";#N/A,#N/A,FALSE,"Balance Sheet";#N/A,#N/A,FALSE,"P &amp; L"}</definedName>
    <definedName name="xyz11_1" localSheetId="26" hidden="1">{#N/A,#N/A,FALSE,"Cash Flows";#N/A,#N/A,FALSE,"Fixed Assets";#N/A,#N/A,FALSE,"Balance Sheet";#N/A,#N/A,FALSE,"P &amp; L"}</definedName>
    <definedName name="xyz11_1" localSheetId="0" hidden="1">{#N/A,#N/A,FALSE,"Cash Flows";#N/A,#N/A,FALSE,"Fixed Assets";#N/A,#N/A,FALSE,"Balance Sheet";#N/A,#N/A,FALSE,"P &amp; L"}</definedName>
    <definedName name="xyz11_1" hidden="1">{#N/A,#N/A,FALSE,"Cash Flows";#N/A,#N/A,FALSE,"Fixed Assets";#N/A,#N/A,FALSE,"Balance Sheet";#N/A,#N/A,FALSE,"P &amp; L"}</definedName>
    <definedName name="xyz11_1_1" localSheetId="26" hidden="1">{#N/A,#N/A,FALSE,"Cash Flows";#N/A,#N/A,FALSE,"Fixed Assets";#N/A,#N/A,FALSE,"Balance Sheet";#N/A,#N/A,FALSE,"P &amp; L"}</definedName>
    <definedName name="xyz11_1_1" localSheetId="0" hidden="1">{#N/A,#N/A,FALSE,"Cash Flows";#N/A,#N/A,FALSE,"Fixed Assets";#N/A,#N/A,FALSE,"Balance Sheet";#N/A,#N/A,FALSE,"P &amp; L"}</definedName>
    <definedName name="xyz11_1_1" hidden="1">{#N/A,#N/A,FALSE,"Cash Flows";#N/A,#N/A,FALSE,"Fixed Assets";#N/A,#N/A,FALSE,"Balance Sheet";#N/A,#N/A,FALSE,"P &amp; L"}</definedName>
    <definedName name="xyz11_1_2" localSheetId="26" hidden="1">{#N/A,#N/A,FALSE,"Cash Flows";#N/A,#N/A,FALSE,"Fixed Assets";#N/A,#N/A,FALSE,"Balance Sheet";#N/A,#N/A,FALSE,"P &amp; L"}</definedName>
    <definedName name="xyz11_1_2" localSheetId="0" hidden="1">{#N/A,#N/A,FALSE,"Cash Flows";#N/A,#N/A,FALSE,"Fixed Assets";#N/A,#N/A,FALSE,"Balance Sheet";#N/A,#N/A,FALSE,"P &amp; L"}</definedName>
    <definedName name="xyz11_1_2" hidden="1">{#N/A,#N/A,FALSE,"Cash Flows";#N/A,#N/A,FALSE,"Fixed Assets";#N/A,#N/A,FALSE,"Balance Sheet";#N/A,#N/A,FALSE,"P &amp; L"}</definedName>
    <definedName name="xyz11_1_3" localSheetId="26" hidden="1">{#N/A,#N/A,FALSE,"Cash Flows";#N/A,#N/A,FALSE,"Fixed Assets";#N/A,#N/A,FALSE,"Balance Sheet";#N/A,#N/A,FALSE,"P &amp; L"}</definedName>
    <definedName name="xyz11_1_3" localSheetId="0" hidden="1">{#N/A,#N/A,FALSE,"Cash Flows";#N/A,#N/A,FALSE,"Fixed Assets";#N/A,#N/A,FALSE,"Balance Sheet";#N/A,#N/A,FALSE,"P &amp; L"}</definedName>
    <definedName name="xyz11_1_3" hidden="1">{#N/A,#N/A,FALSE,"Cash Flows";#N/A,#N/A,FALSE,"Fixed Assets";#N/A,#N/A,FALSE,"Balance Sheet";#N/A,#N/A,FALSE,"P &amp; L"}</definedName>
    <definedName name="xyz11_2" localSheetId="26" hidden="1">{#N/A,#N/A,FALSE,"Cash Flows";#N/A,#N/A,FALSE,"Fixed Assets";#N/A,#N/A,FALSE,"Balance Sheet";#N/A,#N/A,FALSE,"P &amp; L"}</definedName>
    <definedName name="xyz11_2" localSheetId="0" hidden="1">{#N/A,#N/A,FALSE,"Cash Flows";#N/A,#N/A,FALSE,"Fixed Assets";#N/A,#N/A,FALSE,"Balance Sheet";#N/A,#N/A,FALSE,"P &amp; L"}</definedName>
    <definedName name="xyz11_2" hidden="1">{#N/A,#N/A,FALSE,"Cash Flows";#N/A,#N/A,FALSE,"Fixed Assets";#N/A,#N/A,FALSE,"Balance Sheet";#N/A,#N/A,FALSE,"P &amp; L"}</definedName>
    <definedName name="xyz11_2_1" localSheetId="26" hidden="1">{#N/A,#N/A,FALSE,"Cash Flows";#N/A,#N/A,FALSE,"Fixed Assets";#N/A,#N/A,FALSE,"Balance Sheet";#N/A,#N/A,FALSE,"P &amp; L"}</definedName>
    <definedName name="xyz11_2_1" localSheetId="0" hidden="1">{#N/A,#N/A,FALSE,"Cash Flows";#N/A,#N/A,FALSE,"Fixed Assets";#N/A,#N/A,FALSE,"Balance Sheet";#N/A,#N/A,FALSE,"P &amp; L"}</definedName>
    <definedName name="xyz11_2_1" hidden="1">{#N/A,#N/A,FALSE,"Cash Flows";#N/A,#N/A,FALSE,"Fixed Assets";#N/A,#N/A,FALSE,"Balance Sheet";#N/A,#N/A,FALSE,"P &amp; L"}</definedName>
    <definedName name="xyz11_2_2" localSheetId="26" hidden="1">{#N/A,#N/A,FALSE,"Cash Flows";#N/A,#N/A,FALSE,"Fixed Assets";#N/A,#N/A,FALSE,"Balance Sheet";#N/A,#N/A,FALSE,"P &amp; L"}</definedName>
    <definedName name="xyz11_2_2" localSheetId="0" hidden="1">{#N/A,#N/A,FALSE,"Cash Flows";#N/A,#N/A,FALSE,"Fixed Assets";#N/A,#N/A,FALSE,"Balance Sheet";#N/A,#N/A,FALSE,"P &amp; L"}</definedName>
    <definedName name="xyz11_2_2" hidden="1">{#N/A,#N/A,FALSE,"Cash Flows";#N/A,#N/A,FALSE,"Fixed Assets";#N/A,#N/A,FALSE,"Balance Sheet";#N/A,#N/A,FALSE,"P &amp; L"}</definedName>
    <definedName name="xyz11_3" localSheetId="26" hidden="1">{#N/A,#N/A,FALSE,"Cash Flows";#N/A,#N/A,FALSE,"Fixed Assets";#N/A,#N/A,FALSE,"Balance Sheet";#N/A,#N/A,FALSE,"P &amp; L"}</definedName>
    <definedName name="xyz11_3" localSheetId="0" hidden="1">{#N/A,#N/A,FALSE,"Cash Flows";#N/A,#N/A,FALSE,"Fixed Assets";#N/A,#N/A,FALSE,"Balance Sheet";#N/A,#N/A,FALSE,"P &amp; L"}</definedName>
    <definedName name="xyz11_3" hidden="1">{#N/A,#N/A,FALSE,"Cash Flows";#N/A,#N/A,FALSE,"Fixed Assets";#N/A,#N/A,FALSE,"Balance Sheet";#N/A,#N/A,FALSE,"P &amp; L"}</definedName>
    <definedName name="xyz11_4" localSheetId="26" hidden="1">{#N/A,#N/A,FALSE,"Cash Flows";#N/A,#N/A,FALSE,"Fixed Assets";#N/A,#N/A,FALSE,"Balance Sheet";#N/A,#N/A,FALSE,"P &amp; L"}</definedName>
    <definedName name="xyz11_4" localSheetId="0" hidden="1">{#N/A,#N/A,FALSE,"Cash Flows";#N/A,#N/A,FALSE,"Fixed Assets";#N/A,#N/A,FALSE,"Balance Sheet";#N/A,#N/A,FALSE,"P &amp; L"}</definedName>
    <definedName name="xyz11_4" hidden="1">{#N/A,#N/A,FALSE,"Cash Flows";#N/A,#N/A,FALSE,"Fixed Assets";#N/A,#N/A,FALSE,"Balance Sheet";#N/A,#N/A,FALSE,"P &amp; L"}</definedName>
    <definedName name="xyz11_5" localSheetId="26" hidden="1">{#N/A,#N/A,FALSE,"Cash Flows";#N/A,#N/A,FALSE,"Fixed Assets";#N/A,#N/A,FALSE,"Balance Sheet";#N/A,#N/A,FALSE,"P &amp; L"}</definedName>
    <definedName name="xyz11_5" localSheetId="0" hidden="1">{#N/A,#N/A,FALSE,"Cash Flows";#N/A,#N/A,FALSE,"Fixed Assets";#N/A,#N/A,FALSE,"Balance Sheet";#N/A,#N/A,FALSE,"P &amp; L"}</definedName>
    <definedName name="xyz11_5" hidden="1">{#N/A,#N/A,FALSE,"Cash Flows";#N/A,#N/A,FALSE,"Fixed Assets";#N/A,#N/A,FALSE,"Balance Sheet";#N/A,#N/A,FALSE,"P &amp; L"}</definedName>
    <definedName name="xyz12" localSheetId="26" hidden="1">{#N/A,#N/A,FALSE,"Cash Flows";#N/A,#N/A,FALSE,"Fixed Assets";#N/A,#N/A,FALSE,"Balance Sheet";#N/A,#N/A,FALSE,"P &amp; L"}</definedName>
    <definedName name="xyz12" localSheetId="0" hidden="1">{#N/A,#N/A,FALSE,"Cash Flows";#N/A,#N/A,FALSE,"Fixed Assets";#N/A,#N/A,FALSE,"Balance Sheet";#N/A,#N/A,FALSE,"P &amp; L"}</definedName>
    <definedName name="xyz12" hidden="1">{#N/A,#N/A,FALSE,"Cash Flows";#N/A,#N/A,FALSE,"Fixed Assets";#N/A,#N/A,FALSE,"Balance Sheet";#N/A,#N/A,FALSE,"P &amp; L"}</definedName>
    <definedName name="xyz12_1" localSheetId="26" hidden="1">{#N/A,#N/A,FALSE,"Cash Flows";#N/A,#N/A,FALSE,"Fixed Assets";#N/A,#N/A,FALSE,"Balance Sheet";#N/A,#N/A,FALSE,"P &amp; L"}</definedName>
    <definedName name="xyz12_1" localSheetId="0" hidden="1">{#N/A,#N/A,FALSE,"Cash Flows";#N/A,#N/A,FALSE,"Fixed Assets";#N/A,#N/A,FALSE,"Balance Sheet";#N/A,#N/A,FALSE,"P &amp; L"}</definedName>
    <definedName name="xyz12_1" hidden="1">{#N/A,#N/A,FALSE,"Cash Flows";#N/A,#N/A,FALSE,"Fixed Assets";#N/A,#N/A,FALSE,"Balance Sheet";#N/A,#N/A,FALSE,"P &amp; L"}</definedName>
    <definedName name="xyz12_1_1" localSheetId="26" hidden="1">{#N/A,#N/A,FALSE,"Cash Flows";#N/A,#N/A,FALSE,"Fixed Assets";#N/A,#N/A,FALSE,"Balance Sheet";#N/A,#N/A,FALSE,"P &amp; L"}</definedName>
    <definedName name="xyz12_1_1" localSheetId="0" hidden="1">{#N/A,#N/A,FALSE,"Cash Flows";#N/A,#N/A,FALSE,"Fixed Assets";#N/A,#N/A,FALSE,"Balance Sheet";#N/A,#N/A,FALSE,"P &amp; L"}</definedName>
    <definedName name="xyz12_1_1" hidden="1">{#N/A,#N/A,FALSE,"Cash Flows";#N/A,#N/A,FALSE,"Fixed Assets";#N/A,#N/A,FALSE,"Balance Sheet";#N/A,#N/A,FALSE,"P &amp; L"}</definedName>
    <definedName name="xyz12_1_2" localSheetId="26" hidden="1">{#N/A,#N/A,FALSE,"Cash Flows";#N/A,#N/A,FALSE,"Fixed Assets";#N/A,#N/A,FALSE,"Balance Sheet";#N/A,#N/A,FALSE,"P &amp; L"}</definedName>
    <definedName name="xyz12_1_2" localSheetId="0" hidden="1">{#N/A,#N/A,FALSE,"Cash Flows";#N/A,#N/A,FALSE,"Fixed Assets";#N/A,#N/A,FALSE,"Balance Sheet";#N/A,#N/A,FALSE,"P &amp; L"}</definedName>
    <definedName name="xyz12_1_2" hidden="1">{#N/A,#N/A,FALSE,"Cash Flows";#N/A,#N/A,FALSE,"Fixed Assets";#N/A,#N/A,FALSE,"Balance Sheet";#N/A,#N/A,FALSE,"P &amp; L"}</definedName>
    <definedName name="xyz12_1_3" localSheetId="26" hidden="1">{#N/A,#N/A,FALSE,"Cash Flows";#N/A,#N/A,FALSE,"Fixed Assets";#N/A,#N/A,FALSE,"Balance Sheet";#N/A,#N/A,FALSE,"P &amp; L"}</definedName>
    <definedName name="xyz12_1_3" localSheetId="0" hidden="1">{#N/A,#N/A,FALSE,"Cash Flows";#N/A,#N/A,FALSE,"Fixed Assets";#N/A,#N/A,FALSE,"Balance Sheet";#N/A,#N/A,FALSE,"P &amp; L"}</definedName>
    <definedName name="xyz12_1_3" hidden="1">{#N/A,#N/A,FALSE,"Cash Flows";#N/A,#N/A,FALSE,"Fixed Assets";#N/A,#N/A,FALSE,"Balance Sheet";#N/A,#N/A,FALSE,"P &amp; L"}</definedName>
    <definedName name="xyz12_2" localSheetId="26" hidden="1">{#N/A,#N/A,FALSE,"Cash Flows";#N/A,#N/A,FALSE,"Fixed Assets";#N/A,#N/A,FALSE,"Balance Sheet";#N/A,#N/A,FALSE,"P &amp; L"}</definedName>
    <definedName name="xyz12_2" localSheetId="0" hidden="1">{#N/A,#N/A,FALSE,"Cash Flows";#N/A,#N/A,FALSE,"Fixed Assets";#N/A,#N/A,FALSE,"Balance Sheet";#N/A,#N/A,FALSE,"P &amp; L"}</definedName>
    <definedName name="xyz12_2" hidden="1">{#N/A,#N/A,FALSE,"Cash Flows";#N/A,#N/A,FALSE,"Fixed Assets";#N/A,#N/A,FALSE,"Balance Sheet";#N/A,#N/A,FALSE,"P &amp; L"}</definedName>
    <definedName name="xyz12_2_1" localSheetId="26" hidden="1">{#N/A,#N/A,FALSE,"Cash Flows";#N/A,#N/A,FALSE,"Fixed Assets";#N/A,#N/A,FALSE,"Balance Sheet";#N/A,#N/A,FALSE,"P &amp; L"}</definedName>
    <definedName name="xyz12_2_1" localSheetId="0" hidden="1">{#N/A,#N/A,FALSE,"Cash Flows";#N/A,#N/A,FALSE,"Fixed Assets";#N/A,#N/A,FALSE,"Balance Sheet";#N/A,#N/A,FALSE,"P &amp; L"}</definedName>
    <definedName name="xyz12_2_1" hidden="1">{#N/A,#N/A,FALSE,"Cash Flows";#N/A,#N/A,FALSE,"Fixed Assets";#N/A,#N/A,FALSE,"Balance Sheet";#N/A,#N/A,FALSE,"P &amp; L"}</definedName>
    <definedName name="xyz12_2_2" localSheetId="26" hidden="1">{#N/A,#N/A,FALSE,"Cash Flows";#N/A,#N/A,FALSE,"Fixed Assets";#N/A,#N/A,FALSE,"Balance Sheet";#N/A,#N/A,FALSE,"P &amp; L"}</definedName>
    <definedName name="xyz12_2_2" localSheetId="0" hidden="1">{#N/A,#N/A,FALSE,"Cash Flows";#N/A,#N/A,FALSE,"Fixed Assets";#N/A,#N/A,FALSE,"Balance Sheet";#N/A,#N/A,FALSE,"P &amp; L"}</definedName>
    <definedName name="xyz12_2_2" hidden="1">{#N/A,#N/A,FALSE,"Cash Flows";#N/A,#N/A,FALSE,"Fixed Assets";#N/A,#N/A,FALSE,"Balance Sheet";#N/A,#N/A,FALSE,"P &amp; L"}</definedName>
    <definedName name="xyz12_3" localSheetId="26" hidden="1">{#N/A,#N/A,FALSE,"Cash Flows";#N/A,#N/A,FALSE,"Fixed Assets";#N/A,#N/A,FALSE,"Balance Sheet";#N/A,#N/A,FALSE,"P &amp; L"}</definedName>
    <definedName name="xyz12_3" localSheetId="0" hidden="1">{#N/A,#N/A,FALSE,"Cash Flows";#N/A,#N/A,FALSE,"Fixed Assets";#N/A,#N/A,FALSE,"Balance Sheet";#N/A,#N/A,FALSE,"P &amp; L"}</definedName>
    <definedName name="xyz12_3" hidden="1">{#N/A,#N/A,FALSE,"Cash Flows";#N/A,#N/A,FALSE,"Fixed Assets";#N/A,#N/A,FALSE,"Balance Sheet";#N/A,#N/A,FALSE,"P &amp; L"}</definedName>
    <definedName name="xyz12_4" localSheetId="26" hidden="1">{#N/A,#N/A,FALSE,"Cash Flows";#N/A,#N/A,FALSE,"Fixed Assets";#N/A,#N/A,FALSE,"Balance Sheet";#N/A,#N/A,FALSE,"P &amp; L"}</definedName>
    <definedName name="xyz12_4" localSheetId="0" hidden="1">{#N/A,#N/A,FALSE,"Cash Flows";#N/A,#N/A,FALSE,"Fixed Assets";#N/A,#N/A,FALSE,"Balance Sheet";#N/A,#N/A,FALSE,"P &amp; L"}</definedName>
    <definedName name="xyz12_4" hidden="1">{#N/A,#N/A,FALSE,"Cash Flows";#N/A,#N/A,FALSE,"Fixed Assets";#N/A,#N/A,FALSE,"Balance Sheet";#N/A,#N/A,FALSE,"P &amp; L"}</definedName>
    <definedName name="xyz12_5" localSheetId="26" hidden="1">{#N/A,#N/A,FALSE,"Cash Flows";#N/A,#N/A,FALSE,"Fixed Assets";#N/A,#N/A,FALSE,"Balance Sheet";#N/A,#N/A,FALSE,"P &amp; L"}</definedName>
    <definedName name="xyz12_5" localSheetId="0" hidden="1">{#N/A,#N/A,FALSE,"Cash Flows";#N/A,#N/A,FALSE,"Fixed Assets";#N/A,#N/A,FALSE,"Balance Sheet";#N/A,#N/A,FALSE,"P &amp; L"}</definedName>
    <definedName name="xyz12_5" hidden="1">{#N/A,#N/A,FALSE,"Cash Flows";#N/A,#N/A,FALSE,"Fixed Assets";#N/A,#N/A,FALSE,"Balance Sheet";#N/A,#N/A,FALSE,"P &amp; L"}</definedName>
    <definedName name="xyz13" localSheetId="26" hidden="1">{#N/A,#N/A,FALSE,"Cash Flows";#N/A,#N/A,FALSE,"Fixed Assets";#N/A,#N/A,FALSE,"Balance Sheet";#N/A,#N/A,FALSE,"P &amp; L"}</definedName>
    <definedName name="xyz13" localSheetId="0" hidden="1">{#N/A,#N/A,FALSE,"Cash Flows";#N/A,#N/A,FALSE,"Fixed Assets";#N/A,#N/A,FALSE,"Balance Sheet";#N/A,#N/A,FALSE,"P &amp; L"}</definedName>
    <definedName name="xyz13" hidden="1">{#N/A,#N/A,FALSE,"Cash Flows";#N/A,#N/A,FALSE,"Fixed Assets";#N/A,#N/A,FALSE,"Balance Sheet";#N/A,#N/A,FALSE,"P &amp; L"}</definedName>
    <definedName name="xyz13_1" localSheetId="26" hidden="1">{#N/A,#N/A,FALSE,"Cash Flows";#N/A,#N/A,FALSE,"Fixed Assets";#N/A,#N/A,FALSE,"Balance Sheet";#N/A,#N/A,FALSE,"P &amp; L"}</definedName>
    <definedName name="xyz13_1" localSheetId="0" hidden="1">{#N/A,#N/A,FALSE,"Cash Flows";#N/A,#N/A,FALSE,"Fixed Assets";#N/A,#N/A,FALSE,"Balance Sheet";#N/A,#N/A,FALSE,"P &amp; L"}</definedName>
    <definedName name="xyz13_1" hidden="1">{#N/A,#N/A,FALSE,"Cash Flows";#N/A,#N/A,FALSE,"Fixed Assets";#N/A,#N/A,FALSE,"Balance Sheet";#N/A,#N/A,FALSE,"P &amp; L"}</definedName>
    <definedName name="xyz13_1_1" localSheetId="26" hidden="1">{#N/A,#N/A,FALSE,"Cash Flows";#N/A,#N/A,FALSE,"Fixed Assets";#N/A,#N/A,FALSE,"Balance Sheet";#N/A,#N/A,FALSE,"P &amp; L"}</definedName>
    <definedName name="xyz13_1_1" localSheetId="0" hidden="1">{#N/A,#N/A,FALSE,"Cash Flows";#N/A,#N/A,FALSE,"Fixed Assets";#N/A,#N/A,FALSE,"Balance Sheet";#N/A,#N/A,FALSE,"P &amp; L"}</definedName>
    <definedName name="xyz13_1_1" hidden="1">{#N/A,#N/A,FALSE,"Cash Flows";#N/A,#N/A,FALSE,"Fixed Assets";#N/A,#N/A,FALSE,"Balance Sheet";#N/A,#N/A,FALSE,"P &amp; L"}</definedName>
    <definedName name="xyz13_1_2" localSheetId="26" hidden="1">{#N/A,#N/A,FALSE,"Cash Flows";#N/A,#N/A,FALSE,"Fixed Assets";#N/A,#N/A,FALSE,"Balance Sheet";#N/A,#N/A,FALSE,"P &amp; L"}</definedName>
    <definedName name="xyz13_1_2" localSheetId="0" hidden="1">{#N/A,#N/A,FALSE,"Cash Flows";#N/A,#N/A,FALSE,"Fixed Assets";#N/A,#N/A,FALSE,"Balance Sheet";#N/A,#N/A,FALSE,"P &amp; L"}</definedName>
    <definedName name="xyz13_1_2" hidden="1">{#N/A,#N/A,FALSE,"Cash Flows";#N/A,#N/A,FALSE,"Fixed Assets";#N/A,#N/A,FALSE,"Balance Sheet";#N/A,#N/A,FALSE,"P &amp; L"}</definedName>
    <definedName name="xyz13_1_3" localSheetId="26" hidden="1">{#N/A,#N/A,FALSE,"Cash Flows";#N/A,#N/A,FALSE,"Fixed Assets";#N/A,#N/A,FALSE,"Balance Sheet";#N/A,#N/A,FALSE,"P &amp; L"}</definedName>
    <definedName name="xyz13_1_3" localSheetId="0" hidden="1">{#N/A,#N/A,FALSE,"Cash Flows";#N/A,#N/A,FALSE,"Fixed Assets";#N/A,#N/A,FALSE,"Balance Sheet";#N/A,#N/A,FALSE,"P &amp; L"}</definedName>
    <definedName name="xyz13_1_3" hidden="1">{#N/A,#N/A,FALSE,"Cash Flows";#N/A,#N/A,FALSE,"Fixed Assets";#N/A,#N/A,FALSE,"Balance Sheet";#N/A,#N/A,FALSE,"P &amp; L"}</definedName>
    <definedName name="xyz13_2" localSheetId="26" hidden="1">{#N/A,#N/A,FALSE,"Cash Flows";#N/A,#N/A,FALSE,"Fixed Assets";#N/A,#N/A,FALSE,"Balance Sheet";#N/A,#N/A,FALSE,"P &amp; L"}</definedName>
    <definedName name="xyz13_2" localSheetId="0" hidden="1">{#N/A,#N/A,FALSE,"Cash Flows";#N/A,#N/A,FALSE,"Fixed Assets";#N/A,#N/A,FALSE,"Balance Sheet";#N/A,#N/A,FALSE,"P &amp; L"}</definedName>
    <definedName name="xyz13_2" hidden="1">{#N/A,#N/A,FALSE,"Cash Flows";#N/A,#N/A,FALSE,"Fixed Assets";#N/A,#N/A,FALSE,"Balance Sheet";#N/A,#N/A,FALSE,"P &amp; L"}</definedName>
    <definedName name="xyz13_2_1" localSheetId="26" hidden="1">{#N/A,#N/A,FALSE,"Cash Flows";#N/A,#N/A,FALSE,"Fixed Assets";#N/A,#N/A,FALSE,"Balance Sheet";#N/A,#N/A,FALSE,"P &amp; L"}</definedName>
    <definedName name="xyz13_2_1" localSheetId="0" hidden="1">{#N/A,#N/A,FALSE,"Cash Flows";#N/A,#N/A,FALSE,"Fixed Assets";#N/A,#N/A,FALSE,"Balance Sheet";#N/A,#N/A,FALSE,"P &amp; L"}</definedName>
    <definedName name="xyz13_2_1" hidden="1">{#N/A,#N/A,FALSE,"Cash Flows";#N/A,#N/A,FALSE,"Fixed Assets";#N/A,#N/A,FALSE,"Balance Sheet";#N/A,#N/A,FALSE,"P &amp; L"}</definedName>
    <definedName name="xyz13_2_2" localSheetId="26" hidden="1">{#N/A,#N/A,FALSE,"Cash Flows";#N/A,#N/A,FALSE,"Fixed Assets";#N/A,#N/A,FALSE,"Balance Sheet";#N/A,#N/A,FALSE,"P &amp; L"}</definedName>
    <definedName name="xyz13_2_2" localSheetId="0" hidden="1">{#N/A,#N/A,FALSE,"Cash Flows";#N/A,#N/A,FALSE,"Fixed Assets";#N/A,#N/A,FALSE,"Balance Sheet";#N/A,#N/A,FALSE,"P &amp; L"}</definedName>
    <definedName name="xyz13_2_2" hidden="1">{#N/A,#N/A,FALSE,"Cash Flows";#N/A,#N/A,FALSE,"Fixed Assets";#N/A,#N/A,FALSE,"Balance Sheet";#N/A,#N/A,FALSE,"P &amp; L"}</definedName>
    <definedName name="xyz13_3" localSheetId="26" hidden="1">{#N/A,#N/A,FALSE,"Cash Flows";#N/A,#N/A,FALSE,"Fixed Assets";#N/A,#N/A,FALSE,"Balance Sheet";#N/A,#N/A,FALSE,"P &amp; L"}</definedName>
    <definedName name="xyz13_3" localSheetId="0" hidden="1">{#N/A,#N/A,FALSE,"Cash Flows";#N/A,#N/A,FALSE,"Fixed Assets";#N/A,#N/A,FALSE,"Balance Sheet";#N/A,#N/A,FALSE,"P &amp; L"}</definedName>
    <definedName name="xyz13_3" hidden="1">{#N/A,#N/A,FALSE,"Cash Flows";#N/A,#N/A,FALSE,"Fixed Assets";#N/A,#N/A,FALSE,"Balance Sheet";#N/A,#N/A,FALSE,"P &amp; L"}</definedName>
    <definedName name="xyz13_4" localSheetId="26" hidden="1">{#N/A,#N/A,FALSE,"Cash Flows";#N/A,#N/A,FALSE,"Fixed Assets";#N/A,#N/A,FALSE,"Balance Sheet";#N/A,#N/A,FALSE,"P &amp; L"}</definedName>
    <definedName name="xyz13_4" localSheetId="0" hidden="1">{#N/A,#N/A,FALSE,"Cash Flows";#N/A,#N/A,FALSE,"Fixed Assets";#N/A,#N/A,FALSE,"Balance Sheet";#N/A,#N/A,FALSE,"P &amp; L"}</definedName>
    <definedName name="xyz13_4" hidden="1">{#N/A,#N/A,FALSE,"Cash Flows";#N/A,#N/A,FALSE,"Fixed Assets";#N/A,#N/A,FALSE,"Balance Sheet";#N/A,#N/A,FALSE,"P &amp; L"}</definedName>
    <definedName name="xyz13_5" localSheetId="26" hidden="1">{#N/A,#N/A,FALSE,"Cash Flows";#N/A,#N/A,FALSE,"Fixed Assets";#N/A,#N/A,FALSE,"Balance Sheet";#N/A,#N/A,FALSE,"P &amp; L"}</definedName>
    <definedName name="xyz13_5" localSheetId="0" hidden="1">{#N/A,#N/A,FALSE,"Cash Flows";#N/A,#N/A,FALSE,"Fixed Assets";#N/A,#N/A,FALSE,"Balance Sheet";#N/A,#N/A,FALSE,"P &amp; L"}</definedName>
    <definedName name="xyz13_5" hidden="1">{#N/A,#N/A,FALSE,"Cash Flows";#N/A,#N/A,FALSE,"Fixed Assets";#N/A,#N/A,FALSE,"Balance Sheet";#N/A,#N/A,FALSE,"P &amp; L"}</definedName>
    <definedName name="xyz14" localSheetId="26" hidden="1">{#N/A,#N/A,FALSE,"Cash Flows";#N/A,#N/A,FALSE,"Fixed Assets";#N/A,#N/A,FALSE,"Balance Sheet";#N/A,#N/A,FALSE,"P &amp; L"}</definedName>
    <definedName name="xyz14" localSheetId="0" hidden="1">{#N/A,#N/A,FALSE,"Cash Flows";#N/A,#N/A,FALSE,"Fixed Assets";#N/A,#N/A,FALSE,"Balance Sheet";#N/A,#N/A,FALSE,"P &amp; L"}</definedName>
    <definedName name="xyz14" hidden="1">{#N/A,#N/A,FALSE,"Cash Flows";#N/A,#N/A,FALSE,"Fixed Assets";#N/A,#N/A,FALSE,"Balance Sheet";#N/A,#N/A,FALSE,"P &amp; L"}</definedName>
    <definedName name="xyz14_1" localSheetId="26" hidden="1">{#N/A,#N/A,FALSE,"Cash Flows";#N/A,#N/A,FALSE,"Fixed Assets";#N/A,#N/A,FALSE,"Balance Sheet";#N/A,#N/A,FALSE,"P &amp; L"}</definedName>
    <definedName name="xyz14_1" localSheetId="0" hidden="1">{#N/A,#N/A,FALSE,"Cash Flows";#N/A,#N/A,FALSE,"Fixed Assets";#N/A,#N/A,FALSE,"Balance Sheet";#N/A,#N/A,FALSE,"P &amp; L"}</definedName>
    <definedName name="xyz14_1" hidden="1">{#N/A,#N/A,FALSE,"Cash Flows";#N/A,#N/A,FALSE,"Fixed Assets";#N/A,#N/A,FALSE,"Balance Sheet";#N/A,#N/A,FALSE,"P &amp; L"}</definedName>
    <definedName name="xyz14_1_1" localSheetId="26" hidden="1">{#N/A,#N/A,FALSE,"Cash Flows";#N/A,#N/A,FALSE,"Fixed Assets";#N/A,#N/A,FALSE,"Balance Sheet";#N/A,#N/A,FALSE,"P &amp; L"}</definedName>
    <definedName name="xyz14_1_1" localSheetId="0" hidden="1">{#N/A,#N/A,FALSE,"Cash Flows";#N/A,#N/A,FALSE,"Fixed Assets";#N/A,#N/A,FALSE,"Balance Sheet";#N/A,#N/A,FALSE,"P &amp; L"}</definedName>
    <definedName name="xyz14_1_1" hidden="1">{#N/A,#N/A,FALSE,"Cash Flows";#N/A,#N/A,FALSE,"Fixed Assets";#N/A,#N/A,FALSE,"Balance Sheet";#N/A,#N/A,FALSE,"P &amp; L"}</definedName>
    <definedName name="xyz14_1_2" localSheetId="26" hidden="1">{#N/A,#N/A,FALSE,"Cash Flows";#N/A,#N/A,FALSE,"Fixed Assets";#N/A,#N/A,FALSE,"Balance Sheet";#N/A,#N/A,FALSE,"P &amp; L"}</definedName>
    <definedName name="xyz14_1_2" localSheetId="0" hidden="1">{#N/A,#N/A,FALSE,"Cash Flows";#N/A,#N/A,FALSE,"Fixed Assets";#N/A,#N/A,FALSE,"Balance Sheet";#N/A,#N/A,FALSE,"P &amp; L"}</definedName>
    <definedName name="xyz14_1_2" hidden="1">{#N/A,#N/A,FALSE,"Cash Flows";#N/A,#N/A,FALSE,"Fixed Assets";#N/A,#N/A,FALSE,"Balance Sheet";#N/A,#N/A,FALSE,"P &amp; L"}</definedName>
    <definedName name="xyz14_1_3" localSheetId="26" hidden="1">{#N/A,#N/A,FALSE,"Cash Flows";#N/A,#N/A,FALSE,"Fixed Assets";#N/A,#N/A,FALSE,"Balance Sheet";#N/A,#N/A,FALSE,"P &amp; L"}</definedName>
    <definedName name="xyz14_1_3" localSheetId="0" hidden="1">{#N/A,#N/A,FALSE,"Cash Flows";#N/A,#N/A,FALSE,"Fixed Assets";#N/A,#N/A,FALSE,"Balance Sheet";#N/A,#N/A,FALSE,"P &amp; L"}</definedName>
    <definedName name="xyz14_1_3" hidden="1">{#N/A,#N/A,FALSE,"Cash Flows";#N/A,#N/A,FALSE,"Fixed Assets";#N/A,#N/A,FALSE,"Balance Sheet";#N/A,#N/A,FALSE,"P &amp; L"}</definedName>
    <definedName name="xyz14_2" localSheetId="26" hidden="1">{#N/A,#N/A,FALSE,"Cash Flows";#N/A,#N/A,FALSE,"Fixed Assets";#N/A,#N/A,FALSE,"Balance Sheet";#N/A,#N/A,FALSE,"P &amp; L"}</definedName>
    <definedName name="xyz14_2" localSheetId="0" hidden="1">{#N/A,#N/A,FALSE,"Cash Flows";#N/A,#N/A,FALSE,"Fixed Assets";#N/A,#N/A,FALSE,"Balance Sheet";#N/A,#N/A,FALSE,"P &amp; L"}</definedName>
    <definedName name="xyz14_2" hidden="1">{#N/A,#N/A,FALSE,"Cash Flows";#N/A,#N/A,FALSE,"Fixed Assets";#N/A,#N/A,FALSE,"Balance Sheet";#N/A,#N/A,FALSE,"P &amp; L"}</definedName>
    <definedName name="xyz14_2_1" localSheetId="26" hidden="1">{#N/A,#N/A,FALSE,"Cash Flows";#N/A,#N/A,FALSE,"Fixed Assets";#N/A,#N/A,FALSE,"Balance Sheet";#N/A,#N/A,FALSE,"P &amp; L"}</definedName>
    <definedName name="xyz14_2_1" localSheetId="0" hidden="1">{#N/A,#N/A,FALSE,"Cash Flows";#N/A,#N/A,FALSE,"Fixed Assets";#N/A,#N/A,FALSE,"Balance Sheet";#N/A,#N/A,FALSE,"P &amp; L"}</definedName>
    <definedName name="xyz14_2_1" hidden="1">{#N/A,#N/A,FALSE,"Cash Flows";#N/A,#N/A,FALSE,"Fixed Assets";#N/A,#N/A,FALSE,"Balance Sheet";#N/A,#N/A,FALSE,"P &amp; L"}</definedName>
    <definedName name="xyz14_2_2" localSheetId="26" hidden="1">{#N/A,#N/A,FALSE,"Cash Flows";#N/A,#N/A,FALSE,"Fixed Assets";#N/A,#N/A,FALSE,"Balance Sheet";#N/A,#N/A,FALSE,"P &amp; L"}</definedName>
    <definedName name="xyz14_2_2" localSheetId="0" hidden="1">{#N/A,#N/A,FALSE,"Cash Flows";#N/A,#N/A,FALSE,"Fixed Assets";#N/A,#N/A,FALSE,"Balance Sheet";#N/A,#N/A,FALSE,"P &amp; L"}</definedName>
    <definedName name="xyz14_2_2" hidden="1">{#N/A,#N/A,FALSE,"Cash Flows";#N/A,#N/A,FALSE,"Fixed Assets";#N/A,#N/A,FALSE,"Balance Sheet";#N/A,#N/A,FALSE,"P &amp; L"}</definedName>
    <definedName name="xyz14_3" localSheetId="26" hidden="1">{#N/A,#N/A,FALSE,"Cash Flows";#N/A,#N/A,FALSE,"Fixed Assets";#N/A,#N/A,FALSE,"Balance Sheet";#N/A,#N/A,FALSE,"P &amp; L"}</definedName>
    <definedName name="xyz14_3" localSheetId="0" hidden="1">{#N/A,#N/A,FALSE,"Cash Flows";#N/A,#N/A,FALSE,"Fixed Assets";#N/A,#N/A,FALSE,"Balance Sheet";#N/A,#N/A,FALSE,"P &amp; L"}</definedName>
    <definedName name="xyz14_3" hidden="1">{#N/A,#N/A,FALSE,"Cash Flows";#N/A,#N/A,FALSE,"Fixed Assets";#N/A,#N/A,FALSE,"Balance Sheet";#N/A,#N/A,FALSE,"P &amp; L"}</definedName>
    <definedName name="xyz14_4" localSheetId="26" hidden="1">{#N/A,#N/A,FALSE,"Cash Flows";#N/A,#N/A,FALSE,"Fixed Assets";#N/A,#N/A,FALSE,"Balance Sheet";#N/A,#N/A,FALSE,"P &amp; L"}</definedName>
    <definedName name="xyz14_4" localSheetId="0" hidden="1">{#N/A,#N/A,FALSE,"Cash Flows";#N/A,#N/A,FALSE,"Fixed Assets";#N/A,#N/A,FALSE,"Balance Sheet";#N/A,#N/A,FALSE,"P &amp; L"}</definedName>
    <definedName name="xyz14_4" hidden="1">{#N/A,#N/A,FALSE,"Cash Flows";#N/A,#N/A,FALSE,"Fixed Assets";#N/A,#N/A,FALSE,"Balance Sheet";#N/A,#N/A,FALSE,"P &amp; L"}</definedName>
    <definedName name="xyz14_5" localSheetId="26" hidden="1">{#N/A,#N/A,FALSE,"Cash Flows";#N/A,#N/A,FALSE,"Fixed Assets";#N/A,#N/A,FALSE,"Balance Sheet";#N/A,#N/A,FALSE,"P &amp; L"}</definedName>
    <definedName name="xyz14_5" localSheetId="0" hidden="1">{#N/A,#N/A,FALSE,"Cash Flows";#N/A,#N/A,FALSE,"Fixed Assets";#N/A,#N/A,FALSE,"Balance Sheet";#N/A,#N/A,FALSE,"P &amp; L"}</definedName>
    <definedName name="xyz14_5" hidden="1">{#N/A,#N/A,FALSE,"Cash Flows";#N/A,#N/A,FALSE,"Fixed Assets";#N/A,#N/A,FALSE,"Balance Sheet";#N/A,#N/A,FALSE,"P &amp; L"}</definedName>
    <definedName name="xyz15" localSheetId="26" hidden="1">{#N/A,#N/A,FALSE,"Cash Flows";#N/A,#N/A,FALSE,"Fixed Assets";#N/A,#N/A,FALSE,"Balance Sheet";#N/A,#N/A,FALSE,"P &amp; L"}</definedName>
    <definedName name="xyz15" localSheetId="0" hidden="1">{#N/A,#N/A,FALSE,"Cash Flows";#N/A,#N/A,FALSE,"Fixed Assets";#N/A,#N/A,FALSE,"Balance Sheet";#N/A,#N/A,FALSE,"P &amp; L"}</definedName>
    <definedName name="xyz15" hidden="1">{#N/A,#N/A,FALSE,"Cash Flows";#N/A,#N/A,FALSE,"Fixed Assets";#N/A,#N/A,FALSE,"Balance Sheet";#N/A,#N/A,FALSE,"P &amp; L"}</definedName>
    <definedName name="xyz15_1" localSheetId="26" hidden="1">{#N/A,#N/A,FALSE,"Cash Flows";#N/A,#N/A,FALSE,"Fixed Assets";#N/A,#N/A,FALSE,"Balance Sheet";#N/A,#N/A,FALSE,"P &amp; L"}</definedName>
    <definedName name="xyz15_1" localSheetId="0" hidden="1">{#N/A,#N/A,FALSE,"Cash Flows";#N/A,#N/A,FALSE,"Fixed Assets";#N/A,#N/A,FALSE,"Balance Sheet";#N/A,#N/A,FALSE,"P &amp; L"}</definedName>
    <definedName name="xyz15_1" hidden="1">{#N/A,#N/A,FALSE,"Cash Flows";#N/A,#N/A,FALSE,"Fixed Assets";#N/A,#N/A,FALSE,"Balance Sheet";#N/A,#N/A,FALSE,"P &amp; L"}</definedName>
    <definedName name="xyz15_1_1" localSheetId="26" hidden="1">{#N/A,#N/A,FALSE,"Cash Flows";#N/A,#N/A,FALSE,"Fixed Assets";#N/A,#N/A,FALSE,"Balance Sheet";#N/A,#N/A,FALSE,"P &amp; L"}</definedName>
    <definedName name="xyz15_1_1" localSheetId="0" hidden="1">{#N/A,#N/A,FALSE,"Cash Flows";#N/A,#N/A,FALSE,"Fixed Assets";#N/A,#N/A,FALSE,"Balance Sheet";#N/A,#N/A,FALSE,"P &amp; L"}</definedName>
    <definedName name="xyz15_1_1" hidden="1">{#N/A,#N/A,FALSE,"Cash Flows";#N/A,#N/A,FALSE,"Fixed Assets";#N/A,#N/A,FALSE,"Balance Sheet";#N/A,#N/A,FALSE,"P &amp; L"}</definedName>
    <definedName name="xyz15_1_2" localSheetId="26" hidden="1">{#N/A,#N/A,FALSE,"Cash Flows";#N/A,#N/A,FALSE,"Fixed Assets";#N/A,#N/A,FALSE,"Balance Sheet";#N/A,#N/A,FALSE,"P &amp; L"}</definedName>
    <definedName name="xyz15_1_2" localSheetId="0" hidden="1">{#N/A,#N/A,FALSE,"Cash Flows";#N/A,#N/A,FALSE,"Fixed Assets";#N/A,#N/A,FALSE,"Balance Sheet";#N/A,#N/A,FALSE,"P &amp; L"}</definedName>
    <definedName name="xyz15_1_2" hidden="1">{#N/A,#N/A,FALSE,"Cash Flows";#N/A,#N/A,FALSE,"Fixed Assets";#N/A,#N/A,FALSE,"Balance Sheet";#N/A,#N/A,FALSE,"P &amp; L"}</definedName>
    <definedName name="xyz15_1_3" localSheetId="26" hidden="1">{#N/A,#N/A,FALSE,"Cash Flows";#N/A,#N/A,FALSE,"Fixed Assets";#N/A,#N/A,FALSE,"Balance Sheet";#N/A,#N/A,FALSE,"P &amp; L"}</definedName>
    <definedName name="xyz15_1_3" localSheetId="0" hidden="1">{#N/A,#N/A,FALSE,"Cash Flows";#N/A,#N/A,FALSE,"Fixed Assets";#N/A,#N/A,FALSE,"Balance Sheet";#N/A,#N/A,FALSE,"P &amp; L"}</definedName>
    <definedName name="xyz15_1_3" hidden="1">{#N/A,#N/A,FALSE,"Cash Flows";#N/A,#N/A,FALSE,"Fixed Assets";#N/A,#N/A,FALSE,"Balance Sheet";#N/A,#N/A,FALSE,"P &amp; L"}</definedName>
    <definedName name="xyz15_2" localSheetId="26" hidden="1">{#N/A,#N/A,FALSE,"Cash Flows";#N/A,#N/A,FALSE,"Fixed Assets";#N/A,#N/A,FALSE,"Balance Sheet";#N/A,#N/A,FALSE,"P &amp; L"}</definedName>
    <definedName name="xyz15_2" localSheetId="0" hidden="1">{#N/A,#N/A,FALSE,"Cash Flows";#N/A,#N/A,FALSE,"Fixed Assets";#N/A,#N/A,FALSE,"Balance Sheet";#N/A,#N/A,FALSE,"P &amp; L"}</definedName>
    <definedName name="xyz15_2" hidden="1">{#N/A,#N/A,FALSE,"Cash Flows";#N/A,#N/A,FALSE,"Fixed Assets";#N/A,#N/A,FALSE,"Balance Sheet";#N/A,#N/A,FALSE,"P &amp; L"}</definedName>
    <definedName name="xyz15_2_1" localSheetId="26" hidden="1">{#N/A,#N/A,FALSE,"Cash Flows";#N/A,#N/A,FALSE,"Fixed Assets";#N/A,#N/A,FALSE,"Balance Sheet";#N/A,#N/A,FALSE,"P &amp; L"}</definedName>
    <definedName name="xyz15_2_1" localSheetId="0" hidden="1">{#N/A,#N/A,FALSE,"Cash Flows";#N/A,#N/A,FALSE,"Fixed Assets";#N/A,#N/A,FALSE,"Balance Sheet";#N/A,#N/A,FALSE,"P &amp; L"}</definedName>
    <definedName name="xyz15_2_1" hidden="1">{#N/A,#N/A,FALSE,"Cash Flows";#N/A,#N/A,FALSE,"Fixed Assets";#N/A,#N/A,FALSE,"Balance Sheet";#N/A,#N/A,FALSE,"P &amp; L"}</definedName>
    <definedName name="xyz15_2_2" localSheetId="26" hidden="1">{#N/A,#N/A,FALSE,"Cash Flows";#N/A,#N/A,FALSE,"Fixed Assets";#N/A,#N/A,FALSE,"Balance Sheet";#N/A,#N/A,FALSE,"P &amp; L"}</definedName>
    <definedName name="xyz15_2_2" localSheetId="0" hidden="1">{#N/A,#N/A,FALSE,"Cash Flows";#N/A,#N/A,FALSE,"Fixed Assets";#N/A,#N/A,FALSE,"Balance Sheet";#N/A,#N/A,FALSE,"P &amp; L"}</definedName>
    <definedName name="xyz15_2_2" hidden="1">{#N/A,#N/A,FALSE,"Cash Flows";#N/A,#N/A,FALSE,"Fixed Assets";#N/A,#N/A,FALSE,"Balance Sheet";#N/A,#N/A,FALSE,"P &amp; L"}</definedName>
    <definedName name="xyz15_3" localSheetId="26" hidden="1">{#N/A,#N/A,FALSE,"Cash Flows";#N/A,#N/A,FALSE,"Fixed Assets";#N/A,#N/A,FALSE,"Balance Sheet";#N/A,#N/A,FALSE,"P &amp; L"}</definedName>
    <definedName name="xyz15_3" localSheetId="0" hidden="1">{#N/A,#N/A,FALSE,"Cash Flows";#N/A,#N/A,FALSE,"Fixed Assets";#N/A,#N/A,FALSE,"Balance Sheet";#N/A,#N/A,FALSE,"P &amp; L"}</definedName>
    <definedName name="xyz15_3" hidden="1">{#N/A,#N/A,FALSE,"Cash Flows";#N/A,#N/A,FALSE,"Fixed Assets";#N/A,#N/A,FALSE,"Balance Sheet";#N/A,#N/A,FALSE,"P &amp; L"}</definedName>
    <definedName name="xyz15_4" localSheetId="26" hidden="1">{#N/A,#N/A,FALSE,"Cash Flows";#N/A,#N/A,FALSE,"Fixed Assets";#N/A,#N/A,FALSE,"Balance Sheet";#N/A,#N/A,FALSE,"P &amp; L"}</definedName>
    <definedName name="xyz15_4" localSheetId="0" hidden="1">{#N/A,#N/A,FALSE,"Cash Flows";#N/A,#N/A,FALSE,"Fixed Assets";#N/A,#N/A,FALSE,"Balance Sheet";#N/A,#N/A,FALSE,"P &amp; L"}</definedName>
    <definedName name="xyz15_4" hidden="1">{#N/A,#N/A,FALSE,"Cash Flows";#N/A,#N/A,FALSE,"Fixed Assets";#N/A,#N/A,FALSE,"Balance Sheet";#N/A,#N/A,FALSE,"P &amp; L"}</definedName>
    <definedName name="xyz15_5" localSheetId="26" hidden="1">{#N/A,#N/A,FALSE,"Cash Flows";#N/A,#N/A,FALSE,"Fixed Assets";#N/A,#N/A,FALSE,"Balance Sheet";#N/A,#N/A,FALSE,"P &amp; L"}</definedName>
    <definedName name="xyz15_5" localSheetId="0" hidden="1">{#N/A,#N/A,FALSE,"Cash Flows";#N/A,#N/A,FALSE,"Fixed Assets";#N/A,#N/A,FALSE,"Balance Sheet";#N/A,#N/A,FALSE,"P &amp; L"}</definedName>
    <definedName name="xyz15_5" hidden="1">{#N/A,#N/A,FALSE,"Cash Flows";#N/A,#N/A,FALSE,"Fixed Assets";#N/A,#N/A,FALSE,"Balance Sheet";#N/A,#N/A,FALSE,"P &amp; L"}</definedName>
    <definedName name="xyz16" localSheetId="26" hidden="1">{#N/A,#N/A,FALSE,"Cash Flows";#N/A,#N/A,FALSE,"Fixed Assets";#N/A,#N/A,FALSE,"Balance Sheet";#N/A,#N/A,FALSE,"P &amp; L"}</definedName>
    <definedName name="xyz16" localSheetId="0" hidden="1">{#N/A,#N/A,FALSE,"Cash Flows";#N/A,#N/A,FALSE,"Fixed Assets";#N/A,#N/A,FALSE,"Balance Sheet";#N/A,#N/A,FALSE,"P &amp; L"}</definedName>
    <definedName name="xyz16" hidden="1">{#N/A,#N/A,FALSE,"Cash Flows";#N/A,#N/A,FALSE,"Fixed Assets";#N/A,#N/A,FALSE,"Balance Sheet";#N/A,#N/A,FALSE,"P &amp; L"}</definedName>
    <definedName name="xyz16_1" localSheetId="26" hidden="1">{#N/A,#N/A,FALSE,"Cash Flows";#N/A,#N/A,FALSE,"Fixed Assets";#N/A,#N/A,FALSE,"Balance Sheet";#N/A,#N/A,FALSE,"P &amp; L"}</definedName>
    <definedName name="xyz16_1" localSheetId="0" hidden="1">{#N/A,#N/A,FALSE,"Cash Flows";#N/A,#N/A,FALSE,"Fixed Assets";#N/A,#N/A,FALSE,"Balance Sheet";#N/A,#N/A,FALSE,"P &amp; L"}</definedName>
    <definedName name="xyz16_1" hidden="1">{#N/A,#N/A,FALSE,"Cash Flows";#N/A,#N/A,FALSE,"Fixed Assets";#N/A,#N/A,FALSE,"Balance Sheet";#N/A,#N/A,FALSE,"P &amp; L"}</definedName>
    <definedName name="xyz16_1_1" localSheetId="26" hidden="1">{#N/A,#N/A,FALSE,"Cash Flows";#N/A,#N/A,FALSE,"Fixed Assets";#N/A,#N/A,FALSE,"Balance Sheet";#N/A,#N/A,FALSE,"P &amp; L"}</definedName>
    <definedName name="xyz16_1_1" localSheetId="0" hidden="1">{#N/A,#N/A,FALSE,"Cash Flows";#N/A,#N/A,FALSE,"Fixed Assets";#N/A,#N/A,FALSE,"Balance Sheet";#N/A,#N/A,FALSE,"P &amp; L"}</definedName>
    <definedName name="xyz16_1_1" hidden="1">{#N/A,#N/A,FALSE,"Cash Flows";#N/A,#N/A,FALSE,"Fixed Assets";#N/A,#N/A,FALSE,"Balance Sheet";#N/A,#N/A,FALSE,"P &amp; L"}</definedName>
    <definedName name="xyz16_1_2" localSheetId="26" hidden="1">{#N/A,#N/A,FALSE,"Cash Flows";#N/A,#N/A,FALSE,"Fixed Assets";#N/A,#N/A,FALSE,"Balance Sheet";#N/A,#N/A,FALSE,"P &amp; L"}</definedName>
    <definedName name="xyz16_1_2" localSheetId="0" hidden="1">{#N/A,#N/A,FALSE,"Cash Flows";#N/A,#N/A,FALSE,"Fixed Assets";#N/A,#N/A,FALSE,"Balance Sheet";#N/A,#N/A,FALSE,"P &amp; L"}</definedName>
    <definedName name="xyz16_1_2" hidden="1">{#N/A,#N/A,FALSE,"Cash Flows";#N/A,#N/A,FALSE,"Fixed Assets";#N/A,#N/A,FALSE,"Balance Sheet";#N/A,#N/A,FALSE,"P &amp; L"}</definedName>
    <definedName name="xyz16_1_3" localSheetId="26" hidden="1">{#N/A,#N/A,FALSE,"Cash Flows";#N/A,#N/A,FALSE,"Fixed Assets";#N/A,#N/A,FALSE,"Balance Sheet";#N/A,#N/A,FALSE,"P &amp; L"}</definedName>
    <definedName name="xyz16_1_3" localSheetId="0" hidden="1">{#N/A,#N/A,FALSE,"Cash Flows";#N/A,#N/A,FALSE,"Fixed Assets";#N/A,#N/A,FALSE,"Balance Sheet";#N/A,#N/A,FALSE,"P &amp; L"}</definedName>
    <definedName name="xyz16_1_3" hidden="1">{#N/A,#N/A,FALSE,"Cash Flows";#N/A,#N/A,FALSE,"Fixed Assets";#N/A,#N/A,FALSE,"Balance Sheet";#N/A,#N/A,FALSE,"P &amp; L"}</definedName>
    <definedName name="xyz16_2" localSheetId="26" hidden="1">{#N/A,#N/A,FALSE,"Cash Flows";#N/A,#N/A,FALSE,"Fixed Assets";#N/A,#N/A,FALSE,"Balance Sheet";#N/A,#N/A,FALSE,"P &amp; L"}</definedName>
    <definedName name="xyz16_2" localSheetId="0" hidden="1">{#N/A,#N/A,FALSE,"Cash Flows";#N/A,#N/A,FALSE,"Fixed Assets";#N/A,#N/A,FALSE,"Balance Sheet";#N/A,#N/A,FALSE,"P &amp; L"}</definedName>
    <definedName name="xyz16_2" hidden="1">{#N/A,#N/A,FALSE,"Cash Flows";#N/A,#N/A,FALSE,"Fixed Assets";#N/A,#N/A,FALSE,"Balance Sheet";#N/A,#N/A,FALSE,"P &amp; L"}</definedName>
    <definedName name="xyz16_2_1" localSheetId="26" hidden="1">{#N/A,#N/A,FALSE,"Cash Flows";#N/A,#N/A,FALSE,"Fixed Assets";#N/A,#N/A,FALSE,"Balance Sheet";#N/A,#N/A,FALSE,"P &amp; L"}</definedName>
    <definedName name="xyz16_2_1" localSheetId="0" hidden="1">{#N/A,#N/A,FALSE,"Cash Flows";#N/A,#N/A,FALSE,"Fixed Assets";#N/A,#N/A,FALSE,"Balance Sheet";#N/A,#N/A,FALSE,"P &amp; L"}</definedName>
    <definedName name="xyz16_2_1" hidden="1">{#N/A,#N/A,FALSE,"Cash Flows";#N/A,#N/A,FALSE,"Fixed Assets";#N/A,#N/A,FALSE,"Balance Sheet";#N/A,#N/A,FALSE,"P &amp; L"}</definedName>
    <definedName name="xyz16_2_2" localSheetId="26" hidden="1">{#N/A,#N/A,FALSE,"Cash Flows";#N/A,#N/A,FALSE,"Fixed Assets";#N/A,#N/A,FALSE,"Balance Sheet";#N/A,#N/A,FALSE,"P &amp; L"}</definedName>
    <definedName name="xyz16_2_2" localSheetId="0" hidden="1">{#N/A,#N/A,FALSE,"Cash Flows";#N/A,#N/A,FALSE,"Fixed Assets";#N/A,#N/A,FALSE,"Balance Sheet";#N/A,#N/A,FALSE,"P &amp; L"}</definedName>
    <definedName name="xyz16_2_2" hidden="1">{#N/A,#N/A,FALSE,"Cash Flows";#N/A,#N/A,FALSE,"Fixed Assets";#N/A,#N/A,FALSE,"Balance Sheet";#N/A,#N/A,FALSE,"P &amp; L"}</definedName>
    <definedName name="xyz16_3" localSheetId="26" hidden="1">{#N/A,#N/A,FALSE,"Cash Flows";#N/A,#N/A,FALSE,"Fixed Assets";#N/A,#N/A,FALSE,"Balance Sheet";#N/A,#N/A,FALSE,"P &amp; L"}</definedName>
    <definedName name="xyz16_3" localSheetId="0" hidden="1">{#N/A,#N/A,FALSE,"Cash Flows";#N/A,#N/A,FALSE,"Fixed Assets";#N/A,#N/A,FALSE,"Balance Sheet";#N/A,#N/A,FALSE,"P &amp; L"}</definedName>
    <definedName name="xyz16_3" hidden="1">{#N/A,#N/A,FALSE,"Cash Flows";#N/A,#N/A,FALSE,"Fixed Assets";#N/A,#N/A,FALSE,"Balance Sheet";#N/A,#N/A,FALSE,"P &amp; L"}</definedName>
    <definedName name="xyz16_4" localSheetId="26" hidden="1">{#N/A,#N/A,FALSE,"Cash Flows";#N/A,#N/A,FALSE,"Fixed Assets";#N/A,#N/A,FALSE,"Balance Sheet";#N/A,#N/A,FALSE,"P &amp; L"}</definedName>
    <definedName name="xyz16_4" localSheetId="0" hidden="1">{#N/A,#N/A,FALSE,"Cash Flows";#N/A,#N/A,FALSE,"Fixed Assets";#N/A,#N/A,FALSE,"Balance Sheet";#N/A,#N/A,FALSE,"P &amp; L"}</definedName>
    <definedName name="xyz16_4" hidden="1">{#N/A,#N/A,FALSE,"Cash Flows";#N/A,#N/A,FALSE,"Fixed Assets";#N/A,#N/A,FALSE,"Balance Sheet";#N/A,#N/A,FALSE,"P &amp; L"}</definedName>
    <definedName name="xyz16_5" localSheetId="26" hidden="1">{#N/A,#N/A,FALSE,"Cash Flows";#N/A,#N/A,FALSE,"Fixed Assets";#N/A,#N/A,FALSE,"Balance Sheet";#N/A,#N/A,FALSE,"P &amp; L"}</definedName>
    <definedName name="xyz16_5" localSheetId="0" hidden="1">{#N/A,#N/A,FALSE,"Cash Flows";#N/A,#N/A,FALSE,"Fixed Assets";#N/A,#N/A,FALSE,"Balance Sheet";#N/A,#N/A,FALSE,"P &amp; L"}</definedName>
    <definedName name="xyz16_5" hidden="1">{#N/A,#N/A,FALSE,"Cash Flows";#N/A,#N/A,FALSE,"Fixed Assets";#N/A,#N/A,FALSE,"Balance Sheet";#N/A,#N/A,FALSE,"P &amp; L"}</definedName>
    <definedName name="xyz17" localSheetId="26" hidden="1">{#N/A,#N/A,TRUE,"Summary";#N/A,#N/A,TRUE,"Balance Sheet";#N/A,#N/A,TRUE,"P &amp; L";#N/A,#N/A,TRUE,"Fixed Assets";#N/A,#N/A,TRUE,"Cash Flows"}</definedName>
    <definedName name="xyz17" localSheetId="0" hidden="1">{#N/A,#N/A,TRUE,"Summary";#N/A,#N/A,TRUE,"Balance Sheet";#N/A,#N/A,TRUE,"P &amp; L";#N/A,#N/A,TRUE,"Fixed Assets";#N/A,#N/A,TRUE,"Cash Flows"}</definedName>
    <definedName name="xyz17" hidden="1">{#N/A,#N/A,TRUE,"Summary";#N/A,#N/A,TRUE,"Balance Sheet";#N/A,#N/A,TRUE,"P &amp; L";#N/A,#N/A,TRUE,"Fixed Assets";#N/A,#N/A,TRUE,"Cash Flows"}</definedName>
    <definedName name="xyz17_1" localSheetId="26" hidden="1">{#N/A,#N/A,TRUE,"Summary";#N/A,#N/A,TRUE,"Balance Sheet";#N/A,#N/A,TRUE,"P &amp; L";#N/A,#N/A,TRUE,"Fixed Assets";#N/A,#N/A,TRUE,"Cash Flows"}</definedName>
    <definedName name="xyz17_1" localSheetId="0" hidden="1">{#N/A,#N/A,TRUE,"Summary";#N/A,#N/A,TRUE,"Balance Sheet";#N/A,#N/A,TRUE,"P &amp; L";#N/A,#N/A,TRUE,"Fixed Assets";#N/A,#N/A,TRUE,"Cash Flows"}</definedName>
    <definedName name="xyz17_1" hidden="1">{#N/A,#N/A,TRUE,"Summary";#N/A,#N/A,TRUE,"Balance Sheet";#N/A,#N/A,TRUE,"P &amp; L";#N/A,#N/A,TRUE,"Fixed Assets";#N/A,#N/A,TRUE,"Cash Flows"}</definedName>
    <definedName name="xyz17_1_1" localSheetId="26" hidden="1">{#N/A,#N/A,TRUE,"Summary";#N/A,#N/A,TRUE,"Balance Sheet";#N/A,#N/A,TRUE,"P &amp; L";#N/A,#N/A,TRUE,"Fixed Assets";#N/A,#N/A,TRUE,"Cash Flows"}</definedName>
    <definedName name="xyz17_1_1" localSheetId="0" hidden="1">{#N/A,#N/A,TRUE,"Summary";#N/A,#N/A,TRUE,"Balance Sheet";#N/A,#N/A,TRUE,"P &amp; L";#N/A,#N/A,TRUE,"Fixed Assets";#N/A,#N/A,TRUE,"Cash Flows"}</definedName>
    <definedName name="xyz17_1_1" hidden="1">{#N/A,#N/A,TRUE,"Summary";#N/A,#N/A,TRUE,"Balance Sheet";#N/A,#N/A,TRUE,"P &amp; L";#N/A,#N/A,TRUE,"Fixed Assets";#N/A,#N/A,TRUE,"Cash Flows"}</definedName>
    <definedName name="xyz17_1_2" localSheetId="26" hidden="1">{#N/A,#N/A,TRUE,"Summary";#N/A,#N/A,TRUE,"Balance Sheet";#N/A,#N/A,TRUE,"P &amp; L";#N/A,#N/A,TRUE,"Fixed Assets";#N/A,#N/A,TRUE,"Cash Flows"}</definedName>
    <definedName name="xyz17_1_2" localSheetId="0" hidden="1">{#N/A,#N/A,TRUE,"Summary";#N/A,#N/A,TRUE,"Balance Sheet";#N/A,#N/A,TRUE,"P &amp; L";#N/A,#N/A,TRUE,"Fixed Assets";#N/A,#N/A,TRUE,"Cash Flows"}</definedName>
    <definedName name="xyz17_1_2" hidden="1">{#N/A,#N/A,TRUE,"Summary";#N/A,#N/A,TRUE,"Balance Sheet";#N/A,#N/A,TRUE,"P &amp; L";#N/A,#N/A,TRUE,"Fixed Assets";#N/A,#N/A,TRUE,"Cash Flows"}</definedName>
    <definedName name="xyz17_1_3" localSheetId="26" hidden="1">{#N/A,#N/A,TRUE,"Summary";#N/A,#N/A,TRUE,"Balance Sheet";#N/A,#N/A,TRUE,"P &amp; L";#N/A,#N/A,TRUE,"Fixed Assets";#N/A,#N/A,TRUE,"Cash Flows"}</definedName>
    <definedName name="xyz17_1_3" localSheetId="0" hidden="1">{#N/A,#N/A,TRUE,"Summary";#N/A,#N/A,TRUE,"Balance Sheet";#N/A,#N/A,TRUE,"P &amp; L";#N/A,#N/A,TRUE,"Fixed Assets";#N/A,#N/A,TRUE,"Cash Flows"}</definedName>
    <definedName name="xyz17_1_3" hidden="1">{#N/A,#N/A,TRUE,"Summary";#N/A,#N/A,TRUE,"Balance Sheet";#N/A,#N/A,TRUE,"P &amp; L";#N/A,#N/A,TRUE,"Fixed Assets";#N/A,#N/A,TRUE,"Cash Flows"}</definedName>
    <definedName name="xyz17_2" localSheetId="26" hidden="1">{#N/A,#N/A,TRUE,"Summary";#N/A,#N/A,TRUE,"Balance Sheet";#N/A,#N/A,TRUE,"P &amp; L";#N/A,#N/A,TRUE,"Fixed Assets";#N/A,#N/A,TRUE,"Cash Flows"}</definedName>
    <definedName name="xyz17_2" localSheetId="0" hidden="1">{#N/A,#N/A,TRUE,"Summary";#N/A,#N/A,TRUE,"Balance Sheet";#N/A,#N/A,TRUE,"P &amp; L";#N/A,#N/A,TRUE,"Fixed Assets";#N/A,#N/A,TRUE,"Cash Flows"}</definedName>
    <definedName name="xyz17_2" hidden="1">{#N/A,#N/A,TRUE,"Summary";#N/A,#N/A,TRUE,"Balance Sheet";#N/A,#N/A,TRUE,"P &amp; L";#N/A,#N/A,TRUE,"Fixed Assets";#N/A,#N/A,TRUE,"Cash Flows"}</definedName>
    <definedName name="xyz17_2_1" localSheetId="26" hidden="1">{#N/A,#N/A,TRUE,"Summary";#N/A,#N/A,TRUE,"Balance Sheet";#N/A,#N/A,TRUE,"P &amp; L";#N/A,#N/A,TRUE,"Fixed Assets";#N/A,#N/A,TRUE,"Cash Flows"}</definedName>
    <definedName name="xyz17_2_1" localSheetId="0" hidden="1">{#N/A,#N/A,TRUE,"Summary";#N/A,#N/A,TRUE,"Balance Sheet";#N/A,#N/A,TRUE,"P &amp; L";#N/A,#N/A,TRUE,"Fixed Assets";#N/A,#N/A,TRUE,"Cash Flows"}</definedName>
    <definedName name="xyz17_2_1" hidden="1">{#N/A,#N/A,TRUE,"Summary";#N/A,#N/A,TRUE,"Balance Sheet";#N/A,#N/A,TRUE,"P &amp; L";#N/A,#N/A,TRUE,"Fixed Assets";#N/A,#N/A,TRUE,"Cash Flows"}</definedName>
    <definedName name="xyz17_2_2" localSheetId="26" hidden="1">{#N/A,#N/A,TRUE,"Summary";#N/A,#N/A,TRUE,"Balance Sheet";#N/A,#N/A,TRUE,"P &amp; L";#N/A,#N/A,TRUE,"Fixed Assets";#N/A,#N/A,TRUE,"Cash Flows"}</definedName>
    <definedName name="xyz17_2_2" localSheetId="0" hidden="1">{#N/A,#N/A,TRUE,"Summary";#N/A,#N/A,TRUE,"Balance Sheet";#N/A,#N/A,TRUE,"P &amp; L";#N/A,#N/A,TRUE,"Fixed Assets";#N/A,#N/A,TRUE,"Cash Flows"}</definedName>
    <definedName name="xyz17_2_2" hidden="1">{#N/A,#N/A,TRUE,"Summary";#N/A,#N/A,TRUE,"Balance Sheet";#N/A,#N/A,TRUE,"P &amp; L";#N/A,#N/A,TRUE,"Fixed Assets";#N/A,#N/A,TRUE,"Cash Flows"}</definedName>
    <definedName name="xyz17_3" localSheetId="26" hidden="1">{#N/A,#N/A,TRUE,"Summary";#N/A,#N/A,TRUE,"Balance Sheet";#N/A,#N/A,TRUE,"P &amp; L";#N/A,#N/A,TRUE,"Fixed Assets";#N/A,#N/A,TRUE,"Cash Flows"}</definedName>
    <definedName name="xyz17_3" localSheetId="0" hidden="1">{#N/A,#N/A,TRUE,"Summary";#N/A,#N/A,TRUE,"Balance Sheet";#N/A,#N/A,TRUE,"P &amp; L";#N/A,#N/A,TRUE,"Fixed Assets";#N/A,#N/A,TRUE,"Cash Flows"}</definedName>
    <definedName name="xyz17_3" hidden="1">{#N/A,#N/A,TRUE,"Summary";#N/A,#N/A,TRUE,"Balance Sheet";#N/A,#N/A,TRUE,"P &amp; L";#N/A,#N/A,TRUE,"Fixed Assets";#N/A,#N/A,TRUE,"Cash Flows"}</definedName>
    <definedName name="xyz17_4" localSheetId="26" hidden="1">{#N/A,#N/A,TRUE,"Summary";#N/A,#N/A,TRUE,"Balance Sheet";#N/A,#N/A,TRUE,"P &amp; L";#N/A,#N/A,TRUE,"Fixed Assets";#N/A,#N/A,TRUE,"Cash Flows"}</definedName>
    <definedName name="xyz17_4" localSheetId="0" hidden="1">{#N/A,#N/A,TRUE,"Summary";#N/A,#N/A,TRUE,"Balance Sheet";#N/A,#N/A,TRUE,"P &amp; L";#N/A,#N/A,TRUE,"Fixed Assets";#N/A,#N/A,TRUE,"Cash Flows"}</definedName>
    <definedName name="xyz17_4" hidden="1">{#N/A,#N/A,TRUE,"Summary";#N/A,#N/A,TRUE,"Balance Sheet";#N/A,#N/A,TRUE,"P &amp; L";#N/A,#N/A,TRUE,"Fixed Assets";#N/A,#N/A,TRUE,"Cash Flows"}</definedName>
    <definedName name="xyz17_5" localSheetId="26" hidden="1">{#N/A,#N/A,TRUE,"Summary";#N/A,#N/A,TRUE,"Balance Sheet";#N/A,#N/A,TRUE,"P &amp; L";#N/A,#N/A,TRUE,"Fixed Assets";#N/A,#N/A,TRUE,"Cash Flows"}</definedName>
    <definedName name="xyz17_5" localSheetId="0" hidden="1">{#N/A,#N/A,TRUE,"Summary";#N/A,#N/A,TRUE,"Balance Sheet";#N/A,#N/A,TRUE,"P &amp; L";#N/A,#N/A,TRUE,"Fixed Assets";#N/A,#N/A,TRUE,"Cash Flows"}</definedName>
    <definedName name="xyz17_5" hidden="1">{#N/A,#N/A,TRUE,"Summary";#N/A,#N/A,TRUE,"Balance Sheet";#N/A,#N/A,TRUE,"P &amp; L";#N/A,#N/A,TRUE,"Fixed Assets";#N/A,#N/A,TRUE,"Cash Flows"}</definedName>
    <definedName name="xyz18" localSheetId="26" hidden="1">{#N/A,#N/A,TRUE,"Summary";#N/A,#N/A,TRUE,"Balance Sheet";#N/A,#N/A,TRUE,"P &amp; L";#N/A,#N/A,TRUE,"Fixed Assets";#N/A,#N/A,TRUE,"Cash Flows"}</definedName>
    <definedName name="xyz18" localSheetId="0" hidden="1">{#N/A,#N/A,TRUE,"Summary";#N/A,#N/A,TRUE,"Balance Sheet";#N/A,#N/A,TRUE,"P &amp; L";#N/A,#N/A,TRUE,"Fixed Assets";#N/A,#N/A,TRUE,"Cash Flows"}</definedName>
    <definedName name="xyz18" hidden="1">{#N/A,#N/A,TRUE,"Summary";#N/A,#N/A,TRUE,"Balance Sheet";#N/A,#N/A,TRUE,"P &amp; L";#N/A,#N/A,TRUE,"Fixed Assets";#N/A,#N/A,TRUE,"Cash Flows"}</definedName>
    <definedName name="xyz18_1" localSheetId="26" hidden="1">{#N/A,#N/A,TRUE,"Summary";#N/A,#N/A,TRUE,"Balance Sheet";#N/A,#N/A,TRUE,"P &amp; L";#N/A,#N/A,TRUE,"Fixed Assets";#N/A,#N/A,TRUE,"Cash Flows"}</definedName>
    <definedName name="xyz18_1" localSheetId="0" hidden="1">{#N/A,#N/A,TRUE,"Summary";#N/A,#N/A,TRUE,"Balance Sheet";#N/A,#N/A,TRUE,"P &amp; L";#N/A,#N/A,TRUE,"Fixed Assets";#N/A,#N/A,TRUE,"Cash Flows"}</definedName>
    <definedName name="xyz18_1" hidden="1">{#N/A,#N/A,TRUE,"Summary";#N/A,#N/A,TRUE,"Balance Sheet";#N/A,#N/A,TRUE,"P &amp; L";#N/A,#N/A,TRUE,"Fixed Assets";#N/A,#N/A,TRUE,"Cash Flows"}</definedName>
    <definedName name="xyz18_1_1" localSheetId="26" hidden="1">{#N/A,#N/A,TRUE,"Summary";#N/A,#N/A,TRUE,"Balance Sheet";#N/A,#N/A,TRUE,"P &amp; L";#N/A,#N/A,TRUE,"Fixed Assets";#N/A,#N/A,TRUE,"Cash Flows"}</definedName>
    <definedName name="xyz18_1_1" localSheetId="0" hidden="1">{#N/A,#N/A,TRUE,"Summary";#N/A,#N/A,TRUE,"Balance Sheet";#N/A,#N/A,TRUE,"P &amp; L";#N/A,#N/A,TRUE,"Fixed Assets";#N/A,#N/A,TRUE,"Cash Flows"}</definedName>
    <definedName name="xyz18_1_1" hidden="1">{#N/A,#N/A,TRUE,"Summary";#N/A,#N/A,TRUE,"Balance Sheet";#N/A,#N/A,TRUE,"P &amp; L";#N/A,#N/A,TRUE,"Fixed Assets";#N/A,#N/A,TRUE,"Cash Flows"}</definedName>
    <definedName name="xyz18_1_2" localSheetId="26" hidden="1">{#N/A,#N/A,TRUE,"Summary";#N/A,#N/A,TRUE,"Balance Sheet";#N/A,#N/A,TRUE,"P &amp; L";#N/A,#N/A,TRUE,"Fixed Assets";#N/A,#N/A,TRUE,"Cash Flows"}</definedName>
    <definedName name="xyz18_1_2" localSheetId="0" hidden="1">{#N/A,#N/A,TRUE,"Summary";#N/A,#N/A,TRUE,"Balance Sheet";#N/A,#N/A,TRUE,"P &amp; L";#N/A,#N/A,TRUE,"Fixed Assets";#N/A,#N/A,TRUE,"Cash Flows"}</definedName>
    <definedName name="xyz18_1_2" hidden="1">{#N/A,#N/A,TRUE,"Summary";#N/A,#N/A,TRUE,"Balance Sheet";#N/A,#N/A,TRUE,"P &amp; L";#N/A,#N/A,TRUE,"Fixed Assets";#N/A,#N/A,TRUE,"Cash Flows"}</definedName>
    <definedName name="xyz18_1_3" localSheetId="26" hidden="1">{#N/A,#N/A,TRUE,"Summary";#N/A,#N/A,TRUE,"Balance Sheet";#N/A,#N/A,TRUE,"P &amp; L";#N/A,#N/A,TRUE,"Fixed Assets";#N/A,#N/A,TRUE,"Cash Flows"}</definedName>
    <definedName name="xyz18_1_3" localSheetId="0" hidden="1">{#N/A,#N/A,TRUE,"Summary";#N/A,#N/A,TRUE,"Balance Sheet";#N/A,#N/A,TRUE,"P &amp; L";#N/A,#N/A,TRUE,"Fixed Assets";#N/A,#N/A,TRUE,"Cash Flows"}</definedName>
    <definedName name="xyz18_1_3" hidden="1">{#N/A,#N/A,TRUE,"Summary";#N/A,#N/A,TRUE,"Balance Sheet";#N/A,#N/A,TRUE,"P &amp; L";#N/A,#N/A,TRUE,"Fixed Assets";#N/A,#N/A,TRUE,"Cash Flows"}</definedName>
    <definedName name="xyz18_2" localSheetId="26" hidden="1">{#N/A,#N/A,TRUE,"Summary";#N/A,#N/A,TRUE,"Balance Sheet";#N/A,#N/A,TRUE,"P &amp; L";#N/A,#N/A,TRUE,"Fixed Assets";#N/A,#N/A,TRUE,"Cash Flows"}</definedName>
    <definedName name="xyz18_2" localSheetId="0" hidden="1">{#N/A,#N/A,TRUE,"Summary";#N/A,#N/A,TRUE,"Balance Sheet";#N/A,#N/A,TRUE,"P &amp; L";#N/A,#N/A,TRUE,"Fixed Assets";#N/A,#N/A,TRUE,"Cash Flows"}</definedName>
    <definedName name="xyz18_2" hidden="1">{#N/A,#N/A,TRUE,"Summary";#N/A,#N/A,TRUE,"Balance Sheet";#N/A,#N/A,TRUE,"P &amp; L";#N/A,#N/A,TRUE,"Fixed Assets";#N/A,#N/A,TRUE,"Cash Flows"}</definedName>
    <definedName name="xyz18_2_1" localSheetId="26" hidden="1">{#N/A,#N/A,TRUE,"Summary";#N/A,#N/A,TRUE,"Balance Sheet";#N/A,#N/A,TRUE,"P &amp; L";#N/A,#N/A,TRUE,"Fixed Assets";#N/A,#N/A,TRUE,"Cash Flows"}</definedName>
    <definedName name="xyz18_2_1" localSheetId="0" hidden="1">{#N/A,#N/A,TRUE,"Summary";#N/A,#N/A,TRUE,"Balance Sheet";#N/A,#N/A,TRUE,"P &amp; L";#N/A,#N/A,TRUE,"Fixed Assets";#N/A,#N/A,TRUE,"Cash Flows"}</definedName>
    <definedName name="xyz18_2_1" hidden="1">{#N/A,#N/A,TRUE,"Summary";#N/A,#N/A,TRUE,"Balance Sheet";#N/A,#N/A,TRUE,"P &amp; L";#N/A,#N/A,TRUE,"Fixed Assets";#N/A,#N/A,TRUE,"Cash Flows"}</definedName>
    <definedName name="xyz18_2_2" localSheetId="26" hidden="1">{#N/A,#N/A,TRUE,"Summary";#N/A,#N/A,TRUE,"Balance Sheet";#N/A,#N/A,TRUE,"P &amp; L";#N/A,#N/A,TRUE,"Fixed Assets";#N/A,#N/A,TRUE,"Cash Flows"}</definedName>
    <definedName name="xyz18_2_2" localSheetId="0" hidden="1">{#N/A,#N/A,TRUE,"Summary";#N/A,#N/A,TRUE,"Balance Sheet";#N/A,#N/A,TRUE,"P &amp; L";#N/A,#N/A,TRUE,"Fixed Assets";#N/A,#N/A,TRUE,"Cash Flows"}</definedName>
    <definedName name="xyz18_2_2" hidden="1">{#N/A,#N/A,TRUE,"Summary";#N/A,#N/A,TRUE,"Balance Sheet";#N/A,#N/A,TRUE,"P &amp; L";#N/A,#N/A,TRUE,"Fixed Assets";#N/A,#N/A,TRUE,"Cash Flows"}</definedName>
    <definedName name="xyz18_3" localSheetId="26" hidden="1">{#N/A,#N/A,TRUE,"Summary";#N/A,#N/A,TRUE,"Balance Sheet";#N/A,#N/A,TRUE,"P &amp; L";#N/A,#N/A,TRUE,"Fixed Assets";#N/A,#N/A,TRUE,"Cash Flows"}</definedName>
    <definedName name="xyz18_3" localSheetId="0" hidden="1">{#N/A,#N/A,TRUE,"Summary";#N/A,#N/A,TRUE,"Balance Sheet";#N/A,#N/A,TRUE,"P &amp; L";#N/A,#N/A,TRUE,"Fixed Assets";#N/A,#N/A,TRUE,"Cash Flows"}</definedName>
    <definedName name="xyz18_3" hidden="1">{#N/A,#N/A,TRUE,"Summary";#N/A,#N/A,TRUE,"Balance Sheet";#N/A,#N/A,TRUE,"P &amp; L";#N/A,#N/A,TRUE,"Fixed Assets";#N/A,#N/A,TRUE,"Cash Flows"}</definedName>
    <definedName name="xyz18_4" localSheetId="26" hidden="1">{#N/A,#N/A,TRUE,"Summary";#N/A,#N/A,TRUE,"Balance Sheet";#N/A,#N/A,TRUE,"P &amp; L";#N/A,#N/A,TRUE,"Fixed Assets";#N/A,#N/A,TRUE,"Cash Flows"}</definedName>
    <definedName name="xyz18_4" localSheetId="0" hidden="1">{#N/A,#N/A,TRUE,"Summary";#N/A,#N/A,TRUE,"Balance Sheet";#N/A,#N/A,TRUE,"P &amp; L";#N/A,#N/A,TRUE,"Fixed Assets";#N/A,#N/A,TRUE,"Cash Flows"}</definedName>
    <definedName name="xyz18_4" hidden="1">{#N/A,#N/A,TRUE,"Summary";#N/A,#N/A,TRUE,"Balance Sheet";#N/A,#N/A,TRUE,"P &amp; L";#N/A,#N/A,TRUE,"Fixed Assets";#N/A,#N/A,TRUE,"Cash Flows"}</definedName>
    <definedName name="xyz18_5" localSheetId="26" hidden="1">{#N/A,#N/A,TRUE,"Summary";#N/A,#N/A,TRUE,"Balance Sheet";#N/A,#N/A,TRUE,"P &amp; L";#N/A,#N/A,TRUE,"Fixed Assets";#N/A,#N/A,TRUE,"Cash Flows"}</definedName>
    <definedName name="xyz18_5" localSheetId="0" hidden="1">{#N/A,#N/A,TRUE,"Summary";#N/A,#N/A,TRUE,"Balance Sheet";#N/A,#N/A,TRUE,"P &amp; L";#N/A,#N/A,TRUE,"Fixed Assets";#N/A,#N/A,TRUE,"Cash Flows"}</definedName>
    <definedName name="xyz18_5" hidden="1">{#N/A,#N/A,TRUE,"Summary";#N/A,#N/A,TRUE,"Balance Sheet";#N/A,#N/A,TRUE,"P &amp; L";#N/A,#N/A,TRUE,"Fixed Assets";#N/A,#N/A,TRUE,"Cash Flows"}</definedName>
    <definedName name="xyz19" localSheetId="26" hidden="1">{#N/A,#N/A,FALSE,"Cash Flows";#N/A,#N/A,FALSE,"Fixed Assets";#N/A,#N/A,FALSE,"Balance Sheet";#N/A,#N/A,FALSE,"P &amp; L"}</definedName>
    <definedName name="xyz19" localSheetId="0" hidden="1">{#N/A,#N/A,FALSE,"Cash Flows";#N/A,#N/A,FALSE,"Fixed Assets";#N/A,#N/A,FALSE,"Balance Sheet";#N/A,#N/A,FALSE,"P &amp; L"}</definedName>
    <definedName name="xyz19" hidden="1">{#N/A,#N/A,FALSE,"Cash Flows";#N/A,#N/A,FALSE,"Fixed Assets";#N/A,#N/A,FALSE,"Balance Sheet";#N/A,#N/A,FALSE,"P &amp; L"}</definedName>
    <definedName name="xyz19_1" localSheetId="26" hidden="1">{#N/A,#N/A,FALSE,"Cash Flows";#N/A,#N/A,FALSE,"Fixed Assets";#N/A,#N/A,FALSE,"Balance Sheet";#N/A,#N/A,FALSE,"P &amp; L"}</definedName>
    <definedName name="xyz19_1" localSheetId="0" hidden="1">{#N/A,#N/A,FALSE,"Cash Flows";#N/A,#N/A,FALSE,"Fixed Assets";#N/A,#N/A,FALSE,"Balance Sheet";#N/A,#N/A,FALSE,"P &amp; L"}</definedName>
    <definedName name="xyz19_1" hidden="1">{#N/A,#N/A,FALSE,"Cash Flows";#N/A,#N/A,FALSE,"Fixed Assets";#N/A,#N/A,FALSE,"Balance Sheet";#N/A,#N/A,FALSE,"P &amp; L"}</definedName>
    <definedName name="xyz19_1_1" localSheetId="26" hidden="1">{#N/A,#N/A,FALSE,"Cash Flows";#N/A,#N/A,FALSE,"Fixed Assets";#N/A,#N/A,FALSE,"Balance Sheet";#N/A,#N/A,FALSE,"P &amp; L"}</definedName>
    <definedName name="xyz19_1_1" localSheetId="0" hidden="1">{#N/A,#N/A,FALSE,"Cash Flows";#N/A,#N/A,FALSE,"Fixed Assets";#N/A,#N/A,FALSE,"Balance Sheet";#N/A,#N/A,FALSE,"P &amp; L"}</definedName>
    <definedName name="xyz19_1_1" hidden="1">{#N/A,#N/A,FALSE,"Cash Flows";#N/A,#N/A,FALSE,"Fixed Assets";#N/A,#N/A,FALSE,"Balance Sheet";#N/A,#N/A,FALSE,"P &amp; L"}</definedName>
    <definedName name="xyz19_1_2" localSheetId="26" hidden="1">{#N/A,#N/A,FALSE,"Cash Flows";#N/A,#N/A,FALSE,"Fixed Assets";#N/A,#N/A,FALSE,"Balance Sheet";#N/A,#N/A,FALSE,"P &amp; L"}</definedName>
    <definedName name="xyz19_1_2" localSheetId="0" hidden="1">{#N/A,#N/A,FALSE,"Cash Flows";#N/A,#N/A,FALSE,"Fixed Assets";#N/A,#N/A,FALSE,"Balance Sheet";#N/A,#N/A,FALSE,"P &amp; L"}</definedName>
    <definedName name="xyz19_1_2" hidden="1">{#N/A,#N/A,FALSE,"Cash Flows";#N/A,#N/A,FALSE,"Fixed Assets";#N/A,#N/A,FALSE,"Balance Sheet";#N/A,#N/A,FALSE,"P &amp; L"}</definedName>
    <definedName name="xyz19_1_3" localSheetId="26" hidden="1">{#N/A,#N/A,FALSE,"Cash Flows";#N/A,#N/A,FALSE,"Fixed Assets";#N/A,#N/A,FALSE,"Balance Sheet";#N/A,#N/A,FALSE,"P &amp; L"}</definedName>
    <definedName name="xyz19_1_3" localSheetId="0" hidden="1">{#N/A,#N/A,FALSE,"Cash Flows";#N/A,#N/A,FALSE,"Fixed Assets";#N/A,#N/A,FALSE,"Balance Sheet";#N/A,#N/A,FALSE,"P &amp; L"}</definedName>
    <definedName name="xyz19_1_3" hidden="1">{#N/A,#N/A,FALSE,"Cash Flows";#N/A,#N/A,FALSE,"Fixed Assets";#N/A,#N/A,FALSE,"Balance Sheet";#N/A,#N/A,FALSE,"P &amp; L"}</definedName>
    <definedName name="xyz19_2" localSheetId="26" hidden="1">{#N/A,#N/A,FALSE,"Cash Flows";#N/A,#N/A,FALSE,"Fixed Assets";#N/A,#N/A,FALSE,"Balance Sheet";#N/A,#N/A,FALSE,"P &amp; L"}</definedName>
    <definedName name="xyz19_2" localSheetId="0" hidden="1">{#N/A,#N/A,FALSE,"Cash Flows";#N/A,#N/A,FALSE,"Fixed Assets";#N/A,#N/A,FALSE,"Balance Sheet";#N/A,#N/A,FALSE,"P &amp; L"}</definedName>
    <definedName name="xyz19_2" hidden="1">{#N/A,#N/A,FALSE,"Cash Flows";#N/A,#N/A,FALSE,"Fixed Assets";#N/A,#N/A,FALSE,"Balance Sheet";#N/A,#N/A,FALSE,"P &amp; L"}</definedName>
    <definedName name="xyz19_2_1" localSheetId="26" hidden="1">{#N/A,#N/A,FALSE,"Cash Flows";#N/A,#N/A,FALSE,"Fixed Assets";#N/A,#N/A,FALSE,"Balance Sheet";#N/A,#N/A,FALSE,"P &amp; L"}</definedName>
    <definedName name="xyz19_2_1" localSheetId="0" hidden="1">{#N/A,#N/A,FALSE,"Cash Flows";#N/A,#N/A,FALSE,"Fixed Assets";#N/A,#N/A,FALSE,"Balance Sheet";#N/A,#N/A,FALSE,"P &amp; L"}</definedName>
    <definedName name="xyz19_2_1" hidden="1">{#N/A,#N/A,FALSE,"Cash Flows";#N/A,#N/A,FALSE,"Fixed Assets";#N/A,#N/A,FALSE,"Balance Sheet";#N/A,#N/A,FALSE,"P &amp; L"}</definedName>
    <definedName name="xyz19_2_2" localSheetId="26" hidden="1">{#N/A,#N/A,FALSE,"Cash Flows";#N/A,#N/A,FALSE,"Fixed Assets";#N/A,#N/A,FALSE,"Balance Sheet";#N/A,#N/A,FALSE,"P &amp; L"}</definedName>
    <definedName name="xyz19_2_2" localSheetId="0" hidden="1">{#N/A,#N/A,FALSE,"Cash Flows";#N/A,#N/A,FALSE,"Fixed Assets";#N/A,#N/A,FALSE,"Balance Sheet";#N/A,#N/A,FALSE,"P &amp; L"}</definedName>
    <definedName name="xyz19_2_2" hidden="1">{#N/A,#N/A,FALSE,"Cash Flows";#N/A,#N/A,FALSE,"Fixed Assets";#N/A,#N/A,FALSE,"Balance Sheet";#N/A,#N/A,FALSE,"P &amp; L"}</definedName>
    <definedName name="xyz19_3" localSheetId="26" hidden="1">{#N/A,#N/A,FALSE,"Cash Flows";#N/A,#N/A,FALSE,"Fixed Assets";#N/A,#N/A,FALSE,"Balance Sheet";#N/A,#N/A,FALSE,"P &amp; L"}</definedName>
    <definedName name="xyz19_3" localSheetId="0" hidden="1">{#N/A,#N/A,FALSE,"Cash Flows";#N/A,#N/A,FALSE,"Fixed Assets";#N/A,#N/A,FALSE,"Balance Sheet";#N/A,#N/A,FALSE,"P &amp; L"}</definedName>
    <definedName name="xyz19_3" hidden="1">{#N/A,#N/A,FALSE,"Cash Flows";#N/A,#N/A,FALSE,"Fixed Assets";#N/A,#N/A,FALSE,"Balance Sheet";#N/A,#N/A,FALSE,"P &amp; L"}</definedName>
    <definedName name="xyz19_4" localSheetId="26" hidden="1">{#N/A,#N/A,FALSE,"Cash Flows";#N/A,#N/A,FALSE,"Fixed Assets";#N/A,#N/A,FALSE,"Balance Sheet";#N/A,#N/A,FALSE,"P &amp; L"}</definedName>
    <definedName name="xyz19_4" localSheetId="0" hidden="1">{#N/A,#N/A,FALSE,"Cash Flows";#N/A,#N/A,FALSE,"Fixed Assets";#N/A,#N/A,FALSE,"Balance Sheet";#N/A,#N/A,FALSE,"P &amp; L"}</definedName>
    <definedName name="xyz19_4" hidden="1">{#N/A,#N/A,FALSE,"Cash Flows";#N/A,#N/A,FALSE,"Fixed Assets";#N/A,#N/A,FALSE,"Balance Sheet";#N/A,#N/A,FALSE,"P &amp; L"}</definedName>
    <definedName name="xyz19_5" localSheetId="26" hidden="1">{#N/A,#N/A,FALSE,"Cash Flows";#N/A,#N/A,FALSE,"Fixed Assets";#N/A,#N/A,FALSE,"Balance Sheet";#N/A,#N/A,FALSE,"P &amp; L"}</definedName>
    <definedName name="xyz19_5" localSheetId="0" hidden="1">{#N/A,#N/A,FALSE,"Cash Flows";#N/A,#N/A,FALSE,"Fixed Assets";#N/A,#N/A,FALSE,"Balance Sheet";#N/A,#N/A,FALSE,"P &amp; L"}</definedName>
    <definedName name="xyz19_5" hidden="1">{#N/A,#N/A,FALSE,"Cash Flows";#N/A,#N/A,FALSE,"Fixed Assets";#N/A,#N/A,FALSE,"Balance Sheet";#N/A,#N/A,FALSE,"P &amp; L"}</definedName>
    <definedName name="xyz2" localSheetId="26" hidden="1">{#N/A,#N/A,FALSE,"Cash Flows";#N/A,#N/A,FALSE,"Fixed Assets";#N/A,#N/A,FALSE,"Balance Sheet";#N/A,#N/A,FALSE,"P &amp; L"}</definedName>
    <definedName name="xyz2" localSheetId="0" hidden="1">{#N/A,#N/A,FALSE,"Cash Flows";#N/A,#N/A,FALSE,"Fixed Assets";#N/A,#N/A,FALSE,"Balance Sheet";#N/A,#N/A,FALSE,"P &amp; L"}</definedName>
    <definedName name="xyz2" hidden="1">{#N/A,#N/A,FALSE,"Cash Flows";#N/A,#N/A,FALSE,"Fixed Assets";#N/A,#N/A,FALSE,"Balance Sheet";#N/A,#N/A,FALSE,"P &amp; L"}</definedName>
    <definedName name="xyz2_1" localSheetId="26" hidden="1">{#N/A,#N/A,FALSE,"Cash Flows";#N/A,#N/A,FALSE,"Fixed Assets";#N/A,#N/A,FALSE,"Balance Sheet";#N/A,#N/A,FALSE,"P &amp; L"}</definedName>
    <definedName name="xyz2_1" localSheetId="0" hidden="1">{#N/A,#N/A,FALSE,"Cash Flows";#N/A,#N/A,FALSE,"Fixed Assets";#N/A,#N/A,FALSE,"Balance Sheet";#N/A,#N/A,FALSE,"P &amp; L"}</definedName>
    <definedName name="xyz2_1" hidden="1">{#N/A,#N/A,FALSE,"Cash Flows";#N/A,#N/A,FALSE,"Fixed Assets";#N/A,#N/A,FALSE,"Balance Sheet";#N/A,#N/A,FALSE,"P &amp; L"}</definedName>
    <definedName name="xyz2_1_1" localSheetId="26" hidden="1">{#N/A,#N/A,FALSE,"Cash Flows";#N/A,#N/A,FALSE,"Fixed Assets";#N/A,#N/A,FALSE,"Balance Sheet";#N/A,#N/A,FALSE,"P &amp; L"}</definedName>
    <definedName name="xyz2_1_1" localSheetId="0" hidden="1">{#N/A,#N/A,FALSE,"Cash Flows";#N/A,#N/A,FALSE,"Fixed Assets";#N/A,#N/A,FALSE,"Balance Sheet";#N/A,#N/A,FALSE,"P &amp; L"}</definedName>
    <definedName name="xyz2_1_1" hidden="1">{#N/A,#N/A,FALSE,"Cash Flows";#N/A,#N/A,FALSE,"Fixed Assets";#N/A,#N/A,FALSE,"Balance Sheet";#N/A,#N/A,FALSE,"P &amp; L"}</definedName>
    <definedName name="xyz2_1_2" localSheetId="26" hidden="1">{#N/A,#N/A,FALSE,"Cash Flows";#N/A,#N/A,FALSE,"Fixed Assets";#N/A,#N/A,FALSE,"Balance Sheet";#N/A,#N/A,FALSE,"P &amp; L"}</definedName>
    <definedName name="xyz2_1_2" localSheetId="0" hidden="1">{#N/A,#N/A,FALSE,"Cash Flows";#N/A,#N/A,FALSE,"Fixed Assets";#N/A,#N/A,FALSE,"Balance Sheet";#N/A,#N/A,FALSE,"P &amp; L"}</definedName>
    <definedName name="xyz2_1_2" hidden="1">{#N/A,#N/A,FALSE,"Cash Flows";#N/A,#N/A,FALSE,"Fixed Assets";#N/A,#N/A,FALSE,"Balance Sheet";#N/A,#N/A,FALSE,"P &amp; L"}</definedName>
    <definedName name="xyz2_1_3" localSheetId="26" hidden="1">{#N/A,#N/A,FALSE,"Cash Flows";#N/A,#N/A,FALSE,"Fixed Assets";#N/A,#N/A,FALSE,"Balance Sheet";#N/A,#N/A,FALSE,"P &amp; L"}</definedName>
    <definedName name="xyz2_1_3" localSheetId="0" hidden="1">{#N/A,#N/A,FALSE,"Cash Flows";#N/A,#N/A,FALSE,"Fixed Assets";#N/A,#N/A,FALSE,"Balance Sheet";#N/A,#N/A,FALSE,"P &amp; L"}</definedName>
    <definedName name="xyz2_1_3" hidden="1">{#N/A,#N/A,FALSE,"Cash Flows";#N/A,#N/A,FALSE,"Fixed Assets";#N/A,#N/A,FALSE,"Balance Sheet";#N/A,#N/A,FALSE,"P &amp; L"}</definedName>
    <definedName name="xyz2_2" localSheetId="26" hidden="1">{#N/A,#N/A,FALSE,"Cash Flows";#N/A,#N/A,FALSE,"Fixed Assets";#N/A,#N/A,FALSE,"Balance Sheet";#N/A,#N/A,FALSE,"P &amp; L"}</definedName>
    <definedName name="xyz2_2" localSheetId="0" hidden="1">{#N/A,#N/A,FALSE,"Cash Flows";#N/A,#N/A,FALSE,"Fixed Assets";#N/A,#N/A,FALSE,"Balance Sheet";#N/A,#N/A,FALSE,"P &amp; L"}</definedName>
    <definedName name="xyz2_2" hidden="1">{#N/A,#N/A,FALSE,"Cash Flows";#N/A,#N/A,FALSE,"Fixed Assets";#N/A,#N/A,FALSE,"Balance Sheet";#N/A,#N/A,FALSE,"P &amp; L"}</definedName>
    <definedName name="xyz2_2_1" localSheetId="26" hidden="1">{#N/A,#N/A,FALSE,"Cash Flows";#N/A,#N/A,FALSE,"Fixed Assets";#N/A,#N/A,FALSE,"Balance Sheet";#N/A,#N/A,FALSE,"P &amp; L"}</definedName>
    <definedName name="xyz2_2_1" localSheetId="0" hidden="1">{#N/A,#N/A,FALSE,"Cash Flows";#N/A,#N/A,FALSE,"Fixed Assets";#N/A,#N/A,FALSE,"Balance Sheet";#N/A,#N/A,FALSE,"P &amp; L"}</definedName>
    <definedName name="xyz2_2_1" hidden="1">{#N/A,#N/A,FALSE,"Cash Flows";#N/A,#N/A,FALSE,"Fixed Assets";#N/A,#N/A,FALSE,"Balance Sheet";#N/A,#N/A,FALSE,"P &amp; L"}</definedName>
    <definedName name="xyz2_2_2" localSheetId="26" hidden="1">{#N/A,#N/A,FALSE,"Cash Flows";#N/A,#N/A,FALSE,"Fixed Assets";#N/A,#N/A,FALSE,"Balance Sheet";#N/A,#N/A,FALSE,"P &amp; L"}</definedName>
    <definedName name="xyz2_2_2" localSheetId="0" hidden="1">{#N/A,#N/A,FALSE,"Cash Flows";#N/A,#N/A,FALSE,"Fixed Assets";#N/A,#N/A,FALSE,"Balance Sheet";#N/A,#N/A,FALSE,"P &amp; L"}</definedName>
    <definedName name="xyz2_2_2" hidden="1">{#N/A,#N/A,FALSE,"Cash Flows";#N/A,#N/A,FALSE,"Fixed Assets";#N/A,#N/A,FALSE,"Balance Sheet";#N/A,#N/A,FALSE,"P &amp; L"}</definedName>
    <definedName name="xyz2_3" localSheetId="26" hidden="1">{#N/A,#N/A,FALSE,"Cash Flows";#N/A,#N/A,FALSE,"Fixed Assets";#N/A,#N/A,FALSE,"Balance Sheet";#N/A,#N/A,FALSE,"P &amp; L"}</definedName>
    <definedName name="xyz2_3" localSheetId="0" hidden="1">{#N/A,#N/A,FALSE,"Cash Flows";#N/A,#N/A,FALSE,"Fixed Assets";#N/A,#N/A,FALSE,"Balance Sheet";#N/A,#N/A,FALSE,"P &amp; L"}</definedName>
    <definedName name="xyz2_3" hidden="1">{#N/A,#N/A,FALSE,"Cash Flows";#N/A,#N/A,FALSE,"Fixed Assets";#N/A,#N/A,FALSE,"Balance Sheet";#N/A,#N/A,FALSE,"P &amp; L"}</definedName>
    <definedName name="xyz2_4" localSheetId="26" hidden="1">{#N/A,#N/A,FALSE,"Cash Flows";#N/A,#N/A,FALSE,"Fixed Assets";#N/A,#N/A,FALSE,"Balance Sheet";#N/A,#N/A,FALSE,"P &amp; L"}</definedName>
    <definedName name="xyz2_4" localSheetId="0" hidden="1">{#N/A,#N/A,FALSE,"Cash Flows";#N/A,#N/A,FALSE,"Fixed Assets";#N/A,#N/A,FALSE,"Balance Sheet";#N/A,#N/A,FALSE,"P &amp; L"}</definedName>
    <definedName name="xyz2_4" hidden="1">{#N/A,#N/A,FALSE,"Cash Flows";#N/A,#N/A,FALSE,"Fixed Assets";#N/A,#N/A,FALSE,"Balance Sheet";#N/A,#N/A,FALSE,"P &amp; L"}</definedName>
    <definedName name="xyz2_5" localSheetId="26" hidden="1">{#N/A,#N/A,FALSE,"Cash Flows";#N/A,#N/A,FALSE,"Fixed Assets";#N/A,#N/A,FALSE,"Balance Sheet";#N/A,#N/A,FALSE,"P &amp; L"}</definedName>
    <definedName name="xyz2_5" localSheetId="0" hidden="1">{#N/A,#N/A,FALSE,"Cash Flows";#N/A,#N/A,FALSE,"Fixed Assets";#N/A,#N/A,FALSE,"Balance Sheet";#N/A,#N/A,FALSE,"P &amp; L"}</definedName>
    <definedName name="xyz2_5" hidden="1">{#N/A,#N/A,FALSE,"Cash Flows";#N/A,#N/A,FALSE,"Fixed Assets";#N/A,#N/A,FALSE,"Balance Sheet";#N/A,#N/A,FALSE,"P &amp; L"}</definedName>
    <definedName name="xyz20" localSheetId="26" hidden="1">{#N/A,#N/A,FALSE,"Cash Flows";#N/A,#N/A,FALSE,"Fixed Assets";#N/A,#N/A,FALSE,"Balance Sheet";#N/A,#N/A,FALSE,"P &amp; L"}</definedName>
    <definedName name="xyz20" localSheetId="0" hidden="1">{#N/A,#N/A,FALSE,"Cash Flows";#N/A,#N/A,FALSE,"Fixed Assets";#N/A,#N/A,FALSE,"Balance Sheet";#N/A,#N/A,FALSE,"P &amp; L"}</definedName>
    <definedName name="xyz20" hidden="1">{#N/A,#N/A,FALSE,"Cash Flows";#N/A,#N/A,FALSE,"Fixed Assets";#N/A,#N/A,FALSE,"Balance Sheet";#N/A,#N/A,FALSE,"P &amp; L"}</definedName>
    <definedName name="xyz20_1" localSheetId="26" hidden="1">{#N/A,#N/A,FALSE,"Cash Flows";#N/A,#N/A,FALSE,"Fixed Assets";#N/A,#N/A,FALSE,"Balance Sheet";#N/A,#N/A,FALSE,"P &amp; L"}</definedName>
    <definedName name="xyz20_1" localSheetId="0" hidden="1">{#N/A,#N/A,FALSE,"Cash Flows";#N/A,#N/A,FALSE,"Fixed Assets";#N/A,#N/A,FALSE,"Balance Sheet";#N/A,#N/A,FALSE,"P &amp; L"}</definedName>
    <definedName name="xyz20_1" hidden="1">{#N/A,#N/A,FALSE,"Cash Flows";#N/A,#N/A,FALSE,"Fixed Assets";#N/A,#N/A,FALSE,"Balance Sheet";#N/A,#N/A,FALSE,"P &amp; L"}</definedName>
    <definedName name="xyz20_1_1" localSheetId="26" hidden="1">{#N/A,#N/A,FALSE,"Cash Flows";#N/A,#N/A,FALSE,"Fixed Assets";#N/A,#N/A,FALSE,"Balance Sheet";#N/A,#N/A,FALSE,"P &amp; L"}</definedName>
    <definedName name="xyz20_1_1" localSheetId="0" hidden="1">{#N/A,#N/A,FALSE,"Cash Flows";#N/A,#N/A,FALSE,"Fixed Assets";#N/A,#N/A,FALSE,"Balance Sheet";#N/A,#N/A,FALSE,"P &amp; L"}</definedName>
    <definedName name="xyz20_1_1" hidden="1">{#N/A,#N/A,FALSE,"Cash Flows";#N/A,#N/A,FALSE,"Fixed Assets";#N/A,#N/A,FALSE,"Balance Sheet";#N/A,#N/A,FALSE,"P &amp; L"}</definedName>
    <definedName name="xyz20_1_2" localSheetId="26" hidden="1">{#N/A,#N/A,FALSE,"Cash Flows";#N/A,#N/A,FALSE,"Fixed Assets";#N/A,#N/A,FALSE,"Balance Sheet";#N/A,#N/A,FALSE,"P &amp; L"}</definedName>
    <definedName name="xyz20_1_2" localSheetId="0" hidden="1">{#N/A,#N/A,FALSE,"Cash Flows";#N/A,#N/A,FALSE,"Fixed Assets";#N/A,#N/A,FALSE,"Balance Sheet";#N/A,#N/A,FALSE,"P &amp; L"}</definedName>
    <definedName name="xyz20_1_2" hidden="1">{#N/A,#N/A,FALSE,"Cash Flows";#N/A,#N/A,FALSE,"Fixed Assets";#N/A,#N/A,FALSE,"Balance Sheet";#N/A,#N/A,FALSE,"P &amp; L"}</definedName>
    <definedName name="xyz20_1_3" localSheetId="26" hidden="1">{#N/A,#N/A,FALSE,"Cash Flows";#N/A,#N/A,FALSE,"Fixed Assets";#N/A,#N/A,FALSE,"Balance Sheet";#N/A,#N/A,FALSE,"P &amp; L"}</definedName>
    <definedName name="xyz20_1_3" localSheetId="0" hidden="1">{#N/A,#N/A,FALSE,"Cash Flows";#N/A,#N/A,FALSE,"Fixed Assets";#N/A,#N/A,FALSE,"Balance Sheet";#N/A,#N/A,FALSE,"P &amp; L"}</definedName>
    <definedName name="xyz20_1_3" hidden="1">{#N/A,#N/A,FALSE,"Cash Flows";#N/A,#N/A,FALSE,"Fixed Assets";#N/A,#N/A,FALSE,"Balance Sheet";#N/A,#N/A,FALSE,"P &amp; L"}</definedName>
    <definedName name="xyz20_2" localSheetId="26" hidden="1">{#N/A,#N/A,FALSE,"Cash Flows";#N/A,#N/A,FALSE,"Fixed Assets";#N/A,#N/A,FALSE,"Balance Sheet";#N/A,#N/A,FALSE,"P &amp; L"}</definedName>
    <definedName name="xyz20_2" localSheetId="0" hidden="1">{#N/A,#N/A,FALSE,"Cash Flows";#N/A,#N/A,FALSE,"Fixed Assets";#N/A,#N/A,FALSE,"Balance Sheet";#N/A,#N/A,FALSE,"P &amp; L"}</definedName>
    <definedName name="xyz20_2" hidden="1">{#N/A,#N/A,FALSE,"Cash Flows";#N/A,#N/A,FALSE,"Fixed Assets";#N/A,#N/A,FALSE,"Balance Sheet";#N/A,#N/A,FALSE,"P &amp; L"}</definedName>
    <definedName name="xyz20_2_1" localSheetId="26" hidden="1">{#N/A,#N/A,FALSE,"Cash Flows";#N/A,#N/A,FALSE,"Fixed Assets";#N/A,#N/A,FALSE,"Balance Sheet";#N/A,#N/A,FALSE,"P &amp; L"}</definedName>
    <definedName name="xyz20_2_1" localSheetId="0" hidden="1">{#N/A,#N/A,FALSE,"Cash Flows";#N/A,#N/A,FALSE,"Fixed Assets";#N/A,#N/A,FALSE,"Balance Sheet";#N/A,#N/A,FALSE,"P &amp; L"}</definedName>
    <definedName name="xyz20_2_1" hidden="1">{#N/A,#N/A,FALSE,"Cash Flows";#N/A,#N/A,FALSE,"Fixed Assets";#N/A,#N/A,FALSE,"Balance Sheet";#N/A,#N/A,FALSE,"P &amp; L"}</definedName>
    <definedName name="xyz20_2_2" localSheetId="26" hidden="1">{#N/A,#N/A,FALSE,"Cash Flows";#N/A,#N/A,FALSE,"Fixed Assets";#N/A,#N/A,FALSE,"Balance Sheet";#N/A,#N/A,FALSE,"P &amp; L"}</definedName>
    <definedName name="xyz20_2_2" localSheetId="0" hidden="1">{#N/A,#N/A,FALSE,"Cash Flows";#N/A,#N/A,FALSE,"Fixed Assets";#N/A,#N/A,FALSE,"Balance Sheet";#N/A,#N/A,FALSE,"P &amp; L"}</definedName>
    <definedName name="xyz20_2_2" hidden="1">{#N/A,#N/A,FALSE,"Cash Flows";#N/A,#N/A,FALSE,"Fixed Assets";#N/A,#N/A,FALSE,"Balance Sheet";#N/A,#N/A,FALSE,"P &amp; L"}</definedName>
    <definedName name="xyz20_3" localSheetId="26" hidden="1">{#N/A,#N/A,FALSE,"Cash Flows";#N/A,#N/A,FALSE,"Fixed Assets";#N/A,#N/A,FALSE,"Balance Sheet";#N/A,#N/A,FALSE,"P &amp; L"}</definedName>
    <definedName name="xyz20_3" localSheetId="0" hidden="1">{#N/A,#N/A,FALSE,"Cash Flows";#N/A,#N/A,FALSE,"Fixed Assets";#N/A,#N/A,FALSE,"Balance Sheet";#N/A,#N/A,FALSE,"P &amp; L"}</definedName>
    <definedName name="xyz20_3" hidden="1">{#N/A,#N/A,FALSE,"Cash Flows";#N/A,#N/A,FALSE,"Fixed Assets";#N/A,#N/A,FALSE,"Balance Sheet";#N/A,#N/A,FALSE,"P &amp; L"}</definedName>
    <definedName name="xyz20_4" localSheetId="26" hidden="1">{#N/A,#N/A,FALSE,"Cash Flows";#N/A,#N/A,FALSE,"Fixed Assets";#N/A,#N/A,FALSE,"Balance Sheet";#N/A,#N/A,FALSE,"P &amp; L"}</definedName>
    <definedName name="xyz20_4" localSheetId="0" hidden="1">{#N/A,#N/A,FALSE,"Cash Flows";#N/A,#N/A,FALSE,"Fixed Assets";#N/A,#N/A,FALSE,"Balance Sheet";#N/A,#N/A,FALSE,"P &amp; L"}</definedName>
    <definedName name="xyz20_4" hidden="1">{#N/A,#N/A,FALSE,"Cash Flows";#N/A,#N/A,FALSE,"Fixed Assets";#N/A,#N/A,FALSE,"Balance Sheet";#N/A,#N/A,FALSE,"P &amp; L"}</definedName>
    <definedName name="xyz20_5" localSheetId="26" hidden="1">{#N/A,#N/A,FALSE,"Cash Flows";#N/A,#N/A,FALSE,"Fixed Assets";#N/A,#N/A,FALSE,"Balance Sheet";#N/A,#N/A,FALSE,"P &amp; L"}</definedName>
    <definedName name="xyz20_5" localSheetId="0" hidden="1">{#N/A,#N/A,FALSE,"Cash Flows";#N/A,#N/A,FALSE,"Fixed Assets";#N/A,#N/A,FALSE,"Balance Sheet";#N/A,#N/A,FALSE,"P &amp; L"}</definedName>
    <definedName name="xyz20_5" hidden="1">{#N/A,#N/A,FALSE,"Cash Flows";#N/A,#N/A,FALSE,"Fixed Assets";#N/A,#N/A,FALSE,"Balance Sheet";#N/A,#N/A,FALSE,"P &amp; L"}</definedName>
    <definedName name="xyz21" localSheetId="26" hidden="1">{#N/A,#N/A,TRUE,"Summary";#N/A,#N/A,TRUE,"Balance Sheet";#N/A,#N/A,TRUE,"P &amp; L";#N/A,#N/A,TRUE,"Fixed Assets";#N/A,#N/A,TRUE,"Cash Flows"}</definedName>
    <definedName name="xyz21" localSheetId="0" hidden="1">{#N/A,#N/A,TRUE,"Summary";#N/A,#N/A,TRUE,"Balance Sheet";#N/A,#N/A,TRUE,"P &amp; L";#N/A,#N/A,TRUE,"Fixed Assets";#N/A,#N/A,TRUE,"Cash Flows"}</definedName>
    <definedName name="xyz21" hidden="1">{#N/A,#N/A,TRUE,"Summary";#N/A,#N/A,TRUE,"Balance Sheet";#N/A,#N/A,TRUE,"P &amp; L";#N/A,#N/A,TRUE,"Fixed Assets";#N/A,#N/A,TRUE,"Cash Flows"}</definedName>
    <definedName name="xyz21_1" localSheetId="26" hidden="1">{#N/A,#N/A,TRUE,"Summary";#N/A,#N/A,TRUE,"Balance Sheet";#N/A,#N/A,TRUE,"P &amp; L";#N/A,#N/A,TRUE,"Fixed Assets";#N/A,#N/A,TRUE,"Cash Flows"}</definedName>
    <definedName name="xyz21_1" localSheetId="0" hidden="1">{#N/A,#N/A,TRUE,"Summary";#N/A,#N/A,TRUE,"Balance Sheet";#N/A,#N/A,TRUE,"P &amp; L";#N/A,#N/A,TRUE,"Fixed Assets";#N/A,#N/A,TRUE,"Cash Flows"}</definedName>
    <definedName name="xyz21_1" hidden="1">{#N/A,#N/A,TRUE,"Summary";#N/A,#N/A,TRUE,"Balance Sheet";#N/A,#N/A,TRUE,"P &amp; L";#N/A,#N/A,TRUE,"Fixed Assets";#N/A,#N/A,TRUE,"Cash Flows"}</definedName>
    <definedName name="xyz21_1_1" localSheetId="26" hidden="1">{#N/A,#N/A,TRUE,"Summary";#N/A,#N/A,TRUE,"Balance Sheet";#N/A,#N/A,TRUE,"P &amp; L";#N/A,#N/A,TRUE,"Fixed Assets";#N/A,#N/A,TRUE,"Cash Flows"}</definedName>
    <definedName name="xyz21_1_1" localSheetId="0" hidden="1">{#N/A,#N/A,TRUE,"Summary";#N/A,#N/A,TRUE,"Balance Sheet";#N/A,#N/A,TRUE,"P &amp; L";#N/A,#N/A,TRUE,"Fixed Assets";#N/A,#N/A,TRUE,"Cash Flows"}</definedName>
    <definedName name="xyz21_1_1" hidden="1">{#N/A,#N/A,TRUE,"Summary";#N/A,#N/A,TRUE,"Balance Sheet";#N/A,#N/A,TRUE,"P &amp; L";#N/A,#N/A,TRUE,"Fixed Assets";#N/A,#N/A,TRUE,"Cash Flows"}</definedName>
    <definedName name="xyz21_1_2" localSheetId="26" hidden="1">{#N/A,#N/A,TRUE,"Summary";#N/A,#N/A,TRUE,"Balance Sheet";#N/A,#N/A,TRUE,"P &amp; L";#N/A,#N/A,TRUE,"Fixed Assets";#N/A,#N/A,TRUE,"Cash Flows"}</definedName>
    <definedName name="xyz21_1_2" localSheetId="0" hidden="1">{#N/A,#N/A,TRUE,"Summary";#N/A,#N/A,TRUE,"Balance Sheet";#N/A,#N/A,TRUE,"P &amp; L";#N/A,#N/A,TRUE,"Fixed Assets";#N/A,#N/A,TRUE,"Cash Flows"}</definedName>
    <definedName name="xyz21_1_2" hidden="1">{#N/A,#N/A,TRUE,"Summary";#N/A,#N/A,TRUE,"Balance Sheet";#N/A,#N/A,TRUE,"P &amp; L";#N/A,#N/A,TRUE,"Fixed Assets";#N/A,#N/A,TRUE,"Cash Flows"}</definedName>
    <definedName name="xyz21_1_3" localSheetId="26" hidden="1">{#N/A,#N/A,TRUE,"Summary";#N/A,#N/A,TRUE,"Balance Sheet";#N/A,#N/A,TRUE,"P &amp; L";#N/A,#N/A,TRUE,"Fixed Assets";#N/A,#N/A,TRUE,"Cash Flows"}</definedName>
    <definedName name="xyz21_1_3" localSheetId="0" hidden="1">{#N/A,#N/A,TRUE,"Summary";#N/A,#N/A,TRUE,"Balance Sheet";#N/A,#N/A,TRUE,"P &amp; L";#N/A,#N/A,TRUE,"Fixed Assets";#N/A,#N/A,TRUE,"Cash Flows"}</definedName>
    <definedName name="xyz21_1_3" hidden="1">{#N/A,#N/A,TRUE,"Summary";#N/A,#N/A,TRUE,"Balance Sheet";#N/A,#N/A,TRUE,"P &amp; L";#N/A,#N/A,TRUE,"Fixed Assets";#N/A,#N/A,TRUE,"Cash Flows"}</definedName>
    <definedName name="xyz21_2" localSheetId="26" hidden="1">{#N/A,#N/A,TRUE,"Summary";#N/A,#N/A,TRUE,"Balance Sheet";#N/A,#N/A,TRUE,"P &amp; L";#N/A,#N/A,TRUE,"Fixed Assets";#N/A,#N/A,TRUE,"Cash Flows"}</definedName>
    <definedName name="xyz21_2" localSheetId="0" hidden="1">{#N/A,#N/A,TRUE,"Summary";#N/A,#N/A,TRUE,"Balance Sheet";#N/A,#N/A,TRUE,"P &amp; L";#N/A,#N/A,TRUE,"Fixed Assets";#N/A,#N/A,TRUE,"Cash Flows"}</definedName>
    <definedName name="xyz21_2" hidden="1">{#N/A,#N/A,TRUE,"Summary";#N/A,#N/A,TRUE,"Balance Sheet";#N/A,#N/A,TRUE,"P &amp; L";#N/A,#N/A,TRUE,"Fixed Assets";#N/A,#N/A,TRUE,"Cash Flows"}</definedName>
    <definedName name="xyz21_2_1" localSheetId="26" hidden="1">{#N/A,#N/A,TRUE,"Summary";#N/A,#N/A,TRUE,"Balance Sheet";#N/A,#N/A,TRUE,"P &amp; L";#N/A,#N/A,TRUE,"Fixed Assets";#N/A,#N/A,TRUE,"Cash Flows"}</definedName>
    <definedName name="xyz21_2_1" localSheetId="0" hidden="1">{#N/A,#N/A,TRUE,"Summary";#N/A,#N/A,TRUE,"Balance Sheet";#N/A,#N/A,TRUE,"P &amp; L";#N/A,#N/A,TRUE,"Fixed Assets";#N/A,#N/A,TRUE,"Cash Flows"}</definedName>
    <definedName name="xyz21_2_1" hidden="1">{#N/A,#N/A,TRUE,"Summary";#N/A,#N/A,TRUE,"Balance Sheet";#N/A,#N/A,TRUE,"P &amp; L";#N/A,#N/A,TRUE,"Fixed Assets";#N/A,#N/A,TRUE,"Cash Flows"}</definedName>
    <definedName name="xyz21_2_2" localSheetId="26" hidden="1">{#N/A,#N/A,TRUE,"Summary";#N/A,#N/A,TRUE,"Balance Sheet";#N/A,#N/A,TRUE,"P &amp; L";#N/A,#N/A,TRUE,"Fixed Assets";#N/A,#N/A,TRUE,"Cash Flows"}</definedName>
    <definedName name="xyz21_2_2" localSheetId="0" hidden="1">{#N/A,#N/A,TRUE,"Summary";#N/A,#N/A,TRUE,"Balance Sheet";#N/A,#N/A,TRUE,"P &amp; L";#N/A,#N/A,TRUE,"Fixed Assets";#N/A,#N/A,TRUE,"Cash Flows"}</definedName>
    <definedName name="xyz21_2_2" hidden="1">{#N/A,#N/A,TRUE,"Summary";#N/A,#N/A,TRUE,"Balance Sheet";#N/A,#N/A,TRUE,"P &amp; L";#N/A,#N/A,TRUE,"Fixed Assets";#N/A,#N/A,TRUE,"Cash Flows"}</definedName>
    <definedName name="xyz21_3" localSheetId="26" hidden="1">{#N/A,#N/A,TRUE,"Summary";#N/A,#N/A,TRUE,"Balance Sheet";#N/A,#N/A,TRUE,"P &amp; L";#N/A,#N/A,TRUE,"Fixed Assets";#N/A,#N/A,TRUE,"Cash Flows"}</definedName>
    <definedName name="xyz21_3" localSheetId="0" hidden="1">{#N/A,#N/A,TRUE,"Summary";#N/A,#N/A,TRUE,"Balance Sheet";#N/A,#N/A,TRUE,"P &amp; L";#N/A,#N/A,TRUE,"Fixed Assets";#N/A,#N/A,TRUE,"Cash Flows"}</definedName>
    <definedName name="xyz21_3" hidden="1">{#N/A,#N/A,TRUE,"Summary";#N/A,#N/A,TRUE,"Balance Sheet";#N/A,#N/A,TRUE,"P &amp; L";#N/A,#N/A,TRUE,"Fixed Assets";#N/A,#N/A,TRUE,"Cash Flows"}</definedName>
    <definedName name="xyz21_4" localSheetId="26" hidden="1">{#N/A,#N/A,TRUE,"Summary";#N/A,#N/A,TRUE,"Balance Sheet";#N/A,#N/A,TRUE,"P &amp; L";#N/A,#N/A,TRUE,"Fixed Assets";#N/A,#N/A,TRUE,"Cash Flows"}</definedName>
    <definedName name="xyz21_4" localSheetId="0" hidden="1">{#N/A,#N/A,TRUE,"Summary";#N/A,#N/A,TRUE,"Balance Sheet";#N/A,#N/A,TRUE,"P &amp; L";#N/A,#N/A,TRUE,"Fixed Assets";#N/A,#N/A,TRUE,"Cash Flows"}</definedName>
    <definedName name="xyz21_4" hidden="1">{#N/A,#N/A,TRUE,"Summary";#N/A,#N/A,TRUE,"Balance Sheet";#N/A,#N/A,TRUE,"P &amp; L";#N/A,#N/A,TRUE,"Fixed Assets";#N/A,#N/A,TRUE,"Cash Flows"}</definedName>
    <definedName name="xyz21_5" localSheetId="26" hidden="1">{#N/A,#N/A,TRUE,"Summary";#N/A,#N/A,TRUE,"Balance Sheet";#N/A,#N/A,TRUE,"P &amp; L";#N/A,#N/A,TRUE,"Fixed Assets";#N/A,#N/A,TRUE,"Cash Flows"}</definedName>
    <definedName name="xyz21_5" localSheetId="0" hidden="1">{#N/A,#N/A,TRUE,"Summary";#N/A,#N/A,TRUE,"Balance Sheet";#N/A,#N/A,TRUE,"P &amp; L";#N/A,#N/A,TRUE,"Fixed Assets";#N/A,#N/A,TRUE,"Cash Flows"}</definedName>
    <definedName name="xyz21_5" hidden="1">{#N/A,#N/A,TRUE,"Summary";#N/A,#N/A,TRUE,"Balance Sheet";#N/A,#N/A,TRUE,"P &amp; L";#N/A,#N/A,TRUE,"Fixed Assets";#N/A,#N/A,TRUE,"Cash Flows"}</definedName>
    <definedName name="xyz22" localSheetId="26" hidden="1">{#N/A,#N/A,FALSE,"Cash Flows";#N/A,#N/A,FALSE,"Fixed Assets";#N/A,#N/A,FALSE,"Balance Sheet";#N/A,#N/A,FALSE,"P &amp; L"}</definedName>
    <definedName name="xyz22" localSheetId="0" hidden="1">{#N/A,#N/A,FALSE,"Cash Flows";#N/A,#N/A,FALSE,"Fixed Assets";#N/A,#N/A,FALSE,"Balance Sheet";#N/A,#N/A,FALSE,"P &amp; L"}</definedName>
    <definedName name="xyz22" hidden="1">{#N/A,#N/A,FALSE,"Cash Flows";#N/A,#N/A,FALSE,"Fixed Assets";#N/A,#N/A,FALSE,"Balance Sheet";#N/A,#N/A,FALSE,"P &amp; L"}</definedName>
    <definedName name="xyz22_1" localSheetId="26" hidden="1">{#N/A,#N/A,FALSE,"Cash Flows";#N/A,#N/A,FALSE,"Fixed Assets";#N/A,#N/A,FALSE,"Balance Sheet";#N/A,#N/A,FALSE,"P &amp; L"}</definedName>
    <definedName name="xyz22_1" localSheetId="0" hidden="1">{#N/A,#N/A,FALSE,"Cash Flows";#N/A,#N/A,FALSE,"Fixed Assets";#N/A,#N/A,FALSE,"Balance Sheet";#N/A,#N/A,FALSE,"P &amp; L"}</definedName>
    <definedName name="xyz22_1" hidden="1">{#N/A,#N/A,FALSE,"Cash Flows";#N/A,#N/A,FALSE,"Fixed Assets";#N/A,#N/A,FALSE,"Balance Sheet";#N/A,#N/A,FALSE,"P &amp; L"}</definedName>
    <definedName name="xyz22_1_1" localSheetId="26" hidden="1">{#N/A,#N/A,FALSE,"Cash Flows";#N/A,#N/A,FALSE,"Fixed Assets";#N/A,#N/A,FALSE,"Balance Sheet";#N/A,#N/A,FALSE,"P &amp; L"}</definedName>
    <definedName name="xyz22_1_1" localSheetId="0" hidden="1">{#N/A,#N/A,FALSE,"Cash Flows";#N/A,#N/A,FALSE,"Fixed Assets";#N/A,#N/A,FALSE,"Balance Sheet";#N/A,#N/A,FALSE,"P &amp; L"}</definedName>
    <definedName name="xyz22_1_1" hidden="1">{#N/A,#N/A,FALSE,"Cash Flows";#N/A,#N/A,FALSE,"Fixed Assets";#N/A,#N/A,FALSE,"Balance Sheet";#N/A,#N/A,FALSE,"P &amp; L"}</definedName>
    <definedName name="xyz22_1_2" localSheetId="26" hidden="1">{#N/A,#N/A,FALSE,"Cash Flows";#N/A,#N/A,FALSE,"Fixed Assets";#N/A,#N/A,FALSE,"Balance Sheet";#N/A,#N/A,FALSE,"P &amp; L"}</definedName>
    <definedName name="xyz22_1_2" localSheetId="0" hidden="1">{#N/A,#N/A,FALSE,"Cash Flows";#N/A,#N/A,FALSE,"Fixed Assets";#N/A,#N/A,FALSE,"Balance Sheet";#N/A,#N/A,FALSE,"P &amp; L"}</definedName>
    <definedName name="xyz22_1_2" hidden="1">{#N/A,#N/A,FALSE,"Cash Flows";#N/A,#N/A,FALSE,"Fixed Assets";#N/A,#N/A,FALSE,"Balance Sheet";#N/A,#N/A,FALSE,"P &amp; L"}</definedName>
    <definedName name="xyz22_1_3" localSheetId="26" hidden="1">{#N/A,#N/A,FALSE,"Cash Flows";#N/A,#N/A,FALSE,"Fixed Assets";#N/A,#N/A,FALSE,"Balance Sheet";#N/A,#N/A,FALSE,"P &amp; L"}</definedName>
    <definedName name="xyz22_1_3" localSheetId="0" hidden="1">{#N/A,#N/A,FALSE,"Cash Flows";#N/A,#N/A,FALSE,"Fixed Assets";#N/A,#N/A,FALSE,"Balance Sheet";#N/A,#N/A,FALSE,"P &amp; L"}</definedName>
    <definedName name="xyz22_1_3" hidden="1">{#N/A,#N/A,FALSE,"Cash Flows";#N/A,#N/A,FALSE,"Fixed Assets";#N/A,#N/A,FALSE,"Balance Sheet";#N/A,#N/A,FALSE,"P &amp; L"}</definedName>
    <definedName name="xyz22_2" localSheetId="26" hidden="1">{#N/A,#N/A,FALSE,"Cash Flows";#N/A,#N/A,FALSE,"Fixed Assets";#N/A,#N/A,FALSE,"Balance Sheet";#N/A,#N/A,FALSE,"P &amp; L"}</definedName>
    <definedName name="xyz22_2" localSheetId="0" hidden="1">{#N/A,#N/A,FALSE,"Cash Flows";#N/A,#N/A,FALSE,"Fixed Assets";#N/A,#N/A,FALSE,"Balance Sheet";#N/A,#N/A,FALSE,"P &amp; L"}</definedName>
    <definedName name="xyz22_2" hidden="1">{#N/A,#N/A,FALSE,"Cash Flows";#N/A,#N/A,FALSE,"Fixed Assets";#N/A,#N/A,FALSE,"Balance Sheet";#N/A,#N/A,FALSE,"P &amp; L"}</definedName>
    <definedName name="xyz22_2_1" localSheetId="26" hidden="1">{#N/A,#N/A,FALSE,"Cash Flows";#N/A,#N/A,FALSE,"Fixed Assets";#N/A,#N/A,FALSE,"Balance Sheet";#N/A,#N/A,FALSE,"P &amp; L"}</definedName>
    <definedName name="xyz22_2_1" localSheetId="0" hidden="1">{#N/A,#N/A,FALSE,"Cash Flows";#N/A,#N/A,FALSE,"Fixed Assets";#N/A,#N/A,FALSE,"Balance Sheet";#N/A,#N/A,FALSE,"P &amp; L"}</definedName>
    <definedName name="xyz22_2_1" hidden="1">{#N/A,#N/A,FALSE,"Cash Flows";#N/A,#N/A,FALSE,"Fixed Assets";#N/A,#N/A,FALSE,"Balance Sheet";#N/A,#N/A,FALSE,"P &amp; L"}</definedName>
    <definedName name="xyz22_2_2" localSheetId="26" hidden="1">{#N/A,#N/A,FALSE,"Cash Flows";#N/A,#N/A,FALSE,"Fixed Assets";#N/A,#N/A,FALSE,"Balance Sheet";#N/A,#N/A,FALSE,"P &amp; L"}</definedName>
    <definedName name="xyz22_2_2" localSheetId="0" hidden="1">{#N/A,#N/A,FALSE,"Cash Flows";#N/A,#N/A,FALSE,"Fixed Assets";#N/A,#N/A,FALSE,"Balance Sheet";#N/A,#N/A,FALSE,"P &amp; L"}</definedName>
    <definedName name="xyz22_2_2" hidden="1">{#N/A,#N/A,FALSE,"Cash Flows";#N/A,#N/A,FALSE,"Fixed Assets";#N/A,#N/A,FALSE,"Balance Sheet";#N/A,#N/A,FALSE,"P &amp; L"}</definedName>
    <definedName name="xyz22_3" localSheetId="26" hidden="1">{#N/A,#N/A,FALSE,"Cash Flows";#N/A,#N/A,FALSE,"Fixed Assets";#N/A,#N/A,FALSE,"Balance Sheet";#N/A,#N/A,FALSE,"P &amp; L"}</definedName>
    <definedName name="xyz22_3" localSheetId="0" hidden="1">{#N/A,#N/A,FALSE,"Cash Flows";#N/A,#N/A,FALSE,"Fixed Assets";#N/A,#N/A,FALSE,"Balance Sheet";#N/A,#N/A,FALSE,"P &amp; L"}</definedName>
    <definedName name="xyz22_3" hidden="1">{#N/A,#N/A,FALSE,"Cash Flows";#N/A,#N/A,FALSE,"Fixed Assets";#N/A,#N/A,FALSE,"Balance Sheet";#N/A,#N/A,FALSE,"P &amp; L"}</definedName>
    <definedName name="xyz22_4" localSheetId="26" hidden="1">{#N/A,#N/A,FALSE,"Cash Flows";#N/A,#N/A,FALSE,"Fixed Assets";#N/A,#N/A,FALSE,"Balance Sheet";#N/A,#N/A,FALSE,"P &amp; L"}</definedName>
    <definedName name="xyz22_4" localSheetId="0" hidden="1">{#N/A,#N/A,FALSE,"Cash Flows";#N/A,#N/A,FALSE,"Fixed Assets";#N/A,#N/A,FALSE,"Balance Sheet";#N/A,#N/A,FALSE,"P &amp; L"}</definedName>
    <definedName name="xyz22_4" hidden="1">{#N/A,#N/A,FALSE,"Cash Flows";#N/A,#N/A,FALSE,"Fixed Assets";#N/A,#N/A,FALSE,"Balance Sheet";#N/A,#N/A,FALSE,"P &amp; L"}</definedName>
    <definedName name="xyz22_5" localSheetId="26" hidden="1">{#N/A,#N/A,FALSE,"Cash Flows";#N/A,#N/A,FALSE,"Fixed Assets";#N/A,#N/A,FALSE,"Balance Sheet";#N/A,#N/A,FALSE,"P &amp; L"}</definedName>
    <definedName name="xyz22_5" localSheetId="0" hidden="1">{#N/A,#N/A,FALSE,"Cash Flows";#N/A,#N/A,FALSE,"Fixed Assets";#N/A,#N/A,FALSE,"Balance Sheet";#N/A,#N/A,FALSE,"P &amp; L"}</definedName>
    <definedName name="xyz22_5" hidden="1">{#N/A,#N/A,FALSE,"Cash Flows";#N/A,#N/A,FALSE,"Fixed Assets";#N/A,#N/A,FALSE,"Balance Sheet";#N/A,#N/A,FALSE,"P &amp; L"}</definedName>
    <definedName name="xyz23" localSheetId="26" hidden="1">{#N/A,#N/A,FALSE,"Cash Flows";#N/A,#N/A,FALSE,"Fixed Assets";#N/A,#N/A,FALSE,"Balance Sheet";#N/A,#N/A,FALSE,"P &amp; L"}</definedName>
    <definedName name="xyz23" localSheetId="0" hidden="1">{#N/A,#N/A,FALSE,"Cash Flows";#N/A,#N/A,FALSE,"Fixed Assets";#N/A,#N/A,FALSE,"Balance Sheet";#N/A,#N/A,FALSE,"P &amp; L"}</definedName>
    <definedName name="xyz23" hidden="1">{#N/A,#N/A,FALSE,"Cash Flows";#N/A,#N/A,FALSE,"Fixed Assets";#N/A,#N/A,FALSE,"Balance Sheet";#N/A,#N/A,FALSE,"P &amp; L"}</definedName>
    <definedName name="xyz23_1" localSheetId="26" hidden="1">{#N/A,#N/A,FALSE,"Cash Flows";#N/A,#N/A,FALSE,"Fixed Assets";#N/A,#N/A,FALSE,"Balance Sheet";#N/A,#N/A,FALSE,"P &amp; L"}</definedName>
    <definedName name="xyz23_1" localSheetId="0" hidden="1">{#N/A,#N/A,FALSE,"Cash Flows";#N/A,#N/A,FALSE,"Fixed Assets";#N/A,#N/A,FALSE,"Balance Sheet";#N/A,#N/A,FALSE,"P &amp; L"}</definedName>
    <definedName name="xyz23_1" hidden="1">{#N/A,#N/A,FALSE,"Cash Flows";#N/A,#N/A,FALSE,"Fixed Assets";#N/A,#N/A,FALSE,"Balance Sheet";#N/A,#N/A,FALSE,"P &amp; L"}</definedName>
    <definedName name="xyz23_1_1" localSheetId="26" hidden="1">{#N/A,#N/A,FALSE,"Cash Flows";#N/A,#N/A,FALSE,"Fixed Assets";#N/A,#N/A,FALSE,"Balance Sheet";#N/A,#N/A,FALSE,"P &amp; L"}</definedName>
    <definedName name="xyz23_1_1" localSheetId="0" hidden="1">{#N/A,#N/A,FALSE,"Cash Flows";#N/A,#N/A,FALSE,"Fixed Assets";#N/A,#N/A,FALSE,"Balance Sheet";#N/A,#N/A,FALSE,"P &amp; L"}</definedName>
    <definedName name="xyz23_1_1" hidden="1">{#N/A,#N/A,FALSE,"Cash Flows";#N/A,#N/A,FALSE,"Fixed Assets";#N/A,#N/A,FALSE,"Balance Sheet";#N/A,#N/A,FALSE,"P &amp; L"}</definedName>
    <definedName name="xyz23_1_2" localSheetId="26" hidden="1">{#N/A,#N/A,FALSE,"Cash Flows";#N/A,#N/A,FALSE,"Fixed Assets";#N/A,#N/A,FALSE,"Balance Sheet";#N/A,#N/A,FALSE,"P &amp; L"}</definedName>
    <definedName name="xyz23_1_2" localSheetId="0" hidden="1">{#N/A,#N/A,FALSE,"Cash Flows";#N/A,#N/A,FALSE,"Fixed Assets";#N/A,#N/A,FALSE,"Balance Sheet";#N/A,#N/A,FALSE,"P &amp; L"}</definedName>
    <definedName name="xyz23_1_2" hidden="1">{#N/A,#N/A,FALSE,"Cash Flows";#N/A,#N/A,FALSE,"Fixed Assets";#N/A,#N/A,FALSE,"Balance Sheet";#N/A,#N/A,FALSE,"P &amp; L"}</definedName>
    <definedName name="xyz23_1_3" localSheetId="26" hidden="1">{#N/A,#N/A,FALSE,"Cash Flows";#N/A,#N/A,FALSE,"Fixed Assets";#N/A,#N/A,FALSE,"Balance Sheet";#N/A,#N/A,FALSE,"P &amp; L"}</definedName>
    <definedName name="xyz23_1_3" localSheetId="0" hidden="1">{#N/A,#N/A,FALSE,"Cash Flows";#N/A,#N/A,FALSE,"Fixed Assets";#N/A,#N/A,FALSE,"Balance Sheet";#N/A,#N/A,FALSE,"P &amp; L"}</definedName>
    <definedName name="xyz23_1_3" hidden="1">{#N/A,#N/A,FALSE,"Cash Flows";#N/A,#N/A,FALSE,"Fixed Assets";#N/A,#N/A,FALSE,"Balance Sheet";#N/A,#N/A,FALSE,"P &amp; L"}</definedName>
    <definedName name="xyz23_2" localSheetId="26" hidden="1">{#N/A,#N/A,FALSE,"Cash Flows";#N/A,#N/A,FALSE,"Fixed Assets";#N/A,#N/A,FALSE,"Balance Sheet";#N/A,#N/A,FALSE,"P &amp; L"}</definedName>
    <definedName name="xyz23_2" localSheetId="0" hidden="1">{#N/A,#N/A,FALSE,"Cash Flows";#N/A,#N/A,FALSE,"Fixed Assets";#N/A,#N/A,FALSE,"Balance Sheet";#N/A,#N/A,FALSE,"P &amp; L"}</definedName>
    <definedName name="xyz23_2" hidden="1">{#N/A,#N/A,FALSE,"Cash Flows";#N/A,#N/A,FALSE,"Fixed Assets";#N/A,#N/A,FALSE,"Balance Sheet";#N/A,#N/A,FALSE,"P &amp; L"}</definedName>
    <definedName name="xyz23_2_1" localSheetId="26" hidden="1">{#N/A,#N/A,FALSE,"Cash Flows";#N/A,#N/A,FALSE,"Fixed Assets";#N/A,#N/A,FALSE,"Balance Sheet";#N/A,#N/A,FALSE,"P &amp; L"}</definedName>
    <definedName name="xyz23_2_1" localSheetId="0" hidden="1">{#N/A,#N/A,FALSE,"Cash Flows";#N/A,#N/A,FALSE,"Fixed Assets";#N/A,#N/A,FALSE,"Balance Sheet";#N/A,#N/A,FALSE,"P &amp; L"}</definedName>
    <definedName name="xyz23_2_1" hidden="1">{#N/A,#N/A,FALSE,"Cash Flows";#N/A,#N/A,FALSE,"Fixed Assets";#N/A,#N/A,FALSE,"Balance Sheet";#N/A,#N/A,FALSE,"P &amp; L"}</definedName>
    <definedName name="xyz23_2_2" localSheetId="26" hidden="1">{#N/A,#N/A,FALSE,"Cash Flows";#N/A,#N/A,FALSE,"Fixed Assets";#N/A,#N/A,FALSE,"Balance Sheet";#N/A,#N/A,FALSE,"P &amp; L"}</definedName>
    <definedName name="xyz23_2_2" localSheetId="0" hidden="1">{#N/A,#N/A,FALSE,"Cash Flows";#N/A,#N/A,FALSE,"Fixed Assets";#N/A,#N/A,FALSE,"Balance Sheet";#N/A,#N/A,FALSE,"P &amp; L"}</definedName>
    <definedName name="xyz23_2_2" hidden="1">{#N/A,#N/A,FALSE,"Cash Flows";#N/A,#N/A,FALSE,"Fixed Assets";#N/A,#N/A,FALSE,"Balance Sheet";#N/A,#N/A,FALSE,"P &amp; L"}</definedName>
    <definedName name="xyz23_3" localSheetId="26" hidden="1">{#N/A,#N/A,FALSE,"Cash Flows";#N/A,#N/A,FALSE,"Fixed Assets";#N/A,#N/A,FALSE,"Balance Sheet";#N/A,#N/A,FALSE,"P &amp; L"}</definedName>
    <definedName name="xyz23_3" localSheetId="0" hidden="1">{#N/A,#N/A,FALSE,"Cash Flows";#N/A,#N/A,FALSE,"Fixed Assets";#N/A,#N/A,FALSE,"Balance Sheet";#N/A,#N/A,FALSE,"P &amp; L"}</definedName>
    <definedName name="xyz23_3" hidden="1">{#N/A,#N/A,FALSE,"Cash Flows";#N/A,#N/A,FALSE,"Fixed Assets";#N/A,#N/A,FALSE,"Balance Sheet";#N/A,#N/A,FALSE,"P &amp; L"}</definedName>
    <definedName name="xyz23_4" localSheetId="26" hidden="1">{#N/A,#N/A,FALSE,"Cash Flows";#N/A,#N/A,FALSE,"Fixed Assets";#N/A,#N/A,FALSE,"Balance Sheet";#N/A,#N/A,FALSE,"P &amp; L"}</definedName>
    <definedName name="xyz23_4" localSheetId="0" hidden="1">{#N/A,#N/A,FALSE,"Cash Flows";#N/A,#N/A,FALSE,"Fixed Assets";#N/A,#N/A,FALSE,"Balance Sheet";#N/A,#N/A,FALSE,"P &amp; L"}</definedName>
    <definedName name="xyz23_4" hidden="1">{#N/A,#N/A,FALSE,"Cash Flows";#N/A,#N/A,FALSE,"Fixed Assets";#N/A,#N/A,FALSE,"Balance Sheet";#N/A,#N/A,FALSE,"P &amp; L"}</definedName>
    <definedName name="xyz23_5" localSheetId="26" hidden="1">{#N/A,#N/A,FALSE,"Cash Flows";#N/A,#N/A,FALSE,"Fixed Assets";#N/A,#N/A,FALSE,"Balance Sheet";#N/A,#N/A,FALSE,"P &amp; L"}</definedName>
    <definedName name="xyz23_5" localSheetId="0" hidden="1">{#N/A,#N/A,FALSE,"Cash Flows";#N/A,#N/A,FALSE,"Fixed Assets";#N/A,#N/A,FALSE,"Balance Sheet";#N/A,#N/A,FALSE,"P &amp; L"}</definedName>
    <definedName name="xyz23_5" hidden="1">{#N/A,#N/A,FALSE,"Cash Flows";#N/A,#N/A,FALSE,"Fixed Assets";#N/A,#N/A,FALSE,"Balance Sheet";#N/A,#N/A,FALSE,"P &amp; L"}</definedName>
    <definedName name="xyz24" localSheetId="26" hidden="1">{#N/A,#N/A,TRUE,"Summary";#N/A,#N/A,TRUE,"Balance Sheet";#N/A,#N/A,TRUE,"P &amp; L";#N/A,#N/A,TRUE,"Fixed Assets";#N/A,#N/A,TRUE,"Cash Flows"}</definedName>
    <definedName name="xyz24" localSheetId="0" hidden="1">{#N/A,#N/A,TRUE,"Summary";#N/A,#N/A,TRUE,"Balance Sheet";#N/A,#N/A,TRUE,"P &amp; L";#N/A,#N/A,TRUE,"Fixed Assets";#N/A,#N/A,TRUE,"Cash Flows"}</definedName>
    <definedName name="xyz24" hidden="1">{#N/A,#N/A,TRUE,"Summary";#N/A,#N/A,TRUE,"Balance Sheet";#N/A,#N/A,TRUE,"P &amp; L";#N/A,#N/A,TRUE,"Fixed Assets";#N/A,#N/A,TRUE,"Cash Flows"}</definedName>
    <definedName name="xyz24_1" localSheetId="26" hidden="1">{#N/A,#N/A,TRUE,"Summary";#N/A,#N/A,TRUE,"Balance Sheet";#N/A,#N/A,TRUE,"P &amp; L";#N/A,#N/A,TRUE,"Fixed Assets";#N/A,#N/A,TRUE,"Cash Flows"}</definedName>
    <definedName name="xyz24_1" localSheetId="0" hidden="1">{#N/A,#N/A,TRUE,"Summary";#N/A,#N/A,TRUE,"Balance Sheet";#N/A,#N/A,TRUE,"P &amp; L";#N/A,#N/A,TRUE,"Fixed Assets";#N/A,#N/A,TRUE,"Cash Flows"}</definedName>
    <definedName name="xyz24_1" hidden="1">{#N/A,#N/A,TRUE,"Summary";#N/A,#N/A,TRUE,"Balance Sheet";#N/A,#N/A,TRUE,"P &amp; L";#N/A,#N/A,TRUE,"Fixed Assets";#N/A,#N/A,TRUE,"Cash Flows"}</definedName>
    <definedName name="xyz24_1_1" localSheetId="26" hidden="1">{#N/A,#N/A,TRUE,"Summary";#N/A,#N/A,TRUE,"Balance Sheet";#N/A,#N/A,TRUE,"P &amp; L";#N/A,#N/A,TRUE,"Fixed Assets";#N/A,#N/A,TRUE,"Cash Flows"}</definedName>
    <definedName name="xyz24_1_1" localSheetId="0" hidden="1">{#N/A,#N/A,TRUE,"Summary";#N/A,#N/A,TRUE,"Balance Sheet";#N/A,#N/A,TRUE,"P &amp; L";#N/A,#N/A,TRUE,"Fixed Assets";#N/A,#N/A,TRUE,"Cash Flows"}</definedName>
    <definedName name="xyz24_1_1" hidden="1">{#N/A,#N/A,TRUE,"Summary";#N/A,#N/A,TRUE,"Balance Sheet";#N/A,#N/A,TRUE,"P &amp; L";#N/A,#N/A,TRUE,"Fixed Assets";#N/A,#N/A,TRUE,"Cash Flows"}</definedName>
    <definedName name="xyz24_1_2" localSheetId="26" hidden="1">{#N/A,#N/A,TRUE,"Summary";#N/A,#N/A,TRUE,"Balance Sheet";#N/A,#N/A,TRUE,"P &amp; L";#N/A,#N/A,TRUE,"Fixed Assets";#N/A,#N/A,TRUE,"Cash Flows"}</definedName>
    <definedName name="xyz24_1_2" localSheetId="0" hidden="1">{#N/A,#N/A,TRUE,"Summary";#N/A,#N/A,TRUE,"Balance Sheet";#N/A,#N/A,TRUE,"P &amp; L";#N/A,#N/A,TRUE,"Fixed Assets";#N/A,#N/A,TRUE,"Cash Flows"}</definedName>
    <definedName name="xyz24_1_2" hidden="1">{#N/A,#N/A,TRUE,"Summary";#N/A,#N/A,TRUE,"Balance Sheet";#N/A,#N/A,TRUE,"P &amp; L";#N/A,#N/A,TRUE,"Fixed Assets";#N/A,#N/A,TRUE,"Cash Flows"}</definedName>
    <definedName name="xyz24_1_3" localSheetId="26" hidden="1">{#N/A,#N/A,TRUE,"Summary";#N/A,#N/A,TRUE,"Balance Sheet";#N/A,#N/A,TRUE,"P &amp; L";#N/A,#N/A,TRUE,"Fixed Assets";#N/A,#N/A,TRUE,"Cash Flows"}</definedName>
    <definedName name="xyz24_1_3" localSheetId="0" hidden="1">{#N/A,#N/A,TRUE,"Summary";#N/A,#N/A,TRUE,"Balance Sheet";#N/A,#N/A,TRUE,"P &amp; L";#N/A,#N/A,TRUE,"Fixed Assets";#N/A,#N/A,TRUE,"Cash Flows"}</definedName>
    <definedName name="xyz24_1_3" hidden="1">{#N/A,#N/A,TRUE,"Summary";#N/A,#N/A,TRUE,"Balance Sheet";#N/A,#N/A,TRUE,"P &amp; L";#N/A,#N/A,TRUE,"Fixed Assets";#N/A,#N/A,TRUE,"Cash Flows"}</definedName>
    <definedName name="xyz24_2" localSheetId="26" hidden="1">{#N/A,#N/A,TRUE,"Summary";#N/A,#N/A,TRUE,"Balance Sheet";#N/A,#N/A,TRUE,"P &amp; L";#N/A,#N/A,TRUE,"Fixed Assets";#N/A,#N/A,TRUE,"Cash Flows"}</definedName>
    <definedName name="xyz24_2" localSheetId="0" hidden="1">{#N/A,#N/A,TRUE,"Summary";#N/A,#N/A,TRUE,"Balance Sheet";#N/A,#N/A,TRUE,"P &amp; L";#N/A,#N/A,TRUE,"Fixed Assets";#N/A,#N/A,TRUE,"Cash Flows"}</definedName>
    <definedName name="xyz24_2" hidden="1">{#N/A,#N/A,TRUE,"Summary";#N/A,#N/A,TRUE,"Balance Sheet";#N/A,#N/A,TRUE,"P &amp; L";#N/A,#N/A,TRUE,"Fixed Assets";#N/A,#N/A,TRUE,"Cash Flows"}</definedName>
    <definedName name="xyz24_2_1" localSheetId="26" hidden="1">{#N/A,#N/A,TRUE,"Summary";#N/A,#N/A,TRUE,"Balance Sheet";#N/A,#N/A,TRUE,"P &amp; L";#N/A,#N/A,TRUE,"Fixed Assets";#N/A,#N/A,TRUE,"Cash Flows"}</definedName>
    <definedName name="xyz24_2_1" localSheetId="0" hidden="1">{#N/A,#N/A,TRUE,"Summary";#N/A,#N/A,TRUE,"Balance Sheet";#N/A,#N/A,TRUE,"P &amp; L";#N/A,#N/A,TRUE,"Fixed Assets";#N/A,#N/A,TRUE,"Cash Flows"}</definedName>
    <definedName name="xyz24_2_1" hidden="1">{#N/A,#N/A,TRUE,"Summary";#N/A,#N/A,TRUE,"Balance Sheet";#N/A,#N/A,TRUE,"P &amp; L";#N/A,#N/A,TRUE,"Fixed Assets";#N/A,#N/A,TRUE,"Cash Flows"}</definedName>
    <definedName name="xyz24_2_2" localSheetId="26" hidden="1">{#N/A,#N/A,TRUE,"Summary";#N/A,#N/A,TRUE,"Balance Sheet";#N/A,#N/A,TRUE,"P &amp; L";#N/A,#N/A,TRUE,"Fixed Assets";#N/A,#N/A,TRUE,"Cash Flows"}</definedName>
    <definedName name="xyz24_2_2" localSheetId="0" hidden="1">{#N/A,#N/A,TRUE,"Summary";#N/A,#N/A,TRUE,"Balance Sheet";#N/A,#N/A,TRUE,"P &amp; L";#N/A,#N/A,TRUE,"Fixed Assets";#N/A,#N/A,TRUE,"Cash Flows"}</definedName>
    <definedName name="xyz24_2_2" hidden="1">{#N/A,#N/A,TRUE,"Summary";#N/A,#N/A,TRUE,"Balance Sheet";#N/A,#N/A,TRUE,"P &amp; L";#N/A,#N/A,TRUE,"Fixed Assets";#N/A,#N/A,TRUE,"Cash Flows"}</definedName>
    <definedName name="xyz24_3" localSheetId="26" hidden="1">{#N/A,#N/A,TRUE,"Summary";#N/A,#N/A,TRUE,"Balance Sheet";#N/A,#N/A,TRUE,"P &amp; L";#N/A,#N/A,TRUE,"Fixed Assets";#N/A,#N/A,TRUE,"Cash Flows"}</definedName>
    <definedName name="xyz24_3" localSheetId="0" hidden="1">{#N/A,#N/A,TRUE,"Summary";#N/A,#N/A,TRUE,"Balance Sheet";#N/A,#N/A,TRUE,"P &amp; L";#N/A,#N/A,TRUE,"Fixed Assets";#N/A,#N/A,TRUE,"Cash Flows"}</definedName>
    <definedName name="xyz24_3" hidden="1">{#N/A,#N/A,TRUE,"Summary";#N/A,#N/A,TRUE,"Balance Sheet";#N/A,#N/A,TRUE,"P &amp; L";#N/A,#N/A,TRUE,"Fixed Assets";#N/A,#N/A,TRUE,"Cash Flows"}</definedName>
    <definedName name="xyz24_4" localSheetId="26" hidden="1">{#N/A,#N/A,TRUE,"Summary";#N/A,#N/A,TRUE,"Balance Sheet";#N/A,#N/A,TRUE,"P &amp; L";#N/A,#N/A,TRUE,"Fixed Assets";#N/A,#N/A,TRUE,"Cash Flows"}</definedName>
    <definedName name="xyz24_4" localSheetId="0" hidden="1">{#N/A,#N/A,TRUE,"Summary";#N/A,#N/A,TRUE,"Balance Sheet";#N/A,#N/A,TRUE,"P &amp; L";#N/A,#N/A,TRUE,"Fixed Assets";#N/A,#N/A,TRUE,"Cash Flows"}</definedName>
    <definedName name="xyz24_4" hidden="1">{#N/A,#N/A,TRUE,"Summary";#N/A,#N/A,TRUE,"Balance Sheet";#N/A,#N/A,TRUE,"P &amp; L";#N/A,#N/A,TRUE,"Fixed Assets";#N/A,#N/A,TRUE,"Cash Flows"}</definedName>
    <definedName name="xyz24_5" localSheetId="26" hidden="1">{#N/A,#N/A,TRUE,"Summary";#N/A,#N/A,TRUE,"Balance Sheet";#N/A,#N/A,TRUE,"P &amp; L";#N/A,#N/A,TRUE,"Fixed Assets";#N/A,#N/A,TRUE,"Cash Flows"}</definedName>
    <definedName name="xyz24_5" localSheetId="0" hidden="1">{#N/A,#N/A,TRUE,"Summary";#N/A,#N/A,TRUE,"Balance Sheet";#N/A,#N/A,TRUE,"P &amp; L";#N/A,#N/A,TRUE,"Fixed Assets";#N/A,#N/A,TRUE,"Cash Flows"}</definedName>
    <definedName name="xyz24_5" hidden="1">{#N/A,#N/A,TRUE,"Summary";#N/A,#N/A,TRUE,"Balance Sheet";#N/A,#N/A,TRUE,"P &amp; L";#N/A,#N/A,TRUE,"Fixed Assets";#N/A,#N/A,TRUE,"Cash Flows"}</definedName>
    <definedName name="xyz25" localSheetId="26" hidden="1">{#N/A,#N/A,FALSE,"Cash Flows";#N/A,#N/A,FALSE,"Fixed Assets";#N/A,#N/A,FALSE,"Balance Sheet";#N/A,#N/A,FALSE,"P &amp; L"}</definedName>
    <definedName name="xyz25" localSheetId="0" hidden="1">{#N/A,#N/A,FALSE,"Cash Flows";#N/A,#N/A,FALSE,"Fixed Assets";#N/A,#N/A,FALSE,"Balance Sheet";#N/A,#N/A,FALSE,"P &amp; L"}</definedName>
    <definedName name="xyz25" hidden="1">{#N/A,#N/A,FALSE,"Cash Flows";#N/A,#N/A,FALSE,"Fixed Assets";#N/A,#N/A,FALSE,"Balance Sheet";#N/A,#N/A,FALSE,"P &amp; L"}</definedName>
    <definedName name="xyz25_1" localSheetId="26" hidden="1">{#N/A,#N/A,FALSE,"Cash Flows";#N/A,#N/A,FALSE,"Fixed Assets";#N/A,#N/A,FALSE,"Balance Sheet";#N/A,#N/A,FALSE,"P &amp; L"}</definedName>
    <definedName name="xyz25_1" localSheetId="0" hidden="1">{#N/A,#N/A,FALSE,"Cash Flows";#N/A,#N/A,FALSE,"Fixed Assets";#N/A,#N/A,FALSE,"Balance Sheet";#N/A,#N/A,FALSE,"P &amp; L"}</definedName>
    <definedName name="xyz25_1" hidden="1">{#N/A,#N/A,FALSE,"Cash Flows";#N/A,#N/A,FALSE,"Fixed Assets";#N/A,#N/A,FALSE,"Balance Sheet";#N/A,#N/A,FALSE,"P &amp; L"}</definedName>
    <definedName name="xyz25_1_1" localSheetId="26" hidden="1">{#N/A,#N/A,FALSE,"Cash Flows";#N/A,#N/A,FALSE,"Fixed Assets";#N/A,#N/A,FALSE,"Balance Sheet";#N/A,#N/A,FALSE,"P &amp; L"}</definedName>
    <definedName name="xyz25_1_1" localSheetId="0" hidden="1">{#N/A,#N/A,FALSE,"Cash Flows";#N/A,#N/A,FALSE,"Fixed Assets";#N/A,#N/A,FALSE,"Balance Sheet";#N/A,#N/A,FALSE,"P &amp; L"}</definedName>
    <definedName name="xyz25_1_1" hidden="1">{#N/A,#N/A,FALSE,"Cash Flows";#N/A,#N/A,FALSE,"Fixed Assets";#N/A,#N/A,FALSE,"Balance Sheet";#N/A,#N/A,FALSE,"P &amp; L"}</definedName>
    <definedName name="xyz25_1_2" localSheetId="26" hidden="1">{#N/A,#N/A,FALSE,"Cash Flows";#N/A,#N/A,FALSE,"Fixed Assets";#N/A,#N/A,FALSE,"Balance Sheet";#N/A,#N/A,FALSE,"P &amp; L"}</definedName>
    <definedName name="xyz25_1_2" localSheetId="0" hidden="1">{#N/A,#N/A,FALSE,"Cash Flows";#N/A,#N/A,FALSE,"Fixed Assets";#N/A,#N/A,FALSE,"Balance Sheet";#N/A,#N/A,FALSE,"P &amp; L"}</definedName>
    <definedName name="xyz25_1_2" hidden="1">{#N/A,#N/A,FALSE,"Cash Flows";#N/A,#N/A,FALSE,"Fixed Assets";#N/A,#N/A,FALSE,"Balance Sheet";#N/A,#N/A,FALSE,"P &amp; L"}</definedName>
    <definedName name="xyz25_1_3" localSheetId="26" hidden="1">{#N/A,#N/A,FALSE,"Cash Flows";#N/A,#N/A,FALSE,"Fixed Assets";#N/A,#N/A,FALSE,"Balance Sheet";#N/A,#N/A,FALSE,"P &amp; L"}</definedName>
    <definedName name="xyz25_1_3" localSheetId="0" hidden="1">{#N/A,#N/A,FALSE,"Cash Flows";#N/A,#N/A,FALSE,"Fixed Assets";#N/A,#N/A,FALSE,"Balance Sheet";#N/A,#N/A,FALSE,"P &amp; L"}</definedName>
    <definedName name="xyz25_1_3" hidden="1">{#N/A,#N/A,FALSE,"Cash Flows";#N/A,#N/A,FALSE,"Fixed Assets";#N/A,#N/A,FALSE,"Balance Sheet";#N/A,#N/A,FALSE,"P &amp; L"}</definedName>
    <definedName name="xyz25_2" localSheetId="26" hidden="1">{#N/A,#N/A,FALSE,"Cash Flows";#N/A,#N/A,FALSE,"Fixed Assets";#N/A,#N/A,FALSE,"Balance Sheet";#N/A,#N/A,FALSE,"P &amp; L"}</definedName>
    <definedName name="xyz25_2" localSheetId="0" hidden="1">{#N/A,#N/A,FALSE,"Cash Flows";#N/A,#N/A,FALSE,"Fixed Assets";#N/A,#N/A,FALSE,"Balance Sheet";#N/A,#N/A,FALSE,"P &amp; L"}</definedName>
    <definedName name="xyz25_2" hidden="1">{#N/A,#N/A,FALSE,"Cash Flows";#N/A,#N/A,FALSE,"Fixed Assets";#N/A,#N/A,FALSE,"Balance Sheet";#N/A,#N/A,FALSE,"P &amp; L"}</definedName>
    <definedName name="xyz25_2_1" localSheetId="26" hidden="1">{#N/A,#N/A,FALSE,"Cash Flows";#N/A,#N/A,FALSE,"Fixed Assets";#N/A,#N/A,FALSE,"Balance Sheet";#N/A,#N/A,FALSE,"P &amp; L"}</definedName>
    <definedName name="xyz25_2_1" localSheetId="0" hidden="1">{#N/A,#N/A,FALSE,"Cash Flows";#N/A,#N/A,FALSE,"Fixed Assets";#N/A,#N/A,FALSE,"Balance Sheet";#N/A,#N/A,FALSE,"P &amp; L"}</definedName>
    <definedName name="xyz25_2_1" hidden="1">{#N/A,#N/A,FALSE,"Cash Flows";#N/A,#N/A,FALSE,"Fixed Assets";#N/A,#N/A,FALSE,"Balance Sheet";#N/A,#N/A,FALSE,"P &amp; L"}</definedName>
    <definedName name="xyz25_2_2" localSheetId="26" hidden="1">{#N/A,#N/A,FALSE,"Cash Flows";#N/A,#N/A,FALSE,"Fixed Assets";#N/A,#N/A,FALSE,"Balance Sheet";#N/A,#N/A,FALSE,"P &amp; L"}</definedName>
    <definedName name="xyz25_2_2" localSheetId="0" hidden="1">{#N/A,#N/A,FALSE,"Cash Flows";#N/A,#N/A,FALSE,"Fixed Assets";#N/A,#N/A,FALSE,"Balance Sheet";#N/A,#N/A,FALSE,"P &amp; L"}</definedName>
    <definedName name="xyz25_2_2" hidden="1">{#N/A,#N/A,FALSE,"Cash Flows";#N/A,#N/A,FALSE,"Fixed Assets";#N/A,#N/A,FALSE,"Balance Sheet";#N/A,#N/A,FALSE,"P &amp; L"}</definedName>
    <definedName name="xyz25_3" localSheetId="26" hidden="1">{#N/A,#N/A,FALSE,"Cash Flows";#N/A,#N/A,FALSE,"Fixed Assets";#N/A,#N/A,FALSE,"Balance Sheet";#N/A,#N/A,FALSE,"P &amp; L"}</definedName>
    <definedName name="xyz25_3" localSheetId="0" hidden="1">{#N/A,#N/A,FALSE,"Cash Flows";#N/A,#N/A,FALSE,"Fixed Assets";#N/A,#N/A,FALSE,"Balance Sheet";#N/A,#N/A,FALSE,"P &amp; L"}</definedName>
    <definedName name="xyz25_3" hidden="1">{#N/A,#N/A,FALSE,"Cash Flows";#N/A,#N/A,FALSE,"Fixed Assets";#N/A,#N/A,FALSE,"Balance Sheet";#N/A,#N/A,FALSE,"P &amp; L"}</definedName>
    <definedName name="xyz25_4" localSheetId="26" hidden="1">{#N/A,#N/A,FALSE,"Cash Flows";#N/A,#N/A,FALSE,"Fixed Assets";#N/A,#N/A,FALSE,"Balance Sheet";#N/A,#N/A,FALSE,"P &amp; L"}</definedName>
    <definedName name="xyz25_4" localSheetId="0" hidden="1">{#N/A,#N/A,FALSE,"Cash Flows";#N/A,#N/A,FALSE,"Fixed Assets";#N/A,#N/A,FALSE,"Balance Sheet";#N/A,#N/A,FALSE,"P &amp; L"}</definedName>
    <definedName name="xyz25_4" hidden="1">{#N/A,#N/A,FALSE,"Cash Flows";#N/A,#N/A,FALSE,"Fixed Assets";#N/A,#N/A,FALSE,"Balance Sheet";#N/A,#N/A,FALSE,"P &amp; L"}</definedName>
    <definedName name="xyz25_5" localSheetId="26" hidden="1">{#N/A,#N/A,FALSE,"Cash Flows";#N/A,#N/A,FALSE,"Fixed Assets";#N/A,#N/A,FALSE,"Balance Sheet";#N/A,#N/A,FALSE,"P &amp; L"}</definedName>
    <definedName name="xyz25_5" localSheetId="0" hidden="1">{#N/A,#N/A,FALSE,"Cash Flows";#N/A,#N/A,FALSE,"Fixed Assets";#N/A,#N/A,FALSE,"Balance Sheet";#N/A,#N/A,FALSE,"P &amp; L"}</definedName>
    <definedName name="xyz25_5" hidden="1">{#N/A,#N/A,FALSE,"Cash Flows";#N/A,#N/A,FALSE,"Fixed Assets";#N/A,#N/A,FALSE,"Balance Sheet";#N/A,#N/A,FALSE,"P &amp; L"}</definedName>
    <definedName name="xyz26" localSheetId="26" hidden="1">{#N/A,#N/A,TRUE,"Summary";#N/A,#N/A,TRUE,"Balance Sheet";#N/A,#N/A,TRUE,"P &amp; L";#N/A,#N/A,TRUE,"Fixed Assets";#N/A,#N/A,TRUE,"Cash Flows"}</definedName>
    <definedName name="xyz26" localSheetId="0" hidden="1">{#N/A,#N/A,TRUE,"Summary";#N/A,#N/A,TRUE,"Balance Sheet";#N/A,#N/A,TRUE,"P &amp; L";#N/A,#N/A,TRUE,"Fixed Assets";#N/A,#N/A,TRUE,"Cash Flows"}</definedName>
    <definedName name="xyz26" hidden="1">{#N/A,#N/A,TRUE,"Summary";#N/A,#N/A,TRUE,"Balance Sheet";#N/A,#N/A,TRUE,"P &amp; L";#N/A,#N/A,TRUE,"Fixed Assets";#N/A,#N/A,TRUE,"Cash Flows"}</definedName>
    <definedName name="xyz26_1" localSheetId="26" hidden="1">{#N/A,#N/A,TRUE,"Summary";#N/A,#N/A,TRUE,"Balance Sheet";#N/A,#N/A,TRUE,"P &amp; L";#N/A,#N/A,TRUE,"Fixed Assets";#N/A,#N/A,TRUE,"Cash Flows"}</definedName>
    <definedName name="xyz26_1" localSheetId="0" hidden="1">{#N/A,#N/A,TRUE,"Summary";#N/A,#N/A,TRUE,"Balance Sheet";#N/A,#N/A,TRUE,"P &amp; L";#N/A,#N/A,TRUE,"Fixed Assets";#N/A,#N/A,TRUE,"Cash Flows"}</definedName>
    <definedName name="xyz26_1" hidden="1">{#N/A,#N/A,TRUE,"Summary";#N/A,#N/A,TRUE,"Balance Sheet";#N/A,#N/A,TRUE,"P &amp; L";#N/A,#N/A,TRUE,"Fixed Assets";#N/A,#N/A,TRUE,"Cash Flows"}</definedName>
    <definedName name="xyz26_1_1" localSheetId="26" hidden="1">{#N/A,#N/A,TRUE,"Summary";#N/A,#N/A,TRUE,"Balance Sheet";#N/A,#N/A,TRUE,"P &amp; L";#N/A,#N/A,TRUE,"Fixed Assets";#N/A,#N/A,TRUE,"Cash Flows"}</definedName>
    <definedName name="xyz26_1_1" localSheetId="0" hidden="1">{#N/A,#N/A,TRUE,"Summary";#N/A,#N/A,TRUE,"Balance Sheet";#N/A,#N/A,TRUE,"P &amp; L";#N/A,#N/A,TRUE,"Fixed Assets";#N/A,#N/A,TRUE,"Cash Flows"}</definedName>
    <definedName name="xyz26_1_1" hidden="1">{#N/A,#N/A,TRUE,"Summary";#N/A,#N/A,TRUE,"Balance Sheet";#N/A,#N/A,TRUE,"P &amp; L";#N/A,#N/A,TRUE,"Fixed Assets";#N/A,#N/A,TRUE,"Cash Flows"}</definedName>
    <definedName name="xyz26_1_2" localSheetId="26" hidden="1">{#N/A,#N/A,TRUE,"Summary";#N/A,#N/A,TRUE,"Balance Sheet";#N/A,#N/A,TRUE,"P &amp; L";#N/A,#N/A,TRUE,"Fixed Assets";#N/A,#N/A,TRUE,"Cash Flows"}</definedName>
    <definedName name="xyz26_1_2" localSheetId="0" hidden="1">{#N/A,#N/A,TRUE,"Summary";#N/A,#N/A,TRUE,"Balance Sheet";#N/A,#N/A,TRUE,"P &amp; L";#N/A,#N/A,TRUE,"Fixed Assets";#N/A,#N/A,TRUE,"Cash Flows"}</definedName>
    <definedName name="xyz26_1_2" hidden="1">{#N/A,#N/A,TRUE,"Summary";#N/A,#N/A,TRUE,"Balance Sheet";#N/A,#N/A,TRUE,"P &amp; L";#N/A,#N/A,TRUE,"Fixed Assets";#N/A,#N/A,TRUE,"Cash Flows"}</definedName>
    <definedName name="xyz26_1_3" localSheetId="26" hidden="1">{#N/A,#N/A,TRUE,"Summary";#N/A,#N/A,TRUE,"Balance Sheet";#N/A,#N/A,TRUE,"P &amp; L";#N/A,#N/A,TRUE,"Fixed Assets";#N/A,#N/A,TRUE,"Cash Flows"}</definedName>
    <definedName name="xyz26_1_3" localSheetId="0" hidden="1">{#N/A,#N/A,TRUE,"Summary";#N/A,#N/A,TRUE,"Balance Sheet";#N/A,#N/A,TRUE,"P &amp; L";#N/A,#N/A,TRUE,"Fixed Assets";#N/A,#N/A,TRUE,"Cash Flows"}</definedName>
    <definedName name="xyz26_1_3" hidden="1">{#N/A,#N/A,TRUE,"Summary";#N/A,#N/A,TRUE,"Balance Sheet";#N/A,#N/A,TRUE,"P &amp; L";#N/A,#N/A,TRUE,"Fixed Assets";#N/A,#N/A,TRUE,"Cash Flows"}</definedName>
    <definedName name="xyz26_2" localSheetId="26" hidden="1">{#N/A,#N/A,TRUE,"Summary";#N/A,#N/A,TRUE,"Balance Sheet";#N/A,#N/A,TRUE,"P &amp; L";#N/A,#N/A,TRUE,"Fixed Assets";#N/A,#N/A,TRUE,"Cash Flows"}</definedName>
    <definedName name="xyz26_2" localSheetId="0" hidden="1">{#N/A,#N/A,TRUE,"Summary";#N/A,#N/A,TRUE,"Balance Sheet";#N/A,#N/A,TRUE,"P &amp; L";#N/A,#N/A,TRUE,"Fixed Assets";#N/A,#N/A,TRUE,"Cash Flows"}</definedName>
    <definedName name="xyz26_2" hidden="1">{#N/A,#N/A,TRUE,"Summary";#N/A,#N/A,TRUE,"Balance Sheet";#N/A,#N/A,TRUE,"P &amp; L";#N/A,#N/A,TRUE,"Fixed Assets";#N/A,#N/A,TRUE,"Cash Flows"}</definedName>
    <definedName name="xyz26_2_1" localSheetId="26" hidden="1">{#N/A,#N/A,TRUE,"Summary";#N/A,#N/A,TRUE,"Balance Sheet";#N/A,#N/A,TRUE,"P &amp; L";#N/A,#N/A,TRUE,"Fixed Assets";#N/A,#N/A,TRUE,"Cash Flows"}</definedName>
    <definedName name="xyz26_2_1" localSheetId="0" hidden="1">{#N/A,#N/A,TRUE,"Summary";#N/A,#N/A,TRUE,"Balance Sheet";#N/A,#N/A,TRUE,"P &amp; L";#N/A,#N/A,TRUE,"Fixed Assets";#N/A,#N/A,TRUE,"Cash Flows"}</definedName>
    <definedName name="xyz26_2_1" hidden="1">{#N/A,#N/A,TRUE,"Summary";#N/A,#N/A,TRUE,"Balance Sheet";#N/A,#N/A,TRUE,"P &amp; L";#N/A,#N/A,TRUE,"Fixed Assets";#N/A,#N/A,TRUE,"Cash Flows"}</definedName>
    <definedName name="xyz26_2_2" localSheetId="26" hidden="1">{#N/A,#N/A,TRUE,"Summary";#N/A,#N/A,TRUE,"Balance Sheet";#N/A,#N/A,TRUE,"P &amp; L";#N/A,#N/A,TRUE,"Fixed Assets";#N/A,#N/A,TRUE,"Cash Flows"}</definedName>
    <definedName name="xyz26_2_2" localSheetId="0" hidden="1">{#N/A,#N/A,TRUE,"Summary";#N/A,#N/A,TRUE,"Balance Sheet";#N/A,#N/A,TRUE,"P &amp; L";#N/A,#N/A,TRUE,"Fixed Assets";#N/A,#N/A,TRUE,"Cash Flows"}</definedName>
    <definedName name="xyz26_2_2" hidden="1">{#N/A,#N/A,TRUE,"Summary";#N/A,#N/A,TRUE,"Balance Sheet";#N/A,#N/A,TRUE,"P &amp; L";#N/A,#N/A,TRUE,"Fixed Assets";#N/A,#N/A,TRUE,"Cash Flows"}</definedName>
    <definedName name="xyz26_3" localSheetId="26" hidden="1">{#N/A,#N/A,TRUE,"Summary";#N/A,#N/A,TRUE,"Balance Sheet";#N/A,#N/A,TRUE,"P &amp; L";#N/A,#N/A,TRUE,"Fixed Assets";#N/A,#N/A,TRUE,"Cash Flows"}</definedName>
    <definedName name="xyz26_3" localSheetId="0" hidden="1">{#N/A,#N/A,TRUE,"Summary";#N/A,#N/A,TRUE,"Balance Sheet";#N/A,#N/A,TRUE,"P &amp; L";#N/A,#N/A,TRUE,"Fixed Assets";#N/A,#N/A,TRUE,"Cash Flows"}</definedName>
    <definedName name="xyz26_3" hidden="1">{#N/A,#N/A,TRUE,"Summary";#N/A,#N/A,TRUE,"Balance Sheet";#N/A,#N/A,TRUE,"P &amp; L";#N/A,#N/A,TRUE,"Fixed Assets";#N/A,#N/A,TRUE,"Cash Flows"}</definedName>
    <definedName name="xyz26_4" localSheetId="26" hidden="1">{#N/A,#N/A,TRUE,"Summary";#N/A,#N/A,TRUE,"Balance Sheet";#N/A,#N/A,TRUE,"P &amp; L";#N/A,#N/A,TRUE,"Fixed Assets";#N/A,#N/A,TRUE,"Cash Flows"}</definedName>
    <definedName name="xyz26_4" localSheetId="0" hidden="1">{#N/A,#N/A,TRUE,"Summary";#N/A,#N/A,TRUE,"Balance Sheet";#N/A,#N/A,TRUE,"P &amp; L";#N/A,#N/A,TRUE,"Fixed Assets";#N/A,#N/A,TRUE,"Cash Flows"}</definedName>
    <definedName name="xyz26_4" hidden="1">{#N/A,#N/A,TRUE,"Summary";#N/A,#N/A,TRUE,"Balance Sheet";#N/A,#N/A,TRUE,"P &amp; L";#N/A,#N/A,TRUE,"Fixed Assets";#N/A,#N/A,TRUE,"Cash Flows"}</definedName>
    <definedName name="xyz26_5" localSheetId="26" hidden="1">{#N/A,#N/A,TRUE,"Summary";#N/A,#N/A,TRUE,"Balance Sheet";#N/A,#N/A,TRUE,"P &amp; L";#N/A,#N/A,TRUE,"Fixed Assets";#N/A,#N/A,TRUE,"Cash Flows"}</definedName>
    <definedName name="xyz26_5" localSheetId="0" hidden="1">{#N/A,#N/A,TRUE,"Summary";#N/A,#N/A,TRUE,"Balance Sheet";#N/A,#N/A,TRUE,"P &amp; L";#N/A,#N/A,TRUE,"Fixed Assets";#N/A,#N/A,TRUE,"Cash Flows"}</definedName>
    <definedName name="xyz26_5" hidden="1">{#N/A,#N/A,TRUE,"Summary";#N/A,#N/A,TRUE,"Balance Sheet";#N/A,#N/A,TRUE,"P &amp; L";#N/A,#N/A,TRUE,"Fixed Assets";#N/A,#N/A,TRUE,"Cash Flows"}</definedName>
    <definedName name="xyz27" localSheetId="26" hidden="1">{#N/A,#N/A,FALSE,"Cash Flows";#N/A,#N/A,FALSE,"Fixed Assets";#N/A,#N/A,FALSE,"Balance Sheet";#N/A,#N/A,FALSE,"P &amp; L"}</definedName>
    <definedName name="xyz27" localSheetId="0" hidden="1">{#N/A,#N/A,FALSE,"Cash Flows";#N/A,#N/A,FALSE,"Fixed Assets";#N/A,#N/A,FALSE,"Balance Sheet";#N/A,#N/A,FALSE,"P &amp; L"}</definedName>
    <definedName name="xyz27" hidden="1">{#N/A,#N/A,FALSE,"Cash Flows";#N/A,#N/A,FALSE,"Fixed Assets";#N/A,#N/A,FALSE,"Balance Sheet";#N/A,#N/A,FALSE,"P &amp; L"}</definedName>
    <definedName name="xyz27_1" localSheetId="26" hidden="1">{#N/A,#N/A,FALSE,"Cash Flows";#N/A,#N/A,FALSE,"Fixed Assets";#N/A,#N/A,FALSE,"Balance Sheet";#N/A,#N/A,FALSE,"P &amp; L"}</definedName>
    <definedName name="xyz27_1" localSheetId="0" hidden="1">{#N/A,#N/A,FALSE,"Cash Flows";#N/A,#N/A,FALSE,"Fixed Assets";#N/A,#N/A,FALSE,"Balance Sheet";#N/A,#N/A,FALSE,"P &amp; L"}</definedName>
    <definedName name="xyz27_1" hidden="1">{#N/A,#N/A,FALSE,"Cash Flows";#N/A,#N/A,FALSE,"Fixed Assets";#N/A,#N/A,FALSE,"Balance Sheet";#N/A,#N/A,FALSE,"P &amp; L"}</definedName>
    <definedName name="xyz27_1_1" localSheetId="26" hidden="1">{#N/A,#N/A,FALSE,"Cash Flows";#N/A,#N/A,FALSE,"Fixed Assets";#N/A,#N/A,FALSE,"Balance Sheet";#N/A,#N/A,FALSE,"P &amp; L"}</definedName>
    <definedName name="xyz27_1_1" localSheetId="0" hidden="1">{#N/A,#N/A,FALSE,"Cash Flows";#N/A,#N/A,FALSE,"Fixed Assets";#N/A,#N/A,FALSE,"Balance Sheet";#N/A,#N/A,FALSE,"P &amp; L"}</definedName>
    <definedName name="xyz27_1_1" hidden="1">{#N/A,#N/A,FALSE,"Cash Flows";#N/A,#N/A,FALSE,"Fixed Assets";#N/A,#N/A,FALSE,"Balance Sheet";#N/A,#N/A,FALSE,"P &amp; L"}</definedName>
    <definedName name="xyz27_1_2" localSheetId="26" hidden="1">{#N/A,#N/A,FALSE,"Cash Flows";#N/A,#N/A,FALSE,"Fixed Assets";#N/A,#N/A,FALSE,"Balance Sheet";#N/A,#N/A,FALSE,"P &amp; L"}</definedName>
    <definedName name="xyz27_1_2" localSheetId="0" hidden="1">{#N/A,#N/A,FALSE,"Cash Flows";#N/A,#N/A,FALSE,"Fixed Assets";#N/A,#N/A,FALSE,"Balance Sheet";#N/A,#N/A,FALSE,"P &amp; L"}</definedName>
    <definedName name="xyz27_1_2" hidden="1">{#N/A,#N/A,FALSE,"Cash Flows";#N/A,#N/A,FALSE,"Fixed Assets";#N/A,#N/A,FALSE,"Balance Sheet";#N/A,#N/A,FALSE,"P &amp; L"}</definedName>
    <definedName name="xyz27_1_3" localSheetId="26" hidden="1">{#N/A,#N/A,FALSE,"Cash Flows";#N/A,#N/A,FALSE,"Fixed Assets";#N/A,#N/A,FALSE,"Balance Sheet";#N/A,#N/A,FALSE,"P &amp; L"}</definedName>
    <definedName name="xyz27_1_3" localSheetId="0" hidden="1">{#N/A,#N/A,FALSE,"Cash Flows";#N/A,#N/A,FALSE,"Fixed Assets";#N/A,#N/A,FALSE,"Balance Sheet";#N/A,#N/A,FALSE,"P &amp; L"}</definedName>
    <definedName name="xyz27_1_3" hidden="1">{#N/A,#N/A,FALSE,"Cash Flows";#N/A,#N/A,FALSE,"Fixed Assets";#N/A,#N/A,FALSE,"Balance Sheet";#N/A,#N/A,FALSE,"P &amp; L"}</definedName>
    <definedName name="xyz27_2" localSheetId="26" hidden="1">{#N/A,#N/A,FALSE,"Cash Flows";#N/A,#N/A,FALSE,"Fixed Assets";#N/A,#N/A,FALSE,"Balance Sheet";#N/A,#N/A,FALSE,"P &amp; L"}</definedName>
    <definedName name="xyz27_2" localSheetId="0" hidden="1">{#N/A,#N/A,FALSE,"Cash Flows";#N/A,#N/A,FALSE,"Fixed Assets";#N/A,#N/A,FALSE,"Balance Sheet";#N/A,#N/A,FALSE,"P &amp; L"}</definedName>
    <definedName name="xyz27_2" hidden="1">{#N/A,#N/A,FALSE,"Cash Flows";#N/A,#N/A,FALSE,"Fixed Assets";#N/A,#N/A,FALSE,"Balance Sheet";#N/A,#N/A,FALSE,"P &amp; L"}</definedName>
    <definedName name="xyz27_2_1" localSheetId="26" hidden="1">{#N/A,#N/A,FALSE,"Cash Flows";#N/A,#N/A,FALSE,"Fixed Assets";#N/A,#N/A,FALSE,"Balance Sheet";#N/A,#N/A,FALSE,"P &amp; L"}</definedName>
    <definedName name="xyz27_2_1" localSheetId="0" hidden="1">{#N/A,#N/A,FALSE,"Cash Flows";#N/A,#N/A,FALSE,"Fixed Assets";#N/A,#N/A,FALSE,"Balance Sheet";#N/A,#N/A,FALSE,"P &amp; L"}</definedName>
    <definedName name="xyz27_2_1" hidden="1">{#N/A,#N/A,FALSE,"Cash Flows";#N/A,#N/A,FALSE,"Fixed Assets";#N/A,#N/A,FALSE,"Balance Sheet";#N/A,#N/A,FALSE,"P &amp; L"}</definedName>
    <definedName name="xyz27_2_2" localSheetId="26" hidden="1">{#N/A,#N/A,FALSE,"Cash Flows";#N/A,#N/A,FALSE,"Fixed Assets";#N/A,#N/A,FALSE,"Balance Sheet";#N/A,#N/A,FALSE,"P &amp; L"}</definedName>
    <definedName name="xyz27_2_2" localSheetId="0" hidden="1">{#N/A,#N/A,FALSE,"Cash Flows";#N/A,#N/A,FALSE,"Fixed Assets";#N/A,#N/A,FALSE,"Balance Sheet";#N/A,#N/A,FALSE,"P &amp; L"}</definedName>
    <definedName name="xyz27_2_2" hidden="1">{#N/A,#N/A,FALSE,"Cash Flows";#N/A,#N/A,FALSE,"Fixed Assets";#N/A,#N/A,FALSE,"Balance Sheet";#N/A,#N/A,FALSE,"P &amp; L"}</definedName>
    <definedName name="xyz27_3" localSheetId="26" hidden="1">{#N/A,#N/A,FALSE,"Cash Flows";#N/A,#N/A,FALSE,"Fixed Assets";#N/A,#N/A,FALSE,"Balance Sheet";#N/A,#N/A,FALSE,"P &amp; L"}</definedName>
    <definedName name="xyz27_3" localSheetId="0" hidden="1">{#N/A,#N/A,FALSE,"Cash Flows";#N/A,#N/A,FALSE,"Fixed Assets";#N/A,#N/A,FALSE,"Balance Sheet";#N/A,#N/A,FALSE,"P &amp; L"}</definedName>
    <definedName name="xyz27_3" hidden="1">{#N/A,#N/A,FALSE,"Cash Flows";#N/A,#N/A,FALSE,"Fixed Assets";#N/A,#N/A,FALSE,"Balance Sheet";#N/A,#N/A,FALSE,"P &amp; L"}</definedName>
    <definedName name="xyz27_4" localSheetId="26" hidden="1">{#N/A,#N/A,FALSE,"Cash Flows";#N/A,#N/A,FALSE,"Fixed Assets";#N/A,#N/A,FALSE,"Balance Sheet";#N/A,#N/A,FALSE,"P &amp; L"}</definedName>
    <definedName name="xyz27_4" localSheetId="0" hidden="1">{#N/A,#N/A,FALSE,"Cash Flows";#N/A,#N/A,FALSE,"Fixed Assets";#N/A,#N/A,FALSE,"Balance Sheet";#N/A,#N/A,FALSE,"P &amp; L"}</definedName>
    <definedName name="xyz27_4" hidden="1">{#N/A,#N/A,FALSE,"Cash Flows";#N/A,#N/A,FALSE,"Fixed Assets";#N/A,#N/A,FALSE,"Balance Sheet";#N/A,#N/A,FALSE,"P &amp; L"}</definedName>
    <definedName name="xyz27_5" localSheetId="26" hidden="1">{#N/A,#N/A,FALSE,"Cash Flows";#N/A,#N/A,FALSE,"Fixed Assets";#N/A,#N/A,FALSE,"Balance Sheet";#N/A,#N/A,FALSE,"P &amp; L"}</definedName>
    <definedName name="xyz27_5" localSheetId="0" hidden="1">{#N/A,#N/A,FALSE,"Cash Flows";#N/A,#N/A,FALSE,"Fixed Assets";#N/A,#N/A,FALSE,"Balance Sheet";#N/A,#N/A,FALSE,"P &amp; L"}</definedName>
    <definedName name="xyz27_5" hidden="1">{#N/A,#N/A,FALSE,"Cash Flows";#N/A,#N/A,FALSE,"Fixed Assets";#N/A,#N/A,FALSE,"Balance Sheet";#N/A,#N/A,FALSE,"P &amp; L"}</definedName>
    <definedName name="xyz28" localSheetId="26" hidden="1">{#N/A,#N/A,TRUE,"Summary";#N/A,#N/A,TRUE,"Balance Sheet";#N/A,#N/A,TRUE,"P &amp; L";#N/A,#N/A,TRUE,"Fixed Assets";#N/A,#N/A,TRUE,"Cash Flows"}</definedName>
    <definedName name="xyz28" localSheetId="0" hidden="1">{#N/A,#N/A,TRUE,"Summary";#N/A,#N/A,TRUE,"Balance Sheet";#N/A,#N/A,TRUE,"P &amp; L";#N/A,#N/A,TRUE,"Fixed Assets";#N/A,#N/A,TRUE,"Cash Flows"}</definedName>
    <definedName name="xyz28" hidden="1">{#N/A,#N/A,TRUE,"Summary";#N/A,#N/A,TRUE,"Balance Sheet";#N/A,#N/A,TRUE,"P &amp; L";#N/A,#N/A,TRUE,"Fixed Assets";#N/A,#N/A,TRUE,"Cash Flows"}</definedName>
    <definedName name="xyz28_1" localSheetId="26" hidden="1">{#N/A,#N/A,TRUE,"Summary";#N/A,#N/A,TRUE,"Balance Sheet";#N/A,#N/A,TRUE,"P &amp; L";#N/A,#N/A,TRUE,"Fixed Assets";#N/A,#N/A,TRUE,"Cash Flows"}</definedName>
    <definedName name="xyz28_1" localSheetId="0" hidden="1">{#N/A,#N/A,TRUE,"Summary";#N/A,#N/A,TRUE,"Balance Sheet";#N/A,#N/A,TRUE,"P &amp; L";#N/A,#N/A,TRUE,"Fixed Assets";#N/A,#N/A,TRUE,"Cash Flows"}</definedName>
    <definedName name="xyz28_1" hidden="1">{#N/A,#N/A,TRUE,"Summary";#N/A,#N/A,TRUE,"Balance Sheet";#N/A,#N/A,TRUE,"P &amp; L";#N/A,#N/A,TRUE,"Fixed Assets";#N/A,#N/A,TRUE,"Cash Flows"}</definedName>
    <definedName name="xyz28_1_1" localSheetId="26" hidden="1">{#N/A,#N/A,TRUE,"Summary";#N/A,#N/A,TRUE,"Balance Sheet";#N/A,#N/A,TRUE,"P &amp; L";#N/A,#N/A,TRUE,"Fixed Assets";#N/A,#N/A,TRUE,"Cash Flows"}</definedName>
    <definedName name="xyz28_1_1" localSheetId="0" hidden="1">{#N/A,#N/A,TRUE,"Summary";#N/A,#N/A,TRUE,"Balance Sheet";#N/A,#N/A,TRUE,"P &amp; L";#N/A,#N/A,TRUE,"Fixed Assets";#N/A,#N/A,TRUE,"Cash Flows"}</definedName>
    <definedName name="xyz28_1_1" hidden="1">{#N/A,#N/A,TRUE,"Summary";#N/A,#N/A,TRUE,"Balance Sheet";#N/A,#N/A,TRUE,"P &amp; L";#N/A,#N/A,TRUE,"Fixed Assets";#N/A,#N/A,TRUE,"Cash Flows"}</definedName>
    <definedName name="xyz28_1_2" localSheetId="26" hidden="1">{#N/A,#N/A,TRUE,"Summary";#N/A,#N/A,TRUE,"Balance Sheet";#N/A,#N/A,TRUE,"P &amp; L";#N/A,#N/A,TRUE,"Fixed Assets";#N/A,#N/A,TRUE,"Cash Flows"}</definedName>
    <definedName name="xyz28_1_2" localSheetId="0" hidden="1">{#N/A,#N/A,TRUE,"Summary";#N/A,#N/A,TRUE,"Balance Sheet";#N/A,#N/A,TRUE,"P &amp; L";#N/A,#N/A,TRUE,"Fixed Assets";#N/A,#N/A,TRUE,"Cash Flows"}</definedName>
    <definedName name="xyz28_1_2" hidden="1">{#N/A,#N/A,TRUE,"Summary";#N/A,#N/A,TRUE,"Balance Sheet";#N/A,#N/A,TRUE,"P &amp; L";#N/A,#N/A,TRUE,"Fixed Assets";#N/A,#N/A,TRUE,"Cash Flows"}</definedName>
    <definedName name="xyz28_1_3" localSheetId="26" hidden="1">{#N/A,#N/A,TRUE,"Summary";#N/A,#N/A,TRUE,"Balance Sheet";#N/A,#N/A,TRUE,"P &amp; L";#N/A,#N/A,TRUE,"Fixed Assets";#N/A,#N/A,TRUE,"Cash Flows"}</definedName>
    <definedName name="xyz28_1_3" localSheetId="0" hidden="1">{#N/A,#N/A,TRUE,"Summary";#N/A,#N/A,TRUE,"Balance Sheet";#N/A,#N/A,TRUE,"P &amp; L";#N/A,#N/A,TRUE,"Fixed Assets";#N/A,#N/A,TRUE,"Cash Flows"}</definedName>
    <definedName name="xyz28_1_3" hidden="1">{#N/A,#N/A,TRUE,"Summary";#N/A,#N/A,TRUE,"Balance Sheet";#N/A,#N/A,TRUE,"P &amp; L";#N/A,#N/A,TRUE,"Fixed Assets";#N/A,#N/A,TRUE,"Cash Flows"}</definedName>
    <definedName name="xyz28_2" localSheetId="26" hidden="1">{#N/A,#N/A,TRUE,"Summary";#N/A,#N/A,TRUE,"Balance Sheet";#N/A,#N/A,TRUE,"P &amp; L";#N/A,#N/A,TRUE,"Fixed Assets";#N/A,#N/A,TRUE,"Cash Flows"}</definedName>
    <definedName name="xyz28_2" localSheetId="0" hidden="1">{#N/A,#N/A,TRUE,"Summary";#N/A,#N/A,TRUE,"Balance Sheet";#N/A,#N/A,TRUE,"P &amp; L";#N/A,#N/A,TRUE,"Fixed Assets";#N/A,#N/A,TRUE,"Cash Flows"}</definedName>
    <definedName name="xyz28_2" hidden="1">{#N/A,#N/A,TRUE,"Summary";#N/A,#N/A,TRUE,"Balance Sheet";#N/A,#N/A,TRUE,"P &amp; L";#N/A,#N/A,TRUE,"Fixed Assets";#N/A,#N/A,TRUE,"Cash Flows"}</definedName>
    <definedName name="xyz28_2_1" localSheetId="26" hidden="1">{#N/A,#N/A,TRUE,"Summary";#N/A,#N/A,TRUE,"Balance Sheet";#N/A,#N/A,TRUE,"P &amp; L";#N/A,#N/A,TRUE,"Fixed Assets";#N/A,#N/A,TRUE,"Cash Flows"}</definedName>
    <definedName name="xyz28_2_1" localSheetId="0" hidden="1">{#N/A,#N/A,TRUE,"Summary";#N/A,#N/A,TRUE,"Balance Sheet";#N/A,#N/A,TRUE,"P &amp; L";#N/A,#N/A,TRUE,"Fixed Assets";#N/A,#N/A,TRUE,"Cash Flows"}</definedName>
    <definedName name="xyz28_2_1" hidden="1">{#N/A,#N/A,TRUE,"Summary";#N/A,#N/A,TRUE,"Balance Sheet";#N/A,#N/A,TRUE,"P &amp; L";#N/A,#N/A,TRUE,"Fixed Assets";#N/A,#N/A,TRUE,"Cash Flows"}</definedName>
    <definedName name="xyz28_2_2" localSheetId="26" hidden="1">{#N/A,#N/A,TRUE,"Summary";#N/A,#N/A,TRUE,"Balance Sheet";#N/A,#N/A,TRUE,"P &amp; L";#N/A,#N/A,TRUE,"Fixed Assets";#N/A,#N/A,TRUE,"Cash Flows"}</definedName>
    <definedName name="xyz28_2_2" localSheetId="0" hidden="1">{#N/A,#N/A,TRUE,"Summary";#N/A,#N/A,TRUE,"Balance Sheet";#N/A,#N/A,TRUE,"P &amp; L";#N/A,#N/A,TRUE,"Fixed Assets";#N/A,#N/A,TRUE,"Cash Flows"}</definedName>
    <definedName name="xyz28_2_2" hidden="1">{#N/A,#N/A,TRUE,"Summary";#N/A,#N/A,TRUE,"Balance Sheet";#N/A,#N/A,TRUE,"P &amp; L";#N/A,#N/A,TRUE,"Fixed Assets";#N/A,#N/A,TRUE,"Cash Flows"}</definedName>
    <definedName name="xyz28_3" localSheetId="26" hidden="1">{#N/A,#N/A,TRUE,"Summary";#N/A,#N/A,TRUE,"Balance Sheet";#N/A,#N/A,TRUE,"P &amp; L";#N/A,#N/A,TRUE,"Fixed Assets";#N/A,#N/A,TRUE,"Cash Flows"}</definedName>
    <definedName name="xyz28_3" localSheetId="0" hidden="1">{#N/A,#N/A,TRUE,"Summary";#N/A,#N/A,TRUE,"Balance Sheet";#N/A,#N/A,TRUE,"P &amp; L";#N/A,#N/A,TRUE,"Fixed Assets";#N/A,#N/A,TRUE,"Cash Flows"}</definedName>
    <definedName name="xyz28_3" hidden="1">{#N/A,#N/A,TRUE,"Summary";#N/A,#N/A,TRUE,"Balance Sheet";#N/A,#N/A,TRUE,"P &amp; L";#N/A,#N/A,TRUE,"Fixed Assets";#N/A,#N/A,TRUE,"Cash Flows"}</definedName>
    <definedName name="xyz28_4" localSheetId="26" hidden="1">{#N/A,#N/A,TRUE,"Summary";#N/A,#N/A,TRUE,"Balance Sheet";#N/A,#N/A,TRUE,"P &amp; L";#N/A,#N/A,TRUE,"Fixed Assets";#N/A,#N/A,TRUE,"Cash Flows"}</definedName>
    <definedName name="xyz28_4" localSheetId="0" hidden="1">{#N/A,#N/A,TRUE,"Summary";#N/A,#N/A,TRUE,"Balance Sheet";#N/A,#N/A,TRUE,"P &amp; L";#N/A,#N/A,TRUE,"Fixed Assets";#N/A,#N/A,TRUE,"Cash Flows"}</definedName>
    <definedName name="xyz28_4" hidden="1">{#N/A,#N/A,TRUE,"Summary";#N/A,#N/A,TRUE,"Balance Sheet";#N/A,#N/A,TRUE,"P &amp; L";#N/A,#N/A,TRUE,"Fixed Assets";#N/A,#N/A,TRUE,"Cash Flows"}</definedName>
    <definedName name="xyz28_5" localSheetId="26" hidden="1">{#N/A,#N/A,TRUE,"Summary";#N/A,#N/A,TRUE,"Balance Sheet";#N/A,#N/A,TRUE,"P &amp; L";#N/A,#N/A,TRUE,"Fixed Assets";#N/A,#N/A,TRUE,"Cash Flows"}</definedName>
    <definedName name="xyz28_5" localSheetId="0" hidden="1">{#N/A,#N/A,TRUE,"Summary";#N/A,#N/A,TRUE,"Balance Sheet";#N/A,#N/A,TRUE,"P &amp; L";#N/A,#N/A,TRUE,"Fixed Assets";#N/A,#N/A,TRUE,"Cash Flows"}</definedName>
    <definedName name="xyz28_5" hidden="1">{#N/A,#N/A,TRUE,"Summary";#N/A,#N/A,TRUE,"Balance Sheet";#N/A,#N/A,TRUE,"P &amp; L";#N/A,#N/A,TRUE,"Fixed Assets";#N/A,#N/A,TRUE,"Cash Flows"}</definedName>
    <definedName name="xyz29" localSheetId="26" hidden="1">{#N/A,#N/A,FALSE,"Cash Flows";#N/A,#N/A,FALSE,"Fixed Assets";#N/A,#N/A,FALSE,"Balance Sheet";#N/A,#N/A,FALSE,"P &amp; L"}</definedName>
    <definedName name="xyz29" localSheetId="0" hidden="1">{#N/A,#N/A,FALSE,"Cash Flows";#N/A,#N/A,FALSE,"Fixed Assets";#N/A,#N/A,FALSE,"Balance Sheet";#N/A,#N/A,FALSE,"P &amp; L"}</definedName>
    <definedName name="xyz29" hidden="1">{#N/A,#N/A,FALSE,"Cash Flows";#N/A,#N/A,FALSE,"Fixed Assets";#N/A,#N/A,FALSE,"Balance Sheet";#N/A,#N/A,FALSE,"P &amp; L"}</definedName>
    <definedName name="xyz29_1" localSheetId="26" hidden="1">{#N/A,#N/A,FALSE,"Cash Flows";#N/A,#N/A,FALSE,"Fixed Assets";#N/A,#N/A,FALSE,"Balance Sheet";#N/A,#N/A,FALSE,"P &amp; L"}</definedName>
    <definedName name="xyz29_1" localSheetId="0" hidden="1">{#N/A,#N/A,FALSE,"Cash Flows";#N/A,#N/A,FALSE,"Fixed Assets";#N/A,#N/A,FALSE,"Balance Sheet";#N/A,#N/A,FALSE,"P &amp; L"}</definedName>
    <definedName name="xyz29_1" hidden="1">{#N/A,#N/A,FALSE,"Cash Flows";#N/A,#N/A,FALSE,"Fixed Assets";#N/A,#N/A,FALSE,"Balance Sheet";#N/A,#N/A,FALSE,"P &amp; L"}</definedName>
    <definedName name="xyz29_1_1" localSheetId="26" hidden="1">{#N/A,#N/A,FALSE,"Cash Flows";#N/A,#N/A,FALSE,"Fixed Assets";#N/A,#N/A,FALSE,"Balance Sheet";#N/A,#N/A,FALSE,"P &amp; L"}</definedName>
    <definedName name="xyz29_1_1" localSheetId="0" hidden="1">{#N/A,#N/A,FALSE,"Cash Flows";#N/A,#N/A,FALSE,"Fixed Assets";#N/A,#N/A,FALSE,"Balance Sheet";#N/A,#N/A,FALSE,"P &amp; L"}</definedName>
    <definedName name="xyz29_1_1" hidden="1">{#N/A,#N/A,FALSE,"Cash Flows";#N/A,#N/A,FALSE,"Fixed Assets";#N/A,#N/A,FALSE,"Balance Sheet";#N/A,#N/A,FALSE,"P &amp; L"}</definedName>
    <definedName name="xyz29_1_2" localSheetId="26" hidden="1">{#N/A,#N/A,FALSE,"Cash Flows";#N/A,#N/A,FALSE,"Fixed Assets";#N/A,#N/A,FALSE,"Balance Sheet";#N/A,#N/A,FALSE,"P &amp; L"}</definedName>
    <definedName name="xyz29_1_2" localSheetId="0" hidden="1">{#N/A,#N/A,FALSE,"Cash Flows";#N/A,#N/A,FALSE,"Fixed Assets";#N/A,#N/A,FALSE,"Balance Sheet";#N/A,#N/A,FALSE,"P &amp; L"}</definedName>
    <definedName name="xyz29_1_2" hidden="1">{#N/A,#N/A,FALSE,"Cash Flows";#N/A,#N/A,FALSE,"Fixed Assets";#N/A,#N/A,FALSE,"Balance Sheet";#N/A,#N/A,FALSE,"P &amp; L"}</definedName>
    <definedName name="xyz29_1_3" localSheetId="26" hidden="1">{#N/A,#N/A,FALSE,"Cash Flows";#N/A,#N/A,FALSE,"Fixed Assets";#N/A,#N/A,FALSE,"Balance Sheet";#N/A,#N/A,FALSE,"P &amp; L"}</definedName>
    <definedName name="xyz29_1_3" localSheetId="0" hidden="1">{#N/A,#N/A,FALSE,"Cash Flows";#N/A,#N/A,FALSE,"Fixed Assets";#N/A,#N/A,FALSE,"Balance Sheet";#N/A,#N/A,FALSE,"P &amp; L"}</definedName>
    <definedName name="xyz29_1_3" hidden="1">{#N/A,#N/A,FALSE,"Cash Flows";#N/A,#N/A,FALSE,"Fixed Assets";#N/A,#N/A,FALSE,"Balance Sheet";#N/A,#N/A,FALSE,"P &amp; L"}</definedName>
    <definedName name="xyz29_2" localSheetId="26" hidden="1">{#N/A,#N/A,FALSE,"Cash Flows";#N/A,#N/A,FALSE,"Fixed Assets";#N/A,#N/A,FALSE,"Balance Sheet";#N/A,#N/A,FALSE,"P &amp; L"}</definedName>
    <definedName name="xyz29_2" localSheetId="0" hidden="1">{#N/A,#N/A,FALSE,"Cash Flows";#N/A,#N/A,FALSE,"Fixed Assets";#N/A,#N/A,FALSE,"Balance Sheet";#N/A,#N/A,FALSE,"P &amp; L"}</definedName>
    <definedName name="xyz29_2" hidden="1">{#N/A,#N/A,FALSE,"Cash Flows";#N/A,#N/A,FALSE,"Fixed Assets";#N/A,#N/A,FALSE,"Balance Sheet";#N/A,#N/A,FALSE,"P &amp; L"}</definedName>
    <definedName name="xyz29_2_1" localSheetId="26" hidden="1">{#N/A,#N/A,FALSE,"Cash Flows";#N/A,#N/A,FALSE,"Fixed Assets";#N/A,#N/A,FALSE,"Balance Sheet";#N/A,#N/A,FALSE,"P &amp; L"}</definedName>
    <definedName name="xyz29_2_1" localSheetId="0" hidden="1">{#N/A,#N/A,FALSE,"Cash Flows";#N/A,#N/A,FALSE,"Fixed Assets";#N/A,#N/A,FALSE,"Balance Sheet";#N/A,#N/A,FALSE,"P &amp; L"}</definedName>
    <definedName name="xyz29_2_1" hidden="1">{#N/A,#N/A,FALSE,"Cash Flows";#N/A,#N/A,FALSE,"Fixed Assets";#N/A,#N/A,FALSE,"Balance Sheet";#N/A,#N/A,FALSE,"P &amp; L"}</definedName>
    <definedName name="xyz29_2_2" localSheetId="26" hidden="1">{#N/A,#N/A,FALSE,"Cash Flows";#N/A,#N/A,FALSE,"Fixed Assets";#N/A,#N/A,FALSE,"Balance Sheet";#N/A,#N/A,FALSE,"P &amp; L"}</definedName>
    <definedName name="xyz29_2_2" localSheetId="0" hidden="1">{#N/A,#N/A,FALSE,"Cash Flows";#N/A,#N/A,FALSE,"Fixed Assets";#N/A,#N/A,FALSE,"Balance Sheet";#N/A,#N/A,FALSE,"P &amp; L"}</definedName>
    <definedName name="xyz29_2_2" hidden="1">{#N/A,#N/A,FALSE,"Cash Flows";#N/A,#N/A,FALSE,"Fixed Assets";#N/A,#N/A,FALSE,"Balance Sheet";#N/A,#N/A,FALSE,"P &amp; L"}</definedName>
    <definedName name="xyz29_3" localSheetId="26" hidden="1">{#N/A,#N/A,FALSE,"Cash Flows";#N/A,#N/A,FALSE,"Fixed Assets";#N/A,#N/A,FALSE,"Balance Sheet";#N/A,#N/A,FALSE,"P &amp; L"}</definedName>
    <definedName name="xyz29_3" localSheetId="0" hidden="1">{#N/A,#N/A,FALSE,"Cash Flows";#N/A,#N/A,FALSE,"Fixed Assets";#N/A,#N/A,FALSE,"Balance Sheet";#N/A,#N/A,FALSE,"P &amp; L"}</definedName>
    <definedName name="xyz29_3" hidden="1">{#N/A,#N/A,FALSE,"Cash Flows";#N/A,#N/A,FALSE,"Fixed Assets";#N/A,#N/A,FALSE,"Balance Sheet";#N/A,#N/A,FALSE,"P &amp; L"}</definedName>
    <definedName name="xyz29_4" localSheetId="26" hidden="1">{#N/A,#N/A,FALSE,"Cash Flows";#N/A,#N/A,FALSE,"Fixed Assets";#N/A,#N/A,FALSE,"Balance Sheet";#N/A,#N/A,FALSE,"P &amp; L"}</definedName>
    <definedName name="xyz29_4" localSheetId="0" hidden="1">{#N/A,#N/A,FALSE,"Cash Flows";#N/A,#N/A,FALSE,"Fixed Assets";#N/A,#N/A,FALSE,"Balance Sheet";#N/A,#N/A,FALSE,"P &amp; L"}</definedName>
    <definedName name="xyz29_4" hidden="1">{#N/A,#N/A,FALSE,"Cash Flows";#N/A,#N/A,FALSE,"Fixed Assets";#N/A,#N/A,FALSE,"Balance Sheet";#N/A,#N/A,FALSE,"P &amp; L"}</definedName>
    <definedName name="xyz29_5" localSheetId="26" hidden="1">{#N/A,#N/A,FALSE,"Cash Flows";#N/A,#N/A,FALSE,"Fixed Assets";#N/A,#N/A,FALSE,"Balance Sheet";#N/A,#N/A,FALSE,"P &amp; L"}</definedName>
    <definedName name="xyz29_5" localSheetId="0" hidden="1">{#N/A,#N/A,FALSE,"Cash Flows";#N/A,#N/A,FALSE,"Fixed Assets";#N/A,#N/A,FALSE,"Balance Sheet";#N/A,#N/A,FALSE,"P &amp; L"}</definedName>
    <definedName name="xyz29_5" hidden="1">{#N/A,#N/A,FALSE,"Cash Flows";#N/A,#N/A,FALSE,"Fixed Assets";#N/A,#N/A,FALSE,"Balance Sheet";#N/A,#N/A,FALSE,"P &amp; L"}</definedName>
    <definedName name="xyz3" localSheetId="26" hidden="1">{#N/A,#N/A,FALSE,"Cash Flows";#N/A,#N/A,FALSE,"Fixed Assets";#N/A,#N/A,FALSE,"Balance Sheet";#N/A,#N/A,FALSE,"P &amp; L"}</definedName>
    <definedName name="xyz3" localSheetId="0" hidden="1">{#N/A,#N/A,FALSE,"Cash Flows";#N/A,#N/A,FALSE,"Fixed Assets";#N/A,#N/A,FALSE,"Balance Sheet";#N/A,#N/A,FALSE,"P &amp; L"}</definedName>
    <definedName name="xyz3" hidden="1">{#N/A,#N/A,FALSE,"Cash Flows";#N/A,#N/A,FALSE,"Fixed Assets";#N/A,#N/A,FALSE,"Balance Sheet";#N/A,#N/A,FALSE,"P &amp; L"}</definedName>
    <definedName name="xyz3_1" localSheetId="26" hidden="1">{#N/A,#N/A,FALSE,"Cash Flows";#N/A,#N/A,FALSE,"Fixed Assets";#N/A,#N/A,FALSE,"Balance Sheet";#N/A,#N/A,FALSE,"P &amp; L"}</definedName>
    <definedName name="xyz3_1" localSheetId="0" hidden="1">{#N/A,#N/A,FALSE,"Cash Flows";#N/A,#N/A,FALSE,"Fixed Assets";#N/A,#N/A,FALSE,"Balance Sheet";#N/A,#N/A,FALSE,"P &amp; L"}</definedName>
    <definedName name="xyz3_1" hidden="1">{#N/A,#N/A,FALSE,"Cash Flows";#N/A,#N/A,FALSE,"Fixed Assets";#N/A,#N/A,FALSE,"Balance Sheet";#N/A,#N/A,FALSE,"P &amp; L"}</definedName>
    <definedName name="xyz3_1_1" localSheetId="26" hidden="1">{#N/A,#N/A,FALSE,"Cash Flows";#N/A,#N/A,FALSE,"Fixed Assets";#N/A,#N/A,FALSE,"Balance Sheet";#N/A,#N/A,FALSE,"P &amp; L"}</definedName>
    <definedName name="xyz3_1_1" localSheetId="0" hidden="1">{#N/A,#N/A,FALSE,"Cash Flows";#N/A,#N/A,FALSE,"Fixed Assets";#N/A,#N/A,FALSE,"Balance Sheet";#N/A,#N/A,FALSE,"P &amp; L"}</definedName>
    <definedName name="xyz3_1_1" hidden="1">{#N/A,#N/A,FALSE,"Cash Flows";#N/A,#N/A,FALSE,"Fixed Assets";#N/A,#N/A,FALSE,"Balance Sheet";#N/A,#N/A,FALSE,"P &amp; L"}</definedName>
    <definedName name="xyz3_1_2" localSheetId="26" hidden="1">{#N/A,#N/A,FALSE,"Cash Flows";#N/A,#N/A,FALSE,"Fixed Assets";#N/A,#N/A,FALSE,"Balance Sheet";#N/A,#N/A,FALSE,"P &amp; L"}</definedName>
    <definedName name="xyz3_1_2" localSheetId="0" hidden="1">{#N/A,#N/A,FALSE,"Cash Flows";#N/A,#N/A,FALSE,"Fixed Assets";#N/A,#N/A,FALSE,"Balance Sheet";#N/A,#N/A,FALSE,"P &amp; L"}</definedName>
    <definedName name="xyz3_1_2" hidden="1">{#N/A,#N/A,FALSE,"Cash Flows";#N/A,#N/A,FALSE,"Fixed Assets";#N/A,#N/A,FALSE,"Balance Sheet";#N/A,#N/A,FALSE,"P &amp; L"}</definedName>
    <definedName name="xyz3_1_3" localSheetId="26" hidden="1">{#N/A,#N/A,FALSE,"Cash Flows";#N/A,#N/A,FALSE,"Fixed Assets";#N/A,#N/A,FALSE,"Balance Sheet";#N/A,#N/A,FALSE,"P &amp; L"}</definedName>
    <definedName name="xyz3_1_3" localSheetId="0" hidden="1">{#N/A,#N/A,FALSE,"Cash Flows";#N/A,#N/A,FALSE,"Fixed Assets";#N/A,#N/A,FALSE,"Balance Sheet";#N/A,#N/A,FALSE,"P &amp; L"}</definedName>
    <definedName name="xyz3_1_3" hidden="1">{#N/A,#N/A,FALSE,"Cash Flows";#N/A,#N/A,FALSE,"Fixed Assets";#N/A,#N/A,FALSE,"Balance Sheet";#N/A,#N/A,FALSE,"P &amp; L"}</definedName>
    <definedName name="xyz3_2" localSheetId="26" hidden="1">{#N/A,#N/A,FALSE,"Cash Flows";#N/A,#N/A,FALSE,"Fixed Assets";#N/A,#N/A,FALSE,"Balance Sheet";#N/A,#N/A,FALSE,"P &amp; L"}</definedName>
    <definedName name="xyz3_2" localSheetId="0" hidden="1">{#N/A,#N/A,FALSE,"Cash Flows";#N/A,#N/A,FALSE,"Fixed Assets";#N/A,#N/A,FALSE,"Balance Sheet";#N/A,#N/A,FALSE,"P &amp; L"}</definedName>
    <definedName name="xyz3_2" hidden="1">{#N/A,#N/A,FALSE,"Cash Flows";#N/A,#N/A,FALSE,"Fixed Assets";#N/A,#N/A,FALSE,"Balance Sheet";#N/A,#N/A,FALSE,"P &amp; L"}</definedName>
    <definedName name="xyz3_2_1" localSheetId="26" hidden="1">{#N/A,#N/A,FALSE,"Cash Flows";#N/A,#N/A,FALSE,"Fixed Assets";#N/A,#N/A,FALSE,"Balance Sheet";#N/A,#N/A,FALSE,"P &amp; L"}</definedName>
    <definedName name="xyz3_2_1" localSheetId="0" hidden="1">{#N/A,#N/A,FALSE,"Cash Flows";#N/A,#N/A,FALSE,"Fixed Assets";#N/A,#N/A,FALSE,"Balance Sheet";#N/A,#N/A,FALSE,"P &amp; L"}</definedName>
    <definedName name="xyz3_2_1" hidden="1">{#N/A,#N/A,FALSE,"Cash Flows";#N/A,#N/A,FALSE,"Fixed Assets";#N/A,#N/A,FALSE,"Balance Sheet";#N/A,#N/A,FALSE,"P &amp; L"}</definedName>
    <definedName name="xyz3_2_2" localSheetId="26" hidden="1">{#N/A,#N/A,FALSE,"Cash Flows";#N/A,#N/A,FALSE,"Fixed Assets";#N/A,#N/A,FALSE,"Balance Sheet";#N/A,#N/A,FALSE,"P &amp; L"}</definedName>
    <definedName name="xyz3_2_2" localSheetId="0" hidden="1">{#N/A,#N/A,FALSE,"Cash Flows";#N/A,#N/A,FALSE,"Fixed Assets";#N/A,#N/A,FALSE,"Balance Sheet";#N/A,#N/A,FALSE,"P &amp; L"}</definedName>
    <definedName name="xyz3_2_2" hidden="1">{#N/A,#N/A,FALSE,"Cash Flows";#N/A,#N/A,FALSE,"Fixed Assets";#N/A,#N/A,FALSE,"Balance Sheet";#N/A,#N/A,FALSE,"P &amp; L"}</definedName>
    <definedName name="xyz3_3" localSheetId="26" hidden="1">{#N/A,#N/A,FALSE,"Cash Flows";#N/A,#N/A,FALSE,"Fixed Assets";#N/A,#N/A,FALSE,"Balance Sheet";#N/A,#N/A,FALSE,"P &amp; L"}</definedName>
    <definedName name="xyz3_3" localSheetId="0" hidden="1">{#N/A,#N/A,FALSE,"Cash Flows";#N/A,#N/A,FALSE,"Fixed Assets";#N/A,#N/A,FALSE,"Balance Sheet";#N/A,#N/A,FALSE,"P &amp; L"}</definedName>
    <definedName name="xyz3_3" hidden="1">{#N/A,#N/A,FALSE,"Cash Flows";#N/A,#N/A,FALSE,"Fixed Assets";#N/A,#N/A,FALSE,"Balance Sheet";#N/A,#N/A,FALSE,"P &amp; L"}</definedName>
    <definedName name="xyz3_4" localSheetId="26" hidden="1">{#N/A,#N/A,FALSE,"Cash Flows";#N/A,#N/A,FALSE,"Fixed Assets";#N/A,#N/A,FALSE,"Balance Sheet";#N/A,#N/A,FALSE,"P &amp; L"}</definedName>
    <definedName name="xyz3_4" localSheetId="0" hidden="1">{#N/A,#N/A,FALSE,"Cash Flows";#N/A,#N/A,FALSE,"Fixed Assets";#N/A,#N/A,FALSE,"Balance Sheet";#N/A,#N/A,FALSE,"P &amp; L"}</definedName>
    <definedName name="xyz3_4" hidden="1">{#N/A,#N/A,FALSE,"Cash Flows";#N/A,#N/A,FALSE,"Fixed Assets";#N/A,#N/A,FALSE,"Balance Sheet";#N/A,#N/A,FALSE,"P &amp; L"}</definedName>
    <definedName name="xyz3_5" localSheetId="26" hidden="1">{#N/A,#N/A,FALSE,"Cash Flows";#N/A,#N/A,FALSE,"Fixed Assets";#N/A,#N/A,FALSE,"Balance Sheet";#N/A,#N/A,FALSE,"P &amp; L"}</definedName>
    <definedName name="xyz3_5" localSheetId="0" hidden="1">{#N/A,#N/A,FALSE,"Cash Flows";#N/A,#N/A,FALSE,"Fixed Assets";#N/A,#N/A,FALSE,"Balance Sheet";#N/A,#N/A,FALSE,"P &amp; L"}</definedName>
    <definedName name="xyz3_5" hidden="1">{#N/A,#N/A,FALSE,"Cash Flows";#N/A,#N/A,FALSE,"Fixed Assets";#N/A,#N/A,FALSE,"Balance Sheet";#N/A,#N/A,FALSE,"P &amp; L"}</definedName>
    <definedName name="xyz30" localSheetId="26" hidden="1">{#N/A,#N/A,TRUE,"Summary";#N/A,#N/A,TRUE,"Balance Sheet";#N/A,#N/A,TRUE,"P &amp; L";#N/A,#N/A,TRUE,"Fixed Assets";#N/A,#N/A,TRUE,"Cash Flows"}</definedName>
    <definedName name="xyz30" localSheetId="0" hidden="1">{#N/A,#N/A,TRUE,"Summary";#N/A,#N/A,TRUE,"Balance Sheet";#N/A,#N/A,TRUE,"P &amp; L";#N/A,#N/A,TRUE,"Fixed Assets";#N/A,#N/A,TRUE,"Cash Flows"}</definedName>
    <definedName name="xyz30" hidden="1">{#N/A,#N/A,TRUE,"Summary";#N/A,#N/A,TRUE,"Balance Sheet";#N/A,#N/A,TRUE,"P &amp; L";#N/A,#N/A,TRUE,"Fixed Assets";#N/A,#N/A,TRUE,"Cash Flows"}</definedName>
    <definedName name="xyz30_1" localSheetId="26" hidden="1">{#N/A,#N/A,TRUE,"Summary";#N/A,#N/A,TRUE,"Balance Sheet";#N/A,#N/A,TRUE,"P &amp; L";#N/A,#N/A,TRUE,"Fixed Assets";#N/A,#N/A,TRUE,"Cash Flows"}</definedName>
    <definedName name="xyz30_1" localSheetId="0" hidden="1">{#N/A,#N/A,TRUE,"Summary";#N/A,#N/A,TRUE,"Balance Sheet";#N/A,#N/A,TRUE,"P &amp; L";#N/A,#N/A,TRUE,"Fixed Assets";#N/A,#N/A,TRUE,"Cash Flows"}</definedName>
    <definedName name="xyz30_1" hidden="1">{#N/A,#N/A,TRUE,"Summary";#N/A,#N/A,TRUE,"Balance Sheet";#N/A,#N/A,TRUE,"P &amp; L";#N/A,#N/A,TRUE,"Fixed Assets";#N/A,#N/A,TRUE,"Cash Flows"}</definedName>
    <definedName name="xyz30_1_1" localSheetId="26" hidden="1">{#N/A,#N/A,TRUE,"Summary";#N/A,#N/A,TRUE,"Balance Sheet";#N/A,#N/A,TRUE,"P &amp; L";#N/A,#N/A,TRUE,"Fixed Assets";#N/A,#N/A,TRUE,"Cash Flows"}</definedName>
    <definedName name="xyz30_1_1" localSheetId="0" hidden="1">{#N/A,#N/A,TRUE,"Summary";#N/A,#N/A,TRUE,"Balance Sheet";#N/A,#N/A,TRUE,"P &amp; L";#N/A,#N/A,TRUE,"Fixed Assets";#N/A,#N/A,TRUE,"Cash Flows"}</definedName>
    <definedName name="xyz30_1_1" hidden="1">{#N/A,#N/A,TRUE,"Summary";#N/A,#N/A,TRUE,"Balance Sheet";#N/A,#N/A,TRUE,"P &amp; L";#N/A,#N/A,TRUE,"Fixed Assets";#N/A,#N/A,TRUE,"Cash Flows"}</definedName>
    <definedName name="xyz30_1_2" localSheetId="26" hidden="1">{#N/A,#N/A,TRUE,"Summary";#N/A,#N/A,TRUE,"Balance Sheet";#N/A,#N/A,TRUE,"P &amp; L";#N/A,#N/A,TRUE,"Fixed Assets";#N/A,#N/A,TRUE,"Cash Flows"}</definedName>
    <definedName name="xyz30_1_2" localSheetId="0" hidden="1">{#N/A,#N/A,TRUE,"Summary";#N/A,#N/A,TRUE,"Balance Sheet";#N/A,#N/A,TRUE,"P &amp; L";#N/A,#N/A,TRUE,"Fixed Assets";#N/A,#N/A,TRUE,"Cash Flows"}</definedName>
    <definedName name="xyz30_1_2" hidden="1">{#N/A,#N/A,TRUE,"Summary";#N/A,#N/A,TRUE,"Balance Sheet";#N/A,#N/A,TRUE,"P &amp; L";#N/A,#N/A,TRUE,"Fixed Assets";#N/A,#N/A,TRUE,"Cash Flows"}</definedName>
    <definedName name="xyz30_1_3" localSheetId="26" hidden="1">{#N/A,#N/A,TRUE,"Summary";#N/A,#N/A,TRUE,"Balance Sheet";#N/A,#N/A,TRUE,"P &amp; L";#N/A,#N/A,TRUE,"Fixed Assets";#N/A,#N/A,TRUE,"Cash Flows"}</definedName>
    <definedName name="xyz30_1_3" localSheetId="0" hidden="1">{#N/A,#N/A,TRUE,"Summary";#N/A,#N/A,TRUE,"Balance Sheet";#N/A,#N/A,TRUE,"P &amp; L";#N/A,#N/A,TRUE,"Fixed Assets";#N/A,#N/A,TRUE,"Cash Flows"}</definedName>
    <definedName name="xyz30_1_3" hidden="1">{#N/A,#N/A,TRUE,"Summary";#N/A,#N/A,TRUE,"Balance Sheet";#N/A,#N/A,TRUE,"P &amp; L";#N/A,#N/A,TRUE,"Fixed Assets";#N/A,#N/A,TRUE,"Cash Flows"}</definedName>
    <definedName name="xyz30_2" localSheetId="26" hidden="1">{#N/A,#N/A,TRUE,"Summary";#N/A,#N/A,TRUE,"Balance Sheet";#N/A,#N/A,TRUE,"P &amp; L";#N/A,#N/A,TRUE,"Fixed Assets";#N/A,#N/A,TRUE,"Cash Flows"}</definedName>
    <definedName name="xyz30_2" localSheetId="0" hidden="1">{#N/A,#N/A,TRUE,"Summary";#N/A,#N/A,TRUE,"Balance Sheet";#N/A,#N/A,TRUE,"P &amp; L";#N/A,#N/A,TRUE,"Fixed Assets";#N/A,#N/A,TRUE,"Cash Flows"}</definedName>
    <definedName name="xyz30_2" hidden="1">{#N/A,#N/A,TRUE,"Summary";#N/A,#N/A,TRUE,"Balance Sheet";#N/A,#N/A,TRUE,"P &amp; L";#N/A,#N/A,TRUE,"Fixed Assets";#N/A,#N/A,TRUE,"Cash Flows"}</definedName>
    <definedName name="xyz30_2_1" localSheetId="26" hidden="1">{#N/A,#N/A,TRUE,"Summary";#N/A,#N/A,TRUE,"Balance Sheet";#N/A,#N/A,TRUE,"P &amp; L";#N/A,#N/A,TRUE,"Fixed Assets";#N/A,#N/A,TRUE,"Cash Flows"}</definedName>
    <definedName name="xyz30_2_1" localSheetId="0" hidden="1">{#N/A,#N/A,TRUE,"Summary";#N/A,#N/A,TRUE,"Balance Sheet";#N/A,#N/A,TRUE,"P &amp; L";#N/A,#N/A,TRUE,"Fixed Assets";#N/A,#N/A,TRUE,"Cash Flows"}</definedName>
    <definedName name="xyz30_2_1" hidden="1">{#N/A,#N/A,TRUE,"Summary";#N/A,#N/A,TRUE,"Balance Sheet";#N/A,#N/A,TRUE,"P &amp; L";#N/A,#N/A,TRUE,"Fixed Assets";#N/A,#N/A,TRUE,"Cash Flows"}</definedName>
    <definedName name="xyz30_2_2" localSheetId="26" hidden="1">{#N/A,#N/A,TRUE,"Summary";#N/A,#N/A,TRUE,"Balance Sheet";#N/A,#N/A,TRUE,"P &amp; L";#N/A,#N/A,TRUE,"Fixed Assets";#N/A,#N/A,TRUE,"Cash Flows"}</definedName>
    <definedName name="xyz30_2_2" localSheetId="0" hidden="1">{#N/A,#N/A,TRUE,"Summary";#N/A,#N/A,TRUE,"Balance Sheet";#N/A,#N/A,TRUE,"P &amp; L";#N/A,#N/A,TRUE,"Fixed Assets";#N/A,#N/A,TRUE,"Cash Flows"}</definedName>
    <definedName name="xyz30_2_2" hidden="1">{#N/A,#N/A,TRUE,"Summary";#N/A,#N/A,TRUE,"Balance Sheet";#N/A,#N/A,TRUE,"P &amp; L";#N/A,#N/A,TRUE,"Fixed Assets";#N/A,#N/A,TRUE,"Cash Flows"}</definedName>
    <definedName name="xyz30_3" localSheetId="26" hidden="1">{#N/A,#N/A,TRUE,"Summary";#N/A,#N/A,TRUE,"Balance Sheet";#N/A,#N/A,TRUE,"P &amp; L";#N/A,#N/A,TRUE,"Fixed Assets";#N/A,#N/A,TRUE,"Cash Flows"}</definedName>
    <definedName name="xyz30_3" localSheetId="0" hidden="1">{#N/A,#N/A,TRUE,"Summary";#N/A,#N/A,TRUE,"Balance Sheet";#N/A,#N/A,TRUE,"P &amp; L";#N/A,#N/A,TRUE,"Fixed Assets";#N/A,#N/A,TRUE,"Cash Flows"}</definedName>
    <definedName name="xyz30_3" hidden="1">{#N/A,#N/A,TRUE,"Summary";#N/A,#N/A,TRUE,"Balance Sheet";#N/A,#N/A,TRUE,"P &amp; L";#N/A,#N/A,TRUE,"Fixed Assets";#N/A,#N/A,TRUE,"Cash Flows"}</definedName>
    <definedName name="xyz30_4" localSheetId="26" hidden="1">{#N/A,#N/A,TRUE,"Summary";#N/A,#N/A,TRUE,"Balance Sheet";#N/A,#N/A,TRUE,"P &amp; L";#N/A,#N/A,TRUE,"Fixed Assets";#N/A,#N/A,TRUE,"Cash Flows"}</definedName>
    <definedName name="xyz30_4" localSheetId="0" hidden="1">{#N/A,#N/A,TRUE,"Summary";#N/A,#N/A,TRUE,"Balance Sheet";#N/A,#N/A,TRUE,"P &amp; L";#N/A,#N/A,TRUE,"Fixed Assets";#N/A,#N/A,TRUE,"Cash Flows"}</definedName>
    <definedName name="xyz30_4" hidden="1">{#N/A,#N/A,TRUE,"Summary";#N/A,#N/A,TRUE,"Balance Sheet";#N/A,#N/A,TRUE,"P &amp; L";#N/A,#N/A,TRUE,"Fixed Assets";#N/A,#N/A,TRUE,"Cash Flows"}</definedName>
    <definedName name="xyz30_5" localSheetId="26" hidden="1">{#N/A,#N/A,TRUE,"Summary";#N/A,#N/A,TRUE,"Balance Sheet";#N/A,#N/A,TRUE,"P &amp; L";#N/A,#N/A,TRUE,"Fixed Assets";#N/A,#N/A,TRUE,"Cash Flows"}</definedName>
    <definedName name="xyz30_5" localSheetId="0" hidden="1">{#N/A,#N/A,TRUE,"Summary";#N/A,#N/A,TRUE,"Balance Sheet";#N/A,#N/A,TRUE,"P &amp; L";#N/A,#N/A,TRUE,"Fixed Assets";#N/A,#N/A,TRUE,"Cash Flows"}</definedName>
    <definedName name="xyz30_5" hidden="1">{#N/A,#N/A,TRUE,"Summary";#N/A,#N/A,TRUE,"Balance Sheet";#N/A,#N/A,TRUE,"P &amp; L";#N/A,#N/A,TRUE,"Fixed Assets";#N/A,#N/A,TRUE,"Cash Flows"}</definedName>
    <definedName name="xyz4" localSheetId="26" hidden="1">{#N/A,#N/A,FALSE,"Cash Flows";#N/A,#N/A,FALSE,"Fixed Assets";#N/A,#N/A,FALSE,"Balance Sheet";#N/A,#N/A,FALSE,"P &amp; L"}</definedName>
    <definedName name="xyz4" localSheetId="0" hidden="1">{#N/A,#N/A,FALSE,"Cash Flows";#N/A,#N/A,FALSE,"Fixed Assets";#N/A,#N/A,FALSE,"Balance Sheet";#N/A,#N/A,FALSE,"P &amp; L"}</definedName>
    <definedName name="xyz4" hidden="1">{#N/A,#N/A,FALSE,"Cash Flows";#N/A,#N/A,FALSE,"Fixed Assets";#N/A,#N/A,FALSE,"Balance Sheet";#N/A,#N/A,FALSE,"P &amp; L"}</definedName>
    <definedName name="xyz4_1" localSheetId="26" hidden="1">{#N/A,#N/A,FALSE,"Cash Flows";#N/A,#N/A,FALSE,"Fixed Assets";#N/A,#N/A,FALSE,"Balance Sheet";#N/A,#N/A,FALSE,"P &amp; L"}</definedName>
    <definedName name="xyz4_1" localSheetId="0" hidden="1">{#N/A,#N/A,FALSE,"Cash Flows";#N/A,#N/A,FALSE,"Fixed Assets";#N/A,#N/A,FALSE,"Balance Sheet";#N/A,#N/A,FALSE,"P &amp; L"}</definedName>
    <definedName name="xyz4_1" hidden="1">{#N/A,#N/A,FALSE,"Cash Flows";#N/A,#N/A,FALSE,"Fixed Assets";#N/A,#N/A,FALSE,"Balance Sheet";#N/A,#N/A,FALSE,"P &amp; L"}</definedName>
    <definedName name="xyz4_1_1" localSheetId="26" hidden="1">{#N/A,#N/A,FALSE,"Cash Flows";#N/A,#N/A,FALSE,"Fixed Assets";#N/A,#N/A,FALSE,"Balance Sheet";#N/A,#N/A,FALSE,"P &amp; L"}</definedName>
    <definedName name="xyz4_1_1" localSheetId="0" hidden="1">{#N/A,#N/A,FALSE,"Cash Flows";#N/A,#N/A,FALSE,"Fixed Assets";#N/A,#N/A,FALSE,"Balance Sheet";#N/A,#N/A,FALSE,"P &amp; L"}</definedName>
    <definedName name="xyz4_1_1" hidden="1">{#N/A,#N/A,FALSE,"Cash Flows";#N/A,#N/A,FALSE,"Fixed Assets";#N/A,#N/A,FALSE,"Balance Sheet";#N/A,#N/A,FALSE,"P &amp; L"}</definedName>
    <definedName name="xyz4_1_2" localSheetId="26" hidden="1">{#N/A,#N/A,FALSE,"Cash Flows";#N/A,#N/A,FALSE,"Fixed Assets";#N/A,#N/A,FALSE,"Balance Sheet";#N/A,#N/A,FALSE,"P &amp; L"}</definedName>
    <definedName name="xyz4_1_2" localSheetId="0" hidden="1">{#N/A,#N/A,FALSE,"Cash Flows";#N/A,#N/A,FALSE,"Fixed Assets";#N/A,#N/A,FALSE,"Balance Sheet";#N/A,#N/A,FALSE,"P &amp; L"}</definedName>
    <definedName name="xyz4_1_2" hidden="1">{#N/A,#N/A,FALSE,"Cash Flows";#N/A,#N/A,FALSE,"Fixed Assets";#N/A,#N/A,FALSE,"Balance Sheet";#N/A,#N/A,FALSE,"P &amp; L"}</definedName>
    <definedName name="xyz4_1_3" localSheetId="26" hidden="1">{#N/A,#N/A,FALSE,"Cash Flows";#N/A,#N/A,FALSE,"Fixed Assets";#N/A,#N/A,FALSE,"Balance Sheet";#N/A,#N/A,FALSE,"P &amp; L"}</definedName>
    <definedName name="xyz4_1_3" localSheetId="0" hidden="1">{#N/A,#N/A,FALSE,"Cash Flows";#N/A,#N/A,FALSE,"Fixed Assets";#N/A,#N/A,FALSE,"Balance Sheet";#N/A,#N/A,FALSE,"P &amp; L"}</definedName>
    <definedName name="xyz4_1_3" hidden="1">{#N/A,#N/A,FALSE,"Cash Flows";#N/A,#N/A,FALSE,"Fixed Assets";#N/A,#N/A,FALSE,"Balance Sheet";#N/A,#N/A,FALSE,"P &amp; L"}</definedName>
    <definedName name="xyz4_2" localSheetId="26" hidden="1">{#N/A,#N/A,FALSE,"Cash Flows";#N/A,#N/A,FALSE,"Fixed Assets";#N/A,#N/A,FALSE,"Balance Sheet";#N/A,#N/A,FALSE,"P &amp; L"}</definedName>
    <definedName name="xyz4_2" localSheetId="0" hidden="1">{#N/A,#N/A,FALSE,"Cash Flows";#N/A,#N/A,FALSE,"Fixed Assets";#N/A,#N/A,FALSE,"Balance Sheet";#N/A,#N/A,FALSE,"P &amp; L"}</definedName>
    <definedName name="xyz4_2" hidden="1">{#N/A,#N/A,FALSE,"Cash Flows";#N/A,#N/A,FALSE,"Fixed Assets";#N/A,#N/A,FALSE,"Balance Sheet";#N/A,#N/A,FALSE,"P &amp; L"}</definedName>
    <definedName name="xyz4_2_1" localSheetId="26" hidden="1">{#N/A,#N/A,FALSE,"Cash Flows";#N/A,#N/A,FALSE,"Fixed Assets";#N/A,#N/A,FALSE,"Balance Sheet";#N/A,#N/A,FALSE,"P &amp; L"}</definedName>
    <definedName name="xyz4_2_1" localSheetId="0" hidden="1">{#N/A,#N/A,FALSE,"Cash Flows";#N/A,#N/A,FALSE,"Fixed Assets";#N/A,#N/A,FALSE,"Balance Sheet";#N/A,#N/A,FALSE,"P &amp; L"}</definedName>
    <definedName name="xyz4_2_1" hidden="1">{#N/A,#N/A,FALSE,"Cash Flows";#N/A,#N/A,FALSE,"Fixed Assets";#N/A,#N/A,FALSE,"Balance Sheet";#N/A,#N/A,FALSE,"P &amp; L"}</definedName>
    <definedName name="xyz4_2_2" localSheetId="26" hidden="1">{#N/A,#N/A,FALSE,"Cash Flows";#N/A,#N/A,FALSE,"Fixed Assets";#N/A,#N/A,FALSE,"Balance Sheet";#N/A,#N/A,FALSE,"P &amp; L"}</definedName>
    <definedName name="xyz4_2_2" localSheetId="0" hidden="1">{#N/A,#N/A,FALSE,"Cash Flows";#N/A,#N/A,FALSE,"Fixed Assets";#N/A,#N/A,FALSE,"Balance Sheet";#N/A,#N/A,FALSE,"P &amp; L"}</definedName>
    <definedName name="xyz4_2_2" hidden="1">{#N/A,#N/A,FALSE,"Cash Flows";#N/A,#N/A,FALSE,"Fixed Assets";#N/A,#N/A,FALSE,"Balance Sheet";#N/A,#N/A,FALSE,"P &amp; L"}</definedName>
    <definedName name="xyz4_3" localSheetId="26" hidden="1">{#N/A,#N/A,FALSE,"Cash Flows";#N/A,#N/A,FALSE,"Fixed Assets";#N/A,#N/A,FALSE,"Balance Sheet";#N/A,#N/A,FALSE,"P &amp; L"}</definedName>
    <definedName name="xyz4_3" localSheetId="0" hidden="1">{#N/A,#N/A,FALSE,"Cash Flows";#N/A,#N/A,FALSE,"Fixed Assets";#N/A,#N/A,FALSE,"Balance Sheet";#N/A,#N/A,FALSE,"P &amp; L"}</definedName>
    <definedName name="xyz4_3" hidden="1">{#N/A,#N/A,FALSE,"Cash Flows";#N/A,#N/A,FALSE,"Fixed Assets";#N/A,#N/A,FALSE,"Balance Sheet";#N/A,#N/A,FALSE,"P &amp; L"}</definedName>
    <definedName name="xyz4_4" localSheetId="26" hidden="1">{#N/A,#N/A,FALSE,"Cash Flows";#N/A,#N/A,FALSE,"Fixed Assets";#N/A,#N/A,FALSE,"Balance Sheet";#N/A,#N/A,FALSE,"P &amp; L"}</definedName>
    <definedName name="xyz4_4" localSheetId="0" hidden="1">{#N/A,#N/A,FALSE,"Cash Flows";#N/A,#N/A,FALSE,"Fixed Assets";#N/A,#N/A,FALSE,"Balance Sheet";#N/A,#N/A,FALSE,"P &amp; L"}</definedName>
    <definedName name="xyz4_4" hidden="1">{#N/A,#N/A,FALSE,"Cash Flows";#N/A,#N/A,FALSE,"Fixed Assets";#N/A,#N/A,FALSE,"Balance Sheet";#N/A,#N/A,FALSE,"P &amp; L"}</definedName>
    <definedName name="xyz4_5" localSheetId="26" hidden="1">{#N/A,#N/A,FALSE,"Cash Flows";#N/A,#N/A,FALSE,"Fixed Assets";#N/A,#N/A,FALSE,"Balance Sheet";#N/A,#N/A,FALSE,"P &amp; L"}</definedName>
    <definedName name="xyz4_5" localSheetId="0" hidden="1">{#N/A,#N/A,FALSE,"Cash Flows";#N/A,#N/A,FALSE,"Fixed Assets";#N/A,#N/A,FALSE,"Balance Sheet";#N/A,#N/A,FALSE,"P &amp; L"}</definedName>
    <definedName name="xyz4_5" hidden="1">{#N/A,#N/A,FALSE,"Cash Flows";#N/A,#N/A,FALSE,"Fixed Assets";#N/A,#N/A,FALSE,"Balance Sheet";#N/A,#N/A,FALSE,"P &amp; L"}</definedName>
    <definedName name="xyz5" localSheetId="26" hidden="1">{#N/A,#N/A,FALSE,"Cash Flows";#N/A,#N/A,FALSE,"Fixed Assets";#N/A,#N/A,FALSE,"Balance Sheet";#N/A,#N/A,FALSE,"P &amp; L"}</definedName>
    <definedName name="xyz5" localSheetId="0" hidden="1">{#N/A,#N/A,FALSE,"Cash Flows";#N/A,#N/A,FALSE,"Fixed Assets";#N/A,#N/A,FALSE,"Balance Sheet";#N/A,#N/A,FALSE,"P &amp; L"}</definedName>
    <definedName name="xyz5" hidden="1">{#N/A,#N/A,FALSE,"Cash Flows";#N/A,#N/A,FALSE,"Fixed Assets";#N/A,#N/A,FALSE,"Balance Sheet";#N/A,#N/A,FALSE,"P &amp; L"}</definedName>
    <definedName name="xyz5_1" localSheetId="26" hidden="1">{#N/A,#N/A,FALSE,"Cash Flows";#N/A,#N/A,FALSE,"Fixed Assets";#N/A,#N/A,FALSE,"Balance Sheet";#N/A,#N/A,FALSE,"P &amp; L"}</definedName>
    <definedName name="xyz5_1" localSheetId="0" hidden="1">{#N/A,#N/A,FALSE,"Cash Flows";#N/A,#N/A,FALSE,"Fixed Assets";#N/A,#N/A,FALSE,"Balance Sheet";#N/A,#N/A,FALSE,"P &amp; L"}</definedName>
    <definedName name="xyz5_1" hidden="1">{#N/A,#N/A,FALSE,"Cash Flows";#N/A,#N/A,FALSE,"Fixed Assets";#N/A,#N/A,FALSE,"Balance Sheet";#N/A,#N/A,FALSE,"P &amp; L"}</definedName>
    <definedName name="xyz5_1_1" localSheetId="26" hidden="1">{#N/A,#N/A,FALSE,"Cash Flows";#N/A,#N/A,FALSE,"Fixed Assets";#N/A,#N/A,FALSE,"Balance Sheet";#N/A,#N/A,FALSE,"P &amp; L"}</definedName>
    <definedName name="xyz5_1_1" localSheetId="0" hidden="1">{#N/A,#N/A,FALSE,"Cash Flows";#N/A,#N/A,FALSE,"Fixed Assets";#N/A,#N/A,FALSE,"Balance Sheet";#N/A,#N/A,FALSE,"P &amp; L"}</definedName>
    <definedName name="xyz5_1_1" hidden="1">{#N/A,#N/A,FALSE,"Cash Flows";#N/A,#N/A,FALSE,"Fixed Assets";#N/A,#N/A,FALSE,"Balance Sheet";#N/A,#N/A,FALSE,"P &amp; L"}</definedName>
    <definedName name="xyz5_1_2" localSheetId="26" hidden="1">{#N/A,#N/A,FALSE,"Cash Flows";#N/A,#N/A,FALSE,"Fixed Assets";#N/A,#N/A,FALSE,"Balance Sheet";#N/A,#N/A,FALSE,"P &amp; L"}</definedName>
    <definedName name="xyz5_1_2" localSheetId="0" hidden="1">{#N/A,#N/A,FALSE,"Cash Flows";#N/A,#N/A,FALSE,"Fixed Assets";#N/A,#N/A,FALSE,"Balance Sheet";#N/A,#N/A,FALSE,"P &amp; L"}</definedName>
    <definedName name="xyz5_1_2" hidden="1">{#N/A,#N/A,FALSE,"Cash Flows";#N/A,#N/A,FALSE,"Fixed Assets";#N/A,#N/A,FALSE,"Balance Sheet";#N/A,#N/A,FALSE,"P &amp; L"}</definedName>
    <definedName name="xyz5_1_3" localSheetId="26" hidden="1">{#N/A,#N/A,FALSE,"Cash Flows";#N/A,#N/A,FALSE,"Fixed Assets";#N/A,#N/A,FALSE,"Balance Sheet";#N/A,#N/A,FALSE,"P &amp; L"}</definedName>
    <definedName name="xyz5_1_3" localSheetId="0" hidden="1">{#N/A,#N/A,FALSE,"Cash Flows";#N/A,#N/A,FALSE,"Fixed Assets";#N/A,#N/A,FALSE,"Balance Sheet";#N/A,#N/A,FALSE,"P &amp; L"}</definedName>
    <definedName name="xyz5_1_3" hidden="1">{#N/A,#N/A,FALSE,"Cash Flows";#N/A,#N/A,FALSE,"Fixed Assets";#N/A,#N/A,FALSE,"Balance Sheet";#N/A,#N/A,FALSE,"P &amp; L"}</definedName>
    <definedName name="xyz5_2" localSheetId="26" hidden="1">{#N/A,#N/A,FALSE,"Cash Flows";#N/A,#N/A,FALSE,"Fixed Assets";#N/A,#N/A,FALSE,"Balance Sheet";#N/A,#N/A,FALSE,"P &amp; L"}</definedName>
    <definedName name="xyz5_2" localSheetId="0" hidden="1">{#N/A,#N/A,FALSE,"Cash Flows";#N/A,#N/A,FALSE,"Fixed Assets";#N/A,#N/A,FALSE,"Balance Sheet";#N/A,#N/A,FALSE,"P &amp; L"}</definedName>
    <definedName name="xyz5_2" hidden="1">{#N/A,#N/A,FALSE,"Cash Flows";#N/A,#N/A,FALSE,"Fixed Assets";#N/A,#N/A,FALSE,"Balance Sheet";#N/A,#N/A,FALSE,"P &amp; L"}</definedName>
    <definedName name="xyz5_2_1" localSheetId="26" hidden="1">{#N/A,#N/A,FALSE,"Cash Flows";#N/A,#N/A,FALSE,"Fixed Assets";#N/A,#N/A,FALSE,"Balance Sheet";#N/A,#N/A,FALSE,"P &amp; L"}</definedName>
    <definedName name="xyz5_2_1" localSheetId="0" hidden="1">{#N/A,#N/A,FALSE,"Cash Flows";#N/A,#N/A,FALSE,"Fixed Assets";#N/A,#N/A,FALSE,"Balance Sheet";#N/A,#N/A,FALSE,"P &amp; L"}</definedName>
    <definedName name="xyz5_2_1" hidden="1">{#N/A,#N/A,FALSE,"Cash Flows";#N/A,#N/A,FALSE,"Fixed Assets";#N/A,#N/A,FALSE,"Balance Sheet";#N/A,#N/A,FALSE,"P &amp; L"}</definedName>
    <definedName name="xyz5_2_2" localSheetId="26" hidden="1">{#N/A,#N/A,FALSE,"Cash Flows";#N/A,#N/A,FALSE,"Fixed Assets";#N/A,#N/A,FALSE,"Balance Sheet";#N/A,#N/A,FALSE,"P &amp; L"}</definedName>
    <definedName name="xyz5_2_2" localSheetId="0" hidden="1">{#N/A,#N/A,FALSE,"Cash Flows";#N/A,#N/A,FALSE,"Fixed Assets";#N/A,#N/A,FALSE,"Balance Sheet";#N/A,#N/A,FALSE,"P &amp; L"}</definedName>
    <definedName name="xyz5_2_2" hidden="1">{#N/A,#N/A,FALSE,"Cash Flows";#N/A,#N/A,FALSE,"Fixed Assets";#N/A,#N/A,FALSE,"Balance Sheet";#N/A,#N/A,FALSE,"P &amp; L"}</definedName>
    <definedName name="xyz5_3" localSheetId="26" hidden="1">{#N/A,#N/A,FALSE,"Cash Flows";#N/A,#N/A,FALSE,"Fixed Assets";#N/A,#N/A,FALSE,"Balance Sheet";#N/A,#N/A,FALSE,"P &amp; L"}</definedName>
    <definedName name="xyz5_3" localSheetId="0" hidden="1">{#N/A,#N/A,FALSE,"Cash Flows";#N/A,#N/A,FALSE,"Fixed Assets";#N/A,#N/A,FALSE,"Balance Sheet";#N/A,#N/A,FALSE,"P &amp; L"}</definedName>
    <definedName name="xyz5_3" hidden="1">{#N/A,#N/A,FALSE,"Cash Flows";#N/A,#N/A,FALSE,"Fixed Assets";#N/A,#N/A,FALSE,"Balance Sheet";#N/A,#N/A,FALSE,"P &amp; L"}</definedName>
    <definedName name="xyz5_4" localSheetId="26" hidden="1">{#N/A,#N/A,FALSE,"Cash Flows";#N/A,#N/A,FALSE,"Fixed Assets";#N/A,#N/A,FALSE,"Balance Sheet";#N/A,#N/A,FALSE,"P &amp; L"}</definedName>
    <definedName name="xyz5_4" localSheetId="0" hidden="1">{#N/A,#N/A,FALSE,"Cash Flows";#N/A,#N/A,FALSE,"Fixed Assets";#N/A,#N/A,FALSE,"Balance Sheet";#N/A,#N/A,FALSE,"P &amp; L"}</definedName>
    <definedName name="xyz5_4" hidden="1">{#N/A,#N/A,FALSE,"Cash Flows";#N/A,#N/A,FALSE,"Fixed Assets";#N/A,#N/A,FALSE,"Balance Sheet";#N/A,#N/A,FALSE,"P &amp; L"}</definedName>
    <definedName name="xyz5_5" localSheetId="26" hidden="1">{#N/A,#N/A,FALSE,"Cash Flows";#N/A,#N/A,FALSE,"Fixed Assets";#N/A,#N/A,FALSE,"Balance Sheet";#N/A,#N/A,FALSE,"P &amp; L"}</definedName>
    <definedName name="xyz5_5" localSheetId="0" hidden="1">{#N/A,#N/A,FALSE,"Cash Flows";#N/A,#N/A,FALSE,"Fixed Assets";#N/A,#N/A,FALSE,"Balance Sheet";#N/A,#N/A,FALSE,"P &amp; L"}</definedName>
    <definedName name="xyz5_5" hidden="1">{#N/A,#N/A,FALSE,"Cash Flows";#N/A,#N/A,FALSE,"Fixed Assets";#N/A,#N/A,FALSE,"Balance Sheet";#N/A,#N/A,FALSE,"P &amp; L"}</definedName>
    <definedName name="xyz6" localSheetId="26" hidden="1">{#N/A,#N/A,FALSE,"Cash Flows";#N/A,#N/A,FALSE,"Fixed Assets";#N/A,#N/A,FALSE,"Balance Sheet";#N/A,#N/A,FALSE,"P &amp; L"}</definedName>
    <definedName name="xyz6" localSheetId="0" hidden="1">{#N/A,#N/A,FALSE,"Cash Flows";#N/A,#N/A,FALSE,"Fixed Assets";#N/A,#N/A,FALSE,"Balance Sheet";#N/A,#N/A,FALSE,"P &amp; L"}</definedName>
    <definedName name="xyz6" hidden="1">{#N/A,#N/A,FALSE,"Cash Flows";#N/A,#N/A,FALSE,"Fixed Assets";#N/A,#N/A,FALSE,"Balance Sheet";#N/A,#N/A,FALSE,"P &amp; L"}</definedName>
    <definedName name="xyz6_1" localSheetId="26" hidden="1">{#N/A,#N/A,FALSE,"Cash Flows";#N/A,#N/A,FALSE,"Fixed Assets";#N/A,#N/A,FALSE,"Balance Sheet";#N/A,#N/A,FALSE,"P &amp; L"}</definedName>
    <definedName name="xyz6_1" localSheetId="0" hidden="1">{#N/A,#N/A,FALSE,"Cash Flows";#N/A,#N/A,FALSE,"Fixed Assets";#N/A,#N/A,FALSE,"Balance Sheet";#N/A,#N/A,FALSE,"P &amp; L"}</definedName>
    <definedName name="xyz6_1" hidden="1">{#N/A,#N/A,FALSE,"Cash Flows";#N/A,#N/A,FALSE,"Fixed Assets";#N/A,#N/A,FALSE,"Balance Sheet";#N/A,#N/A,FALSE,"P &amp; L"}</definedName>
    <definedName name="xyz6_1_1" localSheetId="26" hidden="1">{#N/A,#N/A,FALSE,"Cash Flows";#N/A,#N/A,FALSE,"Fixed Assets";#N/A,#N/A,FALSE,"Balance Sheet";#N/A,#N/A,FALSE,"P &amp; L"}</definedName>
    <definedName name="xyz6_1_1" localSheetId="0" hidden="1">{#N/A,#N/A,FALSE,"Cash Flows";#N/A,#N/A,FALSE,"Fixed Assets";#N/A,#N/A,FALSE,"Balance Sheet";#N/A,#N/A,FALSE,"P &amp; L"}</definedName>
    <definedName name="xyz6_1_1" hidden="1">{#N/A,#N/A,FALSE,"Cash Flows";#N/A,#N/A,FALSE,"Fixed Assets";#N/A,#N/A,FALSE,"Balance Sheet";#N/A,#N/A,FALSE,"P &amp; L"}</definedName>
    <definedName name="xyz6_1_2" localSheetId="26" hidden="1">{#N/A,#N/A,FALSE,"Cash Flows";#N/A,#N/A,FALSE,"Fixed Assets";#N/A,#N/A,FALSE,"Balance Sheet";#N/A,#N/A,FALSE,"P &amp; L"}</definedName>
    <definedName name="xyz6_1_2" localSheetId="0" hidden="1">{#N/A,#N/A,FALSE,"Cash Flows";#N/A,#N/A,FALSE,"Fixed Assets";#N/A,#N/A,FALSE,"Balance Sheet";#N/A,#N/A,FALSE,"P &amp; L"}</definedName>
    <definedName name="xyz6_1_2" hidden="1">{#N/A,#N/A,FALSE,"Cash Flows";#N/A,#N/A,FALSE,"Fixed Assets";#N/A,#N/A,FALSE,"Balance Sheet";#N/A,#N/A,FALSE,"P &amp; L"}</definedName>
    <definedName name="xyz6_1_3" localSheetId="26" hidden="1">{#N/A,#N/A,FALSE,"Cash Flows";#N/A,#N/A,FALSE,"Fixed Assets";#N/A,#N/A,FALSE,"Balance Sheet";#N/A,#N/A,FALSE,"P &amp; L"}</definedName>
    <definedName name="xyz6_1_3" localSheetId="0" hidden="1">{#N/A,#N/A,FALSE,"Cash Flows";#N/A,#N/A,FALSE,"Fixed Assets";#N/A,#N/A,FALSE,"Balance Sheet";#N/A,#N/A,FALSE,"P &amp; L"}</definedName>
    <definedName name="xyz6_1_3" hidden="1">{#N/A,#N/A,FALSE,"Cash Flows";#N/A,#N/A,FALSE,"Fixed Assets";#N/A,#N/A,FALSE,"Balance Sheet";#N/A,#N/A,FALSE,"P &amp; L"}</definedName>
    <definedName name="xyz6_2" localSheetId="26" hidden="1">{#N/A,#N/A,FALSE,"Cash Flows";#N/A,#N/A,FALSE,"Fixed Assets";#N/A,#N/A,FALSE,"Balance Sheet";#N/A,#N/A,FALSE,"P &amp; L"}</definedName>
    <definedName name="xyz6_2" localSheetId="0" hidden="1">{#N/A,#N/A,FALSE,"Cash Flows";#N/A,#N/A,FALSE,"Fixed Assets";#N/A,#N/A,FALSE,"Balance Sheet";#N/A,#N/A,FALSE,"P &amp; L"}</definedName>
    <definedName name="xyz6_2" hidden="1">{#N/A,#N/A,FALSE,"Cash Flows";#N/A,#N/A,FALSE,"Fixed Assets";#N/A,#N/A,FALSE,"Balance Sheet";#N/A,#N/A,FALSE,"P &amp; L"}</definedName>
    <definedName name="xyz6_2_1" localSheetId="26" hidden="1">{#N/A,#N/A,FALSE,"Cash Flows";#N/A,#N/A,FALSE,"Fixed Assets";#N/A,#N/A,FALSE,"Balance Sheet";#N/A,#N/A,FALSE,"P &amp; L"}</definedName>
    <definedName name="xyz6_2_1" localSheetId="0" hidden="1">{#N/A,#N/A,FALSE,"Cash Flows";#N/A,#N/A,FALSE,"Fixed Assets";#N/A,#N/A,FALSE,"Balance Sheet";#N/A,#N/A,FALSE,"P &amp; L"}</definedName>
    <definedName name="xyz6_2_1" hidden="1">{#N/A,#N/A,FALSE,"Cash Flows";#N/A,#N/A,FALSE,"Fixed Assets";#N/A,#N/A,FALSE,"Balance Sheet";#N/A,#N/A,FALSE,"P &amp; L"}</definedName>
    <definedName name="xyz6_2_2" localSheetId="26" hidden="1">{#N/A,#N/A,FALSE,"Cash Flows";#N/A,#N/A,FALSE,"Fixed Assets";#N/A,#N/A,FALSE,"Balance Sheet";#N/A,#N/A,FALSE,"P &amp; L"}</definedName>
    <definedName name="xyz6_2_2" localSheetId="0" hidden="1">{#N/A,#N/A,FALSE,"Cash Flows";#N/A,#N/A,FALSE,"Fixed Assets";#N/A,#N/A,FALSE,"Balance Sheet";#N/A,#N/A,FALSE,"P &amp; L"}</definedName>
    <definedName name="xyz6_2_2" hidden="1">{#N/A,#N/A,FALSE,"Cash Flows";#N/A,#N/A,FALSE,"Fixed Assets";#N/A,#N/A,FALSE,"Balance Sheet";#N/A,#N/A,FALSE,"P &amp; L"}</definedName>
    <definedName name="xyz6_3" localSheetId="26" hidden="1">{#N/A,#N/A,FALSE,"Cash Flows";#N/A,#N/A,FALSE,"Fixed Assets";#N/A,#N/A,FALSE,"Balance Sheet";#N/A,#N/A,FALSE,"P &amp; L"}</definedName>
    <definedName name="xyz6_3" localSheetId="0" hidden="1">{#N/A,#N/A,FALSE,"Cash Flows";#N/A,#N/A,FALSE,"Fixed Assets";#N/A,#N/A,FALSE,"Balance Sheet";#N/A,#N/A,FALSE,"P &amp; L"}</definedName>
    <definedName name="xyz6_3" hidden="1">{#N/A,#N/A,FALSE,"Cash Flows";#N/A,#N/A,FALSE,"Fixed Assets";#N/A,#N/A,FALSE,"Balance Sheet";#N/A,#N/A,FALSE,"P &amp; L"}</definedName>
    <definedName name="xyz6_4" localSheetId="26" hidden="1">{#N/A,#N/A,FALSE,"Cash Flows";#N/A,#N/A,FALSE,"Fixed Assets";#N/A,#N/A,FALSE,"Balance Sheet";#N/A,#N/A,FALSE,"P &amp; L"}</definedName>
    <definedName name="xyz6_4" localSheetId="0" hidden="1">{#N/A,#N/A,FALSE,"Cash Flows";#N/A,#N/A,FALSE,"Fixed Assets";#N/A,#N/A,FALSE,"Balance Sheet";#N/A,#N/A,FALSE,"P &amp; L"}</definedName>
    <definedName name="xyz6_4" hidden="1">{#N/A,#N/A,FALSE,"Cash Flows";#N/A,#N/A,FALSE,"Fixed Assets";#N/A,#N/A,FALSE,"Balance Sheet";#N/A,#N/A,FALSE,"P &amp; L"}</definedName>
    <definedName name="xyz6_5" localSheetId="26" hidden="1">{#N/A,#N/A,FALSE,"Cash Flows";#N/A,#N/A,FALSE,"Fixed Assets";#N/A,#N/A,FALSE,"Balance Sheet";#N/A,#N/A,FALSE,"P &amp; L"}</definedName>
    <definedName name="xyz6_5" localSheetId="0" hidden="1">{#N/A,#N/A,FALSE,"Cash Flows";#N/A,#N/A,FALSE,"Fixed Assets";#N/A,#N/A,FALSE,"Balance Sheet";#N/A,#N/A,FALSE,"P &amp; L"}</definedName>
    <definedName name="xyz6_5" hidden="1">{#N/A,#N/A,FALSE,"Cash Flows";#N/A,#N/A,FALSE,"Fixed Assets";#N/A,#N/A,FALSE,"Balance Sheet";#N/A,#N/A,FALSE,"P &amp; L"}</definedName>
    <definedName name="xyz7" localSheetId="26" hidden="1">{#N/A,#N/A,FALSE,"Cash Flows";#N/A,#N/A,FALSE,"Fixed Assets";#N/A,#N/A,FALSE,"Balance Sheet";#N/A,#N/A,FALSE,"P &amp; L"}</definedName>
    <definedName name="xyz7" localSheetId="0" hidden="1">{#N/A,#N/A,FALSE,"Cash Flows";#N/A,#N/A,FALSE,"Fixed Assets";#N/A,#N/A,FALSE,"Balance Sheet";#N/A,#N/A,FALSE,"P &amp; L"}</definedName>
    <definedName name="xyz7" hidden="1">{#N/A,#N/A,FALSE,"Cash Flows";#N/A,#N/A,FALSE,"Fixed Assets";#N/A,#N/A,FALSE,"Balance Sheet";#N/A,#N/A,FALSE,"P &amp; L"}</definedName>
    <definedName name="xyz7_1" localSheetId="26" hidden="1">{#N/A,#N/A,FALSE,"Cash Flows";#N/A,#N/A,FALSE,"Fixed Assets";#N/A,#N/A,FALSE,"Balance Sheet";#N/A,#N/A,FALSE,"P &amp; L"}</definedName>
    <definedName name="xyz7_1" localSheetId="0" hidden="1">{#N/A,#N/A,FALSE,"Cash Flows";#N/A,#N/A,FALSE,"Fixed Assets";#N/A,#N/A,FALSE,"Balance Sheet";#N/A,#N/A,FALSE,"P &amp; L"}</definedName>
    <definedName name="xyz7_1" hidden="1">{#N/A,#N/A,FALSE,"Cash Flows";#N/A,#N/A,FALSE,"Fixed Assets";#N/A,#N/A,FALSE,"Balance Sheet";#N/A,#N/A,FALSE,"P &amp; L"}</definedName>
    <definedName name="xyz7_1_1" localSheetId="26" hidden="1">{#N/A,#N/A,FALSE,"Cash Flows";#N/A,#N/A,FALSE,"Fixed Assets";#N/A,#N/A,FALSE,"Balance Sheet";#N/A,#N/A,FALSE,"P &amp; L"}</definedName>
    <definedName name="xyz7_1_1" localSheetId="0" hidden="1">{#N/A,#N/A,FALSE,"Cash Flows";#N/A,#N/A,FALSE,"Fixed Assets";#N/A,#N/A,FALSE,"Balance Sheet";#N/A,#N/A,FALSE,"P &amp; L"}</definedName>
    <definedName name="xyz7_1_1" hidden="1">{#N/A,#N/A,FALSE,"Cash Flows";#N/A,#N/A,FALSE,"Fixed Assets";#N/A,#N/A,FALSE,"Balance Sheet";#N/A,#N/A,FALSE,"P &amp; L"}</definedName>
    <definedName name="xyz7_1_2" localSheetId="26" hidden="1">{#N/A,#N/A,FALSE,"Cash Flows";#N/A,#N/A,FALSE,"Fixed Assets";#N/A,#N/A,FALSE,"Balance Sheet";#N/A,#N/A,FALSE,"P &amp; L"}</definedName>
    <definedName name="xyz7_1_2" localSheetId="0" hidden="1">{#N/A,#N/A,FALSE,"Cash Flows";#N/A,#N/A,FALSE,"Fixed Assets";#N/A,#N/A,FALSE,"Balance Sheet";#N/A,#N/A,FALSE,"P &amp; L"}</definedName>
    <definedName name="xyz7_1_2" hidden="1">{#N/A,#N/A,FALSE,"Cash Flows";#N/A,#N/A,FALSE,"Fixed Assets";#N/A,#N/A,FALSE,"Balance Sheet";#N/A,#N/A,FALSE,"P &amp; L"}</definedName>
    <definedName name="xyz7_1_3" localSheetId="26" hidden="1">{#N/A,#N/A,FALSE,"Cash Flows";#N/A,#N/A,FALSE,"Fixed Assets";#N/A,#N/A,FALSE,"Balance Sheet";#N/A,#N/A,FALSE,"P &amp; L"}</definedName>
    <definedName name="xyz7_1_3" localSheetId="0" hidden="1">{#N/A,#N/A,FALSE,"Cash Flows";#N/A,#N/A,FALSE,"Fixed Assets";#N/A,#N/A,FALSE,"Balance Sheet";#N/A,#N/A,FALSE,"P &amp; L"}</definedName>
    <definedName name="xyz7_1_3" hidden="1">{#N/A,#N/A,FALSE,"Cash Flows";#N/A,#N/A,FALSE,"Fixed Assets";#N/A,#N/A,FALSE,"Balance Sheet";#N/A,#N/A,FALSE,"P &amp; L"}</definedName>
    <definedName name="xyz7_2" localSheetId="26" hidden="1">{#N/A,#N/A,FALSE,"Cash Flows";#N/A,#N/A,FALSE,"Fixed Assets";#N/A,#N/A,FALSE,"Balance Sheet";#N/A,#N/A,FALSE,"P &amp; L"}</definedName>
    <definedName name="xyz7_2" localSheetId="0" hidden="1">{#N/A,#N/A,FALSE,"Cash Flows";#N/A,#N/A,FALSE,"Fixed Assets";#N/A,#N/A,FALSE,"Balance Sheet";#N/A,#N/A,FALSE,"P &amp; L"}</definedName>
    <definedName name="xyz7_2" hidden="1">{#N/A,#N/A,FALSE,"Cash Flows";#N/A,#N/A,FALSE,"Fixed Assets";#N/A,#N/A,FALSE,"Balance Sheet";#N/A,#N/A,FALSE,"P &amp; L"}</definedName>
    <definedName name="xyz7_2_1" localSheetId="26" hidden="1">{#N/A,#N/A,FALSE,"Cash Flows";#N/A,#N/A,FALSE,"Fixed Assets";#N/A,#N/A,FALSE,"Balance Sheet";#N/A,#N/A,FALSE,"P &amp; L"}</definedName>
    <definedName name="xyz7_2_1" localSheetId="0" hidden="1">{#N/A,#N/A,FALSE,"Cash Flows";#N/A,#N/A,FALSE,"Fixed Assets";#N/A,#N/A,FALSE,"Balance Sheet";#N/A,#N/A,FALSE,"P &amp; L"}</definedName>
    <definedName name="xyz7_2_1" hidden="1">{#N/A,#N/A,FALSE,"Cash Flows";#N/A,#N/A,FALSE,"Fixed Assets";#N/A,#N/A,FALSE,"Balance Sheet";#N/A,#N/A,FALSE,"P &amp; L"}</definedName>
    <definedName name="xyz7_2_2" localSheetId="26" hidden="1">{#N/A,#N/A,FALSE,"Cash Flows";#N/A,#N/A,FALSE,"Fixed Assets";#N/A,#N/A,FALSE,"Balance Sheet";#N/A,#N/A,FALSE,"P &amp; L"}</definedName>
    <definedName name="xyz7_2_2" localSheetId="0" hidden="1">{#N/A,#N/A,FALSE,"Cash Flows";#N/A,#N/A,FALSE,"Fixed Assets";#N/A,#N/A,FALSE,"Balance Sheet";#N/A,#N/A,FALSE,"P &amp; L"}</definedName>
    <definedName name="xyz7_2_2" hidden="1">{#N/A,#N/A,FALSE,"Cash Flows";#N/A,#N/A,FALSE,"Fixed Assets";#N/A,#N/A,FALSE,"Balance Sheet";#N/A,#N/A,FALSE,"P &amp; L"}</definedName>
    <definedName name="xyz7_3" localSheetId="26" hidden="1">{#N/A,#N/A,FALSE,"Cash Flows";#N/A,#N/A,FALSE,"Fixed Assets";#N/A,#N/A,FALSE,"Balance Sheet";#N/A,#N/A,FALSE,"P &amp; L"}</definedName>
    <definedName name="xyz7_3" localSheetId="0" hidden="1">{#N/A,#N/A,FALSE,"Cash Flows";#N/A,#N/A,FALSE,"Fixed Assets";#N/A,#N/A,FALSE,"Balance Sheet";#N/A,#N/A,FALSE,"P &amp; L"}</definedName>
    <definedName name="xyz7_3" hidden="1">{#N/A,#N/A,FALSE,"Cash Flows";#N/A,#N/A,FALSE,"Fixed Assets";#N/A,#N/A,FALSE,"Balance Sheet";#N/A,#N/A,FALSE,"P &amp; L"}</definedName>
    <definedName name="xyz7_4" localSheetId="26" hidden="1">{#N/A,#N/A,FALSE,"Cash Flows";#N/A,#N/A,FALSE,"Fixed Assets";#N/A,#N/A,FALSE,"Balance Sheet";#N/A,#N/A,FALSE,"P &amp; L"}</definedName>
    <definedName name="xyz7_4" localSheetId="0" hidden="1">{#N/A,#N/A,FALSE,"Cash Flows";#N/A,#N/A,FALSE,"Fixed Assets";#N/A,#N/A,FALSE,"Balance Sheet";#N/A,#N/A,FALSE,"P &amp; L"}</definedName>
    <definedName name="xyz7_4" hidden="1">{#N/A,#N/A,FALSE,"Cash Flows";#N/A,#N/A,FALSE,"Fixed Assets";#N/A,#N/A,FALSE,"Balance Sheet";#N/A,#N/A,FALSE,"P &amp; L"}</definedName>
    <definedName name="xyz7_5" localSheetId="26" hidden="1">{#N/A,#N/A,FALSE,"Cash Flows";#N/A,#N/A,FALSE,"Fixed Assets";#N/A,#N/A,FALSE,"Balance Sheet";#N/A,#N/A,FALSE,"P &amp; L"}</definedName>
    <definedName name="xyz7_5" localSheetId="0" hidden="1">{#N/A,#N/A,FALSE,"Cash Flows";#N/A,#N/A,FALSE,"Fixed Assets";#N/A,#N/A,FALSE,"Balance Sheet";#N/A,#N/A,FALSE,"P &amp; L"}</definedName>
    <definedName name="xyz7_5" hidden="1">{#N/A,#N/A,FALSE,"Cash Flows";#N/A,#N/A,FALSE,"Fixed Assets";#N/A,#N/A,FALSE,"Balance Sheet";#N/A,#N/A,FALSE,"P &amp; L"}</definedName>
    <definedName name="xyz8" localSheetId="26" hidden="1">{#N/A,#N/A,TRUE,"Summary";#N/A,#N/A,TRUE,"Balance Sheet";#N/A,#N/A,TRUE,"P &amp; L";#N/A,#N/A,TRUE,"Fixed Assets";#N/A,#N/A,TRUE,"Cash Flows"}</definedName>
    <definedName name="xyz8" localSheetId="0" hidden="1">{#N/A,#N/A,TRUE,"Summary";#N/A,#N/A,TRUE,"Balance Sheet";#N/A,#N/A,TRUE,"P &amp; L";#N/A,#N/A,TRUE,"Fixed Assets";#N/A,#N/A,TRUE,"Cash Flows"}</definedName>
    <definedName name="xyz8" hidden="1">{#N/A,#N/A,TRUE,"Summary";#N/A,#N/A,TRUE,"Balance Sheet";#N/A,#N/A,TRUE,"P &amp; L";#N/A,#N/A,TRUE,"Fixed Assets";#N/A,#N/A,TRUE,"Cash Flows"}</definedName>
    <definedName name="xyz8_1" localSheetId="26" hidden="1">{#N/A,#N/A,TRUE,"Summary";#N/A,#N/A,TRUE,"Balance Sheet";#N/A,#N/A,TRUE,"P &amp; L";#N/A,#N/A,TRUE,"Fixed Assets";#N/A,#N/A,TRUE,"Cash Flows"}</definedName>
    <definedName name="xyz8_1" localSheetId="0" hidden="1">{#N/A,#N/A,TRUE,"Summary";#N/A,#N/A,TRUE,"Balance Sheet";#N/A,#N/A,TRUE,"P &amp; L";#N/A,#N/A,TRUE,"Fixed Assets";#N/A,#N/A,TRUE,"Cash Flows"}</definedName>
    <definedName name="xyz8_1" hidden="1">{#N/A,#N/A,TRUE,"Summary";#N/A,#N/A,TRUE,"Balance Sheet";#N/A,#N/A,TRUE,"P &amp; L";#N/A,#N/A,TRUE,"Fixed Assets";#N/A,#N/A,TRUE,"Cash Flows"}</definedName>
    <definedName name="xyz8_1_1" localSheetId="26" hidden="1">{#N/A,#N/A,TRUE,"Summary";#N/A,#N/A,TRUE,"Balance Sheet";#N/A,#N/A,TRUE,"P &amp; L";#N/A,#N/A,TRUE,"Fixed Assets";#N/A,#N/A,TRUE,"Cash Flows"}</definedName>
    <definedName name="xyz8_1_1" localSheetId="0" hidden="1">{#N/A,#N/A,TRUE,"Summary";#N/A,#N/A,TRUE,"Balance Sheet";#N/A,#N/A,TRUE,"P &amp; L";#N/A,#N/A,TRUE,"Fixed Assets";#N/A,#N/A,TRUE,"Cash Flows"}</definedName>
    <definedName name="xyz8_1_1" hidden="1">{#N/A,#N/A,TRUE,"Summary";#N/A,#N/A,TRUE,"Balance Sheet";#N/A,#N/A,TRUE,"P &amp; L";#N/A,#N/A,TRUE,"Fixed Assets";#N/A,#N/A,TRUE,"Cash Flows"}</definedName>
    <definedName name="xyz8_1_2" localSheetId="26" hidden="1">{#N/A,#N/A,TRUE,"Summary";#N/A,#N/A,TRUE,"Balance Sheet";#N/A,#N/A,TRUE,"P &amp; L";#N/A,#N/A,TRUE,"Fixed Assets";#N/A,#N/A,TRUE,"Cash Flows"}</definedName>
    <definedName name="xyz8_1_2" localSheetId="0" hidden="1">{#N/A,#N/A,TRUE,"Summary";#N/A,#N/A,TRUE,"Balance Sheet";#N/A,#N/A,TRUE,"P &amp; L";#N/A,#N/A,TRUE,"Fixed Assets";#N/A,#N/A,TRUE,"Cash Flows"}</definedName>
    <definedName name="xyz8_1_2" hidden="1">{#N/A,#N/A,TRUE,"Summary";#N/A,#N/A,TRUE,"Balance Sheet";#N/A,#N/A,TRUE,"P &amp; L";#N/A,#N/A,TRUE,"Fixed Assets";#N/A,#N/A,TRUE,"Cash Flows"}</definedName>
    <definedName name="xyz8_1_3" localSheetId="26" hidden="1">{#N/A,#N/A,TRUE,"Summary";#N/A,#N/A,TRUE,"Balance Sheet";#N/A,#N/A,TRUE,"P &amp; L";#N/A,#N/A,TRUE,"Fixed Assets";#N/A,#N/A,TRUE,"Cash Flows"}</definedName>
    <definedName name="xyz8_1_3" localSheetId="0" hidden="1">{#N/A,#N/A,TRUE,"Summary";#N/A,#N/A,TRUE,"Balance Sheet";#N/A,#N/A,TRUE,"P &amp; L";#N/A,#N/A,TRUE,"Fixed Assets";#N/A,#N/A,TRUE,"Cash Flows"}</definedName>
    <definedName name="xyz8_1_3" hidden="1">{#N/A,#N/A,TRUE,"Summary";#N/A,#N/A,TRUE,"Balance Sheet";#N/A,#N/A,TRUE,"P &amp; L";#N/A,#N/A,TRUE,"Fixed Assets";#N/A,#N/A,TRUE,"Cash Flows"}</definedName>
    <definedName name="xyz8_2" localSheetId="26" hidden="1">{#N/A,#N/A,TRUE,"Summary";#N/A,#N/A,TRUE,"Balance Sheet";#N/A,#N/A,TRUE,"P &amp; L";#N/A,#N/A,TRUE,"Fixed Assets";#N/A,#N/A,TRUE,"Cash Flows"}</definedName>
    <definedName name="xyz8_2" localSheetId="0" hidden="1">{#N/A,#N/A,TRUE,"Summary";#N/A,#N/A,TRUE,"Balance Sheet";#N/A,#N/A,TRUE,"P &amp; L";#N/A,#N/A,TRUE,"Fixed Assets";#N/A,#N/A,TRUE,"Cash Flows"}</definedName>
    <definedName name="xyz8_2" hidden="1">{#N/A,#N/A,TRUE,"Summary";#N/A,#N/A,TRUE,"Balance Sheet";#N/A,#N/A,TRUE,"P &amp; L";#N/A,#N/A,TRUE,"Fixed Assets";#N/A,#N/A,TRUE,"Cash Flows"}</definedName>
    <definedName name="xyz8_2_1" localSheetId="26" hidden="1">{#N/A,#N/A,TRUE,"Summary";#N/A,#N/A,TRUE,"Balance Sheet";#N/A,#N/A,TRUE,"P &amp; L";#N/A,#N/A,TRUE,"Fixed Assets";#N/A,#N/A,TRUE,"Cash Flows"}</definedName>
    <definedName name="xyz8_2_1" localSheetId="0" hidden="1">{#N/A,#N/A,TRUE,"Summary";#N/A,#N/A,TRUE,"Balance Sheet";#N/A,#N/A,TRUE,"P &amp; L";#N/A,#N/A,TRUE,"Fixed Assets";#N/A,#N/A,TRUE,"Cash Flows"}</definedName>
    <definedName name="xyz8_2_1" hidden="1">{#N/A,#N/A,TRUE,"Summary";#N/A,#N/A,TRUE,"Balance Sheet";#N/A,#N/A,TRUE,"P &amp; L";#N/A,#N/A,TRUE,"Fixed Assets";#N/A,#N/A,TRUE,"Cash Flows"}</definedName>
    <definedName name="xyz8_2_2" localSheetId="26" hidden="1">{#N/A,#N/A,TRUE,"Summary";#N/A,#N/A,TRUE,"Balance Sheet";#N/A,#N/A,TRUE,"P &amp; L";#N/A,#N/A,TRUE,"Fixed Assets";#N/A,#N/A,TRUE,"Cash Flows"}</definedName>
    <definedName name="xyz8_2_2" localSheetId="0" hidden="1">{#N/A,#N/A,TRUE,"Summary";#N/A,#N/A,TRUE,"Balance Sheet";#N/A,#N/A,TRUE,"P &amp; L";#N/A,#N/A,TRUE,"Fixed Assets";#N/A,#N/A,TRUE,"Cash Flows"}</definedName>
    <definedName name="xyz8_2_2" hidden="1">{#N/A,#N/A,TRUE,"Summary";#N/A,#N/A,TRUE,"Balance Sheet";#N/A,#N/A,TRUE,"P &amp; L";#N/A,#N/A,TRUE,"Fixed Assets";#N/A,#N/A,TRUE,"Cash Flows"}</definedName>
    <definedName name="xyz8_3" localSheetId="26" hidden="1">{#N/A,#N/A,TRUE,"Summary";#N/A,#N/A,TRUE,"Balance Sheet";#N/A,#N/A,TRUE,"P &amp; L";#N/A,#N/A,TRUE,"Fixed Assets";#N/A,#N/A,TRUE,"Cash Flows"}</definedName>
    <definedName name="xyz8_3" localSheetId="0" hidden="1">{#N/A,#N/A,TRUE,"Summary";#N/A,#N/A,TRUE,"Balance Sheet";#N/A,#N/A,TRUE,"P &amp; L";#N/A,#N/A,TRUE,"Fixed Assets";#N/A,#N/A,TRUE,"Cash Flows"}</definedName>
    <definedName name="xyz8_3" hidden="1">{#N/A,#N/A,TRUE,"Summary";#N/A,#N/A,TRUE,"Balance Sheet";#N/A,#N/A,TRUE,"P &amp; L";#N/A,#N/A,TRUE,"Fixed Assets";#N/A,#N/A,TRUE,"Cash Flows"}</definedName>
    <definedName name="xyz8_4" localSheetId="26" hidden="1">{#N/A,#N/A,TRUE,"Summary";#N/A,#N/A,TRUE,"Balance Sheet";#N/A,#N/A,TRUE,"P &amp; L";#N/A,#N/A,TRUE,"Fixed Assets";#N/A,#N/A,TRUE,"Cash Flows"}</definedName>
    <definedName name="xyz8_4" localSheetId="0" hidden="1">{#N/A,#N/A,TRUE,"Summary";#N/A,#N/A,TRUE,"Balance Sheet";#N/A,#N/A,TRUE,"P &amp; L";#N/A,#N/A,TRUE,"Fixed Assets";#N/A,#N/A,TRUE,"Cash Flows"}</definedName>
    <definedName name="xyz8_4" hidden="1">{#N/A,#N/A,TRUE,"Summary";#N/A,#N/A,TRUE,"Balance Sheet";#N/A,#N/A,TRUE,"P &amp; L";#N/A,#N/A,TRUE,"Fixed Assets";#N/A,#N/A,TRUE,"Cash Flows"}</definedName>
    <definedName name="xyz8_5" localSheetId="26" hidden="1">{#N/A,#N/A,TRUE,"Summary";#N/A,#N/A,TRUE,"Balance Sheet";#N/A,#N/A,TRUE,"P &amp; L";#N/A,#N/A,TRUE,"Fixed Assets";#N/A,#N/A,TRUE,"Cash Flows"}</definedName>
    <definedName name="xyz8_5" localSheetId="0" hidden="1">{#N/A,#N/A,TRUE,"Summary";#N/A,#N/A,TRUE,"Balance Sheet";#N/A,#N/A,TRUE,"P &amp; L";#N/A,#N/A,TRUE,"Fixed Assets";#N/A,#N/A,TRUE,"Cash Flows"}</definedName>
    <definedName name="xyz8_5" hidden="1">{#N/A,#N/A,TRUE,"Summary";#N/A,#N/A,TRUE,"Balance Sheet";#N/A,#N/A,TRUE,"P &amp; L";#N/A,#N/A,TRUE,"Fixed Assets";#N/A,#N/A,TRUE,"Cash Flows"}</definedName>
    <definedName name="xyz9" localSheetId="26" hidden="1">{#N/A,#N/A,FALSE,"Cash Flows";#N/A,#N/A,FALSE,"Fixed Assets";#N/A,#N/A,FALSE,"Balance Sheet";#N/A,#N/A,FALSE,"P &amp; L"}</definedName>
    <definedName name="xyz9" localSheetId="0" hidden="1">{#N/A,#N/A,FALSE,"Cash Flows";#N/A,#N/A,FALSE,"Fixed Assets";#N/A,#N/A,FALSE,"Balance Sheet";#N/A,#N/A,FALSE,"P &amp; L"}</definedName>
    <definedName name="xyz9" hidden="1">{#N/A,#N/A,FALSE,"Cash Flows";#N/A,#N/A,FALSE,"Fixed Assets";#N/A,#N/A,FALSE,"Balance Sheet";#N/A,#N/A,FALSE,"P &amp; L"}</definedName>
    <definedName name="xyz9_1" localSheetId="26" hidden="1">{#N/A,#N/A,FALSE,"Cash Flows";#N/A,#N/A,FALSE,"Fixed Assets";#N/A,#N/A,FALSE,"Balance Sheet";#N/A,#N/A,FALSE,"P &amp; L"}</definedName>
    <definedName name="xyz9_1" localSheetId="0" hidden="1">{#N/A,#N/A,FALSE,"Cash Flows";#N/A,#N/A,FALSE,"Fixed Assets";#N/A,#N/A,FALSE,"Balance Sheet";#N/A,#N/A,FALSE,"P &amp; L"}</definedName>
    <definedName name="xyz9_1" hidden="1">{#N/A,#N/A,FALSE,"Cash Flows";#N/A,#N/A,FALSE,"Fixed Assets";#N/A,#N/A,FALSE,"Balance Sheet";#N/A,#N/A,FALSE,"P &amp; L"}</definedName>
    <definedName name="xyz9_1_1" localSheetId="26" hidden="1">{#N/A,#N/A,FALSE,"Cash Flows";#N/A,#N/A,FALSE,"Fixed Assets";#N/A,#N/A,FALSE,"Balance Sheet";#N/A,#N/A,FALSE,"P &amp; L"}</definedName>
    <definedName name="xyz9_1_1" localSheetId="0" hidden="1">{#N/A,#N/A,FALSE,"Cash Flows";#N/A,#N/A,FALSE,"Fixed Assets";#N/A,#N/A,FALSE,"Balance Sheet";#N/A,#N/A,FALSE,"P &amp; L"}</definedName>
    <definedName name="xyz9_1_1" hidden="1">{#N/A,#N/A,FALSE,"Cash Flows";#N/A,#N/A,FALSE,"Fixed Assets";#N/A,#N/A,FALSE,"Balance Sheet";#N/A,#N/A,FALSE,"P &amp; L"}</definedName>
    <definedName name="xyz9_1_2" localSheetId="26" hidden="1">{#N/A,#N/A,FALSE,"Cash Flows";#N/A,#N/A,FALSE,"Fixed Assets";#N/A,#N/A,FALSE,"Balance Sheet";#N/A,#N/A,FALSE,"P &amp; L"}</definedName>
    <definedName name="xyz9_1_2" localSheetId="0" hidden="1">{#N/A,#N/A,FALSE,"Cash Flows";#N/A,#N/A,FALSE,"Fixed Assets";#N/A,#N/A,FALSE,"Balance Sheet";#N/A,#N/A,FALSE,"P &amp; L"}</definedName>
    <definedName name="xyz9_1_2" hidden="1">{#N/A,#N/A,FALSE,"Cash Flows";#N/A,#N/A,FALSE,"Fixed Assets";#N/A,#N/A,FALSE,"Balance Sheet";#N/A,#N/A,FALSE,"P &amp; L"}</definedName>
    <definedName name="xyz9_1_3" localSheetId="26" hidden="1">{#N/A,#N/A,FALSE,"Cash Flows";#N/A,#N/A,FALSE,"Fixed Assets";#N/A,#N/A,FALSE,"Balance Sheet";#N/A,#N/A,FALSE,"P &amp; L"}</definedName>
    <definedName name="xyz9_1_3" localSheetId="0" hidden="1">{#N/A,#N/A,FALSE,"Cash Flows";#N/A,#N/A,FALSE,"Fixed Assets";#N/A,#N/A,FALSE,"Balance Sheet";#N/A,#N/A,FALSE,"P &amp; L"}</definedName>
    <definedName name="xyz9_1_3" hidden="1">{#N/A,#N/A,FALSE,"Cash Flows";#N/A,#N/A,FALSE,"Fixed Assets";#N/A,#N/A,FALSE,"Balance Sheet";#N/A,#N/A,FALSE,"P &amp; L"}</definedName>
    <definedName name="xyz9_2" localSheetId="26" hidden="1">{#N/A,#N/A,FALSE,"Cash Flows";#N/A,#N/A,FALSE,"Fixed Assets";#N/A,#N/A,FALSE,"Balance Sheet";#N/A,#N/A,FALSE,"P &amp; L"}</definedName>
    <definedName name="xyz9_2" localSheetId="0" hidden="1">{#N/A,#N/A,FALSE,"Cash Flows";#N/A,#N/A,FALSE,"Fixed Assets";#N/A,#N/A,FALSE,"Balance Sheet";#N/A,#N/A,FALSE,"P &amp; L"}</definedName>
    <definedName name="xyz9_2" hidden="1">{#N/A,#N/A,FALSE,"Cash Flows";#N/A,#N/A,FALSE,"Fixed Assets";#N/A,#N/A,FALSE,"Balance Sheet";#N/A,#N/A,FALSE,"P &amp; L"}</definedName>
    <definedName name="xyz9_2_1" localSheetId="26" hidden="1">{#N/A,#N/A,FALSE,"Cash Flows";#N/A,#N/A,FALSE,"Fixed Assets";#N/A,#N/A,FALSE,"Balance Sheet";#N/A,#N/A,FALSE,"P &amp; L"}</definedName>
    <definedName name="xyz9_2_1" localSheetId="0" hidden="1">{#N/A,#N/A,FALSE,"Cash Flows";#N/A,#N/A,FALSE,"Fixed Assets";#N/A,#N/A,FALSE,"Balance Sheet";#N/A,#N/A,FALSE,"P &amp; L"}</definedName>
    <definedName name="xyz9_2_1" hidden="1">{#N/A,#N/A,FALSE,"Cash Flows";#N/A,#N/A,FALSE,"Fixed Assets";#N/A,#N/A,FALSE,"Balance Sheet";#N/A,#N/A,FALSE,"P &amp; L"}</definedName>
    <definedName name="xyz9_2_2" localSheetId="26" hidden="1">{#N/A,#N/A,FALSE,"Cash Flows";#N/A,#N/A,FALSE,"Fixed Assets";#N/A,#N/A,FALSE,"Balance Sheet";#N/A,#N/A,FALSE,"P &amp; L"}</definedName>
    <definedName name="xyz9_2_2" localSheetId="0" hidden="1">{#N/A,#N/A,FALSE,"Cash Flows";#N/A,#N/A,FALSE,"Fixed Assets";#N/A,#N/A,FALSE,"Balance Sheet";#N/A,#N/A,FALSE,"P &amp; L"}</definedName>
    <definedName name="xyz9_2_2" hidden="1">{#N/A,#N/A,FALSE,"Cash Flows";#N/A,#N/A,FALSE,"Fixed Assets";#N/A,#N/A,FALSE,"Balance Sheet";#N/A,#N/A,FALSE,"P &amp; L"}</definedName>
    <definedName name="xyz9_3" localSheetId="26" hidden="1">{#N/A,#N/A,FALSE,"Cash Flows";#N/A,#N/A,FALSE,"Fixed Assets";#N/A,#N/A,FALSE,"Balance Sheet";#N/A,#N/A,FALSE,"P &amp; L"}</definedName>
    <definedName name="xyz9_3" localSheetId="0" hidden="1">{#N/A,#N/A,FALSE,"Cash Flows";#N/A,#N/A,FALSE,"Fixed Assets";#N/A,#N/A,FALSE,"Balance Sheet";#N/A,#N/A,FALSE,"P &amp; L"}</definedName>
    <definedName name="xyz9_3" hidden="1">{#N/A,#N/A,FALSE,"Cash Flows";#N/A,#N/A,FALSE,"Fixed Assets";#N/A,#N/A,FALSE,"Balance Sheet";#N/A,#N/A,FALSE,"P &amp; L"}</definedName>
    <definedName name="xyz9_4" localSheetId="26" hidden="1">{#N/A,#N/A,FALSE,"Cash Flows";#N/A,#N/A,FALSE,"Fixed Assets";#N/A,#N/A,FALSE,"Balance Sheet";#N/A,#N/A,FALSE,"P &amp; L"}</definedName>
    <definedName name="xyz9_4" localSheetId="0" hidden="1">{#N/A,#N/A,FALSE,"Cash Flows";#N/A,#N/A,FALSE,"Fixed Assets";#N/A,#N/A,FALSE,"Balance Sheet";#N/A,#N/A,FALSE,"P &amp; L"}</definedName>
    <definedName name="xyz9_4" hidden="1">{#N/A,#N/A,FALSE,"Cash Flows";#N/A,#N/A,FALSE,"Fixed Assets";#N/A,#N/A,FALSE,"Balance Sheet";#N/A,#N/A,FALSE,"P &amp; L"}</definedName>
    <definedName name="xyz9_5" localSheetId="26" hidden="1">{#N/A,#N/A,FALSE,"Cash Flows";#N/A,#N/A,FALSE,"Fixed Assets";#N/A,#N/A,FALSE,"Balance Sheet";#N/A,#N/A,FALSE,"P &amp; L"}</definedName>
    <definedName name="xyz9_5" localSheetId="0" hidden="1">{#N/A,#N/A,FALSE,"Cash Flows";#N/A,#N/A,FALSE,"Fixed Assets";#N/A,#N/A,FALSE,"Balance Sheet";#N/A,#N/A,FALSE,"P &amp; L"}</definedName>
    <definedName name="xyz9_5" hidden="1">{#N/A,#N/A,FALSE,"Cash Flows";#N/A,#N/A,FALSE,"Fixed Assets";#N/A,#N/A,FALSE,"Balance Sheet";#N/A,#N/A,FALSE,"P &amp; L"}</definedName>
    <definedName name="YYHY" localSheetId="26" hidden="1">{#N/A,#N/A,FALSE,"단축1";#N/A,#N/A,FALSE,"단축2";#N/A,#N/A,FALSE,"단축3";#N/A,#N/A,FALSE,"장축";#N/A,#N/A,FALSE,"4WD"}</definedName>
    <definedName name="YYHY" localSheetId="0" hidden="1">{#N/A,#N/A,FALSE,"단축1";#N/A,#N/A,FALSE,"단축2";#N/A,#N/A,FALSE,"단축3";#N/A,#N/A,FALSE,"장축";#N/A,#N/A,FALSE,"4WD"}</definedName>
    <definedName name="YYHY" hidden="1">{#N/A,#N/A,FALSE,"단축1";#N/A,#N/A,FALSE,"단축2";#N/A,#N/A,FALSE,"단축3";#N/A,#N/A,FALSE,"장축";#N/A,#N/A,FALSE,"4WD"}</definedName>
    <definedName name="YYHY_1" localSheetId="26" hidden="1">{#N/A,#N/A,FALSE,"단축1";#N/A,#N/A,FALSE,"단축2";#N/A,#N/A,FALSE,"단축3";#N/A,#N/A,FALSE,"장축";#N/A,#N/A,FALSE,"4WD"}</definedName>
    <definedName name="YYHY_1" localSheetId="0" hidden="1">{#N/A,#N/A,FALSE,"단축1";#N/A,#N/A,FALSE,"단축2";#N/A,#N/A,FALSE,"단축3";#N/A,#N/A,FALSE,"장축";#N/A,#N/A,FALSE,"4WD"}</definedName>
    <definedName name="YYHY_1" hidden="1">{#N/A,#N/A,FALSE,"단축1";#N/A,#N/A,FALSE,"단축2";#N/A,#N/A,FALSE,"단축3";#N/A,#N/A,FALSE,"장축";#N/A,#N/A,FALSE,"4WD"}</definedName>
    <definedName name="YYHY_1_1" localSheetId="26" hidden="1">{#N/A,#N/A,FALSE,"단축1";#N/A,#N/A,FALSE,"단축2";#N/A,#N/A,FALSE,"단축3";#N/A,#N/A,FALSE,"장축";#N/A,#N/A,FALSE,"4WD"}</definedName>
    <definedName name="YYHY_1_1" localSheetId="0" hidden="1">{#N/A,#N/A,FALSE,"단축1";#N/A,#N/A,FALSE,"단축2";#N/A,#N/A,FALSE,"단축3";#N/A,#N/A,FALSE,"장축";#N/A,#N/A,FALSE,"4WD"}</definedName>
    <definedName name="YYHY_1_1" hidden="1">{#N/A,#N/A,FALSE,"단축1";#N/A,#N/A,FALSE,"단축2";#N/A,#N/A,FALSE,"단축3";#N/A,#N/A,FALSE,"장축";#N/A,#N/A,FALSE,"4WD"}</definedName>
    <definedName name="YYHY_1_2" localSheetId="26" hidden="1">{#N/A,#N/A,FALSE,"단축1";#N/A,#N/A,FALSE,"단축2";#N/A,#N/A,FALSE,"단축3";#N/A,#N/A,FALSE,"장축";#N/A,#N/A,FALSE,"4WD"}</definedName>
    <definedName name="YYHY_1_2" localSheetId="0" hidden="1">{#N/A,#N/A,FALSE,"단축1";#N/A,#N/A,FALSE,"단축2";#N/A,#N/A,FALSE,"단축3";#N/A,#N/A,FALSE,"장축";#N/A,#N/A,FALSE,"4WD"}</definedName>
    <definedName name="YYHY_1_2" hidden="1">{#N/A,#N/A,FALSE,"단축1";#N/A,#N/A,FALSE,"단축2";#N/A,#N/A,FALSE,"단축3";#N/A,#N/A,FALSE,"장축";#N/A,#N/A,FALSE,"4WD"}</definedName>
    <definedName name="YYHY_1_3" localSheetId="26" hidden="1">{#N/A,#N/A,FALSE,"단축1";#N/A,#N/A,FALSE,"단축2";#N/A,#N/A,FALSE,"단축3";#N/A,#N/A,FALSE,"장축";#N/A,#N/A,FALSE,"4WD"}</definedName>
    <definedName name="YYHY_1_3" localSheetId="0" hidden="1">{#N/A,#N/A,FALSE,"단축1";#N/A,#N/A,FALSE,"단축2";#N/A,#N/A,FALSE,"단축3";#N/A,#N/A,FALSE,"장축";#N/A,#N/A,FALSE,"4WD"}</definedName>
    <definedName name="YYHY_1_3" hidden="1">{#N/A,#N/A,FALSE,"단축1";#N/A,#N/A,FALSE,"단축2";#N/A,#N/A,FALSE,"단축3";#N/A,#N/A,FALSE,"장축";#N/A,#N/A,FALSE,"4WD"}</definedName>
    <definedName name="YYHY_2" localSheetId="26" hidden="1">{#N/A,#N/A,FALSE,"단축1";#N/A,#N/A,FALSE,"단축2";#N/A,#N/A,FALSE,"단축3";#N/A,#N/A,FALSE,"장축";#N/A,#N/A,FALSE,"4WD"}</definedName>
    <definedName name="YYHY_2" localSheetId="0" hidden="1">{#N/A,#N/A,FALSE,"단축1";#N/A,#N/A,FALSE,"단축2";#N/A,#N/A,FALSE,"단축3";#N/A,#N/A,FALSE,"장축";#N/A,#N/A,FALSE,"4WD"}</definedName>
    <definedName name="YYHY_2" hidden="1">{#N/A,#N/A,FALSE,"단축1";#N/A,#N/A,FALSE,"단축2";#N/A,#N/A,FALSE,"단축3";#N/A,#N/A,FALSE,"장축";#N/A,#N/A,FALSE,"4WD"}</definedName>
    <definedName name="YYHY_2_1" localSheetId="26" hidden="1">{#N/A,#N/A,FALSE,"단축1";#N/A,#N/A,FALSE,"단축2";#N/A,#N/A,FALSE,"단축3";#N/A,#N/A,FALSE,"장축";#N/A,#N/A,FALSE,"4WD"}</definedName>
    <definedName name="YYHY_2_1" localSheetId="0" hidden="1">{#N/A,#N/A,FALSE,"단축1";#N/A,#N/A,FALSE,"단축2";#N/A,#N/A,FALSE,"단축3";#N/A,#N/A,FALSE,"장축";#N/A,#N/A,FALSE,"4WD"}</definedName>
    <definedName name="YYHY_2_1" hidden="1">{#N/A,#N/A,FALSE,"단축1";#N/A,#N/A,FALSE,"단축2";#N/A,#N/A,FALSE,"단축3";#N/A,#N/A,FALSE,"장축";#N/A,#N/A,FALSE,"4WD"}</definedName>
    <definedName name="YYHY_2_2" localSheetId="26" hidden="1">{#N/A,#N/A,FALSE,"단축1";#N/A,#N/A,FALSE,"단축2";#N/A,#N/A,FALSE,"단축3";#N/A,#N/A,FALSE,"장축";#N/A,#N/A,FALSE,"4WD"}</definedName>
    <definedName name="YYHY_2_2" localSheetId="0" hidden="1">{#N/A,#N/A,FALSE,"단축1";#N/A,#N/A,FALSE,"단축2";#N/A,#N/A,FALSE,"단축3";#N/A,#N/A,FALSE,"장축";#N/A,#N/A,FALSE,"4WD"}</definedName>
    <definedName name="YYHY_2_2" hidden="1">{#N/A,#N/A,FALSE,"단축1";#N/A,#N/A,FALSE,"단축2";#N/A,#N/A,FALSE,"단축3";#N/A,#N/A,FALSE,"장축";#N/A,#N/A,FALSE,"4WD"}</definedName>
    <definedName name="YYHY_3" localSheetId="26" hidden="1">{#N/A,#N/A,FALSE,"단축1";#N/A,#N/A,FALSE,"단축2";#N/A,#N/A,FALSE,"단축3";#N/A,#N/A,FALSE,"장축";#N/A,#N/A,FALSE,"4WD"}</definedName>
    <definedName name="YYHY_3" localSheetId="0" hidden="1">{#N/A,#N/A,FALSE,"단축1";#N/A,#N/A,FALSE,"단축2";#N/A,#N/A,FALSE,"단축3";#N/A,#N/A,FALSE,"장축";#N/A,#N/A,FALSE,"4WD"}</definedName>
    <definedName name="YYHY_3" hidden="1">{#N/A,#N/A,FALSE,"단축1";#N/A,#N/A,FALSE,"단축2";#N/A,#N/A,FALSE,"단축3";#N/A,#N/A,FALSE,"장축";#N/A,#N/A,FALSE,"4WD"}</definedName>
    <definedName name="YYHY_4" localSheetId="26" hidden="1">{#N/A,#N/A,FALSE,"단축1";#N/A,#N/A,FALSE,"단축2";#N/A,#N/A,FALSE,"단축3";#N/A,#N/A,FALSE,"장축";#N/A,#N/A,FALSE,"4WD"}</definedName>
    <definedName name="YYHY_4" localSheetId="0" hidden="1">{#N/A,#N/A,FALSE,"단축1";#N/A,#N/A,FALSE,"단축2";#N/A,#N/A,FALSE,"단축3";#N/A,#N/A,FALSE,"장축";#N/A,#N/A,FALSE,"4WD"}</definedName>
    <definedName name="YYHY_4" hidden="1">{#N/A,#N/A,FALSE,"단축1";#N/A,#N/A,FALSE,"단축2";#N/A,#N/A,FALSE,"단축3";#N/A,#N/A,FALSE,"장축";#N/A,#N/A,FALSE,"4WD"}</definedName>
    <definedName name="YYHY_5" localSheetId="26" hidden="1">{#N/A,#N/A,FALSE,"단축1";#N/A,#N/A,FALSE,"단축2";#N/A,#N/A,FALSE,"단축3";#N/A,#N/A,FALSE,"장축";#N/A,#N/A,FALSE,"4WD"}</definedName>
    <definedName name="YYHY_5" localSheetId="0" hidden="1">{#N/A,#N/A,FALSE,"단축1";#N/A,#N/A,FALSE,"단축2";#N/A,#N/A,FALSE,"단축3";#N/A,#N/A,FALSE,"장축";#N/A,#N/A,FALSE,"4WD"}</definedName>
    <definedName name="YYHY_5" hidden="1">{#N/A,#N/A,FALSE,"단축1";#N/A,#N/A,FALSE,"단축2";#N/A,#N/A,FALSE,"단축3";#N/A,#N/A,FALSE,"장축";#N/A,#N/A,FALSE,"4WD"}</definedName>
    <definedName name="z" localSheetId="9" hidden="1">[19]MOTO!#REF!</definedName>
    <definedName name="z" localSheetId="1" hidden="1">[19]MOTO!#REF!</definedName>
    <definedName name="z" localSheetId="23" hidden="1">[19]MOTO!#REF!</definedName>
    <definedName name="z" localSheetId="22" hidden="1">[19]MOTO!#REF!</definedName>
    <definedName name="z" localSheetId="26" hidden="1">[19]MOTO!#REF!</definedName>
    <definedName name="z" localSheetId="14" hidden="1">[19]MOTO!#REF!</definedName>
    <definedName name="z" localSheetId="21" hidden="1">[19]MOTO!#REF!</definedName>
    <definedName name="z" localSheetId="3" hidden="1">[19]MOTO!#REF!</definedName>
    <definedName name="z" localSheetId="29" hidden="1">[19]MOTO!#REF!</definedName>
    <definedName name="z" localSheetId="27" hidden="1">[19]MOTO!#REF!</definedName>
    <definedName name="z" localSheetId="0" hidden="1">[14]MOTO!#REF!</definedName>
    <definedName name="z" hidden="1">[19]MOTO!#REF!</definedName>
    <definedName name="Z_23A0604D_71AA_4462_BF96_30FFEF82778C_.wvu.FilterData" localSheetId="23" hidden="1">CM_Cavity!$B$1:$X$11</definedName>
    <definedName name="Z_2683B677_E9DF_40A8_A451_285B61788E70_.wvu.FilterData" localSheetId="23" hidden="1">CM_Cavity!$B$1:$X$11</definedName>
    <definedName name="Z_26F1B120_222F_11D7_91EB_0050BA7F1DA7_.wvu.FilterData" localSheetId="9" hidden="1">#REF!</definedName>
    <definedName name="Z_26F1B120_222F_11D7_91EB_0050BA7F1DA7_.wvu.FilterData" localSheetId="1" hidden="1">#REF!</definedName>
    <definedName name="Z_26F1B120_222F_11D7_91EB_0050BA7F1DA7_.wvu.FilterData" localSheetId="26" hidden="1">#REF!</definedName>
    <definedName name="Z_26F1B120_222F_11D7_91EB_0050BA7F1DA7_.wvu.FilterData" localSheetId="21" hidden="1">#REF!</definedName>
    <definedName name="Z_26F1B120_222F_11D7_91EB_0050BA7F1DA7_.wvu.FilterData" localSheetId="3" hidden="1">#REF!</definedName>
    <definedName name="Z_26F1B120_222F_11D7_91EB_0050BA7F1DA7_.wvu.FilterData" localSheetId="27" hidden="1">#REF!</definedName>
    <definedName name="Z_26F1B120_222F_11D7_91EB_0050BA7F1DA7_.wvu.FilterData" localSheetId="0" hidden="1">#REF!</definedName>
    <definedName name="Z_26F1B120_222F_11D7_91EB_0050BA7F1DA7_.wvu.FilterData" hidden="1">#REF!</definedName>
    <definedName name="ZX" localSheetId="26" hidden="1">{#N/A,#N/A,FALSE,"초도품";#N/A,#N/A,FALSE,"초도품 (2)";#N/A,#N/A,FALSE,"초도품 (3)";#N/A,#N/A,FALSE,"초도품 (4)";#N/A,#N/A,FALSE,"초도품 (5)";#N/A,#N/A,FALSE,"초도품 (6)"}</definedName>
    <definedName name="ZX" localSheetId="0" hidden="1">{#N/A,#N/A,FALSE,"초도품";#N/A,#N/A,FALSE,"초도품 (2)";#N/A,#N/A,FALSE,"초도품 (3)";#N/A,#N/A,FALSE,"초도품 (4)";#N/A,#N/A,FALSE,"초도품 (5)";#N/A,#N/A,FALSE,"초도품 (6)"}</definedName>
    <definedName name="ZX" hidden="1">{#N/A,#N/A,FALSE,"초도품";#N/A,#N/A,FALSE,"초도품 (2)";#N/A,#N/A,FALSE,"초도품 (3)";#N/A,#N/A,FALSE,"초도품 (4)";#N/A,#N/A,FALSE,"초도품 (5)";#N/A,#N/A,FALSE,"초도품 (6)"}</definedName>
    <definedName name="ZX_1" localSheetId="26" hidden="1">{#N/A,#N/A,FALSE,"초도품";#N/A,#N/A,FALSE,"초도품 (2)";#N/A,#N/A,FALSE,"초도품 (3)";#N/A,#N/A,FALSE,"초도품 (4)";#N/A,#N/A,FALSE,"초도품 (5)";#N/A,#N/A,FALSE,"초도품 (6)"}</definedName>
    <definedName name="ZX_1" localSheetId="0" hidden="1">{#N/A,#N/A,FALSE,"초도품";#N/A,#N/A,FALSE,"초도품 (2)";#N/A,#N/A,FALSE,"초도품 (3)";#N/A,#N/A,FALSE,"초도품 (4)";#N/A,#N/A,FALSE,"초도품 (5)";#N/A,#N/A,FALSE,"초도품 (6)"}</definedName>
    <definedName name="ZX_1" hidden="1">{#N/A,#N/A,FALSE,"초도품";#N/A,#N/A,FALSE,"초도품 (2)";#N/A,#N/A,FALSE,"초도품 (3)";#N/A,#N/A,FALSE,"초도품 (4)";#N/A,#N/A,FALSE,"초도품 (5)";#N/A,#N/A,FALSE,"초도품 (6)"}</definedName>
    <definedName name="ZX_1_1" localSheetId="26" hidden="1">{#N/A,#N/A,FALSE,"초도품";#N/A,#N/A,FALSE,"초도품 (2)";#N/A,#N/A,FALSE,"초도품 (3)";#N/A,#N/A,FALSE,"초도품 (4)";#N/A,#N/A,FALSE,"초도품 (5)";#N/A,#N/A,FALSE,"초도품 (6)"}</definedName>
    <definedName name="ZX_1_1" localSheetId="0" hidden="1">{#N/A,#N/A,FALSE,"초도품";#N/A,#N/A,FALSE,"초도품 (2)";#N/A,#N/A,FALSE,"초도품 (3)";#N/A,#N/A,FALSE,"초도품 (4)";#N/A,#N/A,FALSE,"초도품 (5)";#N/A,#N/A,FALSE,"초도품 (6)"}</definedName>
    <definedName name="ZX_1_1" hidden="1">{#N/A,#N/A,FALSE,"초도품";#N/A,#N/A,FALSE,"초도품 (2)";#N/A,#N/A,FALSE,"초도품 (3)";#N/A,#N/A,FALSE,"초도품 (4)";#N/A,#N/A,FALSE,"초도품 (5)";#N/A,#N/A,FALSE,"초도품 (6)"}</definedName>
    <definedName name="ZX_1_2" localSheetId="26" hidden="1">{#N/A,#N/A,FALSE,"초도품";#N/A,#N/A,FALSE,"초도품 (2)";#N/A,#N/A,FALSE,"초도품 (3)";#N/A,#N/A,FALSE,"초도품 (4)";#N/A,#N/A,FALSE,"초도품 (5)";#N/A,#N/A,FALSE,"초도품 (6)"}</definedName>
    <definedName name="ZX_1_2" localSheetId="0" hidden="1">{#N/A,#N/A,FALSE,"초도품";#N/A,#N/A,FALSE,"초도품 (2)";#N/A,#N/A,FALSE,"초도품 (3)";#N/A,#N/A,FALSE,"초도품 (4)";#N/A,#N/A,FALSE,"초도품 (5)";#N/A,#N/A,FALSE,"초도품 (6)"}</definedName>
    <definedName name="ZX_1_2" hidden="1">{#N/A,#N/A,FALSE,"초도품";#N/A,#N/A,FALSE,"초도품 (2)";#N/A,#N/A,FALSE,"초도품 (3)";#N/A,#N/A,FALSE,"초도품 (4)";#N/A,#N/A,FALSE,"초도품 (5)";#N/A,#N/A,FALSE,"초도품 (6)"}</definedName>
    <definedName name="ZX_1_3" localSheetId="26" hidden="1">{#N/A,#N/A,FALSE,"초도품";#N/A,#N/A,FALSE,"초도품 (2)";#N/A,#N/A,FALSE,"초도품 (3)";#N/A,#N/A,FALSE,"초도품 (4)";#N/A,#N/A,FALSE,"초도품 (5)";#N/A,#N/A,FALSE,"초도품 (6)"}</definedName>
    <definedName name="ZX_1_3" localSheetId="0" hidden="1">{#N/A,#N/A,FALSE,"초도품";#N/A,#N/A,FALSE,"초도품 (2)";#N/A,#N/A,FALSE,"초도품 (3)";#N/A,#N/A,FALSE,"초도품 (4)";#N/A,#N/A,FALSE,"초도품 (5)";#N/A,#N/A,FALSE,"초도품 (6)"}</definedName>
    <definedName name="ZX_1_3" hidden="1">{#N/A,#N/A,FALSE,"초도품";#N/A,#N/A,FALSE,"초도품 (2)";#N/A,#N/A,FALSE,"초도품 (3)";#N/A,#N/A,FALSE,"초도품 (4)";#N/A,#N/A,FALSE,"초도품 (5)";#N/A,#N/A,FALSE,"초도품 (6)"}</definedName>
    <definedName name="ZX_2" localSheetId="26" hidden="1">{#N/A,#N/A,FALSE,"초도품";#N/A,#N/A,FALSE,"초도품 (2)";#N/A,#N/A,FALSE,"초도품 (3)";#N/A,#N/A,FALSE,"초도품 (4)";#N/A,#N/A,FALSE,"초도품 (5)";#N/A,#N/A,FALSE,"초도품 (6)"}</definedName>
    <definedName name="ZX_2" localSheetId="0" hidden="1">{#N/A,#N/A,FALSE,"초도품";#N/A,#N/A,FALSE,"초도품 (2)";#N/A,#N/A,FALSE,"초도품 (3)";#N/A,#N/A,FALSE,"초도품 (4)";#N/A,#N/A,FALSE,"초도품 (5)";#N/A,#N/A,FALSE,"초도품 (6)"}</definedName>
    <definedName name="ZX_2" hidden="1">{#N/A,#N/A,FALSE,"초도품";#N/A,#N/A,FALSE,"초도품 (2)";#N/A,#N/A,FALSE,"초도품 (3)";#N/A,#N/A,FALSE,"초도품 (4)";#N/A,#N/A,FALSE,"초도품 (5)";#N/A,#N/A,FALSE,"초도품 (6)"}</definedName>
    <definedName name="ZX_2_1" localSheetId="26" hidden="1">{#N/A,#N/A,FALSE,"초도품";#N/A,#N/A,FALSE,"초도품 (2)";#N/A,#N/A,FALSE,"초도품 (3)";#N/A,#N/A,FALSE,"초도품 (4)";#N/A,#N/A,FALSE,"초도품 (5)";#N/A,#N/A,FALSE,"초도품 (6)"}</definedName>
    <definedName name="ZX_2_1" localSheetId="0" hidden="1">{#N/A,#N/A,FALSE,"초도품";#N/A,#N/A,FALSE,"초도품 (2)";#N/A,#N/A,FALSE,"초도품 (3)";#N/A,#N/A,FALSE,"초도품 (4)";#N/A,#N/A,FALSE,"초도품 (5)";#N/A,#N/A,FALSE,"초도품 (6)"}</definedName>
    <definedName name="ZX_2_1" hidden="1">{#N/A,#N/A,FALSE,"초도품";#N/A,#N/A,FALSE,"초도품 (2)";#N/A,#N/A,FALSE,"초도품 (3)";#N/A,#N/A,FALSE,"초도품 (4)";#N/A,#N/A,FALSE,"초도품 (5)";#N/A,#N/A,FALSE,"초도품 (6)"}</definedName>
    <definedName name="ZX_2_2" localSheetId="26" hidden="1">{#N/A,#N/A,FALSE,"초도품";#N/A,#N/A,FALSE,"초도품 (2)";#N/A,#N/A,FALSE,"초도품 (3)";#N/A,#N/A,FALSE,"초도품 (4)";#N/A,#N/A,FALSE,"초도품 (5)";#N/A,#N/A,FALSE,"초도품 (6)"}</definedName>
    <definedName name="ZX_2_2" localSheetId="0" hidden="1">{#N/A,#N/A,FALSE,"초도품";#N/A,#N/A,FALSE,"초도품 (2)";#N/A,#N/A,FALSE,"초도품 (3)";#N/A,#N/A,FALSE,"초도품 (4)";#N/A,#N/A,FALSE,"초도품 (5)";#N/A,#N/A,FALSE,"초도품 (6)"}</definedName>
    <definedName name="ZX_2_2" hidden="1">{#N/A,#N/A,FALSE,"초도품";#N/A,#N/A,FALSE,"초도품 (2)";#N/A,#N/A,FALSE,"초도품 (3)";#N/A,#N/A,FALSE,"초도품 (4)";#N/A,#N/A,FALSE,"초도품 (5)";#N/A,#N/A,FALSE,"초도품 (6)"}</definedName>
    <definedName name="ZX_3" localSheetId="26" hidden="1">{#N/A,#N/A,FALSE,"초도품";#N/A,#N/A,FALSE,"초도품 (2)";#N/A,#N/A,FALSE,"초도품 (3)";#N/A,#N/A,FALSE,"초도품 (4)";#N/A,#N/A,FALSE,"초도품 (5)";#N/A,#N/A,FALSE,"초도품 (6)"}</definedName>
    <definedName name="ZX_3" localSheetId="0" hidden="1">{#N/A,#N/A,FALSE,"초도품";#N/A,#N/A,FALSE,"초도품 (2)";#N/A,#N/A,FALSE,"초도품 (3)";#N/A,#N/A,FALSE,"초도품 (4)";#N/A,#N/A,FALSE,"초도품 (5)";#N/A,#N/A,FALSE,"초도품 (6)"}</definedName>
    <definedName name="ZX_3" hidden="1">{#N/A,#N/A,FALSE,"초도품";#N/A,#N/A,FALSE,"초도품 (2)";#N/A,#N/A,FALSE,"초도품 (3)";#N/A,#N/A,FALSE,"초도품 (4)";#N/A,#N/A,FALSE,"초도품 (5)";#N/A,#N/A,FALSE,"초도품 (6)"}</definedName>
    <definedName name="ZX_4" localSheetId="26" hidden="1">{#N/A,#N/A,FALSE,"초도품";#N/A,#N/A,FALSE,"초도품 (2)";#N/A,#N/A,FALSE,"초도품 (3)";#N/A,#N/A,FALSE,"초도품 (4)";#N/A,#N/A,FALSE,"초도품 (5)";#N/A,#N/A,FALSE,"초도품 (6)"}</definedName>
    <definedName name="ZX_4" localSheetId="0" hidden="1">{#N/A,#N/A,FALSE,"초도품";#N/A,#N/A,FALSE,"초도품 (2)";#N/A,#N/A,FALSE,"초도품 (3)";#N/A,#N/A,FALSE,"초도품 (4)";#N/A,#N/A,FALSE,"초도품 (5)";#N/A,#N/A,FALSE,"초도품 (6)"}</definedName>
    <definedName name="ZX_4" hidden="1">{#N/A,#N/A,FALSE,"초도품";#N/A,#N/A,FALSE,"초도품 (2)";#N/A,#N/A,FALSE,"초도품 (3)";#N/A,#N/A,FALSE,"초도품 (4)";#N/A,#N/A,FALSE,"초도품 (5)";#N/A,#N/A,FALSE,"초도품 (6)"}</definedName>
    <definedName name="ZX_5" localSheetId="26" hidden="1">{#N/A,#N/A,FALSE,"초도품";#N/A,#N/A,FALSE,"초도품 (2)";#N/A,#N/A,FALSE,"초도품 (3)";#N/A,#N/A,FALSE,"초도품 (4)";#N/A,#N/A,FALSE,"초도품 (5)";#N/A,#N/A,FALSE,"초도품 (6)"}</definedName>
    <definedName name="ZX_5" localSheetId="0" hidden="1">{#N/A,#N/A,FALSE,"초도품";#N/A,#N/A,FALSE,"초도품 (2)";#N/A,#N/A,FALSE,"초도품 (3)";#N/A,#N/A,FALSE,"초도품 (4)";#N/A,#N/A,FALSE,"초도품 (5)";#N/A,#N/A,FALSE,"초도품 (6)"}</definedName>
    <definedName name="ZX_5" hidden="1">{#N/A,#N/A,FALSE,"초도품";#N/A,#N/A,FALSE,"초도품 (2)";#N/A,#N/A,FALSE,"초도품 (3)";#N/A,#N/A,FALSE,"초도품 (4)";#N/A,#N/A,FALSE,"초도품 (5)";#N/A,#N/A,FALSE,"초도품 (6)"}</definedName>
    <definedName name="ㄱㄱㄱ" localSheetId="26" hidden="1">{#N/A,#N/A,FALSE,"단축1";#N/A,#N/A,FALSE,"단축2";#N/A,#N/A,FALSE,"단축3";#N/A,#N/A,FALSE,"장축";#N/A,#N/A,FALSE,"4WD"}</definedName>
    <definedName name="ㄱㄱㄱ" localSheetId="0" hidden="1">{#N/A,#N/A,FALSE,"단축1";#N/A,#N/A,FALSE,"단축2";#N/A,#N/A,FALSE,"단축3";#N/A,#N/A,FALSE,"장축";#N/A,#N/A,FALSE,"4WD"}</definedName>
    <definedName name="ㄱㄱㄱ" hidden="1">{#N/A,#N/A,FALSE,"단축1";#N/A,#N/A,FALSE,"단축2";#N/A,#N/A,FALSE,"단축3";#N/A,#N/A,FALSE,"장축";#N/A,#N/A,FALSE,"4WD"}</definedName>
    <definedName name="ㄱㄱㄱ_1" localSheetId="26" hidden="1">{#N/A,#N/A,FALSE,"단축1";#N/A,#N/A,FALSE,"단축2";#N/A,#N/A,FALSE,"단축3";#N/A,#N/A,FALSE,"장축";#N/A,#N/A,FALSE,"4WD"}</definedName>
    <definedName name="ㄱㄱㄱ_1" localSheetId="0" hidden="1">{#N/A,#N/A,FALSE,"단축1";#N/A,#N/A,FALSE,"단축2";#N/A,#N/A,FALSE,"단축3";#N/A,#N/A,FALSE,"장축";#N/A,#N/A,FALSE,"4WD"}</definedName>
    <definedName name="ㄱㄱㄱ_1" hidden="1">{#N/A,#N/A,FALSE,"단축1";#N/A,#N/A,FALSE,"단축2";#N/A,#N/A,FALSE,"단축3";#N/A,#N/A,FALSE,"장축";#N/A,#N/A,FALSE,"4WD"}</definedName>
    <definedName name="ㄱㄱㄱ_1_1" localSheetId="26" hidden="1">{#N/A,#N/A,FALSE,"단축1";#N/A,#N/A,FALSE,"단축2";#N/A,#N/A,FALSE,"단축3";#N/A,#N/A,FALSE,"장축";#N/A,#N/A,FALSE,"4WD"}</definedName>
    <definedName name="ㄱㄱㄱ_1_1" localSheetId="0" hidden="1">{#N/A,#N/A,FALSE,"단축1";#N/A,#N/A,FALSE,"단축2";#N/A,#N/A,FALSE,"단축3";#N/A,#N/A,FALSE,"장축";#N/A,#N/A,FALSE,"4WD"}</definedName>
    <definedName name="ㄱㄱㄱ_1_1" hidden="1">{#N/A,#N/A,FALSE,"단축1";#N/A,#N/A,FALSE,"단축2";#N/A,#N/A,FALSE,"단축3";#N/A,#N/A,FALSE,"장축";#N/A,#N/A,FALSE,"4WD"}</definedName>
    <definedName name="ㄱㄱㄱ_1_2" localSheetId="26" hidden="1">{#N/A,#N/A,FALSE,"단축1";#N/A,#N/A,FALSE,"단축2";#N/A,#N/A,FALSE,"단축3";#N/A,#N/A,FALSE,"장축";#N/A,#N/A,FALSE,"4WD"}</definedName>
    <definedName name="ㄱㄱㄱ_1_2" localSheetId="0" hidden="1">{#N/A,#N/A,FALSE,"단축1";#N/A,#N/A,FALSE,"단축2";#N/A,#N/A,FALSE,"단축3";#N/A,#N/A,FALSE,"장축";#N/A,#N/A,FALSE,"4WD"}</definedName>
    <definedName name="ㄱㄱㄱ_1_2" hidden="1">{#N/A,#N/A,FALSE,"단축1";#N/A,#N/A,FALSE,"단축2";#N/A,#N/A,FALSE,"단축3";#N/A,#N/A,FALSE,"장축";#N/A,#N/A,FALSE,"4WD"}</definedName>
    <definedName name="ㄱㄱㄱ_1_3" localSheetId="26" hidden="1">{#N/A,#N/A,FALSE,"단축1";#N/A,#N/A,FALSE,"단축2";#N/A,#N/A,FALSE,"단축3";#N/A,#N/A,FALSE,"장축";#N/A,#N/A,FALSE,"4WD"}</definedName>
    <definedName name="ㄱㄱㄱ_1_3" localSheetId="0" hidden="1">{#N/A,#N/A,FALSE,"단축1";#N/A,#N/A,FALSE,"단축2";#N/A,#N/A,FALSE,"단축3";#N/A,#N/A,FALSE,"장축";#N/A,#N/A,FALSE,"4WD"}</definedName>
    <definedName name="ㄱㄱㄱ_1_3" hidden="1">{#N/A,#N/A,FALSE,"단축1";#N/A,#N/A,FALSE,"단축2";#N/A,#N/A,FALSE,"단축3";#N/A,#N/A,FALSE,"장축";#N/A,#N/A,FALSE,"4WD"}</definedName>
    <definedName name="ㄱㄱㄱ_2" localSheetId="26" hidden="1">{#N/A,#N/A,FALSE,"단축1";#N/A,#N/A,FALSE,"단축2";#N/A,#N/A,FALSE,"단축3";#N/A,#N/A,FALSE,"장축";#N/A,#N/A,FALSE,"4WD"}</definedName>
    <definedName name="ㄱㄱㄱ_2" localSheetId="0" hidden="1">{#N/A,#N/A,FALSE,"단축1";#N/A,#N/A,FALSE,"단축2";#N/A,#N/A,FALSE,"단축3";#N/A,#N/A,FALSE,"장축";#N/A,#N/A,FALSE,"4WD"}</definedName>
    <definedName name="ㄱㄱㄱ_2" hidden="1">{#N/A,#N/A,FALSE,"단축1";#N/A,#N/A,FALSE,"단축2";#N/A,#N/A,FALSE,"단축3";#N/A,#N/A,FALSE,"장축";#N/A,#N/A,FALSE,"4WD"}</definedName>
    <definedName name="ㄱㄱㄱ_2_1" localSheetId="26" hidden="1">{#N/A,#N/A,FALSE,"단축1";#N/A,#N/A,FALSE,"단축2";#N/A,#N/A,FALSE,"단축3";#N/A,#N/A,FALSE,"장축";#N/A,#N/A,FALSE,"4WD"}</definedName>
    <definedName name="ㄱㄱㄱ_2_1" localSheetId="0" hidden="1">{#N/A,#N/A,FALSE,"단축1";#N/A,#N/A,FALSE,"단축2";#N/A,#N/A,FALSE,"단축3";#N/A,#N/A,FALSE,"장축";#N/A,#N/A,FALSE,"4WD"}</definedName>
    <definedName name="ㄱㄱㄱ_2_1" hidden="1">{#N/A,#N/A,FALSE,"단축1";#N/A,#N/A,FALSE,"단축2";#N/A,#N/A,FALSE,"단축3";#N/A,#N/A,FALSE,"장축";#N/A,#N/A,FALSE,"4WD"}</definedName>
    <definedName name="ㄱㄱㄱ_2_2" localSheetId="26" hidden="1">{#N/A,#N/A,FALSE,"단축1";#N/A,#N/A,FALSE,"단축2";#N/A,#N/A,FALSE,"단축3";#N/A,#N/A,FALSE,"장축";#N/A,#N/A,FALSE,"4WD"}</definedName>
    <definedName name="ㄱㄱㄱ_2_2" localSheetId="0" hidden="1">{#N/A,#N/A,FALSE,"단축1";#N/A,#N/A,FALSE,"단축2";#N/A,#N/A,FALSE,"단축3";#N/A,#N/A,FALSE,"장축";#N/A,#N/A,FALSE,"4WD"}</definedName>
    <definedName name="ㄱㄱㄱ_2_2" hidden="1">{#N/A,#N/A,FALSE,"단축1";#N/A,#N/A,FALSE,"단축2";#N/A,#N/A,FALSE,"단축3";#N/A,#N/A,FALSE,"장축";#N/A,#N/A,FALSE,"4WD"}</definedName>
    <definedName name="ㄱㄱㄱ_3" localSheetId="26" hidden="1">{#N/A,#N/A,FALSE,"단축1";#N/A,#N/A,FALSE,"단축2";#N/A,#N/A,FALSE,"단축3";#N/A,#N/A,FALSE,"장축";#N/A,#N/A,FALSE,"4WD"}</definedName>
    <definedName name="ㄱㄱㄱ_3" localSheetId="0" hidden="1">{#N/A,#N/A,FALSE,"단축1";#N/A,#N/A,FALSE,"단축2";#N/A,#N/A,FALSE,"단축3";#N/A,#N/A,FALSE,"장축";#N/A,#N/A,FALSE,"4WD"}</definedName>
    <definedName name="ㄱㄱㄱ_3" hidden="1">{#N/A,#N/A,FALSE,"단축1";#N/A,#N/A,FALSE,"단축2";#N/A,#N/A,FALSE,"단축3";#N/A,#N/A,FALSE,"장축";#N/A,#N/A,FALSE,"4WD"}</definedName>
    <definedName name="ㄱㄱㄱ_4" localSheetId="26" hidden="1">{#N/A,#N/A,FALSE,"단축1";#N/A,#N/A,FALSE,"단축2";#N/A,#N/A,FALSE,"단축3";#N/A,#N/A,FALSE,"장축";#N/A,#N/A,FALSE,"4WD"}</definedName>
    <definedName name="ㄱㄱㄱ_4" localSheetId="0" hidden="1">{#N/A,#N/A,FALSE,"단축1";#N/A,#N/A,FALSE,"단축2";#N/A,#N/A,FALSE,"단축3";#N/A,#N/A,FALSE,"장축";#N/A,#N/A,FALSE,"4WD"}</definedName>
    <definedName name="ㄱㄱㄱ_4" hidden="1">{#N/A,#N/A,FALSE,"단축1";#N/A,#N/A,FALSE,"단축2";#N/A,#N/A,FALSE,"단축3";#N/A,#N/A,FALSE,"장축";#N/A,#N/A,FALSE,"4WD"}</definedName>
    <definedName name="ㄱㄱㄱ_5" localSheetId="26" hidden="1">{#N/A,#N/A,FALSE,"단축1";#N/A,#N/A,FALSE,"단축2";#N/A,#N/A,FALSE,"단축3";#N/A,#N/A,FALSE,"장축";#N/A,#N/A,FALSE,"4WD"}</definedName>
    <definedName name="ㄱㄱㄱ_5" localSheetId="0" hidden="1">{#N/A,#N/A,FALSE,"단축1";#N/A,#N/A,FALSE,"단축2";#N/A,#N/A,FALSE,"단축3";#N/A,#N/A,FALSE,"장축";#N/A,#N/A,FALSE,"4WD"}</definedName>
    <definedName name="ㄱㄱㄱ_5" hidden="1">{#N/A,#N/A,FALSE,"단축1";#N/A,#N/A,FALSE,"단축2";#N/A,#N/A,FALSE,"단축3";#N/A,#N/A,FALSE,"장축";#N/A,#N/A,FALSE,"4WD"}</definedName>
    <definedName name="ㄱㅇ" localSheetId="26" hidden="1">{#N/A,#N/A,FALSE,"단축1";#N/A,#N/A,FALSE,"단축2";#N/A,#N/A,FALSE,"단축3";#N/A,#N/A,FALSE,"장축";#N/A,#N/A,FALSE,"4WD"}</definedName>
    <definedName name="ㄱㅇ" localSheetId="0" hidden="1">{#N/A,#N/A,FALSE,"단축1";#N/A,#N/A,FALSE,"단축2";#N/A,#N/A,FALSE,"단축3";#N/A,#N/A,FALSE,"장축";#N/A,#N/A,FALSE,"4WD"}</definedName>
    <definedName name="ㄱㅇ" hidden="1">{#N/A,#N/A,FALSE,"단축1";#N/A,#N/A,FALSE,"단축2";#N/A,#N/A,FALSE,"단축3";#N/A,#N/A,FALSE,"장축";#N/A,#N/A,FALSE,"4WD"}</definedName>
    <definedName name="ㄱㅇ_1" localSheetId="26" hidden="1">{#N/A,#N/A,FALSE,"단축1";#N/A,#N/A,FALSE,"단축2";#N/A,#N/A,FALSE,"단축3";#N/A,#N/A,FALSE,"장축";#N/A,#N/A,FALSE,"4WD"}</definedName>
    <definedName name="ㄱㅇ_1" localSheetId="0" hidden="1">{#N/A,#N/A,FALSE,"단축1";#N/A,#N/A,FALSE,"단축2";#N/A,#N/A,FALSE,"단축3";#N/A,#N/A,FALSE,"장축";#N/A,#N/A,FALSE,"4WD"}</definedName>
    <definedName name="ㄱㅇ_1" hidden="1">{#N/A,#N/A,FALSE,"단축1";#N/A,#N/A,FALSE,"단축2";#N/A,#N/A,FALSE,"단축3";#N/A,#N/A,FALSE,"장축";#N/A,#N/A,FALSE,"4WD"}</definedName>
    <definedName name="ㄱㅇ_1_1" localSheetId="26" hidden="1">{#N/A,#N/A,FALSE,"단축1";#N/A,#N/A,FALSE,"단축2";#N/A,#N/A,FALSE,"단축3";#N/A,#N/A,FALSE,"장축";#N/A,#N/A,FALSE,"4WD"}</definedName>
    <definedName name="ㄱㅇ_1_1" localSheetId="0" hidden="1">{#N/A,#N/A,FALSE,"단축1";#N/A,#N/A,FALSE,"단축2";#N/A,#N/A,FALSE,"단축3";#N/A,#N/A,FALSE,"장축";#N/A,#N/A,FALSE,"4WD"}</definedName>
    <definedName name="ㄱㅇ_1_1" hidden="1">{#N/A,#N/A,FALSE,"단축1";#N/A,#N/A,FALSE,"단축2";#N/A,#N/A,FALSE,"단축3";#N/A,#N/A,FALSE,"장축";#N/A,#N/A,FALSE,"4WD"}</definedName>
    <definedName name="ㄱㅇ_1_2" localSheetId="26" hidden="1">{#N/A,#N/A,FALSE,"단축1";#N/A,#N/A,FALSE,"단축2";#N/A,#N/A,FALSE,"단축3";#N/A,#N/A,FALSE,"장축";#N/A,#N/A,FALSE,"4WD"}</definedName>
    <definedName name="ㄱㅇ_1_2" localSheetId="0" hidden="1">{#N/A,#N/A,FALSE,"단축1";#N/A,#N/A,FALSE,"단축2";#N/A,#N/A,FALSE,"단축3";#N/A,#N/A,FALSE,"장축";#N/A,#N/A,FALSE,"4WD"}</definedName>
    <definedName name="ㄱㅇ_1_2" hidden="1">{#N/A,#N/A,FALSE,"단축1";#N/A,#N/A,FALSE,"단축2";#N/A,#N/A,FALSE,"단축3";#N/A,#N/A,FALSE,"장축";#N/A,#N/A,FALSE,"4WD"}</definedName>
    <definedName name="ㄱㅇ_1_3" localSheetId="26" hidden="1">{#N/A,#N/A,FALSE,"단축1";#N/A,#N/A,FALSE,"단축2";#N/A,#N/A,FALSE,"단축3";#N/A,#N/A,FALSE,"장축";#N/A,#N/A,FALSE,"4WD"}</definedName>
    <definedName name="ㄱㅇ_1_3" localSheetId="0" hidden="1">{#N/A,#N/A,FALSE,"단축1";#N/A,#N/A,FALSE,"단축2";#N/A,#N/A,FALSE,"단축3";#N/A,#N/A,FALSE,"장축";#N/A,#N/A,FALSE,"4WD"}</definedName>
    <definedName name="ㄱㅇ_1_3" hidden="1">{#N/A,#N/A,FALSE,"단축1";#N/A,#N/A,FALSE,"단축2";#N/A,#N/A,FALSE,"단축3";#N/A,#N/A,FALSE,"장축";#N/A,#N/A,FALSE,"4WD"}</definedName>
    <definedName name="ㄱㅇ_2" localSheetId="26" hidden="1">{#N/A,#N/A,FALSE,"단축1";#N/A,#N/A,FALSE,"단축2";#N/A,#N/A,FALSE,"단축3";#N/A,#N/A,FALSE,"장축";#N/A,#N/A,FALSE,"4WD"}</definedName>
    <definedName name="ㄱㅇ_2" localSheetId="0" hidden="1">{#N/A,#N/A,FALSE,"단축1";#N/A,#N/A,FALSE,"단축2";#N/A,#N/A,FALSE,"단축3";#N/A,#N/A,FALSE,"장축";#N/A,#N/A,FALSE,"4WD"}</definedName>
    <definedName name="ㄱㅇ_2" hidden="1">{#N/A,#N/A,FALSE,"단축1";#N/A,#N/A,FALSE,"단축2";#N/A,#N/A,FALSE,"단축3";#N/A,#N/A,FALSE,"장축";#N/A,#N/A,FALSE,"4WD"}</definedName>
    <definedName name="ㄱㅇ_2_1" localSheetId="26" hidden="1">{#N/A,#N/A,FALSE,"단축1";#N/A,#N/A,FALSE,"단축2";#N/A,#N/A,FALSE,"단축3";#N/A,#N/A,FALSE,"장축";#N/A,#N/A,FALSE,"4WD"}</definedName>
    <definedName name="ㄱㅇ_2_1" localSheetId="0" hidden="1">{#N/A,#N/A,FALSE,"단축1";#N/A,#N/A,FALSE,"단축2";#N/A,#N/A,FALSE,"단축3";#N/A,#N/A,FALSE,"장축";#N/A,#N/A,FALSE,"4WD"}</definedName>
    <definedName name="ㄱㅇ_2_1" hidden="1">{#N/A,#N/A,FALSE,"단축1";#N/A,#N/A,FALSE,"단축2";#N/A,#N/A,FALSE,"단축3";#N/A,#N/A,FALSE,"장축";#N/A,#N/A,FALSE,"4WD"}</definedName>
    <definedName name="ㄱㅇ_2_2" localSheetId="26" hidden="1">{#N/A,#N/A,FALSE,"단축1";#N/A,#N/A,FALSE,"단축2";#N/A,#N/A,FALSE,"단축3";#N/A,#N/A,FALSE,"장축";#N/A,#N/A,FALSE,"4WD"}</definedName>
    <definedName name="ㄱㅇ_2_2" localSheetId="0" hidden="1">{#N/A,#N/A,FALSE,"단축1";#N/A,#N/A,FALSE,"단축2";#N/A,#N/A,FALSE,"단축3";#N/A,#N/A,FALSE,"장축";#N/A,#N/A,FALSE,"4WD"}</definedName>
    <definedName name="ㄱㅇ_2_2" hidden="1">{#N/A,#N/A,FALSE,"단축1";#N/A,#N/A,FALSE,"단축2";#N/A,#N/A,FALSE,"단축3";#N/A,#N/A,FALSE,"장축";#N/A,#N/A,FALSE,"4WD"}</definedName>
    <definedName name="ㄱㅇ_3" localSheetId="26" hidden="1">{#N/A,#N/A,FALSE,"단축1";#N/A,#N/A,FALSE,"단축2";#N/A,#N/A,FALSE,"단축3";#N/A,#N/A,FALSE,"장축";#N/A,#N/A,FALSE,"4WD"}</definedName>
    <definedName name="ㄱㅇ_3" localSheetId="0" hidden="1">{#N/A,#N/A,FALSE,"단축1";#N/A,#N/A,FALSE,"단축2";#N/A,#N/A,FALSE,"단축3";#N/A,#N/A,FALSE,"장축";#N/A,#N/A,FALSE,"4WD"}</definedName>
    <definedName name="ㄱㅇ_3" hidden="1">{#N/A,#N/A,FALSE,"단축1";#N/A,#N/A,FALSE,"단축2";#N/A,#N/A,FALSE,"단축3";#N/A,#N/A,FALSE,"장축";#N/A,#N/A,FALSE,"4WD"}</definedName>
    <definedName name="ㄱㅇ_4" localSheetId="26" hidden="1">{#N/A,#N/A,FALSE,"단축1";#N/A,#N/A,FALSE,"단축2";#N/A,#N/A,FALSE,"단축3";#N/A,#N/A,FALSE,"장축";#N/A,#N/A,FALSE,"4WD"}</definedName>
    <definedName name="ㄱㅇ_4" localSheetId="0" hidden="1">{#N/A,#N/A,FALSE,"단축1";#N/A,#N/A,FALSE,"단축2";#N/A,#N/A,FALSE,"단축3";#N/A,#N/A,FALSE,"장축";#N/A,#N/A,FALSE,"4WD"}</definedName>
    <definedName name="ㄱㅇ_4" hidden="1">{#N/A,#N/A,FALSE,"단축1";#N/A,#N/A,FALSE,"단축2";#N/A,#N/A,FALSE,"단축3";#N/A,#N/A,FALSE,"장축";#N/A,#N/A,FALSE,"4WD"}</definedName>
    <definedName name="ㄱㅇ_5" localSheetId="26" hidden="1">{#N/A,#N/A,FALSE,"단축1";#N/A,#N/A,FALSE,"단축2";#N/A,#N/A,FALSE,"단축3";#N/A,#N/A,FALSE,"장축";#N/A,#N/A,FALSE,"4WD"}</definedName>
    <definedName name="ㄱㅇ_5" localSheetId="0" hidden="1">{#N/A,#N/A,FALSE,"단축1";#N/A,#N/A,FALSE,"단축2";#N/A,#N/A,FALSE,"단축3";#N/A,#N/A,FALSE,"장축";#N/A,#N/A,FALSE,"4WD"}</definedName>
    <definedName name="ㄱㅇ_5" hidden="1">{#N/A,#N/A,FALSE,"단축1";#N/A,#N/A,FALSE,"단축2";#N/A,#N/A,FALSE,"단축3";#N/A,#N/A,FALSE,"장축";#N/A,#N/A,FALSE,"4WD"}</definedName>
    <definedName name="거래선별매출" localSheetId="26" hidden="1">{#N/A,#N/A,FALSE,"P.V.C 9월 압출 CAPA";#N/A,#N/A,FALSE,"P.V.C 10월 압출 CAPA ";#N/A,#N/A,FALSE,"P.V.C 11월 압출 CAPA ";#N/A,#N/A,FALSE,"P.V.C 12월 압출 CAPA "}</definedName>
    <definedName name="거래선별매출" localSheetId="0" hidden="1">{#N/A,#N/A,FALSE,"P.V.C 9월 압출 CAPA";#N/A,#N/A,FALSE,"P.V.C 10월 압출 CAPA ";#N/A,#N/A,FALSE,"P.V.C 11월 압출 CAPA ";#N/A,#N/A,FALSE,"P.V.C 12월 압출 CAPA "}</definedName>
    <definedName name="거래선별매출" hidden="1">{#N/A,#N/A,FALSE,"P.V.C 9월 압출 CAPA";#N/A,#N/A,FALSE,"P.V.C 10월 압출 CAPA ";#N/A,#N/A,FALSE,"P.V.C 11월 압출 CAPA ";#N/A,#N/A,FALSE,"P.V.C 12월 압출 CAPA "}</definedName>
    <definedName name="거래선별매출_1" localSheetId="26" hidden="1">{#N/A,#N/A,FALSE,"P.V.C 9월 압출 CAPA";#N/A,#N/A,FALSE,"P.V.C 10월 압출 CAPA ";#N/A,#N/A,FALSE,"P.V.C 11월 압출 CAPA ";#N/A,#N/A,FALSE,"P.V.C 12월 압출 CAPA "}</definedName>
    <definedName name="거래선별매출_1" localSheetId="0" hidden="1">{#N/A,#N/A,FALSE,"P.V.C 9월 압출 CAPA";#N/A,#N/A,FALSE,"P.V.C 10월 압출 CAPA ";#N/A,#N/A,FALSE,"P.V.C 11월 압출 CAPA ";#N/A,#N/A,FALSE,"P.V.C 12월 압출 CAPA "}</definedName>
    <definedName name="거래선별매출_1" hidden="1">{#N/A,#N/A,FALSE,"P.V.C 9월 압출 CAPA";#N/A,#N/A,FALSE,"P.V.C 10월 압출 CAPA ";#N/A,#N/A,FALSE,"P.V.C 11월 압출 CAPA ";#N/A,#N/A,FALSE,"P.V.C 12월 압출 CAPA "}</definedName>
    <definedName name="거래선별매출_1_1" localSheetId="26" hidden="1">{#N/A,#N/A,FALSE,"P.V.C 9월 압출 CAPA";#N/A,#N/A,FALSE,"P.V.C 10월 압출 CAPA ";#N/A,#N/A,FALSE,"P.V.C 11월 압출 CAPA ";#N/A,#N/A,FALSE,"P.V.C 12월 압출 CAPA "}</definedName>
    <definedName name="거래선별매출_1_1" localSheetId="0" hidden="1">{#N/A,#N/A,FALSE,"P.V.C 9월 압출 CAPA";#N/A,#N/A,FALSE,"P.V.C 10월 압출 CAPA ";#N/A,#N/A,FALSE,"P.V.C 11월 압출 CAPA ";#N/A,#N/A,FALSE,"P.V.C 12월 압출 CAPA "}</definedName>
    <definedName name="거래선별매출_1_1" hidden="1">{#N/A,#N/A,FALSE,"P.V.C 9월 압출 CAPA";#N/A,#N/A,FALSE,"P.V.C 10월 압출 CAPA ";#N/A,#N/A,FALSE,"P.V.C 11월 압출 CAPA ";#N/A,#N/A,FALSE,"P.V.C 12월 압출 CAPA "}</definedName>
    <definedName name="거래선별매출_1_2" localSheetId="26" hidden="1">{#N/A,#N/A,FALSE,"P.V.C 9월 압출 CAPA";#N/A,#N/A,FALSE,"P.V.C 10월 압출 CAPA ";#N/A,#N/A,FALSE,"P.V.C 11월 압출 CAPA ";#N/A,#N/A,FALSE,"P.V.C 12월 압출 CAPA "}</definedName>
    <definedName name="거래선별매출_1_2" localSheetId="0" hidden="1">{#N/A,#N/A,FALSE,"P.V.C 9월 압출 CAPA";#N/A,#N/A,FALSE,"P.V.C 10월 압출 CAPA ";#N/A,#N/A,FALSE,"P.V.C 11월 압출 CAPA ";#N/A,#N/A,FALSE,"P.V.C 12월 압출 CAPA "}</definedName>
    <definedName name="거래선별매출_1_2" hidden="1">{#N/A,#N/A,FALSE,"P.V.C 9월 압출 CAPA";#N/A,#N/A,FALSE,"P.V.C 10월 압출 CAPA ";#N/A,#N/A,FALSE,"P.V.C 11월 압출 CAPA ";#N/A,#N/A,FALSE,"P.V.C 12월 압출 CAPA "}</definedName>
    <definedName name="거래선별매출_1_3" localSheetId="26" hidden="1">{#N/A,#N/A,FALSE,"P.V.C 9월 압출 CAPA";#N/A,#N/A,FALSE,"P.V.C 10월 압출 CAPA ";#N/A,#N/A,FALSE,"P.V.C 11월 압출 CAPA ";#N/A,#N/A,FALSE,"P.V.C 12월 압출 CAPA "}</definedName>
    <definedName name="거래선별매출_1_3" localSheetId="0" hidden="1">{#N/A,#N/A,FALSE,"P.V.C 9월 압출 CAPA";#N/A,#N/A,FALSE,"P.V.C 10월 압출 CAPA ";#N/A,#N/A,FALSE,"P.V.C 11월 압출 CAPA ";#N/A,#N/A,FALSE,"P.V.C 12월 압출 CAPA "}</definedName>
    <definedName name="거래선별매출_1_3" hidden="1">{#N/A,#N/A,FALSE,"P.V.C 9월 압출 CAPA";#N/A,#N/A,FALSE,"P.V.C 10월 압출 CAPA ";#N/A,#N/A,FALSE,"P.V.C 11월 압출 CAPA ";#N/A,#N/A,FALSE,"P.V.C 12월 압출 CAPA "}</definedName>
    <definedName name="거래선별매출_2" localSheetId="26" hidden="1">{#N/A,#N/A,FALSE,"P.V.C 9월 압출 CAPA";#N/A,#N/A,FALSE,"P.V.C 10월 압출 CAPA ";#N/A,#N/A,FALSE,"P.V.C 11월 압출 CAPA ";#N/A,#N/A,FALSE,"P.V.C 12월 압출 CAPA "}</definedName>
    <definedName name="거래선별매출_2" localSheetId="0" hidden="1">{#N/A,#N/A,FALSE,"P.V.C 9월 압출 CAPA";#N/A,#N/A,FALSE,"P.V.C 10월 압출 CAPA ";#N/A,#N/A,FALSE,"P.V.C 11월 압출 CAPA ";#N/A,#N/A,FALSE,"P.V.C 12월 압출 CAPA "}</definedName>
    <definedName name="거래선별매출_2" hidden="1">{#N/A,#N/A,FALSE,"P.V.C 9월 압출 CAPA";#N/A,#N/A,FALSE,"P.V.C 10월 압출 CAPA ";#N/A,#N/A,FALSE,"P.V.C 11월 압출 CAPA ";#N/A,#N/A,FALSE,"P.V.C 12월 압출 CAPA "}</definedName>
    <definedName name="거래선별매출_2_1" localSheetId="26" hidden="1">{#N/A,#N/A,FALSE,"P.V.C 9월 압출 CAPA";#N/A,#N/A,FALSE,"P.V.C 10월 압출 CAPA ";#N/A,#N/A,FALSE,"P.V.C 11월 압출 CAPA ";#N/A,#N/A,FALSE,"P.V.C 12월 압출 CAPA "}</definedName>
    <definedName name="거래선별매출_2_1" localSheetId="0" hidden="1">{#N/A,#N/A,FALSE,"P.V.C 9월 압출 CAPA";#N/A,#N/A,FALSE,"P.V.C 10월 압출 CAPA ";#N/A,#N/A,FALSE,"P.V.C 11월 압출 CAPA ";#N/A,#N/A,FALSE,"P.V.C 12월 압출 CAPA "}</definedName>
    <definedName name="거래선별매출_2_1" hidden="1">{#N/A,#N/A,FALSE,"P.V.C 9월 압출 CAPA";#N/A,#N/A,FALSE,"P.V.C 10월 압출 CAPA ";#N/A,#N/A,FALSE,"P.V.C 11월 압출 CAPA ";#N/A,#N/A,FALSE,"P.V.C 12월 압출 CAPA "}</definedName>
    <definedName name="거래선별매출_2_2" localSheetId="26" hidden="1">{#N/A,#N/A,FALSE,"P.V.C 9월 압출 CAPA";#N/A,#N/A,FALSE,"P.V.C 10월 압출 CAPA ";#N/A,#N/A,FALSE,"P.V.C 11월 압출 CAPA ";#N/A,#N/A,FALSE,"P.V.C 12월 압출 CAPA "}</definedName>
    <definedName name="거래선별매출_2_2" localSheetId="0" hidden="1">{#N/A,#N/A,FALSE,"P.V.C 9월 압출 CAPA";#N/A,#N/A,FALSE,"P.V.C 10월 압출 CAPA ";#N/A,#N/A,FALSE,"P.V.C 11월 압출 CAPA ";#N/A,#N/A,FALSE,"P.V.C 12월 압출 CAPA "}</definedName>
    <definedName name="거래선별매출_2_2" hidden="1">{#N/A,#N/A,FALSE,"P.V.C 9월 압출 CAPA";#N/A,#N/A,FALSE,"P.V.C 10월 압출 CAPA ";#N/A,#N/A,FALSE,"P.V.C 11월 압출 CAPA ";#N/A,#N/A,FALSE,"P.V.C 12월 압출 CAPA "}</definedName>
    <definedName name="거래선별매출_3" localSheetId="26" hidden="1">{#N/A,#N/A,FALSE,"P.V.C 9월 압출 CAPA";#N/A,#N/A,FALSE,"P.V.C 10월 압출 CAPA ";#N/A,#N/A,FALSE,"P.V.C 11월 압출 CAPA ";#N/A,#N/A,FALSE,"P.V.C 12월 압출 CAPA "}</definedName>
    <definedName name="거래선별매출_3" localSheetId="0" hidden="1">{#N/A,#N/A,FALSE,"P.V.C 9월 압출 CAPA";#N/A,#N/A,FALSE,"P.V.C 10월 압출 CAPA ";#N/A,#N/A,FALSE,"P.V.C 11월 압출 CAPA ";#N/A,#N/A,FALSE,"P.V.C 12월 압출 CAPA "}</definedName>
    <definedName name="거래선별매출_3" hidden="1">{#N/A,#N/A,FALSE,"P.V.C 9월 압출 CAPA";#N/A,#N/A,FALSE,"P.V.C 10월 압출 CAPA ";#N/A,#N/A,FALSE,"P.V.C 11월 압출 CAPA ";#N/A,#N/A,FALSE,"P.V.C 12월 압출 CAPA "}</definedName>
    <definedName name="거래선별매출_4" localSheetId="26" hidden="1">{#N/A,#N/A,FALSE,"P.V.C 9월 압출 CAPA";#N/A,#N/A,FALSE,"P.V.C 10월 압출 CAPA ";#N/A,#N/A,FALSE,"P.V.C 11월 압출 CAPA ";#N/A,#N/A,FALSE,"P.V.C 12월 압출 CAPA "}</definedName>
    <definedName name="거래선별매출_4" localSheetId="0" hidden="1">{#N/A,#N/A,FALSE,"P.V.C 9월 압출 CAPA";#N/A,#N/A,FALSE,"P.V.C 10월 압출 CAPA ";#N/A,#N/A,FALSE,"P.V.C 11월 압출 CAPA ";#N/A,#N/A,FALSE,"P.V.C 12월 압출 CAPA "}</definedName>
    <definedName name="거래선별매출_4" hidden="1">{#N/A,#N/A,FALSE,"P.V.C 9월 압출 CAPA";#N/A,#N/A,FALSE,"P.V.C 10월 압출 CAPA ";#N/A,#N/A,FALSE,"P.V.C 11월 압출 CAPA ";#N/A,#N/A,FALSE,"P.V.C 12월 압출 CAPA "}</definedName>
    <definedName name="거래선별매출_5" localSheetId="26" hidden="1">{#N/A,#N/A,FALSE,"P.V.C 9월 압출 CAPA";#N/A,#N/A,FALSE,"P.V.C 10월 압출 CAPA ";#N/A,#N/A,FALSE,"P.V.C 11월 압출 CAPA ";#N/A,#N/A,FALSE,"P.V.C 12월 압출 CAPA "}</definedName>
    <definedName name="거래선별매출_5" localSheetId="0" hidden="1">{#N/A,#N/A,FALSE,"P.V.C 9월 압출 CAPA";#N/A,#N/A,FALSE,"P.V.C 10월 압출 CAPA ";#N/A,#N/A,FALSE,"P.V.C 11월 압출 CAPA ";#N/A,#N/A,FALSE,"P.V.C 12월 압출 CAPA "}</definedName>
    <definedName name="거래선별매출_5" hidden="1">{#N/A,#N/A,FALSE,"P.V.C 9월 압출 CAPA";#N/A,#N/A,FALSE,"P.V.C 10월 압출 CAPA ";#N/A,#N/A,FALSE,"P.V.C 11월 압출 CAPA ";#N/A,#N/A,FALSE,"P.V.C 12월 압출 CAPA "}</definedName>
    <definedName name="결재용" localSheetId="26" hidden="1">{#N/A,#N/A,FALSE,"단축1";#N/A,#N/A,FALSE,"단축2";#N/A,#N/A,FALSE,"단축3";#N/A,#N/A,FALSE,"장축";#N/A,#N/A,FALSE,"4WD"}</definedName>
    <definedName name="결재용" localSheetId="0" hidden="1">{#N/A,#N/A,FALSE,"단축1";#N/A,#N/A,FALSE,"단축2";#N/A,#N/A,FALSE,"단축3";#N/A,#N/A,FALSE,"장축";#N/A,#N/A,FALSE,"4WD"}</definedName>
    <definedName name="결재용" hidden="1">{#N/A,#N/A,FALSE,"단축1";#N/A,#N/A,FALSE,"단축2";#N/A,#N/A,FALSE,"단축3";#N/A,#N/A,FALSE,"장축";#N/A,#N/A,FALSE,"4WD"}</definedName>
    <definedName name="결재용_1" localSheetId="26" hidden="1">{#N/A,#N/A,FALSE,"단축1";#N/A,#N/A,FALSE,"단축2";#N/A,#N/A,FALSE,"단축3";#N/A,#N/A,FALSE,"장축";#N/A,#N/A,FALSE,"4WD"}</definedName>
    <definedName name="결재용_1" localSheetId="0" hidden="1">{#N/A,#N/A,FALSE,"단축1";#N/A,#N/A,FALSE,"단축2";#N/A,#N/A,FALSE,"단축3";#N/A,#N/A,FALSE,"장축";#N/A,#N/A,FALSE,"4WD"}</definedName>
    <definedName name="결재용_1" hidden="1">{#N/A,#N/A,FALSE,"단축1";#N/A,#N/A,FALSE,"단축2";#N/A,#N/A,FALSE,"단축3";#N/A,#N/A,FALSE,"장축";#N/A,#N/A,FALSE,"4WD"}</definedName>
    <definedName name="결재용_1_1" localSheetId="26" hidden="1">{#N/A,#N/A,FALSE,"단축1";#N/A,#N/A,FALSE,"단축2";#N/A,#N/A,FALSE,"단축3";#N/A,#N/A,FALSE,"장축";#N/A,#N/A,FALSE,"4WD"}</definedName>
    <definedName name="결재용_1_1" localSheetId="0" hidden="1">{#N/A,#N/A,FALSE,"단축1";#N/A,#N/A,FALSE,"단축2";#N/A,#N/A,FALSE,"단축3";#N/A,#N/A,FALSE,"장축";#N/A,#N/A,FALSE,"4WD"}</definedName>
    <definedName name="결재용_1_1" hidden="1">{#N/A,#N/A,FALSE,"단축1";#N/A,#N/A,FALSE,"단축2";#N/A,#N/A,FALSE,"단축3";#N/A,#N/A,FALSE,"장축";#N/A,#N/A,FALSE,"4WD"}</definedName>
    <definedName name="결재용_1_2" localSheetId="26" hidden="1">{#N/A,#N/A,FALSE,"단축1";#N/A,#N/A,FALSE,"단축2";#N/A,#N/A,FALSE,"단축3";#N/A,#N/A,FALSE,"장축";#N/A,#N/A,FALSE,"4WD"}</definedName>
    <definedName name="결재용_1_2" localSheetId="0" hidden="1">{#N/A,#N/A,FALSE,"단축1";#N/A,#N/A,FALSE,"단축2";#N/A,#N/A,FALSE,"단축3";#N/A,#N/A,FALSE,"장축";#N/A,#N/A,FALSE,"4WD"}</definedName>
    <definedName name="결재용_1_2" hidden="1">{#N/A,#N/A,FALSE,"단축1";#N/A,#N/A,FALSE,"단축2";#N/A,#N/A,FALSE,"단축3";#N/A,#N/A,FALSE,"장축";#N/A,#N/A,FALSE,"4WD"}</definedName>
    <definedName name="결재용_1_3" localSheetId="26" hidden="1">{#N/A,#N/A,FALSE,"단축1";#N/A,#N/A,FALSE,"단축2";#N/A,#N/A,FALSE,"단축3";#N/A,#N/A,FALSE,"장축";#N/A,#N/A,FALSE,"4WD"}</definedName>
    <definedName name="결재용_1_3" localSheetId="0" hidden="1">{#N/A,#N/A,FALSE,"단축1";#N/A,#N/A,FALSE,"단축2";#N/A,#N/A,FALSE,"단축3";#N/A,#N/A,FALSE,"장축";#N/A,#N/A,FALSE,"4WD"}</definedName>
    <definedName name="결재용_1_3" hidden="1">{#N/A,#N/A,FALSE,"단축1";#N/A,#N/A,FALSE,"단축2";#N/A,#N/A,FALSE,"단축3";#N/A,#N/A,FALSE,"장축";#N/A,#N/A,FALSE,"4WD"}</definedName>
    <definedName name="결재용_2" localSheetId="26" hidden="1">{#N/A,#N/A,FALSE,"단축1";#N/A,#N/A,FALSE,"단축2";#N/A,#N/A,FALSE,"단축3";#N/A,#N/A,FALSE,"장축";#N/A,#N/A,FALSE,"4WD"}</definedName>
    <definedName name="결재용_2" localSheetId="0" hidden="1">{#N/A,#N/A,FALSE,"단축1";#N/A,#N/A,FALSE,"단축2";#N/A,#N/A,FALSE,"단축3";#N/A,#N/A,FALSE,"장축";#N/A,#N/A,FALSE,"4WD"}</definedName>
    <definedName name="결재용_2" hidden="1">{#N/A,#N/A,FALSE,"단축1";#N/A,#N/A,FALSE,"단축2";#N/A,#N/A,FALSE,"단축3";#N/A,#N/A,FALSE,"장축";#N/A,#N/A,FALSE,"4WD"}</definedName>
    <definedName name="결재용_2_1" localSheetId="26" hidden="1">{#N/A,#N/A,FALSE,"단축1";#N/A,#N/A,FALSE,"단축2";#N/A,#N/A,FALSE,"단축3";#N/A,#N/A,FALSE,"장축";#N/A,#N/A,FALSE,"4WD"}</definedName>
    <definedName name="결재용_2_1" localSheetId="0" hidden="1">{#N/A,#N/A,FALSE,"단축1";#N/A,#N/A,FALSE,"단축2";#N/A,#N/A,FALSE,"단축3";#N/A,#N/A,FALSE,"장축";#N/A,#N/A,FALSE,"4WD"}</definedName>
    <definedName name="결재용_2_1" hidden="1">{#N/A,#N/A,FALSE,"단축1";#N/A,#N/A,FALSE,"단축2";#N/A,#N/A,FALSE,"단축3";#N/A,#N/A,FALSE,"장축";#N/A,#N/A,FALSE,"4WD"}</definedName>
    <definedName name="결재용_2_2" localSheetId="26" hidden="1">{#N/A,#N/A,FALSE,"단축1";#N/A,#N/A,FALSE,"단축2";#N/A,#N/A,FALSE,"단축3";#N/A,#N/A,FALSE,"장축";#N/A,#N/A,FALSE,"4WD"}</definedName>
    <definedName name="결재용_2_2" localSheetId="0" hidden="1">{#N/A,#N/A,FALSE,"단축1";#N/A,#N/A,FALSE,"단축2";#N/A,#N/A,FALSE,"단축3";#N/A,#N/A,FALSE,"장축";#N/A,#N/A,FALSE,"4WD"}</definedName>
    <definedName name="결재용_2_2" hidden="1">{#N/A,#N/A,FALSE,"단축1";#N/A,#N/A,FALSE,"단축2";#N/A,#N/A,FALSE,"단축3";#N/A,#N/A,FALSE,"장축";#N/A,#N/A,FALSE,"4WD"}</definedName>
    <definedName name="결재용_3" localSheetId="26" hidden="1">{#N/A,#N/A,FALSE,"단축1";#N/A,#N/A,FALSE,"단축2";#N/A,#N/A,FALSE,"단축3";#N/A,#N/A,FALSE,"장축";#N/A,#N/A,FALSE,"4WD"}</definedName>
    <definedName name="결재용_3" localSheetId="0" hidden="1">{#N/A,#N/A,FALSE,"단축1";#N/A,#N/A,FALSE,"단축2";#N/A,#N/A,FALSE,"단축3";#N/A,#N/A,FALSE,"장축";#N/A,#N/A,FALSE,"4WD"}</definedName>
    <definedName name="결재용_3" hidden="1">{#N/A,#N/A,FALSE,"단축1";#N/A,#N/A,FALSE,"단축2";#N/A,#N/A,FALSE,"단축3";#N/A,#N/A,FALSE,"장축";#N/A,#N/A,FALSE,"4WD"}</definedName>
    <definedName name="결재용_4" localSheetId="26" hidden="1">{#N/A,#N/A,FALSE,"단축1";#N/A,#N/A,FALSE,"단축2";#N/A,#N/A,FALSE,"단축3";#N/A,#N/A,FALSE,"장축";#N/A,#N/A,FALSE,"4WD"}</definedName>
    <definedName name="결재용_4" localSheetId="0" hidden="1">{#N/A,#N/A,FALSE,"단축1";#N/A,#N/A,FALSE,"단축2";#N/A,#N/A,FALSE,"단축3";#N/A,#N/A,FALSE,"장축";#N/A,#N/A,FALSE,"4WD"}</definedName>
    <definedName name="결재용_4" hidden="1">{#N/A,#N/A,FALSE,"단축1";#N/A,#N/A,FALSE,"단축2";#N/A,#N/A,FALSE,"단축3";#N/A,#N/A,FALSE,"장축";#N/A,#N/A,FALSE,"4WD"}</definedName>
    <definedName name="결재용_5" localSheetId="26" hidden="1">{#N/A,#N/A,FALSE,"단축1";#N/A,#N/A,FALSE,"단축2";#N/A,#N/A,FALSE,"단축3";#N/A,#N/A,FALSE,"장축";#N/A,#N/A,FALSE,"4WD"}</definedName>
    <definedName name="결재용_5" localSheetId="0" hidden="1">{#N/A,#N/A,FALSE,"단축1";#N/A,#N/A,FALSE,"단축2";#N/A,#N/A,FALSE,"단축3";#N/A,#N/A,FALSE,"장축";#N/A,#N/A,FALSE,"4WD"}</definedName>
    <definedName name="결재용_5" hidden="1">{#N/A,#N/A,FALSE,"단축1";#N/A,#N/A,FALSE,"단축2";#N/A,#N/A,FALSE,"단축3";#N/A,#N/A,FALSE,"장축";#N/A,#N/A,FALSE,"4WD"}</definedName>
    <definedName name="공정계획" localSheetId="26" hidden="1">{#N/A,#N/A,FALSE,"단축1";#N/A,#N/A,FALSE,"단축2";#N/A,#N/A,FALSE,"단축3";#N/A,#N/A,FALSE,"장축";#N/A,#N/A,FALSE,"4WD"}</definedName>
    <definedName name="공정계획" localSheetId="0" hidden="1">{#N/A,#N/A,FALSE,"단축1";#N/A,#N/A,FALSE,"단축2";#N/A,#N/A,FALSE,"단축3";#N/A,#N/A,FALSE,"장축";#N/A,#N/A,FALSE,"4WD"}</definedName>
    <definedName name="공정계획" hidden="1">{#N/A,#N/A,FALSE,"단축1";#N/A,#N/A,FALSE,"단축2";#N/A,#N/A,FALSE,"단축3";#N/A,#N/A,FALSE,"장축";#N/A,#N/A,FALSE,"4WD"}</definedName>
    <definedName name="공정계획_1" localSheetId="26" hidden="1">{#N/A,#N/A,FALSE,"단축1";#N/A,#N/A,FALSE,"단축2";#N/A,#N/A,FALSE,"단축3";#N/A,#N/A,FALSE,"장축";#N/A,#N/A,FALSE,"4WD"}</definedName>
    <definedName name="공정계획_1" localSheetId="0" hidden="1">{#N/A,#N/A,FALSE,"단축1";#N/A,#N/A,FALSE,"단축2";#N/A,#N/A,FALSE,"단축3";#N/A,#N/A,FALSE,"장축";#N/A,#N/A,FALSE,"4WD"}</definedName>
    <definedName name="공정계획_1" hidden="1">{#N/A,#N/A,FALSE,"단축1";#N/A,#N/A,FALSE,"단축2";#N/A,#N/A,FALSE,"단축3";#N/A,#N/A,FALSE,"장축";#N/A,#N/A,FALSE,"4WD"}</definedName>
    <definedName name="공정계획_1_1" localSheetId="26" hidden="1">{#N/A,#N/A,FALSE,"단축1";#N/A,#N/A,FALSE,"단축2";#N/A,#N/A,FALSE,"단축3";#N/A,#N/A,FALSE,"장축";#N/A,#N/A,FALSE,"4WD"}</definedName>
    <definedName name="공정계획_1_1" localSheetId="0" hidden="1">{#N/A,#N/A,FALSE,"단축1";#N/A,#N/A,FALSE,"단축2";#N/A,#N/A,FALSE,"단축3";#N/A,#N/A,FALSE,"장축";#N/A,#N/A,FALSE,"4WD"}</definedName>
    <definedName name="공정계획_1_1" hidden="1">{#N/A,#N/A,FALSE,"단축1";#N/A,#N/A,FALSE,"단축2";#N/A,#N/A,FALSE,"단축3";#N/A,#N/A,FALSE,"장축";#N/A,#N/A,FALSE,"4WD"}</definedName>
    <definedName name="공정계획_1_2" localSheetId="26" hidden="1">{#N/A,#N/A,FALSE,"단축1";#N/A,#N/A,FALSE,"단축2";#N/A,#N/A,FALSE,"단축3";#N/A,#N/A,FALSE,"장축";#N/A,#N/A,FALSE,"4WD"}</definedName>
    <definedName name="공정계획_1_2" localSheetId="0" hidden="1">{#N/A,#N/A,FALSE,"단축1";#N/A,#N/A,FALSE,"단축2";#N/A,#N/A,FALSE,"단축3";#N/A,#N/A,FALSE,"장축";#N/A,#N/A,FALSE,"4WD"}</definedName>
    <definedName name="공정계획_1_2" hidden="1">{#N/A,#N/A,FALSE,"단축1";#N/A,#N/A,FALSE,"단축2";#N/A,#N/A,FALSE,"단축3";#N/A,#N/A,FALSE,"장축";#N/A,#N/A,FALSE,"4WD"}</definedName>
    <definedName name="공정계획_1_3" localSheetId="26" hidden="1">{#N/A,#N/A,FALSE,"단축1";#N/A,#N/A,FALSE,"단축2";#N/A,#N/A,FALSE,"단축3";#N/A,#N/A,FALSE,"장축";#N/A,#N/A,FALSE,"4WD"}</definedName>
    <definedName name="공정계획_1_3" localSheetId="0" hidden="1">{#N/A,#N/A,FALSE,"단축1";#N/A,#N/A,FALSE,"단축2";#N/A,#N/A,FALSE,"단축3";#N/A,#N/A,FALSE,"장축";#N/A,#N/A,FALSE,"4WD"}</definedName>
    <definedName name="공정계획_1_3" hidden="1">{#N/A,#N/A,FALSE,"단축1";#N/A,#N/A,FALSE,"단축2";#N/A,#N/A,FALSE,"단축3";#N/A,#N/A,FALSE,"장축";#N/A,#N/A,FALSE,"4WD"}</definedName>
    <definedName name="공정계획_2" localSheetId="26" hidden="1">{#N/A,#N/A,FALSE,"단축1";#N/A,#N/A,FALSE,"단축2";#N/A,#N/A,FALSE,"단축3";#N/A,#N/A,FALSE,"장축";#N/A,#N/A,FALSE,"4WD"}</definedName>
    <definedName name="공정계획_2" localSheetId="0" hidden="1">{#N/A,#N/A,FALSE,"단축1";#N/A,#N/A,FALSE,"단축2";#N/A,#N/A,FALSE,"단축3";#N/A,#N/A,FALSE,"장축";#N/A,#N/A,FALSE,"4WD"}</definedName>
    <definedName name="공정계획_2" hidden="1">{#N/A,#N/A,FALSE,"단축1";#N/A,#N/A,FALSE,"단축2";#N/A,#N/A,FALSE,"단축3";#N/A,#N/A,FALSE,"장축";#N/A,#N/A,FALSE,"4WD"}</definedName>
    <definedName name="공정계획_2_1" localSheetId="26" hidden="1">{#N/A,#N/A,FALSE,"단축1";#N/A,#N/A,FALSE,"단축2";#N/A,#N/A,FALSE,"단축3";#N/A,#N/A,FALSE,"장축";#N/A,#N/A,FALSE,"4WD"}</definedName>
    <definedName name="공정계획_2_1" localSheetId="0" hidden="1">{#N/A,#N/A,FALSE,"단축1";#N/A,#N/A,FALSE,"단축2";#N/A,#N/A,FALSE,"단축3";#N/A,#N/A,FALSE,"장축";#N/A,#N/A,FALSE,"4WD"}</definedName>
    <definedName name="공정계획_2_1" hidden="1">{#N/A,#N/A,FALSE,"단축1";#N/A,#N/A,FALSE,"단축2";#N/A,#N/A,FALSE,"단축3";#N/A,#N/A,FALSE,"장축";#N/A,#N/A,FALSE,"4WD"}</definedName>
    <definedName name="공정계획_2_2" localSheetId="26" hidden="1">{#N/A,#N/A,FALSE,"단축1";#N/A,#N/A,FALSE,"단축2";#N/A,#N/A,FALSE,"단축3";#N/A,#N/A,FALSE,"장축";#N/A,#N/A,FALSE,"4WD"}</definedName>
    <definedName name="공정계획_2_2" localSheetId="0" hidden="1">{#N/A,#N/A,FALSE,"단축1";#N/A,#N/A,FALSE,"단축2";#N/A,#N/A,FALSE,"단축3";#N/A,#N/A,FALSE,"장축";#N/A,#N/A,FALSE,"4WD"}</definedName>
    <definedName name="공정계획_2_2" hidden="1">{#N/A,#N/A,FALSE,"단축1";#N/A,#N/A,FALSE,"단축2";#N/A,#N/A,FALSE,"단축3";#N/A,#N/A,FALSE,"장축";#N/A,#N/A,FALSE,"4WD"}</definedName>
    <definedName name="공정계획_3" localSheetId="26" hidden="1">{#N/A,#N/A,FALSE,"단축1";#N/A,#N/A,FALSE,"단축2";#N/A,#N/A,FALSE,"단축3";#N/A,#N/A,FALSE,"장축";#N/A,#N/A,FALSE,"4WD"}</definedName>
    <definedName name="공정계획_3" localSheetId="0" hidden="1">{#N/A,#N/A,FALSE,"단축1";#N/A,#N/A,FALSE,"단축2";#N/A,#N/A,FALSE,"단축3";#N/A,#N/A,FALSE,"장축";#N/A,#N/A,FALSE,"4WD"}</definedName>
    <definedName name="공정계획_3" hidden="1">{#N/A,#N/A,FALSE,"단축1";#N/A,#N/A,FALSE,"단축2";#N/A,#N/A,FALSE,"단축3";#N/A,#N/A,FALSE,"장축";#N/A,#N/A,FALSE,"4WD"}</definedName>
    <definedName name="공정계획_4" localSheetId="26" hidden="1">{#N/A,#N/A,FALSE,"단축1";#N/A,#N/A,FALSE,"단축2";#N/A,#N/A,FALSE,"단축3";#N/A,#N/A,FALSE,"장축";#N/A,#N/A,FALSE,"4WD"}</definedName>
    <definedName name="공정계획_4" localSheetId="0" hidden="1">{#N/A,#N/A,FALSE,"단축1";#N/A,#N/A,FALSE,"단축2";#N/A,#N/A,FALSE,"단축3";#N/A,#N/A,FALSE,"장축";#N/A,#N/A,FALSE,"4WD"}</definedName>
    <definedName name="공정계획_4" hidden="1">{#N/A,#N/A,FALSE,"단축1";#N/A,#N/A,FALSE,"단축2";#N/A,#N/A,FALSE,"단축3";#N/A,#N/A,FALSE,"장축";#N/A,#N/A,FALSE,"4WD"}</definedName>
    <definedName name="공정계획_5" localSheetId="26" hidden="1">{#N/A,#N/A,FALSE,"단축1";#N/A,#N/A,FALSE,"단축2";#N/A,#N/A,FALSE,"단축3";#N/A,#N/A,FALSE,"장축";#N/A,#N/A,FALSE,"4WD"}</definedName>
    <definedName name="공정계획_5" localSheetId="0" hidden="1">{#N/A,#N/A,FALSE,"단축1";#N/A,#N/A,FALSE,"단축2";#N/A,#N/A,FALSE,"단축3";#N/A,#N/A,FALSE,"장축";#N/A,#N/A,FALSE,"4WD"}</definedName>
    <definedName name="공정계획_5" hidden="1">{#N/A,#N/A,FALSE,"단축1";#N/A,#N/A,FALSE,"단축2";#N/A,#N/A,FALSE,"단축3";#N/A,#N/A,FALSE,"장축";#N/A,#N/A,FALSE,"4WD"}</definedName>
    <definedName name="국산화규정" localSheetId="26" hidden="1">{#N/A,#N/A,FALSE,"단축1";#N/A,#N/A,FALSE,"단축2";#N/A,#N/A,FALSE,"단축3";#N/A,#N/A,FALSE,"장축";#N/A,#N/A,FALSE,"4WD"}</definedName>
    <definedName name="국산화규정" localSheetId="0" hidden="1">{#N/A,#N/A,FALSE,"단축1";#N/A,#N/A,FALSE,"단축2";#N/A,#N/A,FALSE,"단축3";#N/A,#N/A,FALSE,"장축";#N/A,#N/A,FALSE,"4WD"}</definedName>
    <definedName name="국산화규정" hidden="1">{#N/A,#N/A,FALSE,"단축1";#N/A,#N/A,FALSE,"단축2";#N/A,#N/A,FALSE,"단축3";#N/A,#N/A,FALSE,"장축";#N/A,#N/A,FALSE,"4WD"}</definedName>
    <definedName name="국산화규정_1" localSheetId="26" hidden="1">{#N/A,#N/A,FALSE,"단축1";#N/A,#N/A,FALSE,"단축2";#N/A,#N/A,FALSE,"단축3";#N/A,#N/A,FALSE,"장축";#N/A,#N/A,FALSE,"4WD"}</definedName>
    <definedName name="국산화규정_1" localSheetId="0" hidden="1">{#N/A,#N/A,FALSE,"단축1";#N/A,#N/A,FALSE,"단축2";#N/A,#N/A,FALSE,"단축3";#N/A,#N/A,FALSE,"장축";#N/A,#N/A,FALSE,"4WD"}</definedName>
    <definedName name="국산화규정_1" hidden="1">{#N/A,#N/A,FALSE,"단축1";#N/A,#N/A,FALSE,"단축2";#N/A,#N/A,FALSE,"단축3";#N/A,#N/A,FALSE,"장축";#N/A,#N/A,FALSE,"4WD"}</definedName>
    <definedName name="국산화규정_1_1" localSheetId="26" hidden="1">{#N/A,#N/A,FALSE,"단축1";#N/A,#N/A,FALSE,"단축2";#N/A,#N/A,FALSE,"단축3";#N/A,#N/A,FALSE,"장축";#N/A,#N/A,FALSE,"4WD"}</definedName>
    <definedName name="국산화규정_1_1" localSheetId="0" hidden="1">{#N/A,#N/A,FALSE,"단축1";#N/A,#N/A,FALSE,"단축2";#N/A,#N/A,FALSE,"단축3";#N/A,#N/A,FALSE,"장축";#N/A,#N/A,FALSE,"4WD"}</definedName>
    <definedName name="국산화규정_1_1" hidden="1">{#N/A,#N/A,FALSE,"단축1";#N/A,#N/A,FALSE,"단축2";#N/A,#N/A,FALSE,"단축3";#N/A,#N/A,FALSE,"장축";#N/A,#N/A,FALSE,"4WD"}</definedName>
    <definedName name="국산화규정_1_2" localSheetId="26" hidden="1">{#N/A,#N/A,FALSE,"단축1";#N/A,#N/A,FALSE,"단축2";#N/A,#N/A,FALSE,"단축3";#N/A,#N/A,FALSE,"장축";#N/A,#N/A,FALSE,"4WD"}</definedName>
    <definedName name="국산화규정_1_2" localSheetId="0" hidden="1">{#N/A,#N/A,FALSE,"단축1";#N/A,#N/A,FALSE,"단축2";#N/A,#N/A,FALSE,"단축3";#N/A,#N/A,FALSE,"장축";#N/A,#N/A,FALSE,"4WD"}</definedName>
    <definedName name="국산화규정_1_2" hidden="1">{#N/A,#N/A,FALSE,"단축1";#N/A,#N/A,FALSE,"단축2";#N/A,#N/A,FALSE,"단축3";#N/A,#N/A,FALSE,"장축";#N/A,#N/A,FALSE,"4WD"}</definedName>
    <definedName name="국산화규정_1_3" localSheetId="26" hidden="1">{#N/A,#N/A,FALSE,"단축1";#N/A,#N/A,FALSE,"단축2";#N/A,#N/A,FALSE,"단축3";#N/A,#N/A,FALSE,"장축";#N/A,#N/A,FALSE,"4WD"}</definedName>
    <definedName name="국산화규정_1_3" localSheetId="0" hidden="1">{#N/A,#N/A,FALSE,"단축1";#N/A,#N/A,FALSE,"단축2";#N/A,#N/A,FALSE,"단축3";#N/A,#N/A,FALSE,"장축";#N/A,#N/A,FALSE,"4WD"}</definedName>
    <definedName name="국산화규정_1_3" hidden="1">{#N/A,#N/A,FALSE,"단축1";#N/A,#N/A,FALSE,"단축2";#N/A,#N/A,FALSE,"단축3";#N/A,#N/A,FALSE,"장축";#N/A,#N/A,FALSE,"4WD"}</definedName>
    <definedName name="국산화규정_2" localSheetId="26" hidden="1">{#N/A,#N/A,FALSE,"단축1";#N/A,#N/A,FALSE,"단축2";#N/A,#N/A,FALSE,"단축3";#N/A,#N/A,FALSE,"장축";#N/A,#N/A,FALSE,"4WD"}</definedName>
    <definedName name="국산화규정_2" localSheetId="0" hidden="1">{#N/A,#N/A,FALSE,"단축1";#N/A,#N/A,FALSE,"단축2";#N/A,#N/A,FALSE,"단축3";#N/A,#N/A,FALSE,"장축";#N/A,#N/A,FALSE,"4WD"}</definedName>
    <definedName name="국산화규정_2" hidden="1">{#N/A,#N/A,FALSE,"단축1";#N/A,#N/A,FALSE,"단축2";#N/A,#N/A,FALSE,"단축3";#N/A,#N/A,FALSE,"장축";#N/A,#N/A,FALSE,"4WD"}</definedName>
    <definedName name="국산화규정_2_1" localSheetId="26" hidden="1">{#N/A,#N/A,FALSE,"단축1";#N/A,#N/A,FALSE,"단축2";#N/A,#N/A,FALSE,"단축3";#N/A,#N/A,FALSE,"장축";#N/A,#N/A,FALSE,"4WD"}</definedName>
    <definedName name="국산화규정_2_1" localSheetId="0" hidden="1">{#N/A,#N/A,FALSE,"단축1";#N/A,#N/A,FALSE,"단축2";#N/A,#N/A,FALSE,"단축3";#N/A,#N/A,FALSE,"장축";#N/A,#N/A,FALSE,"4WD"}</definedName>
    <definedName name="국산화규정_2_1" hidden="1">{#N/A,#N/A,FALSE,"단축1";#N/A,#N/A,FALSE,"단축2";#N/A,#N/A,FALSE,"단축3";#N/A,#N/A,FALSE,"장축";#N/A,#N/A,FALSE,"4WD"}</definedName>
    <definedName name="국산화규정_2_2" localSheetId="26" hidden="1">{#N/A,#N/A,FALSE,"단축1";#N/A,#N/A,FALSE,"단축2";#N/A,#N/A,FALSE,"단축3";#N/A,#N/A,FALSE,"장축";#N/A,#N/A,FALSE,"4WD"}</definedName>
    <definedName name="국산화규정_2_2" localSheetId="0" hidden="1">{#N/A,#N/A,FALSE,"단축1";#N/A,#N/A,FALSE,"단축2";#N/A,#N/A,FALSE,"단축3";#N/A,#N/A,FALSE,"장축";#N/A,#N/A,FALSE,"4WD"}</definedName>
    <definedName name="국산화규정_2_2" hidden="1">{#N/A,#N/A,FALSE,"단축1";#N/A,#N/A,FALSE,"단축2";#N/A,#N/A,FALSE,"단축3";#N/A,#N/A,FALSE,"장축";#N/A,#N/A,FALSE,"4WD"}</definedName>
    <definedName name="국산화규정_3" localSheetId="26" hidden="1">{#N/A,#N/A,FALSE,"단축1";#N/A,#N/A,FALSE,"단축2";#N/A,#N/A,FALSE,"단축3";#N/A,#N/A,FALSE,"장축";#N/A,#N/A,FALSE,"4WD"}</definedName>
    <definedName name="국산화규정_3" localSheetId="0" hidden="1">{#N/A,#N/A,FALSE,"단축1";#N/A,#N/A,FALSE,"단축2";#N/A,#N/A,FALSE,"단축3";#N/A,#N/A,FALSE,"장축";#N/A,#N/A,FALSE,"4WD"}</definedName>
    <definedName name="국산화규정_3" hidden="1">{#N/A,#N/A,FALSE,"단축1";#N/A,#N/A,FALSE,"단축2";#N/A,#N/A,FALSE,"단축3";#N/A,#N/A,FALSE,"장축";#N/A,#N/A,FALSE,"4WD"}</definedName>
    <definedName name="국산화규정_4" localSheetId="26" hidden="1">{#N/A,#N/A,FALSE,"단축1";#N/A,#N/A,FALSE,"단축2";#N/A,#N/A,FALSE,"단축3";#N/A,#N/A,FALSE,"장축";#N/A,#N/A,FALSE,"4WD"}</definedName>
    <definedName name="국산화규정_4" localSheetId="0" hidden="1">{#N/A,#N/A,FALSE,"단축1";#N/A,#N/A,FALSE,"단축2";#N/A,#N/A,FALSE,"단축3";#N/A,#N/A,FALSE,"장축";#N/A,#N/A,FALSE,"4WD"}</definedName>
    <definedName name="국산화규정_4" hidden="1">{#N/A,#N/A,FALSE,"단축1";#N/A,#N/A,FALSE,"단축2";#N/A,#N/A,FALSE,"단축3";#N/A,#N/A,FALSE,"장축";#N/A,#N/A,FALSE,"4WD"}</definedName>
    <definedName name="국산화규정_5" localSheetId="26" hidden="1">{#N/A,#N/A,FALSE,"단축1";#N/A,#N/A,FALSE,"단축2";#N/A,#N/A,FALSE,"단축3";#N/A,#N/A,FALSE,"장축";#N/A,#N/A,FALSE,"4WD"}</definedName>
    <definedName name="국산화규정_5" localSheetId="0" hidden="1">{#N/A,#N/A,FALSE,"단축1";#N/A,#N/A,FALSE,"단축2";#N/A,#N/A,FALSE,"단축3";#N/A,#N/A,FALSE,"장축";#N/A,#N/A,FALSE,"4WD"}</definedName>
    <definedName name="국산화규정_5" hidden="1">{#N/A,#N/A,FALSE,"단축1";#N/A,#N/A,FALSE,"단축2";#N/A,#N/A,FALSE,"단축3";#N/A,#N/A,FALSE,"장축";#N/A,#N/A,FALSE,"4WD"}</definedName>
    <definedName name="ㄳㄷㄳ" localSheetId="26" hidden="1">{#N/A,#N/A,FALSE,"단축1";#N/A,#N/A,FALSE,"단축2";#N/A,#N/A,FALSE,"단축3";#N/A,#N/A,FALSE,"장축";#N/A,#N/A,FALSE,"4WD"}</definedName>
    <definedName name="ㄳㄷㄳ" localSheetId="0" hidden="1">{#N/A,#N/A,FALSE,"단축1";#N/A,#N/A,FALSE,"단축2";#N/A,#N/A,FALSE,"단축3";#N/A,#N/A,FALSE,"장축";#N/A,#N/A,FALSE,"4WD"}</definedName>
    <definedName name="ㄳㄷㄳ" hidden="1">{#N/A,#N/A,FALSE,"단축1";#N/A,#N/A,FALSE,"단축2";#N/A,#N/A,FALSE,"단축3";#N/A,#N/A,FALSE,"장축";#N/A,#N/A,FALSE,"4WD"}</definedName>
    <definedName name="ㄳㄷㄳ_1" localSheetId="26" hidden="1">{#N/A,#N/A,FALSE,"단축1";#N/A,#N/A,FALSE,"단축2";#N/A,#N/A,FALSE,"단축3";#N/A,#N/A,FALSE,"장축";#N/A,#N/A,FALSE,"4WD"}</definedName>
    <definedName name="ㄳㄷㄳ_1" localSheetId="0" hidden="1">{#N/A,#N/A,FALSE,"단축1";#N/A,#N/A,FALSE,"단축2";#N/A,#N/A,FALSE,"단축3";#N/A,#N/A,FALSE,"장축";#N/A,#N/A,FALSE,"4WD"}</definedName>
    <definedName name="ㄳㄷㄳ_1" hidden="1">{#N/A,#N/A,FALSE,"단축1";#N/A,#N/A,FALSE,"단축2";#N/A,#N/A,FALSE,"단축3";#N/A,#N/A,FALSE,"장축";#N/A,#N/A,FALSE,"4WD"}</definedName>
    <definedName name="ㄳㄷㄳ_1_1" localSheetId="26" hidden="1">{#N/A,#N/A,FALSE,"단축1";#N/A,#N/A,FALSE,"단축2";#N/A,#N/A,FALSE,"단축3";#N/A,#N/A,FALSE,"장축";#N/A,#N/A,FALSE,"4WD"}</definedName>
    <definedName name="ㄳㄷㄳ_1_1" localSheetId="0" hidden="1">{#N/A,#N/A,FALSE,"단축1";#N/A,#N/A,FALSE,"단축2";#N/A,#N/A,FALSE,"단축3";#N/A,#N/A,FALSE,"장축";#N/A,#N/A,FALSE,"4WD"}</definedName>
    <definedName name="ㄳㄷㄳ_1_1" hidden="1">{#N/A,#N/A,FALSE,"단축1";#N/A,#N/A,FALSE,"단축2";#N/A,#N/A,FALSE,"단축3";#N/A,#N/A,FALSE,"장축";#N/A,#N/A,FALSE,"4WD"}</definedName>
    <definedName name="ㄳㄷㄳ_1_2" localSheetId="26" hidden="1">{#N/A,#N/A,FALSE,"단축1";#N/A,#N/A,FALSE,"단축2";#N/A,#N/A,FALSE,"단축3";#N/A,#N/A,FALSE,"장축";#N/A,#N/A,FALSE,"4WD"}</definedName>
    <definedName name="ㄳㄷㄳ_1_2" localSheetId="0" hidden="1">{#N/A,#N/A,FALSE,"단축1";#N/A,#N/A,FALSE,"단축2";#N/A,#N/A,FALSE,"단축3";#N/A,#N/A,FALSE,"장축";#N/A,#N/A,FALSE,"4WD"}</definedName>
    <definedName name="ㄳㄷㄳ_1_2" hidden="1">{#N/A,#N/A,FALSE,"단축1";#N/A,#N/A,FALSE,"단축2";#N/A,#N/A,FALSE,"단축3";#N/A,#N/A,FALSE,"장축";#N/A,#N/A,FALSE,"4WD"}</definedName>
    <definedName name="ㄳㄷㄳ_1_3" localSheetId="26" hidden="1">{#N/A,#N/A,FALSE,"단축1";#N/A,#N/A,FALSE,"단축2";#N/A,#N/A,FALSE,"단축3";#N/A,#N/A,FALSE,"장축";#N/A,#N/A,FALSE,"4WD"}</definedName>
    <definedName name="ㄳㄷㄳ_1_3" localSheetId="0" hidden="1">{#N/A,#N/A,FALSE,"단축1";#N/A,#N/A,FALSE,"단축2";#N/A,#N/A,FALSE,"단축3";#N/A,#N/A,FALSE,"장축";#N/A,#N/A,FALSE,"4WD"}</definedName>
    <definedName name="ㄳㄷㄳ_1_3" hidden="1">{#N/A,#N/A,FALSE,"단축1";#N/A,#N/A,FALSE,"단축2";#N/A,#N/A,FALSE,"단축3";#N/A,#N/A,FALSE,"장축";#N/A,#N/A,FALSE,"4WD"}</definedName>
    <definedName name="ㄳㄷㄳ_2" localSheetId="26" hidden="1">{#N/A,#N/A,FALSE,"단축1";#N/A,#N/A,FALSE,"단축2";#N/A,#N/A,FALSE,"단축3";#N/A,#N/A,FALSE,"장축";#N/A,#N/A,FALSE,"4WD"}</definedName>
    <definedName name="ㄳㄷㄳ_2" localSheetId="0" hidden="1">{#N/A,#N/A,FALSE,"단축1";#N/A,#N/A,FALSE,"단축2";#N/A,#N/A,FALSE,"단축3";#N/A,#N/A,FALSE,"장축";#N/A,#N/A,FALSE,"4WD"}</definedName>
    <definedName name="ㄳㄷㄳ_2" hidden="1">{#N/A,#N/A,FALSE,"단축1";#N/A,#N/A,FALSE,"단축2";#N/A,#N/A,FALSE,"단축3";#N/A,#N/A,FALSE,"장축";#N/A,#N/A,FALSE,"4WD"}</definedName>
    <definedName name="ㄳㄷㄳ_2_1" localSheetId="26" hidden="1">{#N/A,#N/A,FALSE,"단축1";#N/A,#N/A,FALSE,"단축2";#N/A,#N/A,FALSE,"단축3";#N/A,#N/A,FALSE,"장축";#N/A,#N/A,FALSE,"4WD"}</definedName>
    <definedName name="ㄳㄷㄳ_2_1" localSheetId="0" hidden="1">{#N/A,#N/A,FALSE,"단축1";#N/A,#N/A,FALSE,"단축2";#N/A,#N/A,FALSE,"단축3";#N/A,#N/A,FALSE,"장축";#N/A,#N/A,FALSE,"4WD"}</definedName>
    <definedName name="ㄳㄷㄳ_2_1" hidden="1">{#N/A,#N/A,FALSE,"단축1";#N/A,#N/A,FALSE,"단축2";#N/A,#N/A,FALSE,"단축3";#N/A,#N/A,FALSE,"장축";#N/A,#N/A,FALSE,"4WD"}</definedName>
    <definedName name="ㄳㄷㄳ_2_2" localSheetId="26" hidden="1">{#N/A,#N/A,FALSE,"단축1";#N/A,#N/A,FALSE,"단축2";#N/A,#N/A,FALSE,"단축3";#N/A,#N/A,FALSE,"장축";#N/A,#N/A,FALSE,"4WD"}</definedName>
    <definedName name="ㄳㄷㄳ_2_2" localSheetId="0" hidden="1">{#N/A,#N/A,FALSE,"단축1";#N/A,#N/A,FALSE,"단축2";#N/A,#N/A,FALSE,"단축3";#N/A,#N/A,FALSE,"장축";#N/A,#N/A,FALSE,"4WD"}</definedName>
    <definedName name="ㄳㄷㄳ_2_2" hidden="1">{#N/A,#N/A,FALSE,"단축1";#N/A,#N/A,FALSE,"단축2";#N/A,#N/A,FALSE,"단축3";#N/A,#N/A,FALSE,"장축";#N/A,#N/A,FALSE,"4WD"}</definedName>
    <definedName name="ㄳㄷㄳ_3" localSheetId="26" hidden="1">{#N/A,#N/A,FALSE,"단축1";#N/A,#N/A,FALSE,"단축2";#N/A,#N/A,FALSE,"단축3";#N/A,#N/A,FALSE,"장축";#N/A,#N/A,FALSE,"4WD"}</definedName>
    <definedName name="ㄳㄷㄳ_3" localSheetId="0" hidden="1">{#N/A,#N/A,FALSE,"단축1";#N/A,#N/A,FALSE,"단축2";#N/A,#N/A,FALSE,"단축3";#N/A,#N/A,FALSE,"장축";#N/A,#N/A,FALSE,"4WD"}</definedName>
    <definedName name="ㄳㄷㄳ_3" hidden="1">{#N/A,#N/A,FALSE,"단축1";#N/A,#N/A,FALSE,"단축2";#N/A,#N/A,FALSE,"단축3";#N/A,#N/A,FALSE,"장축";#N/A,#N/A,FALSE,"4WD"}</definedName>
    <definedName name="ㄳㄷㄳ_4" localSheetId="26" hidden="1">{#N/A,#N/A,FALSE,"단축1";#N/A,#N/A,FALSE,"단축2";#N/A,#N/A,FALSE,"단축3";#N/A,#N/A,FALSE,"장축";#N/A,#N/A,FALSE,"4WD"}</definedName>
    <definedName name="ㄳㄷㄳ_4" localSheetId="0" hidden="1">{#N/A,#N/A,FALSE,"단축1";#N/A,#N/A,FALSE,"단축2";#N/A,#N/A,FALSE,"단축3";#N/A,#N/A,FALSE,"장축";#N/A,#N/A,FALSE,"4WD"}</definedName>
    <definedName name="ㄳㄷㄳ_4" hidden="1">{#N/A,#N/A,FALSE,"단축1";#N/A,#N/A,FALSE,"단축2";#N/A,#N/A,FALSE,"단축3";#N/A,#N/A,FALSE,"장축";#N/A,#N/A,FALSE,"4WD"}</definedName>
    <definedName name="ㄳㄷㄳ_5" localSheetId="26" hidden="1">{#N/A,#N/A,FALSE,"단축1";#N/A,#N/A,FALSE,"단축2";#N/A,#N/A,FALSE,"단축3";#N/A,#N/A,FALSE,"장축";#N/A,#N/A,FALSE,"4WD"}</definedName>
    <definedName name="ㄳㄷㄳ_5" localSheetId="0" hidden="1">{#N/A,#N/A,FALSE,"단축1";#N/A,#N/A,FALSE,"단축2";#N/A,#N/A,FALSE,"단축3";#N/A,#N/A,FALSE,"장축";#N/A,#N/A,FALSE,"4WD"}</definedName>
    <definedName name="ㄳㄷㄳ_5" hidden="1">{#N/A,#N/A,FALSE,"단축1";#N/A,#N/A,FALSE,"단축2";#N/A,#N/A,FALSE,"단축3";#N/A,#N/A,FALSE,"장축";#N/A,#N/A,FALSE,"4WD"}</definedName>
    <definedName name="ㄴㅇㄹ" localSheetId="26" hidden="1">{#N/A,#N/A,FALSE,"단축1";#N/A,#N/A,FALSE,"단축2";#N/A,#N/A,FALSE,"단축3";#N/A,#N/A,FALSE,"장축";#N/A,#N/A,FALSE,"4WD"}</definedName>
    <definedName name="ㄴㅇㄹ" localSheetId="0" hidden="1">{#N/A,#N/A,FALSE,"단축1";#N/A,#N/A,FALSE,"단축2";#N/A,#N/A,FALSE,"단축3";#N/A,#N/A,FALSE,"장축";#N/A,#N/A,FALSE,"4WD"}</definedName>
    <definedName name="ㄴㅇㄹ" hidden="1">{#N/A,#N/A,FALSE,"단축1";#N/A,#N/A,FALSE,"단축2";#N/A,#N/A,FALSE,"단축3";#N/A,#N/A,FALSE,"장축";#N/A,#N/A,FALSE,"4WD"}</definedName>
    <definedName name="ㄴㅇㄹ_1" localSheetId="26" hidden="1">{#N/A,#N/A,FALSE,"단축1";#N/A,#N/A,FALSE,"단축2";#N/A,#N/A,FALSE,"단축3";#N/A,#N/A,FALSE,"장축";#N/A,#N/A,FALSE,"4WD"}</definedName>
    <definedName name="ㄴㅇㄹ_1" localSheetId="0" hidden="1">{#N/A,#N/A,FALSE,"단축1";#N/A,#N/A,FALSE,"단축2";#N/A,#N/A,FALSE,"단축3";#N/A,#N/A,FALSE,"장축";#N/A,#N/A,FALSE,"4WD"}</definedName>
    <definedName name="ㄴㅇㄹ_1" hidden="1">{#N/A,#N/A,FALSE,"단축1";#N/A,#N/A,FALSE,"단축2";#N/A,#N/A,FALSE,"단축3";#N/A,#N/A,FALSE,"장축";#N/A,#N/A,FALSE,"4WD"}</definedName>
    <definedName name="ㄴㅇㄹ_1_1" localSheetId="26" hidden="1">{#N/A,#N/A,FALSE,"단축1";#N/A,#N/A,FALSE,"단축2";#N/A,#N/A,FALSE,"단축3";#N/A,#N/A,FALSE,"장축";#N/A,#N/A,FALSE,"4WD"}</definedName>
    <definedName name="ㄴㅇㄹ_1_1" localSheetId="0" hidden="1">{#N/A,#N/A,FALSE,"단축1";#N/A,#N/A,FALSE,"단축2";#N/A,#N/A,FALSE,"단축3";#N/A,#N/A,FALSE,"장축";#N/A,#N/A,FALSE,"4WD"}</definedName>
    <definedName name="ㄴㅇㄹ_1_1" hidden="1">{#N/A,#N/A,FALSE,"단축1";#N/A,#N/A,FALSE,"단축2";#N/A,#N/A,FALSE,"단축3";#N/A,#N/A,FALSE,"장축";#N/A,#N/A,FALSE,"4WD"}</definedName>
    <definedName name="ㄴㅇㄹ_1_2" localSheetId="26" hidden="1">{#N/A,#N/A,FALSE,"단축1";#N/A,#N/A,FALSE,"단축2";#N/A,#N/A,FALSE,"단축3";#N/A,#N/A,FALSE,"장축";#N/A,#N/A,FALSE,"4WD"}</definedName>
    <definedName name="ㄴㅇㄹ_1_2" localSheetId="0" hidden="1">{#N/A,#N/A,FALSE,"단축1";#N/A,#N/A,FALSE,"단축2";#N/A,#N/A,FALSE,"단축3";#N/A,#N/A,FALSE,"장축";#N/A,#N/A,FALSE,"4WD"}</definedName>
    <definedName name="ㄴㅇㄹ_1_2" hidden="1">{#N/A,#N/A,FALSE,"단축1";#N/A,#N/A,FALSE,"단축2";#N/A,#N/A,FALSE,"단축3";#N/A,#N/A,FALSE,"장축";#N/A,#N/A,FALSE,"4WD"}</definedName>
    <definedName name="ㄴㅇㄹ_1_3" localSheetId="26" hidden="1">{#N/A,#N/A,FALSE,"단축1";#N/A,#N/A,FALSE,"단축2";#N/A,#N/A,FALSE,"단축3";#N/A,#N/A,FALSE,"장축";#N/A,#N/A,FALSE,"4WD"}</definedName>
    <definedName name="ㄴㅇㄹ_1_3" localSheetId="0" hidden="1">{#N/A,#N/A,FALSE,"단축1";#N/A,#N/A,FALSE,"단축2";#N/A,#N/A,FALSE,"단축3";#N/A,#N/A,FALSE,"장축";#N/A,#N/A,FALSE,"4WD"}</definedName>
    <definedName name="ㄴㅇㄹ_1_3" hidden="1">{#N/A,#N/A,FALSE,"단축1";#N/A,#N/A,FALSE,"단축2";#N/A,#N/A,FALSE,"단축3";#N/A,#N/A,FALSE,"장축";#N/A,#N/A,FALSE,"4WD"}</definedName>
    <definedName name="ㄴㅇㄹ_2" localSheetId="26" hidden="1">{#N/A,#N/A,FALSE,"단축1";#N/A,#N/A,FALSE,"단축2";#N/A,#N/A,FALSE,"단축3";#N/A,#N/A,FALSE,"장축";#N/A,#N/A,FALSE,"4WD"}</definedName>
    <definedName name="ㄴㅇㄹ_2" localSheetId="0" hidden="1">{#N/A,#N/A,FALSE,"단축1";#N/A,#N/A,FALSE,"단축2";#N/A,#N/A,FALSE,"단축3";#N/A,#N/A,FALSE,"장축";#N/A,#N/A,FALSE,"4WD"}</definedName>
    <definedName name="ㄴㅇㄹ_2" hidden="1">{#N/A,#N/A,FALSE,"단축1";#N/A,#N/A,FALSE,"단축2";#N/A,#N/A,FALSE,"단축3";#N/A,#N/A,FALSE,"장축";#N/A,#N/A,FALSE,"4WD"}</definedName>
    <definedName name="ㄴㅇㄹ_2_1" localSheetId="26" hidden="1">{#N/A,#N/A,FALSE,"단축1";#N/A,#N/A,FALSE,"단축2";#N/A,#N/A,FALSE,"단축3";#N/A,#N/A,FALSE,"장축";#N/A,#N/A,FALSE,"4WD"}</definedName>
    <definedName name="ㄴㅇㄹ_2_1" localSheetId="0" hidden="1">{#N/A,#N/A,FALSE,"단축1";#N/A,#N/A,FALSE,"단축2";#N/A,#N/A,FALSE,"단축3";#N/A,#N/A,FALSE,"장축";#N/A,#N/A,FALSE,"4WD"}</definedName>
    <definedName name="ㄴㅇㄹ_2_1" hidden="1">{#N/A,#N/A,FALSE,"단축1";#N/A,#N/A,FALSE,"단축2";#N/A,#N/A,FALSE,"단축3";#N/A,#N/A,FALSE,"장축";#N/A,#N/A,FALSE,"4WD"}</definedName>
    <definedName name="ㄴㅇㄹ_2_2" localSheetId="26" hidden="1">{#N/A,#N/A,FALSE,"단축1";#N/A,#N/A,FALSE,"단축2";#N/A,#N/A,FALSE,"단축3";#N/A,#N/A,FALSE,"장축";#N/A,#N/A,FALSE,"4WD"}</definedName>
    <definedName name="ㄴㅇㄹ_2_2" localSheetId="0" hidden="1">{#N/A,#N/A,FALSE,"단축1";#N/A,#N/A,FALSE,"단축2";#N/A,#N/A,FALSE,"단축3";#N/A,#N/A,FALSE,"장축";#N/A,#N/A,FALSE,"4WD"}</definedName>
    <definedName name="ㄴㅇㄹ_2_2" hidden="1">{#N/A,#N/A,FALSE,"단축1";#N/A,#N/A,FALSE,"단축2";#N/A,#N/A,FALSE,"단축3";#N/A,#N/A,FALSE,"장축";#N/A,#N/A,FALSE,"4WD"}</definedName>
    <definedName name="ㄴㅇㄹ_3" localSheetId="26" hidden="1">{#N/A,#N/A,FALSE,"단축1";#N/A,#N/A,FALSE,"단축2";#N/A,#N/A,FALSE,"단축3";#N/A,#N/A,FALSE,"장축";#N/A,#N/A,FALSE,"4WD"}</definedName>
    <definedName name="ㄴㅇㄹ_3" localSheetId="0" hidden="1">{#N/A,#N/A,FALSE,"단축1";#N/A,#N/A,FALSE,"단축2";#N/A,#N/A,FALSE,"단축3";#N/A,#N/A,FALSE,"장축";#N/A,#N/A,FALSE,"4WD"}</definedName>
    <definedName name="ㄴㅇㄹ_3" hidden="1">{#N/A,#N/A,FALSE,"단축1";#N/A,#N/A,FALSE,"단축2";#N/A,#N/A,FALSE,"단축3";#N/A,#N/A,FALSE,"장축";#N/A,#N/A,FALSE,"4WD"}</definedName>
    <definedName name="ㄴㅇㄹ_4" localSheetId="26" hidden="1">{#N/A,#N/A,FALSE,"단축1";#N/A,#N/A,FALSE,"단축2";#N/A,#N/A,FALSE,"단축3";#N/A,#N/A,FALSE,"장축";#N/A,#N/A,FALSE,"4WD"}</definedName>
    <definedName name="ㄴㅇㄹ_4" localSheetId="0" hidden="1">{#N/A,#N/A,FALSE,"단축1";#N/A,#N/A,FALSE,"단축2";#N/A,#N/A,FALSE,"단축3";#N/A,#N/A,FALSE,"장축";#N/A,#N/A,FALSE,"4WD"}</definedName>
    <definedName name="ㄴㅇㄹ_4" hidden="1">{#N/A,#N/A,FALSE,"단축1";#N/A,#N/A,FALSE,"단축2";#N/A,#N/A,FALSE,"단축3";#N/A,#N/A,FALSE,"장축";#N/A,#N/A,FALSE,"4WD"}</definedName>
    <definedName name="ㄴㅇㄹ_5" localSheetId="26" hidden="1">{#N/A,#N/A,FALSE,"단축1";#N/A,#N/A,FALSE,"단축2";#N/A,#N/A,FALSE,"단축3";#N/A,#N/A,FALSE,"장축";#N/A,#N/A,FALSE,"4WD"}</definedName>
    <definedName name="ㄴㅇㄹ_5" localSheetId="0" hidden="1">{#N/A,#N/A,FALSE,"단축1";#N/A,#N/A,FALSE,"단축2";#N/A,#N/A,FALSE,"단축3";#N/A,#N/A,FALSE,"장축";#N/A,#N/A,FALSE,"4WD"}</definedName>
    <definedName name="ㄴㅇㄹ_5" hidden="1">{#N/A,#N/A,FALSE,"단축1";#N/A,#N/A,FALSE,"단축2";#N/A,#N/A,FALSE,"단축3";#N/A,#N/A,FALSE,"장축";#N/A,#N/A,FALSE,"4WD"}</definedName>
    <definedName name="ㄴㅇㄹㅇㄴㄹ" localSheetId="26" hidden="1">{#N/A,#N/A,FALSE,"단축1";#N/A,#N/A,FALSE,"단축2";#N/A,#N/A,FALSE,"단축3";#N/A,#N/A,FALSE,"장축";#N/A,#N/A,FALSE,"4WD"}</definedName>
    <definedName name="ㄴㅇㄹㅇㄴㄹ" localSheetId="0" hidden="1">{#N/A,#N/A,FALSE,"단축1";#N/A,#N/A,FALSE,"단축2";#N/A,#N/A,FALSE,"단축3";#N/A,#N/A,FALSE,"장축";#N/A,#N/A,FALSE,"4WD"}</definedName>
    <definedName name="ㄴㅇㄹㅇㄴㄹ" hidden="1">{#N/A,#N/A,FALSE,"단축1";#N/A,#N/A,FALSE,"단축2";#N/A,#N/A,FALSE,"단축3";#N/A,#N/A,FALSE,"장축";#N/A,#N/A,FALSE,"4WD"}</definedName>
    <definedName name="ㄴㅇㄹㅇㄴㄹ_1" localSheetId="26" hidden="1">{#N/A,#N/A,FALSE,"단축1";#N/A,#N/A,FALSE,"단축2";#N/A,#N/A,FALSE,"단축3";#N/A,#N/A,FALSE,"장축";#N/A,#N/A,FALSE,"4WD"}</definedName>
    <definedName name="ㄴㅇㄹㅇㄴㄹ_1" localSheetId="0" hidden="1">{#N/A,#N/A,FALSE,"단축1";#N/A,#N/A,FALSE,"단축2";#N/A,#N/A,FALSE,"단축3";#N/A,#N/A,FALSE,"장축";#N/A,#N/A,FALSE,"4WD"}</definedName>
    <definedName name="ㄴㅇㄹㅇㄴㄹ_1" hidden="1">{#N/A,#N/A,FALSE,"단축1";#N/A,#N/A,FALSE,"단축2";#N/A,#N/A,FALSE,"단축3";#N/A,#N/A,FALSE,"장축";#N/A,#N/A,FALSE,"4WD"}</definedName>
    <definedName name="ㄴㅇㄹㅇㄴㄹ_1_1" localSheetId="26" hidden="1">{#N/A,#N/A,FALSE,"단축1";#N/A,#N/A,FALSE,"단축2";#N/A,#N/A,FALSE,"단축3";#N/A,#N/A,FALSE,"장축";#N/A,#N/A,FALSE,"4WD"}</definedName>
    <definedName name="ㄴㅇㄹㅇㄴㄹ_1_1" localSheetId="0" hidden="1">{#N/A,#N/A,FALSE,"단축1";#N/A,#N/A,FALSE,"단축2";#N/A,#N/A,FALSE,"단축3";#N/A,#N/A,FALSE,"장축";#N/A,#N/A,FALSE,"4WD"}</definedName>
    <definedName name="ㄴㅇㄹㅇㄴㄹ_1_1" hidden="1">{#N/A,#N/A,FALSE,"단축1";#N/A,#N/A,FALSE,"단축2";#N/A,#N/A,FALSE,"단축3";#N/A,#N/A,FALSE,"장축";#N/A,#N/A,FALSE,"4WD"}</definedName>
    <definedName name="ㄴㅇㄹㅇㄴㄹ_1_2" localSheetId="26" hidden="1">{#N/A,#N/A,FALSE,"단축1";#N/A,#N/A,FALSE,"단축2";#N/A,#N/A,FALSE,"단축3";#N/A,#N/A,FALSE,"장축";#N/A,#N/A,FALSE,"4WD"}</definedName>
    <definedName name="ㄴㅇㄹㅇㄴㄹ_1_2" localSheetId="0" hidden="1">{#N/A,#N/A,FALSE,"단축1";#N/A,#N/A,FALSE,"단축2";#N/A,#N/A,FALSE,"단축3";#N/A,#N/A,FALSE,"장축";#N/A,#N/A,FALSE,"4WD"}</definedName>
    <definedName name="ㄴㅇㄹㅇㄴㄹ_1_2" hidden="1">{#N/A,#N/A,FALSE,"단축1";#N/A,#N/A,FALSE,"단축2";#N/A,#N/A,FALSE,"단축3";#N/A,#N/A,FALSE,"장축";#N/A,#N/A,FALSE,"4WD"}</definedName>
    <definedName name="ㄴㅇㄹㅇㄴㄹ_1_3" localSheetId="26" hidden="1">{#N/A,#N/A,FALSE,"단축1";#N/A,#N/A,FALSE,"단축2";#N/A,#N/A,FALSE,"단축3";#N/A,#N/A,FALSE,"장축";#N/A,#N/A,FALSE,"4WD"}</definedName>
    <definedName name="ㄴㅇㄹㅇㄴㄹ_1_3" localSheetId="0" hidden="1">{#N/A,#N/A,FALSE,"단축1";#N/A,#N/A,FALSE,"단축2";#N/A,#N/A,FALSE,"단축3";#N/A,#N/A,FALSE,"장축";#N/A,#N/A,FALSE,"4WD"}</definedName>
    <definedName name="ㄴㅇㄹㅇㄴㄹ_1_3" hidden="1">{#N/A,#N/A,FALSE,"단축1";#N/A,#N/A,FALSE,"단축2";#N/A,#N/A,FALSE,"단축3";#N/A,#N/A,FALSE,"장축";#N/A,#N/A,FALSE,"4WD"}</definedName>
    <definedName name="ㄴㅇㄹㅇㄴㄹ_2" localSheetId="26" hidden="1">{#N/A,#N/A,FALSE,"단축1";#N/A,#N/A,FALSE,"단축2";#N/A,#N/A,FALSE,"단축3";#N/A,#N/A,FALSE,"장축";#N/A,#N/A,FALSE,"4WD"}</definedName>
    <definedName name="ㄴㅇㄹㅇㄴㄹ_2" localSheetId="0" hidden="1">{#N/A,#N/A,FALSE,"단축1";#N/A,#N/A,FALSE,"단축2";#N/A,#N/A,FALSE,"단축3";#N/A,#N/A,FALSE,"장축";#N/A,#N/A,FALSE,"4WD"}</definedName>
    <definedName name="ㄴㅇㄹㅇㄴㄹ_2" hidden="1">{#N/A,#N/A,FALSE,"단축1";#N/A,#N/A,FALSE,"단축2";#N/A,#N/A,FALSE,"단축3";#N/A,#N/A,FALSE,"장축";#N/A,#N/A,FALSE,"4WD"}</definedName>
    <definedName name="ㄴㅇㄹㅇㄴㄹ_2_1" localSheetId="26" hidden="1">{#N/A,#N/A,FALSE,"단축1";#N/A,#N/A,FALSE,"단축2";#N/A,#N/A,FALSE,"단축3";#N/A,#N/A,FALSE,"장축";#N/A,#N/A,FALSE,"4WD"}</definedName>
    <definedName name="ㄴㅇㄹㅇㄴㄹ_2_1" localSheetId="0" hidden="1">{#N/A,#N/A,FALSE,"단축1";#N/A,#N/A,FALSE,"단축2";#N/A,#N/A,FALSE,"단축3";#N/A,#N/A,FALSE,"장축";#N/A,#N/A,FALSE,"4WD"}</definedName>
    <definedName name="ㄴㅇㄹㅇㄴㄹ_2_1" hidden="1">{#N/A,#N/A,FALSE,"단축1";#N/A,#N/A,FALSE,"단축2";#N/A,#N/A,FALSE,"단축3";#N/A,#N/A,FALSE,"장축";#N/A,#N/A,FALSE,"4WD"}</definedName>
    <definedName name="ㄴㅇㄹㅇㄴㄹ_2_2" localSheetId="26" hidden="1">{#N/A,#N/A,FALSE,"단축1";#N/A,#N/A,FALSE,"단축2";#N/A,#N/A,FALSE,"단축3";#N/A,#N/A,FALSE,"장축";#N/A,#N/A,FALSE,"4WD"}</definedName>
    <definedName name="ㄴㅇㄹㅇㄴㄹ_2_2" localSheetId="0" hidden="1">{#N/A,#N/A,FALSE,"단축1";#N/A,#N/A,FALSE,"단축2";#N/A,#N/A,FALSE,"단축3";#N/A,#N/A,FALSE,"장축";#N/A,#N/A,FALSE,"4WD"}</definedName>
    <definedName name="ㄴㅇㄹㅇㄴㄹ_2_2" hidden="1">{#N/A,#N/A,FALSE,"단축1";#N/A,#N/A,FALSE,"단축2";#N/A,#N/A,FALSE,"단축3";#N/A,#N/A,FALSE,"장축";#N/A,#N/A,FALSE,"4WD"}</definedName>
    <definedName name="ㄴㅇㄹㅇㄴㄹ_3" localSheetId="26" hidden="1">{#N/A,#N/A,FALSE,"단축1";#N/A,#N/A,FALSE,"단축2";#N/A,#N/A,FALSE,"단축3";#N/A,#N/A,FALSE,"장축";#N/A,#N/A,FALSE,"4WD"}</definedName>
    <definedName name="ㄴㅇㄹㅇㄴㄹ_3" localSheetId="0" hidden="1">{#N/A,#N/A,FALSE,"단축1";#N/A,#N/A,FALSE,"단축2";#N/A,#N/A,FALSE,"단축3";#N/A,#N/A,FALSE,"장축";#N/A,#N/A,FALSE,"4WD"}</definedName>
    <definedName name="ㄴㅇㄹㅇㄴㄹ_3" hidden="1">{#N/A,#N/A,FALSE,"단축1";#N/A,#N/A,FALSE,"단축2";#N/A,#N/A,FALSE,"단축3";#N/A,#N/A,FALSE,"장축";#N/A,#N/A,FALSE,"4WD"}</definedName>
    <definedName name="ㄴㅇㄹㅇㄴㄹ_4" localSheetId="26" hidden="1">{#N/A,#N/A,FALSE,"단축1";#N/A,#N/A,FALSE,"단축2";#N/A,#N/A,FALSE,"단축3";#N/A,#N/A,FALSE,"장축";#N/A,#N/A,FALSE,"4WD"}</definedName>
    <definedName name="ㄴㅇㄹㅇㄴㄹ_4" localSheetId="0" hidden="1">{#N/A,#N/A,FALSE,"단축1";#N/A,#N/A,FALSE,"단축2";#N/A,#N/A,FALSE,"단축3";#N/A,#N/A,FALSE,"장축";#N/A,#N/A,FALSE,"4WD"}</definedName>
    <definedName name="ㄴㅇㄹㅇㄴㄹ_4" hidden="1">{#N/A,#N/A,FALSE,"단축1";#N/A,#N/A,FALSE,"단축2";#N/A,#N/A,FALSE,"단축3";#N/A,#N/A,FALSE,"장축";#N/A,#N/A,FALSE,"4WD"}</definedName>
    <definedName name="ㄴㅇㄹㅇㄴㄹ_5" localSheetId="26" hidden="1">{#N/A,#N/A,FALSE,"단축1";#N/A,#N/A,FALSE,"단축2";#N/A,#N/A,FALSE,"단축3";#N/A,#N/A,FALSE,"장축";#N/A,#N/A,FALSE,"4WD"}</definedName>
    <definedName name="ㄴㅇㄹㅇㄴㄹ_5" localSheetId="0" hidden="1">{#N/A,#N/A,FALSE,"단축1";#N/A,#N/A,FALSE,"단축2";#N/A,#N/A,FALSE,"단축3";#N/A,#N/A,FALSE,"장축";#N/A,#N/A,FALSE,"4WD"}</definedName>
    <definedName name="ㄴㅇㄹㅇㄴㄹ_5" hidden="1">{#N/A,#N/A,FALSE,"단축1";#N/A,#N/A,FALSE,"단축2";#N/A,#N/A,FALSE,"단축3";#N/A,#N/A,FALSE,"장축";#N/A,#N/A,FALSE,"4WD"}</definedName>
    <definedName name="ㄴㅇㅊㄹㄴㅇㄹ" localSheetId="26" hidden="1">{#N/A,#N/A,FALSE,"단축1";#N/A,#N/A,FALSE,"단축2";#N/A,#N/A,FALSE,"단축3";#N/A,#N/A,FALSE,"장축";#N/A,#N/A,FALSE,"4WD"}</definedName>
    <definedName name="ㄴㅇㅊㄹㄴㅇㄹ" localSheetId="0" hidden="1">{#N/A,#N/A,FALSE,"단축1";#N/A,#N/A,FALSE,"단축2";#N/A,#N/A,FALSE,"단축3";#N/A,#N/A,FALSE,"장축";#N/A,#N/A,FALSE,"4WD"}</definedName>
    <definedName name="ㄴㅇㅊㄹㄴㅇㄹ" hidden="1">{#N/A,#N/A,FALSE,"단축1";#N/A,#N/A,FALSE,"단축2";#N/A,#N/A,FALSE,"단축3";#N/A,#N/A,FALSE,"장축";#N/A,#N/A,FALSE,"4WD"}</definedName>
    <definedName name="ㄴㅇㅊㄹㄴㅇㄹ_1" localSheetId="26" hidden="1">{#N/A,#N/A,FALSE,"단축1";#N/A,#N/A,FALSE,"단축2";#N/A,#N/A,FALSE,"단축3";#N/A,#N/A,FALSE,"장축";#N/A,#N/A,FALSE,"4WD"}</definedName>
    <definedName name="ㄴㅇㅊㄹㄴㅇㄹ_1" localSheetId="0" hidden="1">{#N/A,#N/A,FALSE,"단축1";#N/A,#N/A,FALSE,"단축2";#N/A,#N/A,FALSE,"단축3";#N/A,#N/A,FALSE,"장축";#N/A,#N/A,FALSE,"4WD"}</definedName>
    <definedName name="ㄴㅇㅊㄹㄴㅇㄹ_1" hidden="1">{#N/A,#N/A,FALSE,"단축1";#N/A,#N/A,FALSE,"단축2";#N/A,#N/A,FALSE,"단축3";#N/A,#N/A,FALSE,"장축";#N/A,#N/A,FALSE,"4WD"}</definedName>
    <definedName name="ㄴㅇㅊㄹㄴㅇㄹ_1_1" localSheetId="26" hidden="1">{#N/A,#N/A,FALSE,"단축1";#N/A,#N/A,FALSE,"단축2";#N/A,#N/A,FALSE,"단축3";#N/A,#N/A,FALSE,"장축";#N/A,#N/A,FALSE,"4WD"}</definedName>
    <definedName name="ㄴㅇㅊㄹㄴㅇㄹ_1_1" localSheetId="0" hidden="1">{#N/A,#N/A,FALSE,"단축1";#N/A,#N/A,FALSE,"단축2";#N/A,#N/A,FALSE,"단축3";#N/A,#N/A,FALSE,"장축";#N/A,#N/A,FALSE,"4WD"}</definedName>
    <definedName name="ㄴㅇㅊㄹㄴㅇㄹ_1_1" hidden="1">{#N/A,#N/A,FALSE,"단축1";#N/A,#N/A,FALSE,"단축2";#N/A,#N/A,FALSE,"단축3";#N/A,#N/A,FALSE,"장축";#N/A,#N/A,FALSE,"4WD"}</definedName>
    <definedName name="ㄴㅇㅊㄹㄴㅇㄹ_1_2" localSheetId="26" hidden="1">{#N/A,#N/A,FALSE,"단축1";#N/A,#N/A,FALSE,"단축2";#N/A,#N/A,FALSE,"단축3";#N/A,#N/A,FALSE,"장축";#N/A,#N/A,FALSE,"4WD"}</definedName>
    <definedName name="ㄴㅇㅊㄹㄴㅇㄹ_1_2" localSheetId="0" hidden="1">{#N/A,#N/A,FALSE,"단축1";#N/A,#N/A,FALSE,"단축2";#N/A,#N/A,FALSE,"단축3";#N/A,#N/A,FALSE,"장축";#N/A,#N/A,FALSE,"4WD"}</definedName>
    <definedName name="ㄴㅇㅊㄹㄴㅇㄹ_1_2" hidden="1">{#N/A,#N/A,FALSE,"단축1";#N/A,#N/A,FALSE,"단축2";#N/A,#N/A,FALSE,"단축3";#N/A,#N/A,FALSE,"장축";#N/A,#N/A,FALSE,"4WD"}</definedName>
    <definedName name="ㄴㅇㅊㄹㄴㅇㄹ_1_3" localSheetId="26" hidden="1">{#N/A,#N/A,FALSE,"단축1";#N/A,#N/A,FALSE,"단축2";#N/A,#N/A,FALSE,"단축3";#N/A,#N/A,FALSE,"장축";#N/A,#N/A,FALSE,"4WD"}</definedName>
    <definedName name="ㄴㅇㅊㄹㄴㅇㄹ_1_3" localSheetId="0" hidden="1">{#N/A,#N/A,FALSE,"단축1";#N/A,#N/A,FALSE,"단축2";#N/A,#N/A,FALSE,"단축3";#N/A,#N/A,FALSE,"장축";#N/A,#N/A,FALSE,"4WD"}</definedName>
    <definedName name="ㄴㅇㅊㄹㄴㅇㄹ_1_3" hidden="1">{#N/A,#N/A,FALSE,"단축1";#N/A,#N/A,FALSE,"단축2";#N/A,#N/A,FALSE,"단축3";#N/A,#N/A,FALSE,"장축";#N/A,#N/A,FALSE,"4WD"}</definedName>
    <definedName name="ㄴㅇㅊㄹㄴㅇㄹ_2" localSheetId="26" hidden="1">{#N/A,#N/A,FALSE,"단축1";#N/A,#N/A,FALSE,"단축2";#N/A,#N/A,FALSE,"단축3";#N/A,#N/A,FALSE,"장축";#N/A,#N/A,FALSE,"4WD"}</definedName>
    <definedName name="ㄴㅇㅊㄹㄴㅇㄹ_2" localSheetId="0" hidden="1">{#N/A,#N/A,FALSE,"단축1";#N/A,#N/A,FALSE,"단축2";#N/A,#N/A,FALSE,"단축3";#N/A,#N/A,FALSE,"장축";#N/A,#N/A,FALSE,"4WD"}</definedName>
    <definedName name="ㄴㅇㅊㄹㄴㅇㄹ_2" hidden="1">{#N/A,#N/A,FALSE,"단축1";#N/A,#N/A,FALSE,"단축2";#N/A,#N/A,FALSE,"단축3";#N/A,#N/A,FALSE,"장축";#N/A,#N/A,FALSE,"4WD"}</definedName>
    <definedName name="ㄴㅇㅊㄹㄴㅇㄹ_2_1" localSheetId="26" hidden="1">{#N/A,#N/A,FALSE,"단축1";#N/A,#N/A,FALSE,"단축2";#N/A,#N/A,FALSE,"단축3";#N/A,#N/A,FALSE,"장축";#N/A,#N/A,FALSE,"4WD"}</definedName>
    <definedName name="ㄴㅇㅊㄹㄴㅇㄹ_2_1" localSheetId="0" hidden="1">{#N/A,#N/A,FALSE,"단축1";#N/A,#N/A,FALSE,"단축2";#N/A,#N/A,FALSE,"단축3";#N/A,#N/A,FALSE,"장축";#N/A,#N/A,FALSE,"4WD"}</definedName>
    <definedName name="ㄴㅇㅊㄹㄴㅇㄹ_2_1" hidden="1">{#N/A,#N/A,FALSE,"단축1";#N/A,#N/A,FALSE,"단축2";#N/A,#N/A,FALSE,"단축3";#N/A,#N/A,FALSE,"장축";#N/A,#N/A,FALSE,"4WD"}</definedName>
    <definedName name="ㄴㅇㅊㄹㄴㅇㄹ_2_2" localSheetId="26" hidden="1">{#N/A,#N/A,FALSE,"단축1";#N/A,#N/A,FALSE,"단축2";#N/A,#N/A,FALSE,"단축3";#N/A,#N/A,FALSE,"장축";#N/A,#N/A,FALSE,"4WD"}</definedName>
    <definedName name="ㄴㅇㅊㄹㄴㅇㄹ_2_2" localSheetId="0" hidden="1">{#N/A,#N/A,FALSE,"단축1";#N/A,#N/A,FALSE,"단축2";#N/A,#N/A,FALSE,"단축3";#N/A,#N/A,FALSE,"장축";#N/A,#N/A,FALSE,"4WD"}</definedName>
    <definedName name="ㄴㅇㅊㄹㄴㅇㄹ_2_2" hidden="1">{#N/A,#N/A,FALSE,"단축1";#N/A,#N/A,FALSE,"단축2";#N/A,#N/A,FALSE,"단축3";#N/A,#N/A,FALSE,"장축";#N/A,#N/A,FALSE,"4WD"}</definedName>
    <definedName name="ㄴㅇㅊㄹㄴㅇㄹ_3" localSheetId="26" hidden="1">{#N/A,#N/A,FALSE,"단축1";#N/A,#N/A,FALSE,"단축2";#N/A,#N/A,FALSE,"단축3";#N/A,#N/A,FALSE,"장축";#N/A,#N/A,FALSE,"4WD"}</definedName>
    <definedName name="ㄴㅇㅊㄹㄴㅇㄹ_3" localSheetId="0" hidden="1">{#N/A,#N/A,FALSE,"단축1";#N/A,#N/A,FALSE,"단축2";#N/A,#N/A,FALSE,"단축3";#N/A,#N/A,FALSE,"장축";#N/A,#N/A,FALSE,"4WD"}</definedName>
    <definedName name="ㄴㅇㅊㄹㄴㅇㄹ_3" hidden="1">{#N/A,#N/A,FALSE,"단축1";#N/A,#N/A,FALSE,"단축2";#N/A,#N/A,FALSE,"단축3";#N/A,#N/A,FALSE,"장축";#N/A,#N/A,FALSE,"4WD"}</definedName>
    <definedName name="ㄴㅇㅊㄹㄴㅇㄹ_4" localSheetId="26" hidden="1">{#N/A,#N/A,FALSE,"단축1";#N/A,#N/A,FALSE,"단축2";#N/A,#N/A,FALSE,"단축3";#N/A,#N/A,FALSE,"장축";#N/A,#N/A,FALSE,"4WD"}</definedName>
    <definedName name="ㄴㅇㅊㄹㄴㅇㄹ_4" localSheetId="0" hidden="1">{#N/A,#N/A,FALSE,"단축1";#N/A,#N/A,FALSE,"단축2";#N/A,#N/A,FALSE,"단축3";#N/A,#N/A,FALSE,"장축";#N/A,#N/A,FALSE,"4WD"}</definedName>
    <definedName name="ㄴㅇㅊㄹㄴㅇㄹ_4" hidden="1">{#N/A,#N/A,FALSE,"단축1";#N/A,#N/A,FALSE,"단축2";#N/A,#N/A,FALSE,"단축3";#N/A,#N/A,FALSE,"장축";#N/A,#N/A,FALSE,"4WD"}</definedName>
    <definedName name="ㄴㅇㅊㄹㄴㅇㄹ_5" localSheetId="26" hidden="1">{#N/A,#N/A,FALSE,"단축1";#N/A,#N/A,FALSE,"단축2";#N/A,#N/A,FALSE,"단축3";#N/A,#N/A,FALSE,"장축";#N/A,#N/A,FALSE,"4WD"}</definedName>
    <definedName name="ㄴㅇㅊㄹㄴㅇㄹ_5" localSheetId="0" hidden="1">{#N/A,#N/A,FALSE,"단축1";#N/A,#N/A,FALSE,"단축2";#N/A,#N/A,FALSE,"단축3";#N/A,#N/A,FALSE,"장축";#N/A,#N/A,FALSE,"4WD"}</definedName>
    <definedName name="ㄴㅇㅊㄹㄴㅇㄹ_5" hidden="1">{#N/A,#N/A,FALSE,"단축1";#N/A,#N/A,FALSE,"단축2";#N/A,#N/A,FALSE,"단축3";#N/A,#N/A,FALSE,"장축";#N/A,#N/A,FALSE,"4WD"}</definedName>
    <definedName name="ㄴㅋ" localSheetId="26" hidden="1">{#N/A,#N/A,FALSE,"단축1";#N/A,#N/A,FALSE,"단축2";#N/A,#N/A,FALSE,"단축3";#N/A,#N/A,FALSE,"장축";#N/A,#N/A,FALSE,"4WD"}</definedName>
    <definedName name="ㄴㅋ" localSheetId="0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ㄴㅋ_1" localSheetId="26" hidden="1">{#N/A,#N/A,FALSE,"단축1";#N/A,#N/A,FALSE,"단축2";#N/A,#N/A,FALSE,"단축3";#N/A,#N/A,FALSE,"장축";#N/A,#N/A,FALSE,"4WD"}</definedName>
    <definedName name="ㄴㅋ_1" localSheetId="0" hidden="1">{#N/A,#N/A,FALSE,"단축1";#N/A,#N/A,FALSE,"단축2";#N/A,#N/A,FALSE,"단축3";#N/A,#N/A,FALSE,"장축";#N/A,#N/A,FALSE,"4WD"}</definedName>
    <definedName name="ㄴㅋ_1" hidden="1">{#N/A,#N/A,FALSE,"단축1";#N/A,#N/A,FALSE,"단축2";#N/A,#N/A,FALSE,"단축3";#N/A,#N/A,FALSE,"장축";#N/A,#N/A,FALSE,"4WD"}</definedName>
    <definedName name="ㄴㅋ_1_1" localSheetId="26" hidden="1">{#N/A,#N/A,FALSE,"단축1";#N/A,#N/A,FALSE,"단축2";#N/A,#N/A,FALSE,"단축3";#N/A,#N/A,FALSE,"장축";#N/A,#N/A,FALSE,"4WD"}</definedName>
    <definedName name="ㄴㅋ_1_1" localSheetId="0" hidden="1">{#N/A,#N/A,FALSE,"단축1";#N/A,#N/A,FALSE,"단축2";#N/A,#N/A,FALSE,"단축3";#N/A,#N/A,FALSE,"장축";#N/A,#N/A,FALSE,"4WD"}</definedName>
    <definedName name="ㄴㅋ_1_1" hidden="1">{#N/A,#N/A,FALSE,"단축1";#N/A,#N/A,FALSE,"단축2";#N/A,#N/A,FALSE,"단축3";#N/A,#N/A,FALSE,"장축";#N/A,#N/A,FALSE,"4WD"}</definedName>
    <definedName name="ㄴㅋ_1_2" localSheetId="26" hidden="1">{#N/A,#N/A,FALSE,"단축1";#N/A,#N/A,FALSE,"단축2";#N/A,#N/A,FALSE,"단축3";#N/A,#N/A,FALSE,"장축";#N/A,#N/A,FALSE,"4WD"}</definedName>
    <definedName name="ㄴㅋ_1_2" localSheetId="0" hidden="1">{#N/A,#N/A,FALSE,"단축1";#N/A,#N/A,FALSE,"단축2";#N/A,#N/A,FALSE,"단축3";#N/A,#N/A,FALSE,"장축";#N/A,#N/A,FALSE,"4WD"}</definedName>
    <definedName name="ㄴㅋ_1_2" hidden="1">{#N/A,#N/A,FALSE,"단축1";#N/A,#N/A,FALSE,"단축2";#N/A,#N/A,FALSE,"단축3";#N/A,#N/A,FALSE,"장축";#N/A,#N/A,FALSE,"4WD"}</definedName>
    <definedName name="ㄴㅋ_1_3" localSheetId="26" hidden="1">{#N/A,#N/A,FALSE,"단축1";#N/A,#N/A,FALSE,"단축2";#N/A,#N/A,FALSE,"단축3";#N/A,#N/A,FALSE,"장축";#N/A,#N/A,FALSE,"4WD"}</definedName>
    <definedName name="ㄴㅋ_1_3" localSheetId="0" hidden="1">{#N/A,#N/A,FALSE,"단축1";#N/A,#N/A,FALSE,"단축2";#N/A,#N/A,FALSE,"단축3";#N/A,#N/A,FALSE,"장축";#N/A,#N/A,FALSE,"4WD"}</definedName>
    <definedName name="ㄴㅋ_1_3" hidden="1">{#N/A,#N/A,FALSE,"단축1";#N/A,#N/A,FALSE,"단축2";#N/A,#N/A,FALSE,"단축3";#N/A,#N/A,FALSE,"장축";#N/A,#N/A,FALSE,"4WD"}</definedName>
    <definedName name="ㄴㅋ_2" localSheetId="26" hidden="1">{#N/A,#N/A,FALSE,"단축1";#N/A,#N/A,FALSE,"단축2";#N/A,#N/A,FALSE,"단축3";#N/A,#N/A,FALSE,"장축";#N/A,#N/A,FALSE,"4WD"}</definedName>
    <definedName name="ㄴㅋ_2" localSheetId="0" hidden="1">{#N/A,#N/A,FALSE,"단축1";#N/A,#N/A,FALSE,"단축2";#N/A,#N/A,FALSE,"단축3";#N/A,#N/A,FALSE,"장축";#N/A,#N/A,FALSE,"4WD"}</definedName>
    <definedName name="ㄴㅋ_2" hidden="1">{#N/A,#N/A,FALSE,"단축1";#N/A,#N/A,FALSE,"단축2";#N/A,#N/A,FALSE,"단축3";#N/A,#N/A,FALSE,"장축";#N/A,#N/A,FALSE,"4WD"}</definedName>
    <definedName name="ㄴㅋ_2_1" localSheetId="26" hidden="1">{#N/A,#N/A,FALSE,"단축1";#N/A,#N/A,FALSE,"단축2";#N/A,#N/A,FALSE,"단축3";#N/A,#N/A,FALSE,"장축";#N/A,#N/A,FALSE,"4WD"}</definedName>
    <definedName name="ㄴㅋ_2_1" localSheetId="0" hidden="1">{#N/A,#N/A,FALSE,"단축1";#N/A,#N/A,FALSE,"단축2";#N/A,#N/A,FALSE,"단축3";#N/A,#N/A,FALSE,"장축";#N/A,#N/A,FALSE,"4WD"}</definedName>
    <definedName name="ㄴㅋ_2_1" hidden="1">{#N/A,#N/A,FALSE,"단축1";#N/A,#N/A,FALSE,"단축2";#N/A,#N/A,FALSE,"단축3";#N/A,#N/A,FALSE,"장축";#N/A,#N/A,FALSE,"4WD"}</definedName>
    <definedName name="ㄴㅋ_2_2" localSheetId="26" hidden="1">{#N/A,#N/A,FALSE,"단축1";#N/A,#N/A,FALSE,"단축2";#N/A,#N/A,FALSE,"단축3";#N/A,#N/A,FALSE,"장축";#N/A,#N/A,FALSE,"4WD"}</definedName>
    <definedName name="ㄴㅋ_2_2" localSheetId="0" hidden="1">{#N/A,#N/A,FALSE,"단축1";#N/A,#N/A,FALSE,"단축2";#N/A,#N/A,FALSE,"단축3";#N/A,#N/A,FALSE,"장축";#N/A,#N/A,FALSE,"4WD"}</definedName>
    <definedName name="ㄴㅋ_2_2" hidden="1">{#N/A,#N/A,FALSE,"단축1";#N/A,#N/A,FALSE,"단축2";#N/A,#N/A,FALSE,"단축3";#N/A,#N/A,FALSE,"장축";#N/A,#N/A,FALSE,"4WD"}</definedName>
    <definedName name="ㄴㅋ_3" localSheetId="26" hidden="1">{#N/A,#N/A,FALSE,"단축1";#N/A,#N/A,FALSE,"단축2";#N/A,#N/A,FALSE,"단축3";#N/A,#N/A,FALSE,"장축";#N/A,#N/A,FALSE,"4WD"}</definedName>
    <definedName name="ㄴㅋ_3" localSheetId="0" hidden="1">{#N/A,#N/A,FALSE,"단축1";#N/A,#N/A,FALSE,"단축2";#N/A,#N/A,FALSE,"단축3";#N/A,#N/A,FALSE,"장축";#N/A,#N/A,FALSE,"4WD"}</definedName>
    <definedName name="ㄴㅋ_3" hidden="1">{#N/A,#N/A,FALSE,"단축1";#N/A,#N/A,FALSE,"단축2";#N/A,#N/A,FALSE,"단축3";#N/A,#N/A,FALSE,"장축";#N/A,#N/A,FALSE,"4WD"}</definedName>
    <definedName name="ㄴㅋ_4" localSheetId="26" hidden="1">{#N/A,#N/A,FALSE,"단축1";#N/A,#N/A,FALSE,"단축2";#N/A,#N/A,FALSE,"단축3";#N/A,#N/A,FALSE,"장축";#N/A,#N/A,FALSE,"4WD"}</definedName>
    <definedName name="ㄴㅋ_4" localSheetId="0" hidden="1">{#N/A,#N/A,FALSE,"단축1";#N/A,#N/A,FALSE,"단축2";#N/A,#N/A,FALSE,"단축3";#N/A,#N/A,FALSE,"장축";#N/A,#N/A,FALSE,"4WD"}</definedName>
    <definedName name="ㄴㅋ_4" hidden="1">{#N/A,#N/A,FALSE,"단축1";#N/A,#N/A,FALSE,"단축2";#N/A,#N/A,FALSE,"단축3";#N/A,#N/A,FALSE,"장축";#N/A,#N/A,FALSE,"4WD"}</definedName>
    <definedName name="ㄴㅋ_5" localSheetId="26" hidden="1">{#N/A,#N/A,FALSE,"단축1";#N/A,#N/A,FALSE,"단축2";#N/A,#N/A,FALSE,"단축3";#N/A,#N/A,FALSE,"장축";#N/A,#N/A,FALSE,"4WD"}</definedName>
    <definedName name="ㄴㅋ_5" localSheetId="0" hidden="1">{#N/A,#N/A,FALSE,"단축1";#N/A,#N/A,FALSE,"단축2";#N/A,#N/A,FALSE,"단축3";#N/A,#N/A,FALSE,"장축";#N/A,#N/A,FALSE,"4WD"}</definedName>
    <definedName name="ㄴㅋ_5" hidden="1">{#N/A,#N/A,FALSE,"단축1";#N/A,#N/A,FALSE,"단축2";#N/A,#N/A,FALSE,"단축3";#N/A,#N/A,FALSE,"장축";#N/A,#N/A,FALSE,"4WD"}</definedName>
    <definedName name="내ㅜㅁㅅㅁ" localSheetId="26" hidden="1">{#N/A,#N/A,FALSE,"해외크레임";#N/A,#N/A,FALSE,"ACCENT현황";#N/A,#N/A,FALSE,"AVANTE";#N/A,#N/A,FALSE,"SONATA(3)";#N/A,#N/A,FALSE,"국내크레임"}</definedName>
    <definedName name="내ㅜㅁㅅㅁ" localSheetId="0" hidden="1">{#N/A,#N/A,FALSE,"해외크레임";#N/A,#N/A,FALSE,"ACCENT현황";#N/A,#N/A,FALSE,"AVANTE";#N/A,#N/A,FALSE,"SONATA(3)";#N/A,#N/A,FALSE,"국내크레임"}</definedName>
    <definedName name="내ㅜㅁㅅㅁ" hidden="1">{#N/A,#N/A,FALSE,"해외크레임";#N/A,#N/A,FALSE,"ACCENT현황";#N/A,#N/A,FALSE,"AVANTE";#N/A,#N/A,FALSE,"SONATA(3)";#N/A,#N/A,FALSE,"국내크레임"}</definedName>
    <definedName name="내ㅜㅁㅅㅁ_1" localSheetId="26" hidden="1">{#N/A,#N/A,FALSE,"해외크레임";#N/A,#N/A,FALSE,"ACCENT현황";#N/A,#N/A,FALSE,"AVANTE";#N/A,#N/A,FALSE,"SONATA(3)";#N/A,#N/A,FALSE,"국내크레임"}</definedName>
    <definedName name="내ㅜㅁㅅㅁ_1" localSheetId="0" hidden="1">{#N/A,#N/A,FALSE,"해외크레임";#N/A,#N/A,FALSE,"ACCENT현황";#N/A,#N/A,FALSE,"AVANTE";#N/A,#N/A,FALSE,"SONATA(3)";#N/A,#N/A,FALSE,"국내크레임"}</definedName>
    <definedName name="내ㅜㅁㅅㅁ_1" hidden="1">{#N/A,#N/A,FALSE,"해외크레임";#N/A,#N/A,FALSE,"ACCENT현황";#N/A,#N/A,FALSE,"AVANTE";#N/A,#N/A,FALSE,"SONATA(3)";#N/A,#N/A,FALSE,"국내크레임"}</definedName>
    <definedName name="내ㅜㅁㅅㅁ_1_1" localSheetId="26" hidden="1">{#N/A,#N/A,FALSE,"해외크레임";#N/A,#N/A,FALSE,"ACCENT현황";#N/A,#N/A,FALSE,"AVANTE";#N/A,#N/A,FALSE,"SONATA(3)";#N/A,#N/A,FALSE,"국내크레임"}</definedName>
    <definedName name="내ㅜㅁㅅㅁ_1_1" localSheetId="0" hidden="1">{#N/A,#N/A,FALSE,"해외크레임";#N/A,#N/A,FALSE,"ACCENT현황";#N/A,#N/A,FALSE,"AVANTE";#N/A,#N/A,FALSE,"SONATA(3)";#N/A,#N/A,FALSE,"국내크레임"}</definedName>
    <definedName name="내ㅜㅁㅅㅁ_1_1" hidden="1">{#N/A,#N/A,FALSE,"해외크레임";#N/A,#N/A,FALSE,"ACCENT현황";#N/A,#N/A,FALSE,"AVANTE";#N/A,#N/A,FALSE,"SONATA(3)";#N/A,#N/A,FALSE,"국내크레임"}</definedName>
    <definedName name="내ㅜㅁㅅㅁ_1_2" localSheetId="26" hidden="1">{#N/A,#N/A,FALSE,"해외크레임";#N/A,#N/A,FALSE,"ACCENT현황";#N/A,#N/A,FALSE,"AVANTE";#N/A,#N/A,FALSE,"SONATA(3)";#N/A,#N/A,FALSE,"국내크레임"}</definedName>
    <definedName name="내ㅜㅁㅅㅁ_1_2" localSheetId="0" hidden="1">{#N/A,#N/A,FALSE,"해외크레임";#N/A,#N/A,FALSE,"ACCENT현황";#N/A,#N/A,FALSE,"AVANTE";#N/A,#N/A,FALSE,"SONATA(3)";#N/A,#N/A,FALSE,"국내크레임"}</definedName>
    <definedName name="내ㅜㅁㅅㅁ_1_2" hidden="1">{#N/A,#N/A,FALSE,"해외크레임";#N/A,#N/A,FALSE,"ACCENT현황";#N/A,#N/A,FALSE,"AVANTE";#N/A,#N/A,FALSE,"SONATA(3)";#N/A,#N/A,FALSE,"국내크레임"}</definedName>
    <definedName name="내ㅜㅁㅅㅁ_1_3" localSheetId="26" hidden="1">{#N/A,#N/A,FALSE,"해외크레임";#N/A,#N/A,FALSE,"ACCENT현황";#N/A,#N/A,FALSE,"AVANTE";#N/A,#N/A,FALSE,"SONATA(3)";#N/A,#N/A,FALSE,"국내크레임"}</definedName>
    <definedName name="내ㅜㅁㅅㅁ_1_3" localSheetId="0" hidden="1">{#N/A,#N/A,FALSE,"해외크레임";#N/A,#N/A,FALSE,"ACCENT현황";#N/A,#N/A,FALSE,"AVANTE";#N/A,#N/A,FALSE,"SONATA(3)";#N/A,#N/A,FALSE,"국내크레임"}</definedName>
    <definedName name="내ㅜㅁㅅㅁ_1_3" hidden="1">{#N/A,#N/A,FALSE,"해외크레임";#N/A,#N/A,FALSE,"ACCENT현황";#N/A,#N/A,FALSE,"AVANTE";#N/A,#N/A,FALSE,"SONATA(3)";#N/A,#N/A,FALSE,"국내크레임"}</definedName>
    <definedName name="내ㅜㅁㅅㅁ_2" localSheetId="26" hidden="1">{#N/A,#N/A,FALSE,"해외크레임";#N/A,#N/A,FALSE,"ACCENT현황";#N/A,#N/A,FALSE,"AVANTE";#N/A,#N/A,FALSE,"SONATA(3)";#N/A,#N/A,FALSE,"국내크레임"}</definedName>
    <definedName name="내ㅜㅁㅅㅁ_2" localSheetId="0" hidden="1">{#N/A,#N/A,FALSE,"해외크레임";#N/A,#N/A,FALSE,"ACCENT현황";#N/A,#N/A,FALSE,"AVANTE";#N/A,#N/A,FALSE,"SONATA(3)";#N/A,#N/A,FALSE,"국내크레임"}</definedName>
    <definedName name="내ㅜㅁㅅㅁ_2" hidden="1">{#N/A,#N/A,FALSE,"해외크레임";#N/A,#N/A,FALSE,"ACCENT현황";#N/A,#N/A,FALSE,"AVANTE";#N/A,#N/A,FALSE,"SONATA(3)";#N/A,#N/A,FALSE,"국내크레임"}</definedName>
    <definedName name="내ㅜㅁㅅㅁ_2_1" localSheetId="26" hidden="1">{#N/A,#N/A,FALSE,"해외크레임";#N/A,#N/A,FALSE,"ACCENT현황";#N/A,#N/A,FALSE,"AVANTE";#N/A,#N/A,FALSE,"SONATA(3)";#N/A,#N/A,FALSE,"국내크레임"}</definedName>
    <definedName name="내ㅜㅁㅅㅁ_2_1" localSheetId="0" hidden="1">{#N/A,#N/A,FALSE,"해외크레임";#N/A,#N/A,FALSE,"ACCENT현황";#N/A,#N/A,FALSE,"AVANTE";#N/A,#N/A,FALSE,"SONATA(3)";#N/A,#N/A,FALSE,"국내크레임"}</definedName>
    <definedName name="내ㅜㅁㅅㅁ_2_1" hidden="1">{#N/A,#N/A,FALSE,"해외크레임";#N/A,#N/A,FALSE,"ACCENT현황";#N/A,#N/A,FALSE,"AVANTE";#N/A,#N/A,FALSE,"SONATA(3)";#N/A,#N/A,FALSE,"국내크레임"}</definedName>
    <definedName name="내ㅜㅁㅅㅁ_2_2" localSheetId="26" hidden="1">{#N/A,#N/A,FALSE,"해외크레임";#N/A,#N/A,FALSE,"ACCENT현황";#N/A,#N/A,FALSE,"AVANTE";#N/A,#N/A,FALSE,"SONATA(3)";#N/A,#N/A,FALSE,"국내크레임"}</definedName>
    <definedName name="내ㅜㅁㅅㅁ_2_2" localSheetId="0" hidden="1">{#N/A,#N/A,FALSE,"해외크레임";#N/A,#N/A,FALSE,"ACCENT현황";#N/A,#N/A,FALSE,"AVANTE";#N/A,#N/A,FALSE,"SONATA(3)";#N/A,#N/A,FALSE,"국내크레임"}</definedName>
    <definedName name="내ㅜㅁㅅㅁ_2_2" hidden="1">{#N/A,#N/A,FALSE,"해외크레임";#N/A,#N/A,FALSE,"ACCENT현황";#N/A,#N/A,FALSE,"AVANTE";#N/A,#N/A,FALSE,"SONATA(3)";#N/A,#N/A,FALSE,"국내크레임"}</definedName>
    <definedName name="내ㅜㅁㅅㅁ_3" localSheetId="26" hidden="1">{#N/A,#N/A,FALSE,"해외크레임";#N/A,#N/A,FALSE,"ACCENT현황";#N/A,#N/A,FALSE,"AVANTE";#N/A,#N/A,FALSE,"SONATA(3)";#N/A,#N/A,FALSE,"국내크레임"}</definedName>
    <definedName name="내ㅜㅁㅅㅁ_3" localSheetId="0" hidden="1">{#N/A,#N/A,FALSE,"해외크레임";#N/A,#N/A,FALSE,"ACCENT현황";#N/A,#N/A,FALSE,"AVANTE";#N/A,#N/A,FALSE,"SONATA(3)";#N/A,#N/A,FALSE,"국내크레임"}</definedName>
    <definedName name="내ㅜㅁㅅㅁ_3" hidden="1">{#N/A,#N/A,FALSE,"해외크레임";#N/A,#N/A,FALSE,"ACCENT현황";#N/A,#N/A,FALSE,"AVANTE";#N/A,#N/A,FALSE,"SONATA(3)";#N/A,#N/A,FALSE,"국내크레임"}</definedName>
    <definedName name="내ㅜㅁㅅㅁ_4" localSheetId="26" hidden="1">{#N/A,#N/A,FALSE,"해외크레임";#N/A,#N/A,FALSE,"ACCENT현황";#N/A,#N/A,FALSE,"AVANTE";#N/A,#N/A,FALSE,"SONATA(3)";#N/A,#N/A,FALSE,"국내크레임"}</definedName>
    <definedName name="내ㅜㅁㅅㅁ_4" localSheetId="0" hidden="1">{#N/A,#N/A,FALSE,"해외크레임";#N/A,#N/A,FALSE,"ACCENT현황";#N/A,#N/A,FALSE,"AVANTE";#N/A,#N/A,FALSE,"SONATA(3)";#N/A,#N/A,FALSE,"국내크레임"}</definedName>
    <definedName name="내ㅜㅁㅅㅁ_4" hidden="1">{#N/A,#N/A,FALSE,"해외크레임";#N/A,#N/A,FALSE,"ACCENT현황";#N/A,#N/A,FALSE,"AVANTE";#N/A,#N/A,FALSE,"SONATA(3)";#N/A,#N/A,FALSE,"국내크레임"}</definedName>
    <definedName name="내ㅜㅁㅅㅁ_5" localSheetId="26" hidden="1">{#N/A,#N/A,FALSE,"해외크레임";#N/A,#N/A,FALSE,"ACCENT현황";#N/A,#N/A,FALSE,"AVANTE";#N/A,#N/A,FALSE,"SONATA(3)";#N/A,#N/A,FALSE,"국내크레임"}</definedName>
    <definedName name="내ㅜㅁㅅㅁ_5" localSheetId="0" hidden="1">{#N/A,#N/A,FALSE,"해외크레임";#N/A,#N/A,FALSE,"ACCENT현황";#N/A,#N/A,FALSE,"AVANTE";#N/A,#N/A,FALSE,"SONATA(3)";#N/A,#N/A,FALSE,"국내크레임"}</definedName>
    <definedName name="내ㅜㅁㅅㅁ_5" hidden="1">{#N/A,#N/A,FALSE,"해외크레임";#N/A,#N/A,FALSE,"ACCENT현황";#N/A,#N/A,FALSE,"AVANTE";#N/A,#N/A,FALSE,"SONATA(3)";#N/A,#N/A,FALSE,"국내크레임"}</definedName>
    <definedName name="ㄷㄱㄷㄱ" localSheetId="26" hidden="1">{#N/A,#N/A,FALSE,"단축1";#N/A,#N/A,FALSE,"단축2";#N/A,#N/A,FALSE,"단축3";#N/A,#N/A,FALSE,"장축";#N/A,#N/A,FALSE,"4WD"}</definedName>
    <definedName name="ㄷㄱㄷㄱ" localSheetId="0" hidden="1">{#N/A,#N/A,FALSE,"단축1";#N/A,#N/A,FALSE,"단축2";#N/A,#N/A,FALSE,"단축3";#N/A,#N/A,FALSE,"장축";#N/A,#N/A,FALSE,"4WD"}</definedName>
    <definedName name="ㄷㄱㄷㄱ" hidden="1">{#N/A,#N/A,FALSE,"단축1";#N/A,#N/A,FALSE,"단축2";#N/A,#N/A,FALSE,"단축3";#N/A,#N/A,FALSE,"장축";#N/A,#N/A,FALSE,"4WD"}</definedName>
    <definedName name="ㄷㄱㄷㄱ_1" localSheetId="26" hidden="1">{#N/A,#N/A,FALSE,"단축1";#N/A,#N/A,FALSE,"단축2";#N/A,#N/A,FALSE,"단축3";#N/A,#N/A,FALSE,"장축";#N/A,#N/A,FALSE,"4WD"}</definedName>
    <definedName name="ㄷㄱㄷㄱ_1" localSheetId="0" hidden="1">{#N/A,#N/A,FALSE,"단축1";#N/A,#N/A,FALSE,"단축2";#N/A,#N/A,FALSE,"단축3";#N/A,#N/A,FALSE,"장축";#N/A,#N/A,FALSE,"4WD"}</definedName>
    <definedName name="ㄷㄱㄷㄱ_1" hidden="1">{#N/A,#N/A,FALSE,"단축1";#N/A,#N/A,FALSE,"단축2";#N/A,#N/A,FALSE,"단축3";#N/A,#N/A,FALSE,"장축";#N/A,#N/A,FALSE,"4WD"}</definedName>
    <definedName name="ㄷㄱㄷㄱ_1_1" localSheetId="26" hidden="1">{#N/A,#N/A,FALSE,"단축1";#N/A,#N/A,FALSE,"단축2";#N/A,#N/A,FALSE,"단축3";#N/A,#N/A,FALSE,"장축";#N/A,#N/A,FALSE,"4WD"}</definedName>
    <definedName name="ㄷㄱㄷㄱ_1_1" localSheetId="0" hidden="1">{#N/A,#N/A,FALSE,"단축1";#N/A,#N/A,FALSE,"단축2";#N/A,#N/A,FALSE,"단축3";#N/A,#N/A,FALSE,"장축";#N/A,#N/A,FALSE,"4WD"}</definedName>
    <definedName name="ㄷㄱㄷㄱ_1_1" hidden="1">{#N/A,#N/A,FALSE,"단축1";#N/A,#N/A,FALSE,"단축2";#N/A,#N/A,FALSE,"단축3";#N/A,#N/A,FALSE,"장축";#N/A,#N/A,FALSE,"4WD"}</definedName>
    <definedName name="ㄷㄱㄷㄱ_1_2" localSheetId="26" hidden="1">{#N/A,#N/A,FALSE,"단축1";#N/A,#N/A,FALSE,"단축2";#N/A,#N/A,FALSE,"단축3";#N/A,#N/A,FALSE,"장축";#N/A,#N/A,FALSE,"4WD"}</definedName>
    <definedName name="ㄷㄱㄷㄱ_1_2" localSheetId="0" hidden="1">{#N/A,#N/A,FALSE,"단축1";#N/A,#N/A,FALSE,"단축2";#N/A,#N/A,FALSE,"단축3";#N/A,#N/A,FALSE,"장축";#N/A,#N/A,FALSE,"4WD"}</definedName>
    <definedName name="ㄷㄱㄷㄱ_1_2" hidden="1">{#N/A,#N/A,FALSE,"단축1";#N/A,#N/A,FALSE,"단축2";#N/A,#N/A,FALSE,"단축3";#N/A,#N/A,FALSE,"장축";#N/A,#N/A,FALSE,"4WD"}</definedName>
    <definedName name="ㄷㄱㄷㄱ_1_3" localSheetId="26" hidden="1">{#N/A,#N/A,FALSE,"단축1";#N/A,#N/A,FALSE,"단축2";#N/A,#N/A,FALSE,"단축3";#N/A,#N/A,FALSE,"장축";#N/A,#N/A,FALSE,"4WD"}</definedName>
    <definedName name="ㄷㄱㄷㄱ_1_3" localSheetId="0" hidden="1">{#N/A,#N/A,FALSE,"단축1";#N/A,#N/A,FALSE,"단축2";#N/A,#N/A,FALSE,"단축3";#N/A,#N/A,FALSE,"장축";#N/A,#N/A,FALSE,"4WD"}</definedName>
    <definedName name="ㄷㄱㄷㄱ_1_3" hidden="1">{#N/A,#N/A,FALSE,"단축1";#N/A,#N/A,FALSE,"단축2";#N/A,#N/A,FALSE,"단축3";#N/A,#N/A,FALSE,"장축";#N/A,#N/A,FALSE,"4WD"}</definedName>
    <definedName name="ㄷㄱㄷㄱ_2" localSheetId="26" hidden="1">{#N/A,#N/A,FALSE,"단축1";#N/A,#N/A,FALSE,"단축2";#N/A,#N/A,FALSE,"단축3";#N/A,#N/A,FALSE,"장축";#N/A,#N/A,FALSE,"4WD"}</definedName>
    <definedName name="ㄷㄱㄷㄱ_2" localSheetId="0" hidden="1">{#N/A,#N/A,FALSE,"단축1";#N/A,#N/A,FALSE,"단축2";#N/A,#N/A,FALSE,"단축3";#N/A,#N/A,FALSE,"장축";#N/A,#N/A,FALSE,"4WD"}</definedName>
    <definedName name="ㄷㄱㄷㄱ_2" hidden="1">{#N/A,#N/A,FALSE,"단축1";#N/A,#N/A,FALSE,"단축2";#N/A,#N/A,FALSE,"단축3";#N/A,#N/A,FALSE,"장축";#N/A,#N/A,FALSE,"4WD"}</definedName>
    <definedName name="ㄷㄱㄷㄱ_2_1" localSheetId="26" hidden="1">{#N/A,#N/A,FALSE,"단축1";#N/A,#N/A,FALSE,"단축2";#N/A,#N/A,FALSE,"단축3";#N/A,#N/A,FALSE,"장축";#N/A,#N/A,FALSE,"4WD"}</definedName>
    <definedName name="ㄷㄱㄷㄱ_2_1" localSheetId="0" hidden="1">{#N/A,#N/A,FALSE,"단축1";#N/A,#N/A,FALSE,"단축2";#N/A,#N/A,FALSE,"단축3";#N/A,#N/A,FALSE,"장축";#N/A,#N/A,FALSE,"4WD"}</definedName>
    <definedName name="ㄷㄱㄷㄱ_2_1" hidden="1">{#N/A,#N/A,FALSE,"단축1";#N/A,#N/A,FALSE,"단축2";#N/A,#N/A,FALSE,"단축3";#N/A,#N/A,FALSE,"장축";#N/A,#N/A,FALSE,"4WD"}</definedName>
    <definedName name="ㄷㄱㄷㄱ_2_2" localSheetId="26" hidden="1">{#N/A,#N/A,FALSE,"단축1";#N/A,#N/A,FALSE,"단축2";#N/A,#N/A,FALSE,"단축3";#N/A,#N/A,FALSE,"장축";#N/A,#N/A,FALSE,"4WD"}</definedName>
    <definedName name="ㄷㄱㄷㄱ_2_2" localSheetId="0" hidden="1">{#N/A,#N/A,FALSE,"단축1";#N/A,#N/A,FALSE,"단축2";#N/A,#N/A,FALSE,"단축3";#N/A,#N/A,FALSE,"장축";#N/A,#N/A,FALSE,"4WD"}</definedName>
    <definedName name="ㄷㄱㄷㄱ_2_2" hidden="1">{#N/A,#N/A,FALSE,"단축1";#N/A,#N/A,FALSE,"단축2";#N/A,#N/A,FALSE,"단축3";#N/A,#N/A,FALSE,"장축";#N/A,#N/A,FALSE,"4WD"}</definedName>
    <definedName name="ㄷㄱㄷㄱ_3" localSheetId="26" hidden="1">{#N/A,#N/A,FALSE,"단축1";#N/A,#N/A,FALSE,"단축2";#N/A,#N/A,FALSE,"단축3";#N/A,#N/A,FALSE,"장축";#N/A,#N/A,FALSE,"4WD"}</definedName>
    <definedName name="ㄷㄱㄷㄱ_3" localSheetId="0" hidden="1">{#N/A,#N/A,FALSE,"단축1";#N/A,#N/A,FALSE,"단축2";#N/A,#N/A,FALSE,"단축3";#N/A,#N/A,FALSE,"장축";#N/A,#N/A,FALSE,"4WD"}</definedName>
    <definedName name="ㄷㄱㄷㄱ_3" hidden="1">{#N/A,#N/A,FALSE,"단축1";#N/A,#N/A,FALSE,"단축2";#N/A,#N/A,FALSE,"단축3";#N/A,#N/A,FALSE,"장축";#N/A,#N/A,FALSE,"4WD"}</definedName>
    <definedName name="ㄷㄱㄷㄱ_4" localSheetId="26" hidden="1">{#N/A,#N/A,FALSE,"단축1";#N/A,#N/A,FALSE,"단축2";#N/A,#N/A,FALSE,"단축3";#N/A,#N/A,FALSE,"장축";#N/A,#N/A,FALSE,"4WD"}</definedName>
    <definedName name="ㄷㄱㄷㄱ_4" localSheetId="0" hidden="1">{#N/A,#N/A,FALSE,"단축1";#N/A,#N/A,FALSE,"단축2";#N/A,#N/A,FALSE,"단축3";#N/A,#N/A,FALSE,"장축";#N/A,#N/A,FALSE,"4WD"}</definedName>
    <definedName name="ㄷㄱㄷㄱ_4" hidden="1">{#N/A,#N/A,FALSE,"단축1";#N/A,#N/A,FALSE,"단축2";#N/A,#N/A,FALSE,"단축3";#N/A,#N/A,FALSE,"장축";#N/A,#N/A,FALSE,"4WD"}</definedName>
    <definedName name="ㄷㄱㄷㄱ_5" localSheetId="26" hidden="1">{#N/A,#N/A,FALSE,"단축1";#N/A,#N/A,FALSE,"단축2";#N/A,#N/A,FALSE,"단축3";#N/A,#N/A,FALSE,"장축";#N/A,#N/A,FALSE,"4WD"}</definedName>
    <definedName name="ㄷㄱㄷㄱ_5" localSheetId="0" hidden="1">{#N/A,#N/A,FALSE,"단축1";#N/A,#N/A,FALSE,"단축2";#N/A,#N/A,FALSE,"단축3";#N/A,#N/A,FALSE,"장축";#N/A,#N/A,FALSE,"4WD"}</definedName>
    <definedName name="ㄷㄱㄷㄱ_5" hidden="1">{#N/A,#N/A,FALSE,"단축1";#N/A,#N/A,FALSE,"단축2";#N/A,#N/A,FALSE,"단축3";#N/A,#N/A,FALSE,"장축";#N/A,#N/A,FALSE,"4WD"}</definedName>
    <definedName name="ㄷㄷ" localSheetId="26" hidden="1">{#N/A,#N/A,FALSE,"단축1";#N/A,#N/A,FALSE,"단축2";#N/A,#N/A,FALSE,"단축3";#N/A,#N/A,FALSE,"장축";#N/A,#N/A,FALSE,"4WD"}</definedName>
    <definedName name="ㄷㄷ" localSheetId="0" hidden="1">{#N/A,#N/A,FALSE,"단축1";#N/A,#N/A,FALSE,"단축2";#N/A,#N/A,FALSE,"단축3";#N/A,#N/A,FALSE,"장축";#N/A,#N/A,FALSE,"4WD"}</definedName>
    <definedName name="ㄷㄷ" hidden="1">{#N/A,#N/A,FALSE,"단축1";#N/A,#N/A,FALSE,"단축2";#N/A,#N/A,FALSE,"단축3";#N/A,#N/A,FALSE,"장축";#N/A,#N/A,FALSE,"4WD"}</definedName>
    <definedName name="ㄷㄷ_1" localSheetId="26" hidden="1">{#N/A,#N/A,FALSE,"단축1";#N/A,#N/A,FALSE,"단축2";#N/A,#N/A,FALSE,"단축3";#N/A,#N/A,FALSE,"장축";#N/A,#N/A,FALSE,"4WD"}</definedName>
    <definedName name="ㄷㄷ_1" localSheetId="0" hidden="1">{#N/A,#N/A,FALSE,"단축1";#N/A,#N/A,FALSE,"단축2";#N/A,#N/A,FALSE,"단축3";#N/A,#N/A,FALSE,"장축";#N/A,#N/A,FALSE,"4WD"}</definedName>
    <definedName name="ㄷㄷ_1" hidden="1">{#N/A,#N/A,FALSE,"단축1";#N/A,#N/A,FALSE,"단축2";#N/A,#N/A,FALSE,"단축3";#N/A,#N/A,FALSE,"장축";#N/A,#N/A,FALSE,"4WD"}</definedName>
    <definedName name="ㄷㄷ_1_1" localSheetId="26" hidden="1">{#N/A,#N/A,FALSE,"단축1";#N/A,#N/A,FALSE,"단축2";#N/A,#N/A,FALSE,"단축3";#N/A,#N/A,FALSE,"장축";#N/A,#N/A,FALSE,"4WD"}</definedName>
    <definedName name="ㄷㄷ_1_1" localSheetId="0" hidden="1">{#N/A,#N/A,FALSE,"단축1";#N/A,#N/A,FALSE,"단축2";#N/A,#N/A,FALSE,"단축3";#N/A,#N/A,FALSE,"장축";#N/A,#N/A,FALSE,"4WD"}</definedName>
    <definedName name="ㄷㄷ_1_1" hidden="1">{#N/A,#N/A,FALSE,"단축1";#N/A,#N/A,FALSE,"단축2";#N/A,#N/A,FALSE,"단축3";#N/A,#N/A,FALSE,"장축";#N/A,#N/A,FALSE,"4WD"}</definedName>
    <definedName name="ㄷㄷ_1_2" localSheetId="26" hidden="1">{#N/A,#N/A,FALSE,"단축1";#N/A,#N/A,FALSE,"단축2";#N/A,#N/A,FALSE,"단축3";#N/A,#N/A,FALSE,"장축";#N/A,#N/A,FALSE,"4WD"}</definedName>
    <definedName name="ㄷㄷ_1_2" localSheetId="0" hidden="1">{#N/A,#N/A,FALSE,"단축1";#N/A,#N/A,FALSE,"단축2";#N/A,#N/A,FALSE,"단축3";#N/A,#N/A,FALSE,"장축";#N/A,#N/A,FALSE,"4WD"}</definedName>
    <definedName name="ㄷㄷ_1_2" hidden="1">{#N/A,#N/A,FALSE,"단축1";#N/A,#N/A,FALSE,"단축2";#N/A,#N/A,FALSE,"단축3";#N/A,#N/A,FALSE,"장축";#N/A,#N/A,FALSE,"4WD"}</definedName>
    <definedName name="ㄷㄷ_1_3" localSheetId="26" hidden="1">{#N/A,#N/A,FALSE,"단축1";#N/A,#N/A,FALSE,"단축2";#N/A,#N/A,FALSE,"단축3";#N/A,#N/A,FALSE,"장축";#N/A,#N/A,FALSE,"4WD"}</definedName>
    <definedName name="ㄷㄷ_1_3" localSheetId="0" hidden="1">{#N/A,#N/A,FALSE,"단축1";#N/A,#N/A,FALSE,"단축2";#N/A,#N/A,FALSE,"단축3";#N/A,#N/A,FALSE,"장축";#N/A,#N/A,FALSE,"4WD"}</definedName>
    <definedName name="ㄷㄷ_1_3" hidden="1">{#N/A,#N/A,FALSE,"단축1";#N/A,#N/A,FALSE,"단축2";#N/A,#N/A,FALSE,"단축3";#N/A,#N/A,FALSE,"장축";#N/A,#N/A,FALSE,"4WD"}</definedName>
    <definedName name="ㄷㄷ_2" localSheetId="26" hidden="1">{#N/A,#N/A,FALSE,"단축1";#N/A,#N/A,FALSE,"단축2";#N/A,#N/A,FALSE,"단축3";#N/A,#N/A,FALSE,"장축";#N/A,#N/A,FALSE,"4WD"}</definedName>
    <definedName name="ㄷㄷ_2" localSheetId="0" hidden="1">{#N/A,#N/A,FALSE,"단축1";#N/A,#N/A,FALSE,"단축2";#N/A,#N/A,FALSE,"단축3";#N/A,#N/A,FALSE,"장축";#N/A,#N/A,FALSE,"4WD"}</definedName>
    <definedName name="ㄷㄷ_2" hidden="1">{#N/A,#N/A,FALSE,"단축1";#N/A,#N/A,FALSE,"단축2";#N/A,#N/A,FALSE,"단축3";#N/A,#N/A,FALSE,"장축";#N/A,#N/A,FALSE,"4WD"}</definedName>
    <definedName name="ㄷㄷ_2_1" localSheetId="26" hidden="1">{#N/A,#N/A,FALSE,"단축1";#N/A,#N/A,FALSE,"단축2";#N/A,#N/A,FALSE,"단축3";#N/A,#N/A,FALSE,"장축";#N/A,#N/A,FALSE,"4WD"}</definedName>
    <definedName name="ㄷㄷ_2_1" localSheetId="0" hidden="1">{#N/A,#N/A,FALSE,"단축1";#N/A,#N/A,FALSE,"단축2";#N/A,#N/A,FALSE,"단축3";#N/A,#N/A,FALSE,"장축";#N/A,#N/A,FALSE,"4WD"}</definedName>
    <definedName name="ㄷㄷ_2_1" hidden="1">{#N/A,#N/A,FALSE,"단축1";#N/A,#N/A,FALSE,"단축2";#N/A,#N/A,FALSE,"단축3";#N/A,#N/A,FALSE,"장축";#N/A,#N/A,FALSE,"4WD"}</definedName>
    <definedName name="ㄷㄷ_2_2" localSheetId="26" hidden="1">{#N/A,#N/A,FALSE,"단축1";#N/A,#N/A,FALSE,"단축2";#N/A,#N/A,FALSE,"단축3";#N/A,#N/A,FALSE,"장축";#N/A,#N/A,FALSE,"4WD"}</definedName>
    <definedName name="ㄷㄷ_2_2" localSheetId="0" hidden="1">{#N/A,#N/A,FALSE,"단축1";#N/A,#N/A,FALSE,"단축2";#N/A,#N/A,FALSE,"단축3";#N/A,#N/A,FALSE,"장축";#N/A,#N/A,FALSE,"4WD"}</definedName>
    <definedName name="ㄷㄷ_2_2" hidden="1">{#N/A,#N/A,FALSE,"단축1";#N/A,#N/A,FALSE,"단축2";#N/A,#N/A,FALSE,"단축3";#N/A,#N/A,FALSE,"장축";#N/A,#N/A,FALSE,"4WD"}</definedName>
    <definedName name="ㄷㄷ_3" localSheetId="26" hidden="1">{#N/A,#N/A,FALSE,"단축1";#N/A,#N/A,FALSE,"단축2";#N/A,#N/A,FALSE,"단축3";#N/A,#N/A,FALSE,"장축";#N/A,#N/A,FALSE,"4WD"}</definedName>
    <definedName name="ㄷㄷ_3" localSheetId="0" hidden="1">{#N/A,#N/A,FALSE,"단축1";#N/A,#N/A,FALSE,"단축2";#N/A,#N/A,FALSE,"단축3";#N/A,#N/A,FALSE,"장축";#N/A,#N/A,FALSE,"4WD"}</definedName>
    <definedName name="ㄷㄷ_3" hidden="1">{#N/A,#N/A,FALSE,"단축1";#N/A,#N/A,FALSE,"단축2";#N/A,#N/A,FALSE,"단축3";#N/A,#N/A,FALSE,"장축";#N/A,#N/A,FALSE,"4WD"}</definedName>
    <definedName name="ㄷㄷ_4" localSheetId="26" hidden="1">{#N/A,#N/A,FALSE,"단축1";#N/A,#N/A,FALSE,"단축2";#N/A,#N/A,FALSE,"단축3";#N/A,#N/A,FALSE,"장축";#N/A,#N/A,FALSE,"4WD"}</definedName>
    <definedName name="ㄷㄷ_4" localSheetId="0" hidden="1">{#N/A,#N/A,FALSE,"단축1";#N/A,#N/A,FALSE,"단축2";#N/A,#N/A,FALSE,"단축3";#N/A,#N/A,FALSE,"장축";#N/A,#N/A,FALSE,"4WD"}</definedName>
    <definedName name="ㄷㄷ_4" hidden="1">{#N/A,#N/A,FALSE,"단축1";#N/A,#N/A,FALSE,"단축2";#N/A,#N/A,FALSE,"단축3";#N/A,#N/A,FALSE,"장축";#N/A,#N/A,FALSE,"4WD"}</definedName>
    <definedName name="ㄷㄷ_5" localSheetId="26" hidden="1">{#N/A,#N/A,FALSE,"단축1";#N/A,#N/A,FALSE,"단축2";#N/A,#N/A,FALSE,"단축3";#N/A,#N/A,FALSE,"장축";#N/A,#N/A,FALSE,"4WD"}</definedName>
    <definedName name="ㄷㄷ_5" localSheetId="0" hidden="1">{#N/A,#N/A,FALSE,"단축1";#N/A,#N/A,FALSE,"단축2";#N/A,#N/A,FALSE,"단축3";#N/A,#N/A,FALSE,"장축";#N/A,#N/A,FALSE,"4WD"}</definedName>
    <definedName name="ㄷㄷ_5" hidden="1">{#N/A,#N/A,FALSE,"단축1";#N/A,#N/A,FALSE,"단축2";#N/A,#N/A,FALSE,"단축3";#N/A,#N/A,FALSE,"장축";#N/A,#N/A,FALSE,"4WD"}</definedName>
    <definedName name="대부" localSheetId="26" hidden="1">{#N/A,#N/A,FALSE,"단축1";#N/A,#N/A,FALSE,"단축2";#N/A,#N/A,FALSE,"단축3";#N/A,#N/A,FALSE,"장축";#N/A,#N/A,FALSE,"4WD"}</definedName>
    <definedName name="대부" localSheetId="0" hidden="1">{#N/A,#N/A,FALSE,"단축1";#N/A,#N/A,FALSE,"단축2";#N/A,#N/A,FALSE,"단축3";#N/A,#N/A,FALSE,"장축";#N/A,#N/A,FALSE,"4WD"}</definedName>
    <definedName name="대부" hidden="1">{#N/A,#N/A,FALSE,"단축1";#N/A,#N/A,FALSE,"단축2";#N/A,#N/A,FALSE,"단축3";#N/A,#N/A,FALSE,"장축";#N/A,#N/A,FALSE,"4WD"}</definedName>
    <definedName name="대부_1" localSheetId="26" hidden="1">{#N/A,#N/A,FALSE,"단축1";#N/A,#N/A,FALSE,"단축2";#N/A,#N/A,FALSE,"단축3";#N/A,#N/A,FALSE,"장축";#N/A,#N/A,FALSE,"4WD"}</definedName>
    <definedName name="대부_1" localSheetId="0" hidden="1">{#N/A,#N/A,FALSE,"단축1";#N/A,#N/A,FALSE,"단축2";#N/A,#N/A,FALSE,"단축3";#N/A,#N/A,FALSE,"장축";#N/A,#N/A,FALSE,"4WD"}</definedName>
    <definedName name="대부_1" hidden="1">{#N/A,#N/A,FALSE,"단축1";#N/A,#N/A,FALSE,"단축2";#N/A,#N/A,FALSE,"단축3";#N/A,#N/A,FALSE,"장축";#N/A,#N/A,FALSE,"4WD"}</definedName>
    <definedName name="대부_1_1" localSheetId="26" hidden="1">{#N/A,#N/A,FALSE,"단축1";#N/A,#N/A,FALSE,"단축2";#N/A,#N/A,FALSE,"단축3";#N/A,#N/A,FALSE,"장축";#N/A,#N/A,FALSE,"4WD"}</definedName>
    <definedName name="대부_1_1" localSheetId="0" hidden="1">{#N/A,#N/A,FALSE,"단축1";#N/A,#N/A,FALSE,"단축2";#N/A,#N/A,FALSE,"단축3";#N/A,#N/A,FALSE,"장축";#N/A,#N/A,FALSE,"4WD"}</definedName>
    <definedName name="대부_1_1" hidden="1">{#N/A,#N/A,FALSE,"단축1";#N/A,#N/A,FALSE,"단축2";#N/A,#N/A,FALSE,"단축3";#N/A,#N/A,FALSE,"장축";#N/A,#N/A,FALSE,"4WD"}</definedName>
    <definedName name="대부_1_2" localSheetId="26" hidden="1">{#N/A,#N/A,FALSE,"단축1";#N/A,#N/A,FALSE,"단축2";#N/A,#N/A,FALSE,"단축3";#N/A,#N/A,FALSE,"장축";#N/A,#N/A,FALSE,"4WD"}</definedName>
    <definedName name="대부_1_2" localSheetId="0" hidden="1">{#N/A,#N/A,FALSE,"단축1";#N/A,#N/A,FALSE,"단축2";#N/A,#N/A,FALSE,"단축3";#N/A,#N/A,FALSE,"장축";#N/A,#N/A,FALSE,"4WD"}</definedName>
    <definedName name="대부_1_2" hidden="1">{#N/A,#N/A,FALSE,"단축1";#N/A,#N/A,FALSE,"단축2";#N/A,#N/A,FALSE,"단축3";#N/A,#N/A,FALSE,"장축";#N/A,#N/A,FALSE,"4WD"}</definedName>
    <definedName name="대부_1_3" localSheetId="26" hidden="1">{#N/A,#N/A,FALSE,"단축1";#N/A,#N/A,FALSE,"단축2";#N/A,#N/A,FALSE,"단축3";#N/A,#N/A,FALSE,"장축";#N/A,#N/A,FALSE,"4WD"}</definedName>
    <definedName name="대부_1_3" localSheetId="0" hidden="1">{#N/A,#N/A,FALSE,"단축1";#N/A,#N/A,FALSE,"단축2";#N/A,#N/A,FALSE,"단축3";#N/A,#N/A,FALSE,"장축";#N/A,#N/A,FALSE,"4WD"}</definedName>
    <definedName name="대부_1_3" hidden="1">{#N/A,#N/A,FALSE,"단축1";#N/A,#N/A,FALSE,"단축2";#N/A,#N/A,FALSE,"단축3";#N/A,#N/A,FALSE,"장축";#N/A,#N/A,FALSE,"4WD"}</definedName>
    <definedName name="대부_2" localSheetId="26" hidden="1">{#N/A,#N/A,FALSE,"단축1";#N/A,#N/A,FALSE,"단축2";#N/A,#N/A,FALSE,"단축3";#N/A,#N/A,FALSE,"장축";#N/A,#N/A,FALSE,"4WD"}</definedName>
    <definedName name="대부_2" localSheetId="0" hidden="1">{#N/A,#N/A,FALSE,"단축1";#N/A,#N/A,FALSE,"단축2";#N/A,#N/A,FALSE,"단축3";#N/A,#N/A,FALSE,"장축";#N/A,#N/A,FALSE,"4WD"}</definedName>
    <definedName name="대부_2" hidden="1">{#N/A,#N/A,FALSE,"단축1";#N/A,#N/A,FALSE,"단축2";#N/A,#N/A,FALSE,"단축3";#N/A,#N/A,FALSE,"장축";#N/A,#N/A,FALSE,"4WD"}</definedName>
    <definedName name="대부_2_1" localSheetId="26" hidden="1">{#N/A,#N/A,FALSE,"단축1";#N/A,#N/A,FALSE,"단축2";#N/A,#N/A,FALSE,"단축3";#N/A,#N/A,FALSE,"장축";#N/A,#N/A,FALSE,"4WD"}</definedName>
    <definedName name="대부_2_1" localSheetId="0" hidden="1">{#N/A,#N/A,FALSE,"단축1";#N/A,#N/A,FALSE,"단축2";#N/A,#N/A,FALSE,"단축3";#N/A,#N/A,FALSE,"장축";#N/A,#N/A,FALSE,"4WD"}</definedName>
    <definedName name="대부_2_1" hidden="1">{#N/A,#N/A,FALSE,"단축1";#N/A,#N/A,FALSE,"단축2";#N/A,#N/A,FALSE,"단축3";#N/A,#N/A,FALSE,"장축";#N/A,#N/A,FALSE,"4WD"}</definedName>
    <definedName name="대부_2_2" localSheetId="26" hidden="1">{#N/A,#N/A,FALSE,"단축1";#N/A,#N/A,FALSE,"단축2";#N/A,#N/A,FALSE,"단축3";#N/A,#N/A,FALSE,"장축";#N/A,#N/A,FALSE,"4WD"}</definedName>
    <definedName name="대부_2_2" localSheetId="0" hidden="1">{#N/A,#N/A,FALSE,"단축1";#N/A,#N/A,FALSE,"단축2";#N/A,#N/A,FALSE,"단축3";#N/A,#N/A,FALSE,"장축";#N/A,#N/A,FALSE,"4WD"}</definedName>
    <definedName name="대부_2_2" hidden="1">{#N/A,#N/A,FALSE,"단축1";#N/A,#N/A,FALSE,"단축2";#N/A,#N/A,FALSE,"단축3";#N/A,#N/A,FALSE,"장축";#N/A,#N/A,FALSE,"4WD"}</definedName>
    <definedName name="대부_3" localSheetId="26" hidden="1">{#N/A,#N/A,FALSE,"단축1";#N/A,#N/A,FALSE,"단축2";#N/A,#N/A,FALSE,"단축3";#N/A,#N/A,FALSE,"장축";#N/A,#N/A,FALSE,"4WD"}</definedName>
    <definedName name="대부_3" localSheetId="0" hidden="1">{#N/A,#N/A,FALSE,"단축1";#N/A,#N/A,FALSE,"단축2";#N/A,#N/A,FALSE,"단축3";#N/A,#N/A,FALSE,"장축";#N/A,#N/A,FALSE,"4WD"}</definedName>
    <definedName name="대부_3" hidden="1">{#N/A,#N/A,FALSE,"단축1";#N/A,#N/A,FALSE,"단축2";#N/A,#N/A,FALSE,"단축3";#N/A,#N/A,FALSE,"장축";#N/A,#N/A,FALSE,"4WD"}</definedName>
    <definedName name="대부_4" localSheetId="26" hidden="1">{#N/A,#N/A,FALSE,"단축1";#N/A,#N/A,FALSE,"단축2";#N/A,#N/A,FALSE,"단축3";#N/A,#N/A,FALSE,"장축";#N/A,#N/A,FALSE,"4WD"}</definedName>
    <definedName name="대부_4" localSheetId="0" hidden="1">{#N/A,#N/A,FALSE,"단축1";#N/A,#N/A,FALSE,"단축2";#N/A,#N/A,FALSE,"단축3";#N/A,#N/A,FALSE,"장축";#N/A,#N/A,FALSE,"4WD"}</definedName>
    <definedName name="대부_4" hidden="1">{#N/A,#N/A,FALSE,"단축1";#N/A,#N/A,FALSE,"단축2";#N/A,#N/A,FALSE,"단축3";#N/A,#N/A,FALSE,"장축";#N/A,#N/A,FALSE,"4WD"}</definedName>
    <definedName name="대부_5" localSheetId="26" hidden="1">{#N/A,#N/A,FALSE,"단축1";#N/A,#N/A,FALSE,"단축2";#N/A,#N/A,FALSE,"단축3";#N/A,#N/A,FALSE,"장축";#N/A,#N/A,FALSE,"4WD"}</definedName>
    <definedName name="대부_5" localSheetId="0" hidden="1">{#N/A,#N/A,FALSE,"단축1";#N/A,#N/A,FALSE,"단축2";#N/A,#N/A,FALSE,"단축3";#N/A,#N/A,FALSE,"장축";#N/A,#N/A,FALSE,"4WD"}</definedName>
    <definedName name="대부_5" hidden="1">{#N/A,#N/A,FALSE,"단축1";#N/A,#N/A,FALSE,"단축2";#N/A,#N/A,FALSE,"단축3";#N/A,#N/A,FALSE,"장축";#N/A,#N/A,FALSE,"4WD"}</definedName>
    <definedName name="대책서" localSheetId="26" hidden="1">{#N/A,#N/A,FALSE,"단축1";#N/A,#N/A,FALSE,"단축2";#N/A,#N/A,FALSE,"단축3";#N/A,#N/A,FALSE,"장축";#N/A,#N/A,FALSE,"4WD"}</definedName>
    <definedName name="대책서" localSheetId="0" hidden="1">{#N/A,#N/A,FALSE,"단축1";#N/A,#N/A,FALSE,"단축2";#N/A,#N/A,FALSE,"단축3";#N/A,#N/A,FALSE,"장축";#N/A,#N/A,FALSE,"4WD"}</definedName>
    <definedName name="대책서" hidden="1">{#N/A,#N/A,FALSE,"단축1";#N/A,#N/A,FALSE,"단축2";#N/A,#N/A,FALSE,"단축3";#N/A,#N/A,FALSE,"장축";#N/A,#N/A,FALSE,"4WD"}</definedName>
    <definedName name="대책서_1" localSheetId="26" hidden="1">{#N/A,#N/A,FALSE,"단축1";#N/A,#N/A,FALSE,"단축2";#N/A,#N/A,FALSE,"단축3";#N/A,#N/A,FALSE,"장축";#N/A,#N/A,FALSE,"4WD"}</definedName>
    <definedName name="대책서_1" localSheetId="0" hidden="1">{#N/A,#N/A,FALSE,"단축1";#N/A,#N/A,FALSE,"단축2";#N/A,#N/A,FALSE,"단축3";#N/A,#N/A,FALSE,"장축";#N/A,#N/A,FALSE,"4WD"}</definedName>
    <definedName name="대책서_1" hidden="1">{#N/A,#N/A,FALSE,"단축1";#N/A,#N/A,FALSE,"단축2";#N/A,#N/A,FALSE,"단축3";#N/A,#N/A,FALSE,"장축";#N/A,#N/A,FALSE,"4WD"}</definedName>
    <definedName name="대책서_1_1" localSheetId="26" hidden="1">{#N/A,#N/A,FALSE,"단축1";#N/A,#N/A,FALSE,"단축2";#N/A,#N/A,FALSE,"단축3";#N/A,#N/A,FALSE,"장축";#N/A,#N/A,FALSE,"4WD"}</definedName>
    <definedName name="대책서_1_1" localSheetId="0" hidden="1">{#N/A,#N/A,FALSE,"단축1";#N/A,#N/A,FALSE,"단축2";#N/A,#N/A,FALSE,"단축3";#N/A,#N/A,FALSE,"장축";#N/A,#N/A,FALSE,"4WD"}</definedName>
    <definedName name="대책서_1_1" hidden="1">{#N/A,#N/A,FALSE,"단축1";#N/A,#N/A,FALSE,"단축2";#N/A,#N/A,FALSE,"단축3";#N/A,#N/A,FALSE,"장축";#N/A,#N/A,FALSE,"4WD"}</definedName>
    <definedName name="대책서_1_2" localSheetId="26" hidden="1">{#N/A,#N/A,FALSE,"단축1";#N/A,#N/A,FALSE,"단축2";#N/A,#N/A,FALSE,"단축3";#N/A,#N/A,FALSE,"장축";#N/A,#N/A,FALSE,"4WD"}</definedName>
    <definedName name="대책서_1_2" localSheetId="0" hidden="1">{#N/A,#N/A,FALSE,"단축1";#N/A,#N/A,FALSE,"단축2";#N/A,#N/A,FALSE,"단축3";#N/A,#N/A,FALSE,"장축";#N/A,#N/A,FALSE,"4WD"}</definedName>
    <definedName name="대책서_1_2" hidden="1">{#N/A,#N/A,FALSE,"단축1";#N/A,#N/A,FALSE,"단축2";#N/A,#N/A,FALSE,"단축3";#N/A,#N/A,FALSE,"장축";#N/A,#N/A,FALSE,"4WD"}</definedName>
    <definedName name="대책서_1_3" localSheetId="26" hidden="1">{#N/A,#N/A,FALSE,"단축1";#N/A,#N/A,FALSE,"단축2";#N/A,#N/A,FALSE,"단축3";#N/A,#N/A,FALSE,"장축";#N/A,#N/A,FALSE,"4WD"}</definedName>
    <definedName name="대책서_1_3" localSheetId="0" hidden="1">{#N/A,#N/A,FALSE,"단축1";#N/A,#N/A,FALSE,"단축2";#N/A,#N/A,FALSE,"단축3";#N/A,#N/A,FALSE,"장축";#N/A,#N/A,FALSE,"4WD"}</definedName>
    <definedName name="대책서_1_3" hidden="1">{#N/A,#N/A,FALSE,"단축1";#N/A,#N/A,FALSE,"단축2";#N/A,#N/A,FALSE,"단축3";#N/A,#N/A,FALSE,"장축";#N/A,#N/A,FALSE,"4WD"}</definedName>
    <definedName name="대책서_2" localSheetId="26" hidden="1">{#N/A,#N/A,FALSE,"단축1";#N/A,#N/A,FALSE,"단축2";#N/A,#N/A,FALSE,"단축3";#N/A,#N/A,FALSE,"장축";#N/A,#N/A,FALSE,"4WD"}</definedName>
    <definedName name="대책서_2" localSheetId="0" hidden="1">{#N/A,#N/A,FALSE,"단축1";#N/A,#N/A,FALSE,"단축2";#N/A,#N/A,FALSE,"단축3";#N/A,#N/A,FALSE,"장축";#N/A,#N/A,FALSE,"4WD"}</definedName>
    <definedName name="대책서_2" hidden="1">{#N/A,#N/A,FALSE,"단축1";#N/A,#N/A,FALSE,"단축2";#N/A,#N/A,FALSE,"단축3";#N/A,#N/A,FALSE,"장축";#N/A,#N/A,FALSE,"4WD"}</definedName>
    <definedName name="대책서_2_1" localSheetId="26" hidden="1">{#N/A,#N/A,FALSE,"단축1";#N/A,#N/A,FALSE,"단축2";#N/A,#N/A,FALSE,"단축3";#N/A,#N/A,FALSE,"장축";#N/A,#N/A,FALSE,"4WD"}</definedName>
    <definedName name="대책서_2_1" localSheetId="0" hidden="1">{#N/A,#N/A,FALSE,"단축1";#N/A,#N/A,FALSE,"단축2";#N/A,#N/A,FALSE,"단축3";#N/A,#N/A,FALSE,"장축";#N/A,#N/A,FALSE,"4WD"}</definedName>
    <definedName name="대책서_2_1" hidden="1">{#N/A,#N/A,FALSE,"단축1";#N/A,#N/A,FALSE,"단축2";#N/A,#N/A,FALSE,"단축3";#N/A,#N/A,FALSE,"장축";#N/A,#N/A,FALSE,"4WD"}</definedName>
    <definedName name="대책서_2_2" localSheetId="26" hidden="1">{#N/A,#N/A,FALSE,"단축1";#N/A,#N/A,FALSE,"단축2";#N/A,#N/A,FALSE,"단축3";#N/A,#N/A,FALSE,"장축";#N/A,#N/A,FALSE,"4WD"}</definedName>
    <definedName name="대책서_2_2" localSheetId="0" hidden="1">{#N/A,#N/A,FALSE,"단축1";#N/A,#N/A,FALSE,"단축2";#N/A,#N/A,FALSE,"단축3";#N/A,#N/A,FALSE,"장축";#N/A,#N/A,FALSE,"4WD"}</definedName>
    <definedName name="대책서_2_2" hidden="1">{#N/A,#N/A,FALSE,"단축1";#N/A,#N/A,FALSE,"단축2";#N/A,#N/A,FALSE,"단축3";#N/A,#N/A,FALSE,"장축";#N/A,#N/A,FALSE,"4WD"}</definedName>
    <definedName name="대책서_3" localSheetId="26" hidden="1">{#N/A,#N/A,FALSE,"단축1";#N/A,#N/A,FALSE,"단축2";#N/A,#N/A,FALSE,"단축3";#N/A,#N/A,FALSE,"장축";#N/A,#N/A,FALSE,"4WD"}</definedName>
    <definedName name="대책서_3" localSheetId="0" hidden="1">{#N/A,#N/A,FALSE,"단축1";#N/A,#N/A,FALSE,"단축2";#N/A,#N/A,FALSE,"단축3";#N/A,#N/A,FALSE,"장축";#N/A,#N/A,FALSE,"4WD"}</definedName>
    <definedName name="대책서_3" hidden="1">{#N/A,#N/A,FALSE,"단축1";#N/A,#N/A,FALSE,"단축2";#N/A,#N/A,FALSE,"단축3";#N/A,#N/A,FALSE,"장축";#N/A,#N/A,FALSE,"4WD"}</definedName>
    <definedName name="대책서_4" localSheetId="26" hidden="1">{#N/A,#N/A,FALSE,"단축1";#N/A,#N/A,FALSE,"단축2";#N/A,#N/A,FALSE,"단축3";#N/A,#N/A,FALSE,"장축";#N/A,#N/A,FALSE,"4WD"}</definedName>
    <definedName name="대책서_4" localSheetId="0" hidden="1">{#N/A,#N/A,FALSE,"단축1";#N/A,#N/A,FALSE,"단축2";#N/A,#N/A,FALSE,"단축3";#N/A,#N/A,FALSE,"장축";#N/A,#N/A,FALSE,"4WD"}</definedName>
    <definedName name="대책서_4" hidden="1">{#N/A,#N/A,FALSE,"단축1";#N/A,#N/A,FALSE,"단축2";#N/A,#N/A,FALSE,"단축3";#N/A,#N/A,FALSE,"장축";#N/A,#N/A,FALSE,"4WD"}</definedName>
    <definedName name="대책서_5" localSheetId="26" hidden="1">{#N/A,#N/A,FALSE,"단축1";#N/A,#N/A,FALSE,"단축2";#N/A,#N/A,FALSE,"단축3";#N/A,#N/A,FALSE,"장축";#N/A,#N/A,FALSE,"4WD"}</definedName>
    <definedName name="대책서_5" localSheetId="0" hidden="1">{#N/A,#N/A,FALSE,"단축1";#N/A,#N/A,FALSE,"단축2";#N/A,#N/A,FALSE,"단축3";#N/A,#N/A,FALSE,"장축";#N/A,#N/A,FALSE,"4WD"}</definedName>
    <definedName name="대책서_5" hidden="1">{#N/A,#N/A,FALSE,"단축1";#N/A,#N/A,FALSE,"단축2";#N/A,#N/A,FALSE,"단축3";#N/A,#N/A,FALSE,"장축";#N/A,#N/A,FALSE,"4WD"}</definedName>
    <definedName name="동국" localSheetId="26" hidden="1">{#N/A,#N/A,FALSE,"해외크레임";#N/A,#N/A,FALSE,"ACCENT현황";#N/A,#N/A,FALSE,"AVANTE";#N/A,#N/A,FALSE,"SONATA(3)";#N/A,#N/A,FALSE,"국내크레임"}</definedName>
    <definedName name="동국" localSheetId="0" hidden="1">{#N/A,#N/A,FALSE,"해외크레임";#N/A,#N/A,FALSE,"ACCENT현황";#N/A,#N/A,FALSE,"AVANTE";#N/A,#N/A,FALSE,"SONATA(3)";#N/A,#N/A,FALSE,"국내크레임"}</definedName>
    <definedName name="동국" hidden="1">{#N/A,#N/A,FALSE,"해외크레임";#N/A,#N/A,FALSE,"ACCENT현황";#N/A,#N/A,FALSE,"AVANTE";#N/A,#N/A,FALSE,"SONATA(3)";#N/A,#N/A,FALSE,"국내크레임"}</definedName>
    <definedName name="동국_1" localSheetId="26" hidden="1">{#N/A,#N/A,FALSE,"해외크레임";#N/A,#N/A,FALSE,"ACCENT현황";#N/A,#N/A,FALSE,"AVANTE";#N/A,#N/A,FALSE,"SONATA(3)";#N/A,#N/A,FALSE,"국내크레임"}</definedName>
    <definedName name="동국_1" localSheetId="0" hidden="1">{#N/A,#N/A,FALSE,"해외크레임";#N/A,#N/A,FALSE,"ACCENT현황";#N/A,#N/A,FALSE,"AVANTE";#N/A,#N/A,FALSE,"SONATA(3)";#N/A,#N/A,FALSE,"국내크레임"}</definedName>
    <definedName name="동국_1" hidden="1">{#N/A,#N/A,FALSE,"해외크레임";#N/A,#N/A,FALSE,"ACCENT현황";#N/A,#N/A,FALSE,"AVANTE";#N/A,#N/A,FALSE,"SONATA(3)";#N/A,#N/A,FALSE,"국내크레임"}</definedName>
    <definedName name="동국_1_1" localSheetId="26" hidden="1">{#N/A,#N/A,FALSE,"해외크레임";#N/A,#N/A,FALSE,"ACCENT현황";#N/A,#N/A,FALSE,"AVANTE";#N/A,#N/A,FALSE,"SONATA(3)";#N/A,#N/A,FALSE,"국내크레임"}</definedName>
    <definedName name="동국_1_1" localSheetId="0" hidden="1">{#N/A,#N/A,FALSE,"해외크레임";#N/A,#N/A,FALSE,"ACCENT현황";#N/A,#N/A,FALSE,"AVANTE";#N/A,#N/A,FALSE,"SONATA(3)";#N/A,#N/A,FALSE,"국내크레임"}</definedName>
    <definedName name="동국_1_1" hidden="1">{#N/A,#N/A,FALSE,"해외크레임";#N/A,#N/A,FALSE,"ACCENT현황";#N/A,#N/A,FALSE,"AVANTE";#N/A,#N/A,FALSE,"SONATA(3)";#N/A,#N/A,FALSE,"국내크레임"}</definedName>
    <definedName name="동국_1_2" localSheetId="26" hidden="1">{#N/A,#N/A,FALSE,"해외크레임";#N/A,#N/A,FALSE,"ACCENT현황";#N/A,#N/A,FALSE,"AVANTE";#N/A,#N/A,FALSE,"SONATA(3)";#N/A,#N/A,FALSE,"국내크레임"}</definedName>
    <definedName name="동국_1_2" localSheetId="0" hidden="1">{#N/A,#N/A,FALSE,"해외크레임";#N/A,#N/A,FALSE,"ACCENT현황";#N/A,#N/A,FALSE,"AVANTE";#N/A,#N/A,FALSE,"SONATA(3)";#N/A,#N/A,FALSE,"국내크레임"}</definedName>
    <definedName name="동국_1_2" hidden="1">{#N/A,#N/A,FALSE,"해외크레임";#N/A,#N/A,FALSE,"ACCENT현황";#N/A,#N/A,FALSE,"AVANTE";#N/A,#N/A,FALSE,"SONATA(3)";#N/A,#N/A,FALSE,"국내크레임"}</definedName>
    <definedName name="동국_1_3" localSheetId="26" hidden="1">{#N/A,#N/A,FALSE,"해외크레임";#N/A,#N/A,FALSE,"ACCENT현황";#N/A,#N/A,FALSE,"AVANTE";#N/A,#N/A,FALSE,"SONATA(3)";#N/A,#N/A,FALSE,"국내크레임"}</definedName>
    <definedName name="동국_1_3" localSheetId="0" hidden="1">{#N/A,#N/A,FALSE,"해외크레임";#N/A,#N/A,FALSE,"ACCENT현황";#N/A,#N/A,FALSE,"AVANTE";#N/A,#N/A,FALSE,"SONATA(3)";#N/A,#N/A,FALSE,"국내크레임"}</definedName>
    <definedName name="동국_1_3" hidden="1">{#N/A,#N/A,FALSE,"해외크레임";#N/A,#N/A,FALSE,"ACCENT현황";#N/A,#N/A,FALSE,"AVANTE";#N/A,#N/A,FALSE,"SONATA(3)";#N/A,#N/A,FALSE,"국내크레임"}</definedName>
    <definedName name="동국_2" localSheetId="26" hidden="1">{#N/A,#N/A,FALSE,"해외크레임";#N/A,#N/A,FALSE,"ACCENT현황";#N/A,#N/A,FALSE,"AVANTE";#N/A,#N/A,FALSE,"SONATA(3)";#N/A,#N/A,FALSE,"국내크레임"}</definedName>
    <definedName name="동국_2" localSheetId="0" hidden="1">{#N/A,#N/A,FALSE,"해외크레임";#N/A,#N/A,FALSE,"ACCENT현황";#N/A,#N/A,FALSE,"AVANTE";#N/A,#N/A,FALSE,"SONATA(3)";#N/A,#N/A,FALSE,"국내크레임"}</definedName>
    <definedName name="동국_2" hidden="1">{#N/A,#N/A,FALSE,"해외크레임";#N/A,#N/A,FALSE,"ACCENT현황";#N/A,#N/A,FALSE,"AVANTE";#N/A,#N/A,FALSE,"SONATA(3)";#N/A,#N/A,FALSE,"국내크레임"}</definedName>
    <definedName name="동국_2_1" localSheetId="26" hidden="1">{#N/A,#N/A,FALSE,"해외크레임";#N/A,#N/A,FALSE,"ACCENT현황";#N/A,#N/A,FALSE,"AVANTE";#N/A,#N/A,FALSE,"SONATA(3)";#N/A,#N/A,FALSE,"국내크레임"}</definedName>
    <definedName name="동국_2_1" localSheetId="0" hidden="1">{#N/A,#N/A,FALSE,"해외크레임";#N/A,#N/A,FALSE,"ACCENT현황";#N/A,#N/A,FALSE,"AVANTE";#N/A,#N/A,FALSE,"SONATA(3)";#N/A,#N/A,FALSE,"국내크레임"}</definedName>
    <definedName name="동국_2_1" hidden="1">{#N/A,#N/A,FALSE,"해외크레임";#N/A,#N/A,FALSE,"ACCENT현황";#N/A,#N/A,FALSE,"AVANTE";#N/A,#N/A,FALSE,"SONATA(3)";#N/A,#N/A,FALSE,"국내크레임"}</definedName>
    <definedName name="동국_2_2" localSheetId="26" hidden="1">{#N/A,#N/A,FALSE,"해외크레임";#N/A,#N/A,FALSE,"ACCENT현황";#N/A,#N/A,FALSE,"AVANTE";#N/A,#N/A,FALSE,"SONATA(3)";#N/A,#N/A,FALSE,"국내크레임"}</definedName>
    <definedName name="동국_2_2" localSheetId="0" hidden="1">{#N/A,#N/A,FALSE,"해외크레임";#N/A,#N/A,FALSE,"ACCENT현황";#N/A,#N/A,FALSE,"AVANTE";#N/A,#N/A,FALSE,"SONATA(3)";#N/A,#N/A,FALSE,"국내크레임"}</definedName>
    <definedName name="동국_2_2" hidden="1">{#N/A,#N/A,FALSE,"해외크레임";#N/A,#N/A,FALSE,"ACCENT현황";#N/A,#N/A,FALSE,"AVANTE";#N/A,#N/A,FALSE,"SONATA(3)";#N/A,#N/A,FALSE,"국내크레임"}</definedName>
    <definedName name="동국_3" localSheetId="26" hidden="1">{#N/A,#N/A,FALSE,"해외크레임";#N/A,#N/A,FALSE,"ACCENT현황";#N/A,#N/A,FALSE,"AVANTE";#N/A,#N/A,FALSE,"SONATA(3)";#N/A,#N/A,FALSE,"국내크레임"}</definedName>
    <definedName name="동국_3" localSheetId="0" hidden="1">{#N/A,#N/A,FALSE,"해외크레임";#N/A,#N/A,FALSE,"ACCENT현황";#N/A,#N/A,FALSE,"AVANTE";#N/A,#N/A,FALSE,"SONATA(3)";#N/A,#N/A,FALSE,"국내크레임"}</definedName>
    <definedName name="동국_3" hidden="1">{#N/A,#N/A,FALSE,"해외크레임";#N/A,#N/A,FALSE,"ACCENT현황";#N/A,#N/A,FALSE,"AVANTE";#N/A,#N/A,FALSE,"SONATA(3)";#N/A,#N/A,FALSE,"국내크레임"}</definedName>
    <definedName name="동국_4" localSheetId="26" hidden="1">{#N/A,#N/A,FALSE,"해외크레임";#N/A,#N/A,FALSE,"ACCENT현황";#N/A,#N/A,FALSE,"AVANTE";#N/A,#N/A,FALSE,"SONATA(3)";#N/A,#N/A,FALSE,"국내크레임"}</definedName>
    <definedName name="동국_4" localSheetId="0" hidden="1">{#N/A,#N/A,FALSE,"해외크레임";#N/A,#N/A,FALSE,"ACCENT현황";#N/A,#N/A,FALSE,"AVANTE";#N/A,#N/A,FALSE,"SONATA(3)";#N/A,#N/A,FALSE,"국내크레임"}</definedName>
    <definedName name="동국_4" hidden="1">{#N/A,#N/A,FALSE,"해외크레임";#N/A,#N/A,FALSE,"ACCENT현황";#N/A,#N/A,FALSE,"AVANTE";#N/A,#N/A,FALSE,"SONATA(3)";#N/A,#N/A,FALSE,"국내크레임"}</definedName>
    <definedName name="동국_5" localSheetId="26" hidden="1">{#N/A,#N/A,FALSE,"해외크레임";#N/A,#N/A,FALSE,"ACCENT현황";#N/A,#N/A,FALSE,"AVANTE";#N/A,#N/A,FALSE,"SONATA(3)";#N/A,#N/A,FALSE,"국내크레임"}</definedName>
    <definedName name="동국_5" localSheetId="0" hidden="1">{#N/A,#N/A,FALSE,"해외크레임";#N/A,#N/A,FALSE,"ACCENT현황";#N/A,#N/A,FALSE,"AVANTE";#N/A,#N/A,FALSE,"SONATA(3)";#N/A,#N/A,FALSE,"국내크레임"}</definedName>
    <definedName name="동국_5" hidden="1">{#N/A,#N/A,FALSE,"해외크레임";#N/A,#N/A,FALSE,"ACCENT현황";#N/A,#N/A,FALSE,"AVANTE";#N/A,#N/A,FALSE,"SONATA(3)";#N/A,#N/A,FALSE,"국내크레임"}</definedName>
    <definedName name="동향10" localSheetId="26" hidden="1">{#N/A,#N/A,FALSE,"해외크레임";#N/A,#N/A,FALSE,"ACCENT현황";#N/A,#N/A,FALSE,"AVANTE";#N/A,#N/A,FALSE,"SONATA(3)";#N/A,#N/A,FALSE,"국내크레임"}</definedName>
    <definedName name="동향10" localSheetId="0" hidden="1">{#N/A,#N/A,FALSE,"해외크레임";#N/A,#N/A,FALSE,"ACCENT현황";#N/A,#N/A,FALSE,"AVANTE";#N/A,#N/A,FALSE,"SONATA(3)";#N/A,#N/A,FALSE,"국내크레임"}</definedName>
    <definedName name="동향10" hidden="1">{#N/A,#N/A,FALSE,"해외크레임";#N/A,#N/A,FALSE,"ACCENT현황";#N/A,#N/A,FALSE,"AVANTE";#N/A,#N/A,FALSE,"SONATA(3)";#N/A,#N/A,FALSE,"국내크레임"}</definedName>
    <definedName name="동향10_1" localSheetId="26" hidden="1">{#N/A,#N/A,FALSE,"해외크레임";#N/A,#N/A,FALSE,"ACCENT현황";#N/A,#N/A,FALSE,"AVANTE";#N/A,#N/A,FALSE,"SONATA(3)";#N/A,#N/A,FALSE,"국내크레임"}</definedName>
    <definedName name="동향10_1" localSheetId="0" hidden="1">{#N/A,#N/A,FALSE,"해외크레임";#N/A,#N/A,FALSE,"ACCENT현황";#N/A,#N/A,FALSE,"AVANTE";#N/A,#N/A,FALSE,"SONATA(3)";#N/A,#N/A,FALSE,"국내크레임"}</definedName>
    <definedName name="동향10_1" hidden="1">{#N/A,#N/A,FALSE,"해외크레임";#N/A,#N/A,FALSE,"ACCENT현황";#N/A,#N/A,FALSE,"AVANTE";#N/A,#N/A,FALSE,"SONATA(3)";#N/A,#N/A,FALSE,"국내크레임"}</definedName>
    <definedName name="동향10_1_1" localSheetId="26" hidden="1">{#N/A,#N/A,FALSE,"해외크레임";#N/A,#N/A,FALSE,"ACCENT현황";#N/A,#N/A,FALSE,"AVANTE";#N/A,#N/A,FALSE,"SONATA(3)";#N/A,#N/A,FALSE,"국내크레임"}</definedName>
    <definedName name="동향10_1_1" localSheetId="0" hidden="1">{#N/A,#N/A,FALSE,"해외크레임";#N/A,#N/A,FALSE,"ACCENT현황";#N/A,#N/A,FALSE,"AVANTE";#N/A,#N/A,FALSE,"SONATA(3)";#N/A,#N/A,FALSE,"국내크레임"}</definedName>
    <definedName name="동향10_1_1" hidden="1">{#N/A,#N/A,FALSE,"해외크레임";#N/A,#N/A,FALSE,"ACCENT현황";#N/A,#N/A,FALSE,"AVANTE";#N/A,#N/A,FALSE,"SONATA(3)";#N/A,#N/A,FALSE,"국내크레임"}</definedName>
    <definedName name="동향10_1_2" localSheetId="26" hidden="1">{#N/A,#N/A,FALSE,"해외크레임";#N/A,#N/A,FALSE,"ACCENT현황";#N/A,#N/A,FALSE,"AVANTE";#N/A,#N/A,FALSE,"SONATA(3)";#N/A,#N/A,FALSE,"국내크레임"}</definedName>
    <definedName name="동향10_1_2" localSheetId="0" hidden="1">{#N/A,#N/A,FALSE,"해외크레임";#N/A,#N/A,FALSE,"ACCENT현황";#N/A,#N/A,FALSE,"AVANTE";#N/A,#N/A,FALSE,"SONATA(3)";#N/A,#N/A,FALSE,"국내크레임"}</definedName>
    <definedName name="동향10_1_2" hidden="1">{#N/A,#N/A,FALSE,"해외크레임";#N/A,#N/A,FALSE,"ACCENT현황";#N/A,#N/A,FALSE,"AVANTE";#N/A,#N/A,FALSE,"SONATA(3)";#N/A,#N/A,FALSE,"국내크레임"}</definedName>
    <definedName name="동향10_1_3" localSheetId="26" hidden="1">{#N/A,#N/A,FALSE,"해외크레임";#N/A,#N/A,FALSE,"ACCENT현황";#N/A,#N/A,FALSE,"AVANTE";#N/A,#N/A,FALSE,"SONATA(3)";#N/A,#N/A,FALSE,"국내크레임"}</definedName>
    <definedName name="동향10_1_3" localSheetId="0" hidden="1">{#N/A,#N/A,FALSE,"해외크레임";#N/A,#N/A,FALSE,"ACCENT현황";#N/A,#N/A,FALSE,"AVANTE";#N/A,#N/A,FALSE,"SONATA(3)";#N/A,#N/A,FALSE,"국내크레임"}</definedName>
    <definedName name="동향10_1_3" hidden="1">{#N/A,#N/A,FALSE,"해외크레임";#N/A,#N/A,FALSE,"ACCENT현황";#N/A,#N/A,FALSE,"AVANTE";#N/A,#N/A,FALSE,"SONATA(3)";#N/A,#N/A,FALSE,"국내크레임"}</definedName>
    <definedName name="동향10_2" localSheetId="26" hidden="1">{#N/A,#N/A,FALSE,"해외크레임";#N/A,#N/A,FALSE,"ACCENT현황";#N/A,#N/A,FALSE,"AVANTE";#N/A,#N/A,FALSE,"SONATA(3)";#N/A,#N/A,FALSE,"국내크레임"}</definedName>
    <definedName name="동향10_2" localSheetId="0" hidden="1">{#N/A,#N/A,FALSE,"해외크레임";#N/A,#N/A,FALSE,"ACCENT현황";#N/A,#N/A,FALSE,"AVANTE";#N/A,#N/A,FALSE,"SONATA(3)";#N/A,#N/A,FALSE,"국내크레임"}</definedName>
    <definedName name="동향10_2" hidden="1">{#N/A,#N/A,FALSE,"해외크레임";#N/A,#N/A,FALSE,"ACCENT현황";#N/A,#N/A,FALSE,"AVANTE";#N/A,#N/A,FALSE,"SONATA(3)";#N/A,#N/A,FALSE,"국내크레임"}</definedName>
    <definedName name="동향10_2_1" localSheetId="26" hidden="1">{#N/A,#N/A,FALSE,"해외크레임";#N/A,#N/A,FALSE,"ACCENT현황";#N/A,#N/A,FALSE,"AVANTE";#N/A,#N/A,FALSE,"SONATA(3)";#N/A,#N/A,FALSE,"국내크레임"}</definedName>
    <definedName name="동향10_2_1" localSheetId="0" hidden="1">{#N/A,#N/A,FALSE,"해외크레임";#N/A,#N/A,FALSE,"ACCENT현황";#N/A,#N/A,FALSE,"AVANTE";#N/A,#N/A,FALSE,"SONATA(3)";#N/A,#N/A,FALSE,"국내크레임"}</definedName>
    <definedName name="동향10_2_1" hidden="1">{#N/A,#N/A,FALSE,"해외크레임";#N/A,#N/A,FALSE,"ACCENT현황";#N/A,#N/A,FALSE,"AVANTE";#N/A,#N/A,FALSE,"SONATA(3)";#N/A,#N/A,FALSE,"국내크레임"}</definedName>
    <definedName name="동향10_2_2" localSheetId="26" hidden="1">{#N/A,#N/A,FALSE,"해외크레임";#N/A,#N/A,FALSE,"ACCENT현황";#N/A,#N/A,FALSE,"AVANTE";#N/A,#N/A,FALSE,"SONATA(3)";#N/A,#N/A,FALSE,"국내크레임"}</definedName>
    <definedName name="동향10_2_2" localSheetId="0" hidden="1">{#N/A,#N/A,FALSE,"해외크레임";#N/A,#N/A,FALSE,"ACCENT현황";#N/A,#N/A,FALSE,"AVANTE";#N/A,#N/A,FALSE,"SONATA(3)";#N/A,#N/A,FALSE,"국내크레임"}</definedName>
    <definedName name="동향10_2_2" hidden="1">{#N/A,#N/A,FALSE,"해외크레임";#N/A,#N/A,FALSE,"ACCENT현황";#N/A,#N/A,FALSE,"AVANTE";#N/A,#N/A,FALSE,"SONATA(3)";#N/A,#N/A,FALSE,"국내크레임"}</definedName>
    <definedName name="동향10_3" localSheetId="26" hidden="1">{#N/A,#N/A,FALSE,"해외크레임";#N/A,#N/A,FALSE,"ACCENT현황";#N/A,#N/A,FALSE,"AVANTE";#N/A,#N/A,FALSE,"SONATA(3)";#N/A,#N/A,FALSE,"국내크레임"}</definedName>
    <definedName name="동향10_3" localSheetId="0" hidden="1">{#N/A,#N/A,FALSE,"해외크레임";#N/A,#N/A,FALSE,"ACCENT현황";#N/A,#N/A,FALSE,"AVANTE";#N/A,#N/A,FALSE,"SONATA(3)";#N/A,#N/A,FALSE,"국내크레임"}</definedName>
    <definedName name="동향10_3" hidden="1">{#N/A,#N/A,FALSE,"해외크레임";#N/A,#N/A,FALSE,"ACCENT현황";#N/A,#N/A,FALSE,"AVANTE";#N/A,#N/A,FALSE,"SONATA(3)";#N/A,#N/A,FALSE,"국내크레임"}</definedName>
    <definedName name="동향10_4" localSheetId="26" hidden="1">{#N/A,#N/A,FALSE,"해외크레임";#N/A,#N/A,FALSE,"ACCENT현황";#N/A,#N/A,FALSE,"AVANTE";#N/A,#N/A,FALSE,"SONATA(3)";#N/A,#N/A,FALSE,"국내크레임"}</definedName>
    <definedName name="동향10_4" localSheetId="0" hidden="1">{#N/A,#N/A,FALSE,"해외크레임";#N/A,#N/A,FALSE,"ACCENT현황";#N/A,#N/A,FALSE,"AVANTE";#N/A,#N/A,FALSE,"SONATA(3)";#N/A,#N/A,FALSE,"국내크레임"}</definedName>
    <definedName name="동향10_4" hidden="1">{#N/A,#N/A,FALSE,"해외크레임";#N/A,#N/A,FALSE,"ACCENT현황";#N/A,#N/A,FALSE,"AVANTE";#N/A,#N/A,FALSE,"SONATA(3)";#N/A,#N/A,FALSE,"국내크레임"}</definedName>
    <definedName name="동향10_5" localSheetId="26" hidden="1">{#N/A,#N/A,FALSE,"해외크레임";#N/A,#N/A,FALSE,"ACCENT현황";#N/A,#N/A,FALSE,"AVANTE";#N/A,#N/A,FALSE,"SONATA(3)";#N/A,#N/A,FALSE,"국내크레임"}</definedName>
    <definedName name="동향10_5" localSheetId="0" hidden="1">{#N/A,#N/A,FALSE,"해외크레임";#N/A,#N/A,FALSE,"ACCENT현황";#N/A,#N/A,FALSE,"AVANTE";#N/A,#N/A,FALSE,"SONATA(3)";#N/A,#N/A,FALSE,"국내크레임"}</definedName>
    <definedName name="동향10_5" hidden="1">{#N/A,#N/A,FALSE,"해외크레임";#N/A,#N/A,FALSE,"ACCENT현황";#N/A,#N/A,FALSE,"AVANTE";#N/A,#N/A,FALSE,"SONATA(3)";#N/A,#N/A,FALSE,"국내크레임"}</definedName>
    <definedName name="동향11" localSheetId="26" hidden="1">{#N/A,#N/A,FALSE,"해외크레임";#N/A,#N/A,FALSE,"ACCENT현황";#N/A,#N/A,FALSE,"AVANTE";#N/A,#N/A,FALSE,"SONATA(3)";#N/A,#N/A,FALSE,"국내크레임"}</definedName>
    <definedName name="동향11" localSheetId="0" hidden="1">{#N/A,#N/A,FALSE,"해외크레임";#N/A,#N/A,FALSE,"ACCENT현황";#N/A,#N/A,FALSE,"AVANTE";#N/A,#N/A,FALSE,"SONATA(3)";#N/A,#N/A,FALSE,"국내크레임"}</definedName>
    <definedName name="동향11" hidden="1">{#N/A,#N/A,FALSE,"해외크레임";#N/A,#N/A,FALSE,"ACCENT현황";#N/A,#N/A,FALSE,"AVANTE";#N/A,#N/A,FALSE,"SONATA(3)";#N/A,#N/A,FALSE,"국내크레임"}</definedName>
    <definedName name="동향11_1" localSheetId="26" hidden="1">{#N/A,#N/A,FALSE,"해외크레임";#N/A,#N/A,FALSE,"ACCENT현황";#N/A,#N/A,FALSE,"AVANTE";#N/A,#N/A,FALSE,"SONATA(3)";#N/A,#N/A,FALSE,"국내크레임"}</definedName>
    <definedName name="동향11_1" localSheetId="0" hidden="1">{#N/A,#N/A,FALSE,"해외크레임";#N/A,#N/A,FALSE,"ACCENT현황";#N/A,#N/A,FALSE,"AVANTE";#N/A,#N/A,FALSE,"SONATA(3)";#N/A,#N/A,FALSE,"국내크레임"}</definedName>
    <definedName name="동향11_1" hidden="1">{#N/A,#N/A,FALSE,"해외크레임";#N/A,#N/A,FALSE,"ACCENT현황";#N/A,#N/A,FALSE,"AVANTE";#N/A,#N/A,FALSE,"SONATA(3)";#N/A,#N/A,FALSE,"국내크레임"}</definedName>
    <definedName name="동향11_1_1" localSheetId="26" hidden="1">{#N/A,#N/A,FALSE,"해외크레임";#N/A,#N/A,FALSE,"ACCENT현황";#N/A,#N/A,FALSE,"AVANTE";#N/A,#N/A,FALSE,"SONATA(3)";#N/A,#N/A,FALSE,"국내크레임"}</definedName>
    <definedName name="동향11_1_1" localSheetId="0" hidden="1">{#N/A,#N/A,FALSE,"해외크레임";#N/A,#N/A,FALSE,"ACCENT현황";#N/A,#N/A,FALSE,"AVANTE";#N/A,#N/A,FALSE,"SONATA(3)";#N/A,#N/A,FALSE,"국내크레임"}</definedName>
    <definedName name="동향11_1_1" hidden="1">{#N/A,#N/A,FALSE,"해외크레임";#N/A,#N/A,FALSE,"ACCENT현황";#N/A,#N/A,FALSE,"AVANTE";#N/A,#N/A,FALSE,"SONATA(3)";#N/A,#N/A,FALSE,"국내크레임"}</definedName>
    <definedName name="동향11_1_2" localSheetId="26" hidden="1">{#N/A,#N/A,FALSE,"해외크레임";#N/A,#N/A,FALSE,"ACCENT현황";#N/A,#N/A,FALSE,"AVANTE";#N/A,#N/A,FALSE,"SONATA(3)";#N/A,#N/A,FALSE,"국내크레임"}</definedName>
    <definedName name="동향11_1_2" localSheetId="0" hidden="1">{#N/A,#N/A,FALSE,"해외크레임";#N/A,#N/A,FALSE,"ACCENT현황";#N/A,#N/A,FALSE,"AVANTE";#N/A,#N/A,FALSE,"SONATA(3)";#N/A,#N/A,FALSE,"국내크레임"}</definedName>
    <definedName name="동향11_1_2" hidden="1">{#N/A,#N/A,FALSE,"해외크레임";#N/A,#N/A,FALSE,"ACCENT현황";#N/A,#N/A,FALSE,"AVANTE";#N/A,#N/A,FALSE,"SONATA(3)";#N/A,#N/A,FALSE,"국내크레임"}</definedName>
    <definedName name="동향11_1_3" localSheetId="26" hidden="1">{#N/A,#N/A,FALSE,"해외크레임";#N/A,#N/A,FALSE,"ACCENT현황";#N/A,#N/A,FALSE,"AVANTE";#N/A,#N/A,FALSE,"SONATA(3)";#N/A,#N/A,FALSE,"국내크레임"}</definedName>
    <definedName name="동향11_1_3" localSheetId="0" hidden="1">{#N/A,#N/A,FALSE,"해외크레임";#N/A,#N/A,FALSE,"ACCENT현황";#N/A,#N/A,FALSE,"AVANTE";#N/A,#N/A,FALSE,"SONATA(3)";#N/A,#N/A,FALSE,"국내크레임"}</definedName>
    <definedName name="동향11_1_3" hidden="1">{#N/A,#N/A,FALSE,"해외크레임";#N/A,#N/A,FALSE,"ACCENT현황";#N/A,#N/A,FALSE,"AVANTE";#N/A,#N/A,FALSE,"SONATA(3)";#N/A,#N/A,FALSE,"국내크레임"}</definedName>
    <definedName name="동향11_2" localSheetId="26" hidden="1">{#N/A,#N/A,FALSE,"해외크레임";#N/A,#N/A,FALSE,"ACCENT현황";#N/A,#N/A,FALSE,"AVANTE";#N/A,#N/A,FALSE,"SONATA(3)";#N/A,#N/A,FALSE,"국내크레임"}</definedName>
    <definedName name="동향11_2" localSheetId="0" hidden="1">{#N/A,#N/A,FALSE,"해외크레임";#N/A,#N/A,FALSE,"ACCENT현황";#N/A,#N/A,FALSE,"AVANTE";#N/A,#N/A,FALSE,"SONATA(3)";#N/A,#N/A,FALSE,"국내크레임"}</definedName>
    <definedName name="동향11_2" hidden="1">{#N/A,#N/A,FALSE,"해외크레임";#N/A,#N/A,FALSE,"ACCENT현황";#N/A,#N/A,FALSE,"AVANTE";#N/A,#N/A,FALSE,"SONATA(3)";#N/A,#N/A,FALSE,"국내크레임"}</definedName>
    <definedName name="동향11_2_1" localSheetId="26" hidden="1">{#N/A,#N/A,FALSE,"해외크레임";#N/A,#N/A,FALSE,"ACCENT현황";#N/A,#N/A,FALSE,"AVANTE";#N/A,#N/A,FALSE,"SONATA(3)";#N/A,#N/A,FALSE,"국내크레임"}</definedName>
    <definedName name="동향11_2_1" localSheetId="0" hidden="1">{#N/A,#N/A,FALSE,"해외크레임";#N/A,#N/A,FALSE,"ACCENT현황";#N/A,#N/A,FALSE,"AVANTE";#N/A,#N/A,FALSE,"SONATA(3)";#N/A,#N/A,FALSE,"국내크레임"}</definedName>
    <definedName name="동향11_2_1" hidden="1">{#N/A,#N/A,FALSE,"해외크레임";#N/A,#N/A,FALSE,"ACCENT현황";#N/A,#N/A,FALSE,"AVANTE";#N/A,#N/A,FALSE,"SONATA(3)";#N/A,#N/A,FALSE,"국내크레임"}</definedName>
    <definedName name="동향11_2_2" localSheetId="26" hidden="1">{#N/A,#N/A,FALSE,"해외크레임";#N/A,#N/A,FALSE,"ACCENT현황";#N/A,#N/A,FALSE,"AVANTE";#N/A,#N/A,FALSE,"SONATA(3)";#N/A,#N/A,FALSE,"국내크레임"}</definedName>
    <definedName name="동향11_2_2" localSheetId="0" hidden="1">{#N/A,#N/A,FALSE,"해외크레임";#N/A,#N/A,FALSE,"ACCENT현황";#N/A,#N/A,FALSE,"AVANTE";#N/A,#N/A,FALSE,"SONATA(3)";#N/A,#N/A,FALSE,"국내크레임"}</definedName>
    <definedName name="동향11_2_2" hidden="1">{#N/A,#N/A,FALSE,"해외크레임";#N/A,#N/A,FALSE,"ACCENT현황";#N/A,#N/A,FALSE,"AVANTE";#N/A,#N/A,FALSE,"SONATA(3)";#N/A,#N/A,FALSE,"국내크레임"}</definedName>
    <definedName name="동향11_3" localSheetId="26" hidden="1">{#N/A,#N/A,FALSE,"해외크레임";#N/A,#N/A,FALSE,"ACCENT현황";#N/A,#N/A,FALSE,"AVANTE";#N/A,#N/A,FALSE,"SONATA(3)";#N/A,#N/A,FALSE,"국내크레임"}</definedName>
    <definedName name="동향11_3" localSheetId="0" hidden="1">{#N/A,#N/A,FALSE,"해외크레임";#N/A,#N/A,FALSE,"ACCENT현황";#N/A,#N/A,FALSE,"AVANTE";#N/A,#N/A,FALSE,"SONATA(3)";#N/A,#N/A,FALSE,"국내크레임"}</definedName>
    <definedName name="동향11_3" hidden="1">{#N/A,#N/A,FALSE,"해외크레임";#N/A,#N/A,FALSE,"ACCENT현황";#N/A,#N/A,FALSE,"AVANTE";#N/A,#N/A,FALSE,"SONATA(3)";#N/A,#N/A,FALSE,"국내크레임"}</definedName>
    <definedName name="동향11_4" localSheetId="26" hidden="1">{#N/A,#N/A,FALSE,"해외크레임";#N/A,#N/A,FALSE,"ACCENT현황";#N/A,#N/A,FALSE,"AVANTE";#N/A,#N/A,FALSE,"SONATA(3)";#N/A,#N/A,FALSE,"국내크레임"}</definedName>
    <definedName name="동향11_4" localSheetId="0" hidden="1">{#N/A,#N/A,FALSE,"해외크레임";#N/A,#N/A,FALSE,"ACCENT현황";#N/A,#N/A,FALSE,"AVANTE";#N/A,#N/A,FALSE,"SONATA(3)";#N/A,#N/A,FALSE,"국내크레임"}</definedName>
    <definedName name="동향11_4" hidden="1">{#N/A,#N/A,FALSE,"해외크레임";#N/A,#N/A,FALSE,"ACCENT현황";#N/A,#N/A,FALSE,"AVANTE";#N/A,#N/A,FALSE,"SONATA(3)";#N/A,#N/A,FALSE,"국내크레임"}</definedName>
    <definedName name="동향11_5" localSheetId="26" hidden="1">{#N/A,#N/A,FALSE,"해외크레임";#N/A,#N/A,FALSE,"ACCENT현황";#N/A,#N/A,FALSE,"AVANTE";#N/A,#N/A,FALSE,"SONATA(3)";#N/A,#N/A,FALSE,"국내크레임"}</definedName>
    <definedName name="동향11_5" localSheetId="0" hidden="1">{#N/A,#N/A,FALSE,"해외크레임";#N/A,#N/A,FALSE,"ACCENT현황";#N/A,#N/A,FALSE,"AVANTE";#N/A,#N/A,FALSE,"SONATA(3)";#N/A,#N/A,FALSE,"국내크레임"}</definedName>
    <definedName name="동향11_5" hidden="1">{#N/A,#N/A,FALSE,"해외크레임";#N/A,#N/A,FALSE,"ACCENT현황";#N/A,#N/A,FALSE,"AVANTE";#N/A,#N/A,FALSE,"SONATA(3)";#N/A,#N/A,FALSE,"국내크레임"}</definedName>
    <definedName name="동향7" localSheetId="26" hidden="1">{#N/A,#N/A,FALSE,"해외크레임";#N/A,#N/A,FALSE,"ACCENT현황";#N/A,#N/A,FALSE,"AVANTE";#N/A,#N/A,FALSE,"SONATA(3)";#N/A,#N/A,FALSE,"국내크레임"}</definedName>
    <definedName name="동향7" localSheetId="0" hidden="1">{#N/A,#N/A,FALSE,"해외크레임";#N/A,#N/A,FALSE,"ACCENT현황";#N/A,#N/A,FALSE,"AVANTE";#N/A,#N/A,FALSE,"SONATA(3)";#N/A,#N/A,FALSE,"국내크레임"}</definedName>
    <definedName name="동향7" hidden="1">{#N/A,#N/A,FALSE,"해외크레임";#N/A,#N/A,FALSE,"ACCENT현황";#N/A,#N/A,FALSE,"AVANTE";#N/A,#N/A,FALSE,"SONATA(3)";#N/A,#N/A,FALSE,"국내크레임"}</definedName>
    <definedName name="동향7_1" localSheetId="26" hidden="1">{#N/A,#N/A,FALSE,"해외크레임";#N/A,#N/A,FALSE,"ACCENT현황";#N/A,#N/A,FALSE,"AVANTE";#N/A,#N/A,FALSE,"SONATA(3)";#N/A,#N/A,FALSE,"국내크레임"}</definedName>
    <definedName name="동향7_1" localSheetId="0" hidden="1">{#N/A,#N/A,FALSE,"해외크레임";#N/A,#N/A,FALSE,"ACCENT현황";#N/A,#N/A,FALSE,"AVANTE";#N/A,#N/A,FALSE,"SONATA(3)";#N/A,#N/A,FALSE,"국내크레임"}</definedName>
    <definedName name="동향7_1" hidden="1">{#N/A,#N/A,FALSE,"해외크레임";#N/A,#N/A,FALSE,"ACCENT현황";#N/A,#N/A,FALSE,"AVANTE";#N/A,#N/A,FALSE,"SONATA(3)";#N/A,#N/A,FALSE,"국내크레임"}</definedName>
    <definedName name="동향7_1_1" localSheetId="26" hidden="1">{#N/A,#N/A,FALSE,"해외크레임";#N/A,#N/A,FALSE,"ACCENT현황";#N/A,#N/A,FALSE,"AVANTE";#N/A,#N/A,FALSE,"SONATA(3)";#N/A,#N/A,FALSE,"국내크레임"}</definedName>
    <definedName name="동향7_1_1" localSheetId="0" hidden="1">{#N/A,#N/A,FALSE,"해외크레임";#N/A,#N/A,FALSE,"ACCENT현황";#N/A,#N/A,FALSE,"AVANTE";#N/A,#N/A,FALSE,"SONATA(3)";#N/A,#N/A,FALSE,"국내크레임"}</definedName>
    <definedName name="동향7_1_1" hidden="1">{#N/A,#N/A,FALSE,"해외크레임";#N/A,#N/A,FALSE,"ACCENT현황";#N/A,#N/A,FALSE,"AVANTE";#N/A,#N/A,FALSE,"SONATA(3)";#N/A,#N/A,FALSE,"국내크레임"}</definedName>
    <definedName name="동향7_1_2" localSheetId="26" hidden="1">{#N/A,#N/A,FALSE,"해외크레임";#N/A,#N/A,FALSE,"ACCENT현황";#N/A,#N/A,FALSE,"AVANTE";#N/A,#N/A,FALSE,"SONATA(3)";#N/A,#N/A,FALSE,"국내크레임"}</definedName>
    <definedName name="동향7_1_2" localSheetId="0" hidden="1">{#N/A,#N/A,FALSE,"해외크레임";#N/A,#N/A,FALSE,"ACCENT현황";#N/A,#N/A,FALSE,"AVANTE";#N/A,#N/A,FALSE,"SONATA(3)";#N/A,#N/A,FALSE,"국내크레임"}</definedName>
    <definedName name="동향7_1_2" hidden="1">{#N/A,#N/A,FALSE,"해외크레임";#N/A,#N/A,FALSE,"ACCENT현황";#N/A,#N/A,FALSE,"AVANTE";#N/A,#N/A,FALSE,"SONATA(3)";#N/A,#N/A,FALSE,"국내크레임"}</definedName>
    <definedName name="동향7_1_3" localSheetId="26" hidden="1">{#N/A,#N/A,FALSE,"해외크레임";#N/A,#N/A,FALSE,"ACCENT현황";#N/A,#N/A,FALSE,"AVANTE";#N/A,#N/A,FALSE,"SONATA(3)";#N/A,#N/A,FALSE,"국내크레임"}</definedName>
    <definedName name="동향7_1_3" localSheetId="0" hidden="1">{#N/A,#N/A,FALSE,"해외크레임";#N/A,#N/A,FALSE,"ACCENT현황";#N/A,#N/A,FALSE,"AVANTE";#N/A,#N/A,FALSE,"SONATA(3)";#N/A,#N/A,FALSE,"국내크레임"}</definedName>
    <definedName name="동향7_1_3" hidden="1">{#N/A,#N/A,FALSE,"해외크레임";#N/A,#N/A,FALSE,"ACCENT현황";#N/A,#N/A,FALSE,"AVANTE";#N/A,#N/A,FALSE,"SONATA(3)";#N/A,#N/A,FALSE,"국내크레임"}</definedName>
    <definedName name="동향7_2" localSheetId="26" hidden="1">{#N/A,#N/A,FALSE,"해외크레임";#N/A,#N/A,FALSE,"ACCENT현황";#N/A,#N/A,FALSE,"AVANTE";#N/A,#N/A,FALSE,"SONATA(3)";#N/A,#N/A,FALSE,"국내크레임"}</definedName>
    <definedName name="동향7_2" localSheetId="0" hidden="1">{#N/A,#N/A,FALSE,"해외크레임";#N/A,#N/A,FALSE,"ACCENT현황";#N/A,#N/A,FALSE,"AVANTE";#N/A,#N/A,FALSE,"SONATA(3)";#N/A,#N/A,FALSE,"국내크레임"}</definedName>
    <definedName name="동향7_2" hidden="1">{#N/A,#N/A,FALSE,"해외크레임";#N/A,#N/A,FALSE,"ACCENT현황";#N/A,#N/A,FALSE,"AVANTE";#N/A,#N/A,FALSE,"SONATA(3)";#N/A,#N/A,FALSE,"국내크레임"}</definedName>
    <definedName name="동향7_2_1" localSheetId="26" hidden="1">{#N/A,#N/A,FALSE,"해외크레임";#N/A,#N/A,FALSE,"ACCENT현황";#N/A,#N/A,FALSE,"AVANTE";#N/A,#N/A,FALSE,"SONATA(3)";#N/A,#N/A,FALSE,"국내크레임"}</definedName>
    <definedName name="동향7_2_1" localSheetId="0" hidden="1">{#N/A,#N/A,FALSE,"해외크레임";#N/A,#N/A,FALSE,"ACCENT현황";#N/A,#N/A,FALSE,"AVANTE";#N/A,#N/A,FALSE,"SONATA(3)";#N/A,#N/A,FALSE,"국내크레임"}</definedName>
    <definedName name="동향7_2_1" hidden="1">{#N/A,#N/A,FALSE,"해외크레임";#N/A,#N/A,FALSE,"ACCENT현황";#N/A,#N/A,FALSE,"AVANTE";#N/A,#N/A,FALSE,"SONATA(3)";#N/A,#N/A,FALSE,"국내크레임"}</definedName>
    <definedName name="동향7_2_2" localSheetId="26" hidden="1">{#N/A,#N/A,FALSE,"해외크레임";#N/A,#N/A,FALSE,"ACCENT현황";#N/A,#N/A,FALSE,"AVANTE";#N/A,#N/A,FALSE,"SONATA(3)";#N/A,#N/A,FALSE,"국내크레임"}</definedName>
    <definedName name="동향7_2_2" localSheetId="0" hidden="1">{#N/A,#N/A,FALSE,"해외크레임";#N/A,#N/A,FALSE,"ACCENT현황";#N/A,#N/A,FALSE,"AVANTE";#N/A,#N/A,FALSE,"SONATA(3)";#N/A,#N/A,FALSE,"국내크레임"}</definedName>
    <definedName name="동향7_2_2" hidden="1">{#N/A,#N/A,FALSE,"해외크레임";#N/A,#N/A,FALSE,"ACCENT현황";#N/A,#N/A,FALSE,"AVANTE";#N/A,#N/A,FALSE,"SONATA(3)";#N/A,#N/A,FALSE,"국내크레임"}</definedName>
    <definedName name="동향7_3" localSheetId="26" hidden="1">{#N/A,#N/A,FALSE,"해외크레임";#N/A,#N/A,FALSE,"ACCENT현황";#N/A,#N/A,FALSE,"AVANTE";#N/A,#N/A,FALSE,"SONATA(3)";#N/A,#N/A,FALSE,"국내크레임"}</definedName>
    <definedName name="동향7_3" localSheetId="0" hidden="1">{#N/A,#N/A,FALSE,"해외크레임";#N/A,#N/A,FALSE,"ACCENT현황";#N/A,#N/A,FALSE,"AVANTE";#N/A,#N/A,FALSE,"SONATA(3)";#N/A,#N/A,FALSE,"국내크레임"}</definedName>
    <definedName name="동향7_3" hidden="1">{#N/A,#N/A,FALSE,"해외크레임";#N/A,#N/A,FALSE,"ACCENT현황";#N/A,#N/A,FALSE,"AVANTE";#N/A,#N/A,FALSE,"SONATA(3)";#N/A,#N/A,FALSE,"국내크레임"}</definedName>
    <definedName name="동향7_4" localSheetId="26" hidden="1">{#N/A,#N/A,FALSE,"해외크레임";#N/A,#N/A,FALSE,"ACCENT현황";#N/A,#N/A,FALSE,"AVANTE";#N/A,#N/A,FALSE,"SONATA(3)";#N/A,#N/A,FALSE,"국내크레임"}</definedName>
    <definedName name="동향7_4" localSheetId="0" hidden="1">{#N/A,#N/A,FALSE,"해외크레임";#N/A,#N/A,FALSE,"ACCENT현황";#N/A,#N/A,FALSE,"AVANTE";#N/A,#N/A,FALSE,"SONATA(3)";#N/A,#N/A,FALSE,"국내크레임"}</definedName>
    <definedName name="동향7_4" hidden="1">{#N/A,#N/A,FALSE,"해외크레임";#N/A,#N/A,FALSE,"ACCENT현황";#N/A,#N/A,FALSE,"AVANTE";#N/A,#N/A,FALSE,"SONATA(3)";#N/A,#N/A,FALSE,"국내크레임"}</definedName>
    <definedName name="동향7_5" localSheetId="26" hidden="1">{#N/A,#N/A,FALSE,"해외크레임";#N/A,#N/A,FALSE,"ACCENT현황";#N/A,#N/A,FALSE,"AVANTE";#N/A,#N/A,FALSE,"SONATA(3)";#N/A,#N/A,FALSE,"국내크레임"}</definedName>
    <definedName name="동향7_5" localSheetId="0" hidden="1">{#N/A,#N/A,FALSE,"해외크레임";#N/A,#N/A,FALSE,"ACCENT현황";#N/A,#N/A,FALSE,"AVANTE";#N/A,#N/A,FALSE,"SONATA(3)";#N/A,#N/A,FALSE,"국내크레임"}</definedName>
    <definedName name="동향7_5" hidden="1">{#N/A,#N/A,FALSE,"해외크레임";#N/A,#N/A,FALSE,"ACCENT현황";#N/A,#N/A,FALSE,"AVANTE";#N/A,#N/A,FALSE,"SONATA(3)";#N/A,#N/A,FALSE,"국내크레임"}</definedName>
    <definedName name="로커커버" localSheetId="26" hidden="1">{#N/A,#N/A,FALSE,"단축1";#N/A,#N/A,FALSE,"단축2";#N/A,#N/A,FALSE,"단축3";#N/A,#N/A,FALSE,"장축";#N/A,#N/A,FALSE,"4WD"}</definedName>
    <definedName name="로커커버" localSheetId="0" hidden="1">{#N/A,#N/A,FALSE,"단축1";#N/A,#N/A,FALSE,"단축2";#N/A,#N/A,FALSE,"단축3";#N/A,#N/A,FALSE,"장축";#N/A,#N/A,FALSE,"4WD"}</definedName>
    <definedName name="로커커버" hidden="1">{#N/A,#N/A,FALSE,"단축1";#N/A,#N/A,FALSE,"단축2";#N/A,#N/A,FALSE,"단축3";#N/A,#N/A,FALSE,"장축";#N/A,#N/A,FALSE,"4WD"}</definedName>
    <definedName name="로커커버_1" localSheetId="26" hidden="1">{#N/A,#N/A,FALSE,"단축1";#N/A,#N/A,FALSE,"단축2";#N/A,#N/A,FALSE,"단축3";#N/A,#N/A,FALSE,"장축";#N/A,#N/A,FALSE,"4WD"}</definedName>
    <definedName name="로커커버_1" localSheetId="0" hidden="1">{#N/A,#N/A,FALSE,"단축1";#N/A,#N/A,FALSE,"단축2";#N/A,#N/A,FALSE,"단축3";#N/A,#N/A,FALSE,"장축";#N/A,#N/A,FALSE,"4WD"}</definedName>
    <definedName name="로커커버_1" hidden="1">{#N/A,#N/A,FALSE,"단축1";#N/A,#N/A,FALSE,"단축2";#N/A,#N/A,FALSE,"단축3";#N/A,#N/A,FALSE,"장축";#N/A,#N/A,FALSE,"4WD"}</definedName>
    <definedName name="로커커버_1_1" localSheetId="26" hidden="1">{#N/A,#N/A,FALSE,"단축1";#N/A,#N/A,FALSE,"단축2";#N/A,#N/A,FALSE,"단축3";#N/A,#N/A,FALSE,"장축";#N/A,#N/A,FALSE,"4WD"}</definedName>
    <definedName name="로커커버_1_1" localSheetId="0" hidden="1">{#N/A,#N/A,FALSE,"단축1";#N/A,#N/A,FALSE,"단축2";#N/A,#N/A,FALSE,"단축3";#N/A,#N/A,FALSE,"장축";#N/A,#N/A,FALSE,"4WD"}</definedName>
    <definedName name="로커커버_1_1" hidden="1">{#N/A,#N/A,FALSE,"단축1";#N/A,#N/A,FALSE,"단축2";#N/A,#N/A,FALSE,"단축3";#N/A,#N/A,FALSE,"장축";#N/A,#N/A,FALSE,"4WD"}</definedName>
    <definedName name="로커커버_1_2" localSheetId="26" hidden="1">{#N/A,#N/A,FALSE,"단축1";#N/A,#N/A,FALSE,"단축2";#N/A,#N/A,FALSE,"단축3";#N/A,#N/A,FALSE,"장축";#N/A,#N/A,FALSE,"4WD"}</definedName>
    <definedName name="로커커버_1_2" localSheetId="0" hidden="1">{#N/A,#N/A,FALSE,"단축1";#N/A,#N/A,FALSE,"단축2";#N/A,#N/A,FALSE,"단축3";#N/A,#N/A,FALSE,"장축";#N/A,#N/A,FALSE,"4WD"}</definedName>
    <definedName name="로커커버_1_2" hidden="1">{#N/A,#N/A,FALSE,"단축1";#N/A,#N/A,FALSE,"단축2";#N/A,#N/A,FALSE,"단축3";#N/A,#N/A,FALSE,"장축";#N/A,#N/A,FALSE,"4WD"}</definedName>
    <definedName name="로커커버_1_3" localSheetId="26" hidden="1">{#N/A,#N/A,FALSE,"단축1";#N/A,#N/A,FALSE,"단축2";#N/A,#N/A,FALSE,"단축3";#N/A,#N/A,FALSE,"장축";#N/A,#N/A,FALSE,"4WD"}</definedName>
    <definedName name="로커커버_1_3" localSheetId="0" hidden="1">{#N/A,#N/A,FALSE,"단축1";#N/A,#N/A,FALSE,"단축2";#N/A,#N/A,FALSE,"단축3";#N/A,#N/A,FALSE,"장축";#N/A,#N/A,FALSE,"4WD"}</definedName>
    <definedName name="로커커버_1_3" hidden="1">{#N/A,#N/A,FALSE,"단축1";#N/A,#N/A,FALSE,"단축2";#N/A,#N/A,FALSE,"단축3";#N/A,#N/A,FALSE,"장축";#N/A,#N/A,FALSE,"4WD"}</definedName>
    <definedName name="로커커버_2" localSheetId="26" hidden="1">{#N/A,#N/A,FALSE,"단축1";#N/A,#N/A,FALSE,"단축2";#N/A,#N/A,FALSE,"단축3";#N/A,#N/A,FALSE,"장축";#N/A,#N/A,FALSE,"4WD"}</definedName>
    <definedName name="로커커버_2" localSheetId="0" hidden="1">{#N/A,#N/A,FALSE,"단축1";#N/A,#N/A,FALSE,"단축2";#N/A,#N/A,FALSE,"단축3";#N/A,#N/A,FALSE,"장축";#N/A,#N/A,FALSE,"4WD"}</definedName>
    <definedName name="로커커버_2" hidden="1">{#N/A,#N/A,FALSE,"단축1";#N/A,#N/A,FALSE,"단축2";#N/A,#N/A,FALSE,"단축3";#N/A,#N/A,FALSE,"장축";#N/A,#N/A,FALSE,"4WD"}</definedName>
    <definedName name="로커커버_2_1" localSheetId="26" hidden="1">{#N/A,#N/A,FALSE,"단축1";#N/A,#N/A,FALSE,"단축2";#N/A,#N/A,FALSE,"단축3";#N/A,#N/A,FALSE,"장축";#N/A,#N/A,FALSE,"4WD"}</definedName>
    <definedName name="로커커버_2_1" localSheetId="0" hidden="1">{#N/A,#N/A,FALSE,"단축1";#N/A,#N/A,FALSE,"단축2";#N/A,#N/A,FALSE,"단축3";#N/A,#N/A,FALSE,"장축";#N/A,#N/A,FALSE,"4WD"}</definedName>
    <definedName name="로커커버_2_1" hidden="1">{#N/A,#N/A,FALSE,"단축1";#N/A,#N/A,FALSE,"단축2";#N/A,#N/A,FALSE,"단축3";#N/A,#N/A,FALSE,"장축";#N/A,#N/A,FALSE,"4WD"}</definedName>
    <definedName name="로커커버_2_2" localSheetId="26" hidden="1">{#N/A,#N/A,FALSE,"단축1";#N/A,#N/A,FALSE,"단축2";#N/A,#N/A,FALSE,"단축3";#N/A,#N/A,FALSE,"장축";#N/A,#N/A,FALSE,"4WD"}</definedName>
    <definedName name="로커커버_2_2" localSheetId="0" hidden="1">{#N/A,#N/A,FALSE,"단축1";#N/A,#N/A,FALSE,"단축2";#N/A,#N/A,FALSE,"단축3";#N/A,#N/A,FALSE,"장축";#N/A,#N/A,FALSE,"4WD"}</definedName>
    <definedName name="로커커버_2_2" hidden="1">{#N/A,#N/A,FALSE,"단축1";#N/A,#N/A,FALSE,"단축2";#N/A,#N/A,FALSE,"단축3";#N/A,#N/A,FALSE,"장축";#N/A,#N/A,FALSE,"4WD"}</definedName>
    <definedName name="로커커버_3" localSheetId="26" hidden="1">{#N/A,#N/A,FALSE,"단축1";#N/A,#N/A,FALSE,"단축2";#N/A,#N/A,FALSE,"단축3";#N/A,#N/A,FALSE,"장축";#N/A,#N/A,FALSE,"4WD"}</definedName>
    <definedName name="로커커버_3" localSheetId="0" hidden="1">{#N/A,#N/A,FALSE,"단축1";#N/A,#N/A,FALSE,"단축2";#N/A,#N/A,FALSE,"단축3";#N/A,#N/A,FALSE,"장축";#N/A,#N/A,FALSE,"4WD"}</definedName>
    <definedName name="로커커버_3" hidden="1">{#N/A,#N/A,FALSE,"단축1";#N/A,#N/A,FALSE,"단축2";#N/A,#N/A,FALSE,"단축3";#N/A,#N/A,FALSE,"장축";#N/A,#N/A,FALSE,"4WD"}</definedName>
    <definedName name="로커커버_4" localSheetId="26" hidden="1">{#N/A,#N/A,FALSE,"단축1";#N/A,#N/A,FALSE,"단축2";#N/A,#N/A,FALSE,"단축3";#N/A,#N/A,FALSE,"장축";#N/A,#N/A,FALSE,"4WD"}</definedName>
    <definedName name="로커커버_4" localSheetId="0" hidden="1">{#N/A,#N/A,FALSE,"단축1";#N/A,#N/A,FALSE,"단축2";#N/A,#N/A,FALSE,"단축3";#N/A,#N/A,FALSE,"장축";#N/A,#N/A,FALSE,"4WD"}</definedName>
    <definedName name="로커커버_4" hidden="1">{#N/A,#N/A,FALSE,"단축1";#N/A,#N/A,FALSE,"단축2";#N/A,#N/A,FALSE,"단축3";#N/A,#N/A,FALSE,"장축";#N/A,#N/A,FALSE,"4WD"}</definedName>
    <definedName name="로커커버_5" localSheetId="26" hidden="1">{#N/A,#N/A,FALSE,"단축1";#N/A,#N/A,FALSE,"단축2";#N/A,#N/A,FALSE,"단축3";#N/A,#N/A,FALSE,"장축";#N/A,#N/A,FALSE,"4WD"}</definedName>
    <definedName name="로커커버_5" localSheetId="0" hidden="1">{#N/A,#N/A,FALSE,"단축1";#N/A,#N/A,FALSE,"단축2";#N/A,#N/A,FALSE,"단축3";#N/A,#N/A,FALSE,"장축";#N/A,#N/A,FALSE,"4WD"}</definedName>
    <definedName name="로커커버_5" hidden="1">{#N/A,#N/A,FALSE,"단축1";#N/A,#N/A,FALSE,"단축2";#N/A,#N/A,FALSE,"단축3";#N/A,#N/A,FALSE,"장축";#N/A,#N/A,FALSE,"4WD"}</definedName>
    <definedName name="롱" localSheetId="26" hidden="1">{#N/A,#N/A,FALSE,"단축1";#N/A,#N/A,FALSE,"단축2";#N/A,#N/A,FALSE,"단축3";#N/A,#N/A,FALSE,"장축";#N/A,#N/A,FALSE,"4WD"}</definedName>
    <definedName name="롱" localSheetId="0" hidden="1">{#N/A,#N/A,FALSE,"단축1";#N/A,#N/A,FALSE,"단축2";#N/A,#N/A,FALSE,"단축3";#N/A,#N/A,FALSE,"장축";#N/A,#N/A,FALSE,"4WD"}</definedName>
    <definedName name="롱" hidden="1">{#N/A,#N/A,FALSE,"단축1";#N/A,#N/A,FALSE,"단축2";#N/A,#N/A,FALSE,"단축3";#N/A,#N/A,FALSE,"장축";#N/A,#N/A,FALSE,"4WD"}</definedName>
    <definedName name="롱_1" localSheetId="26" hidden="1">{#N/A,#N/A,FALSE,"단축1";#N/A,#N/A,FALSE,"단축2";#N/A,#N/A,FALSE,"단축3";#N/A,#N/A,FALSE,"장축";#N/A,#N/A,FALSE,"4WD"}</definedName>
    <definedName name="롱_1" localSheetId="0" hidden="1">{#N/A,#N/A,FALSE,"단축1";#N/A,#N/A,FALSE,"단축2";#N/A,#N/A,FALSE,"단축3";#N/A,#N/A,FALSE,"장축";#N/A,#N/A,FALSE,"4WD"}</definedName>
    <definedName name="롱_1" hidden="1">{#N/A,#N/A,FALSE,"단축1";#N/A,#N/A,FALSE,"단축2";#N/A,#N/A,FALSE,"단축3";#N/A,#N/A,FALSE,"장축";#N/A,#N/A,FALSE,"4WD"}</definedName>
    <definedName name="롱_1_1" localSheetId="26" hidden="1">{#N/A,#N/A,FALSE,"단축1";#N/A,#N/A,FALSE,"단축2";#N/A,#N/A,FALSE,"단축3";#N/A,#N/A,FALSE,"장축";#N/A,#N/A,FALSE,"4WD"}</definedName>
    <definedName name="롱_1_1" localSheetId="0" hidden="1">{#N/A,#N/A,FALSE,"단축1";#N/A,#N/A,FALSE,"단축2";#N/A,#N/A,FALSE,"단축3";#N/A,#N/A,FALSE,"장축";#N/A,#N/A,FALSE,"4WD"}</definedName>
    <definedName name="롱_1_1" hidden="1">{#N/A,#N/A,FALSE,"단축1";#N/A,#N/A,FALSE,"단축2";#N/A,#N/A,FALSE,"단축3";#N/A,#N/A,FALSE,"장축";#N/A,#N/A,FALSE,"4WD"}</definedName>
    <definedName name="롱_1_2" localSheetId="26" hidden="1">{#N/A,#N/A,FALSE,"단축1";#N/A,#N/A,FALSE,"단축2";#N/A,#N/A,FALSE,"단축3";#N/A,#N/A,FALSE,"장축";#N/A,#N/A,FALSE,"4WD"}</definedName>
    <definedName name="롱_1_2" localSheetId="0" hidden="1">{#N/A,#N/A,FALSE,"단축1";#N/A,#N/A,FALSE,"단축2";#N/A,#N/A,FALSE,"단축3";#N/A,#N/A,FALSE,"장축";#N/A,#N/A,FALSE,"4WD"}</definedName>
    <definedName name="롱_1_2" hidden="1">{#N/A,#N/A,FALSE,"단축1";#N/A,#N/A,FALSE,"단축2";#N/A,#N/A,FALSE,"단축3";#N/A,#N/A,FALSE,"장축";#N/A,#N/A,FALSE,"4WD"}</definedName>
    <definedName name="롱_1_3" localSheetId="26" hidden="1">{#N/A,#N/A,FALSE,"단축1";#N/A,#N/A,FALSE,"단축2";#N/A,#N/A,FALSE,"단축3";#N/A,#N/A,FALSE,"장축";#N/A,#N/A,FALSE,"4WD"}</definedName>
    <definedName name="롱_1_3" localSheetId="0" hidden="1">{#N/A,#N/A,FALSE,"단축1";#N/A,#N/A,FALSE,"단축2";#N/A,#N/A,FALSE,"단축3";#N/A,#N/A,FALSE,"장축";#N/A,#N/A,FALSE,"4WD"}</definedName>
    <definedName name="롱_1_3" hidden="1">{#N/A,#N/A,FALSE,"단축1";#N/A,#N/A,FALSE,"단축2";#N/A,#N/A,FALSE,"단축3";#N/A,#N/A,FALSE,"장축";#N/A,#N/A,FALSE,"4WD"}</definedName>
    <definedName name="롱_2" localSheetId="26" hidden="1">{#N/A,#N/A,FALSE,"단축1";#N/A,#N/A,FALSE,"단축2";#N/A,#N/A,FALSE,"단축3";#N/A,#N/A,FALSE,"장축";#N/A,#N/A,FALSE,"4WD"}</definedName>
    <definedName name="롱_2" localSheetId="0" hidden="1">{#N/A,#N/A,FALSE,"단축1";#N/A,#N/A,FALSE,"단축2";#N/A,#N/A,FALSE,"단축3";#N/A,#N/A,FALSE,"장축";#N/A,#N/A,FALSE,"4WD"}</definedName>
    <definedName name="롱_2" hidden="1">{#N/A,#N/A,FALSE,"단축1";#N/A,#N/A,FALSE,"단축2";#N/A,#N/A,FALSE,"단축3";#N/A,#N/A,FALSE,"장축";#N/A,#N/A,FALSE,"4WD"}</definedName>
    <definedName name="롱_2_1" localSheetId="26" hidden="1">{#N/A,#N/A,FALSE,"단축1";#N/A,#N/A,FALSE,"단축2";#N/A,#N/A,FALSE,"단축3";#N/A,#N/A,FALSE,"장축";#N/A,#N/A,FALSE,"4WD"}</definedName>
    <definedName name="롱_2_1" localSheetId="0" hidden="1">{#N/A,#N/A,FALSE,"단축1";#N/A,#N/A,FALSE,"단축2";#N/A,#N/A,FALSE,"단축3";#N/A,#N/A,FALSE,"장축";#N/A,#N/A,FALSE,"4WD"}</definedName>
    <definedName name="롱_2_1" hidden="1">{#N/A,#N/A,FALSE,"단축1";#N/A,#N/A,FALSE,"단축2";#N/A,#N/A,FALSE,"단축3";#N/A,#N/A,FALSE,"장축";#N/A,#N/A,FALSE,"4WD"}</definedName>
    <definedName name="롱_2_2" localSheetId="26" hidden="1">{#N/A,#N/A,FALSE,"단축1";#N/A,#N/A,FALSE,"단축2";#N/A,#N/A,FALSE,"단축3";#N/A,#N/A,FALSE,"장축";#N/A,#N/A,FALSE,"4WD"}</definedName>
    <definedName name="롱_2_2" localSheetId="0" hidden="1">{#N/A,#N/A,FALSE,"단축1";#N/A,#N/A,FALSE,"단축2";#N/A,#N/A,FALSE,"단축3";#N/A,#N/A,FALSE,"장축";#N/A,#N/A,FALSE,"4WD"}</definedName>
    <definedName name="롱_2_2" hidden="1">{#N/A,#N/A,FALSE,"단축1";#N/A,#N/A,FALSE,"단축2";#N/A,#N/A,FALSE,"단축3";#N/A,#N/A,FALSE,"장축";#N/A,#N/A,FALSE,"4WD"}</definedName>
    <definedName name="롱_3" localSheetId="26" hidden="1">{#N/A,#N/A,FALSE,"단축1";#N/A,#N/A,FALSE,"단축2";#N/A,#N/A,FALSE,"단축3";#N/A,#N/A,FALSE,"장축";#N/A,#N/A,FALSE,"4WD"}</definedName>
    <definedName name="롱_3" localSheetId="0" hidden="1">{#N/A,#N/A,FALSE,"단축1";#N/A,#N/A,FALSE,"단축2";#N/A,#N/A,FALSE,"단축3";#N/A,#N/A,FALSE,"장축";#N/A,#N/A,FALSE,"4WD"}</definedName>
    <definedName name="롱_3" hidden="1">{#N/A,#N/A,FALSE,"단축1";#N/A,#N/A,FALSE,"단축2";#N/A,#N/A,FALSE,"단축3";#N/A,#N/A,FALSE,"장축";#N/A,#N/A,FALSE,"4WD"}</definedName>
    <definedName name="롱_4" localSheetId="26" hidden="1">{#N/A,#N/A,FALSE,"단축1";#N/A,#N/A,FALSE,"단축2";#N/A,#N/A,FALSE,"단축3";#N/A,#N/A,FALSE,"장축";#N/A,#N/A,FALSE,"4WD"}</definedName>
    <definedName name="롱_4" localSheetId="0" hidden="1">{#N/A,#N/A,FALSE,"단축1";#N/A,#N/A,FALSE,"단축2";#N/A,#N/A,FALSE,"단축3";#N/A,#N/A,FALSE,"장축";#N/A,#N/A,FALSE,"4WD"}</definedName>
    <definedName name="롱_4" hidden="1">{#N/A,#N/A,FALSE,"단축1";#N/A,#N/A,FALSE,"단축2";#N/A,#N/A,FALSE,"단축3";#N/A,#N/A,FALSE,"장축";#N/A,#N/A,FALSE,"4WD"}</definedName>
    <definedName name="롱_5" localSheetId="26" hidden="1">{#N/A,#N/A,FALSE,"단축1";#N/A,#N/A,FALSE,"단축2";#N/A,#N/A,FALSE,"단축3";#N/A,#N/A,FALSE,"장축";#N/A,#N/A,FALSE,"4WD"}</definedName>
    <definedName name="롱_5" localSheetId="0" hidden="1">{#N/A,#N/A,FALSE,"단축1";#N/A,#N/A,FALSE,"단축2";#N/A,#N/A,FALSE,"단축3";#N/A,#N/A,FALSE,"장축";#N/A,#N/A,FALSE,"4WD"}</definedName>
    <definedName name="롱_5" hidden="1">{#N/A,#N/A,FALSE,"단축1";#N/A,#N/A,FALSE,"단축2";#N/A,#N/A,FALSE,"단축3";#N/A,#N/A,FALSE,"장축";#N/A,#N/A,FALSE,"4WD"}</definedName>
    <definedName name="ㄺㅅ" localSheetId="26" hidden="1">{#N/A,#N/A,FALSE,"단축1";#N/A,#N/A,FALSE,"단축2";#N/A,#N/A,FALSE,"단축3";#N/A,#N/A,FALSE,"장축";#N/A,#N/A,FALSE,"4WD"}</definedName>
    <definedName name="ㄺㅅ" localSheetId="0" hidden="1">{#N/A,#N/A,FALSE,"단축1";#N/A,#N/A,FALSE,"단축2";#N/A,#N/A,FALSE,"단축3";#N/A,#N/A,FALSE,"장축";#N/A,#N/A,FALSE,"4WD"}</definedName>
    <definedName name="ㄺㅅ" hidden="1">{#N/A,#N/A,FALSE,"단축1";#N/A,#N/A,FALSE,"단축2";#N/A,#N/A,FALSE,"단축3";#N/A,#N/A,FALSE,"장축";#N/A,#N/A,FALSE,"4WD"}</definedName>
    <definedName name="ㄺㅅ_1" localSheetId="26" hidden="1">{#N/A,#N/A,FALSE,"단축1";#N/A,#N/A,FALSE,"단축2";#N/A,#N/A,FALSE,"단축3";#N/A,#N/A,FALSE,"장축";#N/A,#N/A,FALSE,"4WD"}</definedName>
    <definedName name="ㄺㅅ_1" localSheetId="0" hidden="1">{#N/A,#N/A,FALSE,"단축1";#N/A,#N/A,FALSE,"단축2";#N/A,#N/A,FALSE,"단축3";#N/A,#N/A,FALSE,"장축";#N/A,#N/A,FALSE,"4WD"}</definedName>
    <definedName name="ㄺㅅ_1" hidden="1">{#N/A,#N/A,FALSE,"단축1";#N/A,#N/A,FALSE,"단축2";#N/A,#N/A,FALSE,"단축3";#N/A,#N/A,FALSE,"장축";#N/A,#N/A,FALSE,"4WD"}</definedName>
    <definedName name="ㄺㅅ_1_1" localSheetId="26" hidden="1">{#N/A,#N/A,FALSE,"단축1";#N/A,#N/A,FALSE,"단축2";#N/A,#N/A,FALSE,"단축3";#N/A,#N/A,FALSE,"장축";#N/A,#N/A,FALSE,"4WD"}</definedName>
    <definedName name="ㄺㅅ_1_1" localSheetId="0" hidden="1">{#N/A,#N/A,FALSE,"단축1";#N/A,#N/A,FALSE,"단축2";#N/A,#N/A,FALSE,"단축3";#N/A,#N/A,FALSE,"장축";#N/A,#N/A,FALSE,"4WD"}</definedName>
    <definedName name="ㄺㅅ_1_1" hidden="1">{#N/A,#N/A,FALSE,"단축1";#N/A,#N/A,FALSE,"단축2";#N/A,#N/A,FALSE,"단축3";#N/A,#N/A,FALSE,"장축";#N/A,#N/A,FALSE,"4WD"}</definedName>
    <definedName name="ㄺㅅ_1_2" localSheetId="26" hidden="1">{#N/A,#N/A,FALSE,"단축1";#N/A,#N/A,FALSE,"단축2";#N/A,#N/A,FALSE,"단축3";#N/A,#N/A,FALSE,"장축";#N/A,#N/A,FALSE,"4WD"}</definedName>
    <definedName name="ㄺㅅ_1_2" localSheetId="0" hidden="1">{#N/A,#N/A,FALSE,"단축1";#N/A,#N/A,FALSE,"단축2";#N/A,#N/A,FALSE,"단축3";#N/A,#N/A,FALSE,"장축";#N/A,#N/A,FALSE,"4WD"}</definedName>
    <definedName name="ㄺㅅ_1_2" hidden="1">{#N/A,#N/A,FALSE,"단축1";#N/A,#N/A,FALSE,"단축2";#N/A,#N/A,FALSE,"단축3";#N/A,#N/A,FALSE,"장축";#N/A,#N/A,FALSE,"4WD"}</definedName>
    <definedName name="ㄺㅅ_1_3" localSheetId="26" hidden="1">{#N/A,#N/A,FALSE,"단축1";#N/A,#N/A,FALSE,"단축2";#N/A,#N/A,FALSE,"단축3";#N/A,#N/A,FALSE,"장축";#N/A,#N/A,FALSE,"4WD"}</definedName>
    <definedName name="ㄺㅅ_1_3" localSheetId="0" hidden="1">{#N/A,#N/A,FALSE,"단축1";#N/A,#N/A,FALSE,"단축2";#N/A,#N/A,FALSE,"단축3";#N/A,#N/A,FALSE,"장축";#N/A,#N/A,FALSE,"4WD"}</definedName>
    <definedName name="ㄺㅅ_1_3" hidden="1">{#N/A,#N/A,FALSE,"단축1";#N/A,#N/A,FALSE,"단축2";#N/A,#N/A,FALSE,"단축3";#N/A,#N/A,FALSE,"장축";#N/A,#N/A,FALSE,"4WD"}</definedName>
    <definedName name="ㄺㅅ_2" localSheetId="26" hidden="1">{#N/A,#N/A,FALSE,"단축1";#N/A,#N/A,FALSE,"단축2";#N/A,#N/A,FALSE,"단축3";#N/A,#N/A,FALSE,"장축";#N/A,#N/A,FALSE,"4WD"}</definedName>
    <definedName name="ㄺㅅ_2" localSheetId="0" hidden="1">{#N/A,#N/A,FALSE,"단축1";#N/A,#N/A,FALSE,"단축2";#N/A,#N/A,FALSE,"단축3";#N/A,#N/A,FALSE,"장축";#N/A,#N/A,FALSE,"4WD"}</definedName>
    <definedName name="ㄺㅅ_2" hidden="1">{#N/A,#N/A,FALSE,"단축1";#N/A,#N/A,FALSE,"단축2";#N/A,#N/A,FALSE,"단축3";#N/A,#N/A,FALSE,"장축";#N/A,#N/A,FALSE,"4WD"}</definedName>
    <definedName name="ㄺㅅ_2_1" localSheetId="26" hidden="1">{#N/A,#N/A,FALSE,"단축1";#N/A,#N/A,FALSE,"단축2";#N/A,#N/A,FALSE,"단축3";#N/A,#N/A,FALSE,"장축";#N/A,#N/A,FALSE,"4WD"}</definedName>
    <definedName name="ㄺㅅ_2_1" localSheetId="0" hidden="1">{#N/A,#N/A,FALSE,"단축1";#N/A,#N/A,FALSE,"단축2";#N/A,#N/A,FALSE,"단축3";#N/A,#N/A,FALSE,"장축";#N/A,#N/A,FALSE,"4WD"}</definedName>
    <definedName name="ㄺㅅ_2_1" hidden="1">{#N/A,#N/A,FALSE,"단축1";#N/A,#N/A,FALSE,"단축2";#N/A,#N/A,FALSE,"단축3";#N/A,#N/A,FALSE,"장축";#N/A,#N/A,FALSE,"4WD"}</definedName>
    <definedName name="ㄺㅅ_2_2" localSheetId="26" hidden="1">{#N/A,#N/A,FALSE,"단축1";#N/A,#N/A,FALSE,"단축2";#N/A,#N/A,FALSE,"단축3";#N/A,#N/A,FALSE,"장축";#N/A,#N/A,FALSE,"4WD"}</definedName>
    <definedName name="ㄺㅅ_2_2" localSheetId="0" hidden="1">{#N/A,#N/A,FALSE,"단축1";#N/A,#N/A,FALSE,"단축2";#N/A,#N/A,FALSE,"단축3";#N/A,#N/A,FALSE,"장축";#N/A,#N/A,FALSE,"4WD"}</definedName>
    <definedName name="ㄺㅅ_2_2" hidden="1">{#N/A,#N/A,FALSE,"단축1";#N/A,#N/A,FALSE,"단축2";#N/A,#N/A,FALSE,"단축3";#N/A,#N/A,FALSE,"장축";#N/A,#N/A,FALSE,"4WD"}</definedName>
    <definedName name="ㄺㅅ_3" localSheetId="26" hidden="1">{#N/A,#N/A,FALSE,"단축1";#N/A,#N/A,FALSE,"단축2";#N/A,#N/A,FALSE,"단축3";#N/A,#N/A,FALSE,"장축";#N/A,#N/A,FALSE,"4WD"}</definedName>
    <definedName name="ㄺㅅ_3" localSheetId="0" hidden="1">{#N/A,#N/A,FALSE,"단축1";#N/A,#N/A,FALSE,"단축2";#N/A,#N/A,FALSE,"단축3";#N/A,#N/A,FALSE,"장축";#N/A,#N/A,FALSE,"4WD"}</definedName>
    <definedName name="ㄺㅅ_3" hidden="1">{#N/A,#N/A,FALSE,"단축1";#N/A,#N/A,FALSE,"단축2";#N/A,#N/A,FALSE,"단축3";#N/A,#N/A,FALSE,"장축";#N/A,#N/A,FALSE,"4WD"}</definedName>
    <definedName name="ㄺㅅ_4" localSheetId="26" hidden="1">{#N/A,#N/A,FALSE,"단축1";#N/A,#N/A,FALSE,"단축2";#N/A,#N/A,FALSE,"단축3";#N/A,#N/A,FALSE,"장축";#N/A,#N/A,FALSE,"4WD"}</definedName>
    <definedName name="ㄺㅅ_4" localSheetId="0" hidden="1">{#N/A,#N/A,FALSE,"단축1";#N/A,#N/A,FALSE,"단축2";#N/A,#N/A,FALSE,"단축3";#N/A,#N/A,FALSE,"장축";#N/A,#N/A,FALSE,"4WD"}</definedName>
    <definedName name="ㄺㅅ_4" hidden="1">{#N/A,#N/A,FALSE,"단축1";#N/A,#N/A,FALSE,"단축2";#N/A,#N/A,FALSE,"단축3";#N/A,#N/A,FALSE,"장축";#N/A,#N/A,FALSE,"4WD"}</definedName>
    <definedName name="ㄺㅅ_5" localSheetId="26" hidden="1">{#N/A,#N/A,FALSE,"단축1";#N/A,#N/A,FALSE,"단축2";#N/A,#N/A,FALSE,"단축3";#N/A,#N/A,FALSE,"장축";#N/A,#N/A,FALSE,"4WD"}</definedName>
    <definedName name="ㄺㅅ_5" localSheetId="0" hidden="1">{#N/A,#N/A,FALSE,"단축1";#N/A,#N/A,FALSE,"단축2";#N/A,#N/A,FALSE,"단축3";#N/A,#N/A,FALSE,"장축";#N/A,#N/A,FALSE,"4WD"}</definedName>
    <definedName name="ㄺㅅ_5" hidden="1">{#N/A,#N/A,FALSE,"단축1";#N/A,#N/A,FALSE,"단축2";#N/A,#N/A,FALSE,"단축3";#N/A,#N/A,FALSE,"장축";#N/A,#N/A,FALSE,"4WD"}</definedName>
    <definedName name="ㅀ미리밀ㅎ밈림" localSheetId="26" hidden="1">{#N/A,#N/A,FALSE,"을지 (4)";#N/A,#N/A,FALSE,"을지 (5)";#N/A,#N/A,FALSE,"을지 (6)"}</definedName>
    <definedName name="ㅀ미리밀ㅎ밈림" localSheetId="0" hidden="1">{#N/A,#N/A,FALSE,"을지 (4)";#N/A,#N/A,FALSE,"을지 (5)";#N/A,#N/A,FALSE,"을지 (6)"}</definedName>
    <definedName name="ㅀ미리밀ㅎ밈림" hidden="1">{#N/A,#N/A,FALSE,"을지 (4)";#N/A,#N/A,FALSE,"을지 (5)";#N/A,#N/A,FALSE,"을지 (6)"}</definedName>
    <definedName name="ㅀ미리밀ㅎ밈림_1" localSheetId="26" hidden="1">{#N/A,#N/A,FALSE,"을지 (4)";#N/A,#N/A,FALSE,"을지 (5)";#N/A,#N/A,FALSE,"을지 (6)"}</definedName>
    <definedName name="ㅀ미리밀ㅎ밈림_1" localSheetId="0" hidden="1">{#N/A,#N/A,FALSE,"을지 (4)";#N/A,#N/A,FALSE,"을지 (5)";#N/A,#N/A,FALSE,"을지 (6)"}</definedName>
    <definedName name="ㅀ미리밀ㅎ밈림_1" hidden="1">{#N/A,#N/A,FALSE,"을지 (4)";#N/A,#N/A,FALSE,"을지 (5)";#N/A,#N/A,FALSE,"을지 (6)"}</definedName>
    <definedName name="ㅀ미리밀ㅎ밈림_1_1" localSheetId="26" hidden="1">{#N/A,#N/A,FALSE,"을지 (4)";#N/A,#N/A,FALSE,"을지 (5)";#N/A,#N/A,FALSE,"을지 (6)"}</definedName>
    <definedName name="ㅀ미리밀ㅎ밈림_1_1" localSheetId="0" hidden="1">{#N/A,#N/A,FALSE,"을지 (4)";#N/A,#N/A,FALSE,"을지 (5)";#N/A,#N/A,FALSE,"을지 (6)"}</definedName>
    <definedName name="ㅀ미리밀ㅎ밈림_1_1" hidden="1">{#N/A,#N/A,FALSE,"을지 (4)";#N/A,#N/A,FALSE,"을지 (5)";#N/A,#N/A,FALSE,"을지 (6)"}</definedName>
    <definedName name="ㅀ미리밀ㅎ밈림_1_2" localSheetId="26" hidden="1">{#N/A,#N/A,FALSE,"을지 (4)";#N/A,#N/A,FALSE,"을지 (5)";#N/A,#N/A,FALSE,"을지 (6)"}</definedName>
    <definedName name="ㅀ미리밀ㅎ밈림_1_2" localSheetId="0" hidden="1">{#N/A,#N/A,FALSE,"을지 (4)";#N/A,#N/A,FALSE,"을지 (5)";#N/A,#N/A,FALSE,"을지 (6)"}</definedName>
    <definedName name="ㅀ미리밀ㅎ밈림_1_2" hidden="1">{#N/A,#N/A,FALSE,"을지 (4)";#N/A,#N/A,FALSE,"을지 (5)";#N/A,#N/A,FALSE,"을지 (6)"}</definedName>
    <definedName name="ㅀ미리밀ㅎ밈림_1_3" localSheetId="26" hidden="1">{#N/A,#N/A,FALSE,"을지 (4)";#N/A,#N/A,FALSE,"을지 (5)";#N/A,#N/A,FALSE,"을지 (6)"}</definedName>
    <definedName name="ㅀ미리밀ㅎ밈림_1_3" localSheetId="0" hidden="1">{#N/A,#N/A,FALSE,"을지 (4)";#N/A,#N/A,FALSE,"을지 (5)";#N/A,#N/A,FALSE,"을지 (6)"}</definedName>
    <definedName name="ㅀ미리밀ㅎ밈림_1_3" hidden="1">{#N/A,#N/A,FALSE,"을지 (4)";#N/A,#N/A,FALSE,"을지 (5)";#N/A,#N/A,FALSE,"을지 (6)"}</definedName>
    <definedName name="ㅀ미리밀ㅎ밈림_2" localSheetId="26" hidden="1">{#N/A,#N/A,FALSE,"을지 (4)";#N/A,#N/A,FALSE,"을지 (5)";#N/A,#N/A,FALSE,"을지 (6)"}</definedName>
    <definedName name="ㅀ미리밀ㅎ밈림_2" localSheetId="0" hidden="1">{#N/A,#N/A,FALSE,"을지 (4)";#N/A,#N/A,FALSE,"을지 (5)";#N/A,#N/A,FALSE,"을지 (6)"}</definedName>
    <definedName name="ㅀ미리밀ㅎ밈림_2" hidden="1">{#N/A,#N/A,FALSE,"을지 (4)";#N/A,#N/A,FALSE,"을지 (5)";#N/A,#N/A,FALSE,"을지 (6)"}</definedName>
    <definedName name="ㅀ미리밀ㅎ밈림_2_1" localSheetId="26" hidden="1">{#N/A,#N/A,FALSE,"을지 (4)";#N/A,#N/A,FALSE,"을지 (5)";#N/A,#N/A,FALSE,"을지 (6)"}</definedName>
    <definedName name="ㅀ미리밀ㅎ밈림_2_1" localSheetId="0" hidden="1">{#N/A,#N/A,FALSE,"을지 (4)";#N/A,#N/A,FALSE,"을지 (5)";#N/A,#N/A,FALSE,"을지 (6)"}</definedName>
    <definedName name="ㅀ미리밀ㅎ밈림_2_1" hidden="1">{#N/A,#N/A,FALSE,"을지 (4)";#N/A,#N/A,FALSE,"을지 (5)";#N/A,#N/A,FALSE,"을지 (6)"}</definedName>
    <definedName name="ㅀ미리밀ㅎ밈림_2_2" localSheetId="26" hidden="1">{#N/A,#N/A,FALSE,"을지 (4)";#N/A,#N/A,FALSE,"을지 (5)";#N/A,#N/A,FALSE,"을지 (6)"}</definedName>
    <definedName name="ㅀ미리밀ㅎ밈림_2_2" localSheetId="0" hidden="1">{#N/A,#N/A,FALSE,"을지 (4)";#N/A,#N/A,FALSE,"을지 (5)";#N/A,#N/A,FALSE,"을지 (6)"}</definedName>
    <definedName name="ㅀ미리밀ㅎ밈림_2_2" hidden="1">{#N/A,#N/A,FALSE,"을지 (4)";#N/A,#N/A,FALSE,"을지 (5)";#N/A,#N/A,FALSE,"을지 (6)"}</definedName>
    <definedName name="ㅀ미리밀ㅎ밈림_3" localSheetId="26" hidden="1">{#N/A,#N/A,FALSE,"을지 (4)";#N/A,#N/A,FALSE,"을지 (5)";#N/A,#N/A,FALSE,"을지 (6)"}</definedName>
    <definedName name="ㅀ미리밀ㅎ밈림_3" localSheetId="0" hidden="1">{#N/A,#N/A,FALSE,"을지 (4)";#N/A,#N/A,FALSE,"을지 (5)";#N/A,#N/A,FALSE,"을지 (6)"}</definedName>
    <definedName name="ㅀ미리밀ㅎ밈림_3" hidden="1">{#N/A,#N/A,FALSE,"을지 (4)";#N/A,#N/A,FALSE,"을지 (5)";#N/A,#N/A,FALSE,"을지 (6)"}</definedName>
    <definedName name="ㅀ미리밀ㅎ밈림_4" localSheetId="26" hidden="1">{#N/A,#N/A,FALSE,"을지 (4)";#N/A,#N/A,FALSE,"을지 (5)";#N/A,#N/A,FALSE,"을지 (6)"}</definedName>
    <definedName name="ㅀ미리밀ㅎ밈림_4" localSheetId="0" hidden="1">{#N/A,#N/A,FALSE,"을지 (4)";#N/A,#N/A,FALSE,"을지 (5)";#N/A,#N/A,FALSE,"을지 (6)"}</definedName>
    <definedName name="ㅀ미리밀ㅎ밈림_4" hidden="1">{#N/A,#N/A,FALSE,"을지 (4)";#N/A,#N/A,FALSE,"을지 (5)";#N/A,#N/A,FALSE,"을지 (6)"}</definedName>
    <definedName name="ㅀ미리밀ㅎ밈림_5" localSheetId="26" hidden="1">{#N/A,#N/A,FALSE,"을지 (4)";#N/A,#N/A,FALSE,"을지 (5)";#N/A,#N/A,FALSE,"을지 (6)"}</definedName>
    <definedName name="ㅀ미리밀ㅎ밈림_5" localSheetId="0" hidden="1">{#N/A,#N/A,FALSE,"을지 (4)";#N/A,#N/A,FALSE,"을지 (5)";#N/A,#N/A,FALSE,"을지 (6)"}</definedName>
    <definedName name="ㅀ미리밀ㅎ밈림_5" hidden="1">{#N/A,#N/A,FALSE,"을지 (4)";#N/A,#N/A,FALSE,"을지 (5)";#N/A,#N/A,FALSE,"을지 (6)"}</definedName>
    <definedName name="ㅁㄴ" localSheetId="26" hidden="1">{#N/A,#N/A,FALSE,"100PPM";#N/A,#N/A,FALSE,"3차원대책서";#N/A,#N/A,FALSE,"개선사례"}</definedName>
    <definedName name="ㅁㄴ" localSheetId="0" hidden="1">{#N/A,#N/A,FALSE,"100PPM";#N/A,#N/A,FALSE,"3차원대책서";#N/A,#N/A,FALSE,"개선사례"}</definedName>
    <definedName name="ㅁㄴ" hidden="1">{#N/A,#N/A,FALSE,"100PPM";#N/A,#N/A,FALSE,"3차원대책서";#N/A,#N/A,FALSE,"개선사례"}</definedName>
    <definedName name="ㅁㄴ_1" localSheetId="26" hidden="1">{#N/A,#N/A,FALSE,"100PPM";#N/A,#N/A,FALSE,"3차원대책서";#N/A,#N/A,FALSE,"개선사례"}</definedName>
    <definedName name="ㅁㄴ_1" localSheetId="0" hidden="1">{#N/A,#N/A,FALSE,"100PPM";#N/A,#N/A,FALSE,"3차원대책서";#N/A,#N/A,FALSE,"개선사례"}</definedName>
    <definedName name="ㅁㄴ_1" hidden="1">{#N/A,#N/A,FALSE,"100PPM";#N/A,#N/A,FALSE,"3차원대책서";#N/A,#N/A,FALSE,"개선사례"}</definedName>
    <definedName name="ㅁㄴ_1_1" localSheetId="26" hidden="1">{#N/A,#N/A,FALSE,"100PPM";#N/A,#N/A,FALSE,"3차원대책서";#N/A,#N/A,FALSE,"개선사례"}</definedName>
    <definedName name="ㅁㄴ_1_1" localSheetId="0" hidden="1">{#N/A,#N/A,FALSE,"100PPM";#N/A,#N/A,FALSE,"3차원대책서";#N/A,#N/A,FALSE,"개선사례"}</definedName>
    <definedName name="ㅁㄴ_1_1" hidden="1">{#N/A,#N/A,FALSE,"100PPM";#N/A,#N/A,FALSE,"3차원대책서";#N/A,#N/A,FALSE,"개선사례"}</definedName>
    <definedName name="ㅁㄴ_1_2" localSheetId="26" hidden="1">{#N/A,#N/A,FALSE,"100PPM";#N/A,#N/A,FALSE,"3차원대책서";#N/A,#N/A,FALSE,"개선사례"}</definedName>
    <definedName name="ㅁㄴ_1_2" localSheetId="0" hidden="1">{#N/A,#N/A,FALSE,"100PPM";#N/A,#N/A,FALSE,"3차원대책서";#N/A,#N/A,FALSE,"개선사례"}</definedName>
    <definedName name="ㅁㄴ_1_2" hidden="1">{#N/A,#N/A,FALSE,"100PPM";#N/A,#N/A,FALSE,"3차원대책서";#N/A,#N/A,FALSE,"개선사례"}</definedName>
    <definedName name="ㅁㄴ_1_3" localSheetId="26" hidden="1">{#N/A,#N/A,FALSE,"100PPM";#N/A,#N/A,FALSE,"3차원대책서";#N/A,#N/A,FALSE,"개선사례"}</definedName>
    <definedName name="ㅁㄴ_1_3" localSheetId="0" hidden="1">{#N/A,#N/A,FALSE,"100PPM";#N/A,#N/A,FALSE,"3차원대책서";#N/A,#N/A,FALSE,"개선사례"}</definedName>
    <definedName name="ㅁㄴ_1_3" hidden="1">{#N/A,#N/A,FALSE,"100PPM";#N/A,#N/A,FALSE,"3차원대책서";#N/A,#N/A,FALSE,"개선사례"}</definedName>
    <definedName name="ㅁㄴ_2" localSheetId="26" hidden="1">{#N/A,#N/A,FALSE,"100PPM";#N/A,#N/A,FALSE,"3차원대책서";#N/A,#N/A,FALSE,"개선사례"}</definedName>
    <definedName name="ㅁㄴ_2" localSheetId="0" hidden="1">{#N/A,#N/A,FALSE,"100PPM";#N/A,#N/A,FALSE,"3차원대책서";#N/A,#N/A,FALSE,"개선사례"}</definedName>
    <definedName name="ㅁㄴ_2" hidden="1">{#N/A,#N/A,FALSE,"100PPM";#N/A,#N/A,FALSE,"3차원대책서";#N/A,#N/A,FALSE,"개선사례"}</definedName>
    <definedName name="ㅁㄴ_2_1" localSheetId="26" hidden="1">{#N/A,#N/A,FALSE,"100PPM";#N/A,#N/A,FALSE,"3차원대책서";#N/A,#N/A,FALSE,"개선사례"}</definedName>
    <definedName name="ㅁㄴ_2_1" localSheetId="0" hidden="1">{#N/A,#N/A,FALSE,"100PPM";#N/A,#N/A,FALSE,"3차원대책서";#N/A,#N/A,FALSE,"개선사례"}</definedName>
    <definedName name="ㅁㄴ_2_1" hidden="1">{#N/A,#N/A,FALSE,"100PPM";#N/A,#N/A,FALSE,"3차원대책서";#N/A,#N/A,FALSE,"개선사례"}</definedName>
    <definedName name="ㅁㄴ_2_2" localSheetId="26" hidden="1">{#N/A,#N/A,FALSE,"100PPM";#N/A,#N/A,FALSE,"3차원대책서";#N/A,#N/A,FALSE,"개선사례"}</definedName>
    <definedName name="ㅁㄴ_2_2" localSheetId="0" hidden="1">{#N/A,#N/A,FALSE,"100PPM";#N/A,#N/A,FALSE,"3차원대책서";#N/A,#N/A,FALSE,"개선사례"}</definedName>
    <definedName name="ㅁㄴ_2_2" hidden="1">{#N/A,#N/A,FALSE,"100PPM";#N/A,#N/A,FALSE,"3차원대책서";#N/A,#N/A,FALSE,"개선사례"}</definedName>
    <definedName name="ㅁㄴ_3" localSheetId="26" hidden="1">{#N/A,#N/A,FALSE,"100PPM";#N/A,#N/A,FALSE,"3차원대책서";#N/A,#N/A,FALSE,"개선사례"}</definedName>
    <definedName name="ㅁㄴ_3" localSheetId="0" hidden="1">{#N/A,#N/A,FALSE,"100PPM";#N/A,#N/A,FALSE,"3차원대책서";#N/A,#N/A,FALSE,"개선사례"}</definedName>
    <definedName name="ㅁㄴ_3" hidden="1">{#N/A,#N/A,FALSE,"100PPM";#N/A,#N/A,FALSE,"3차원대책서";#N/A,#N/A,FALSE,"개선사례"}</definedName>
    <definedName name="ㅁㄴ_4" localSheetId="26" hidden="1">{#N/A,#N/A,FALSE,"100PPM";#N/A,#N/A,FALSE,"3차원대책서";#N/A,#N/A,FALSE,"개선사례"}</definedName>
    <definedName name="ㅁㄴ_4" localSheetId="0" hidden="1">{#N/A,#N/A,FALSE,"100PPM";#N/A,#N/A,FALSE,"3차원대책서";#N/A,#N/A,FALSE,"개선사례"}</definedName>
    <definedName name="ㅁㄴ_4" hidden="1">{#N/A,#N/A,FALSE,"100PPM";#N/A,#N/A,FALSE,"3차원대책서";#N/A,#N/A,FALSE,"개선사례"}</definedName>
    <definedName name="ㅁㄴ_5" localSheetId="26" hidden="1">{#N/A,#N/A,FALSE,"100PPM";#N/A,#N/A,FALSE,"3차원대책서";#N/A,#N/A,FALSE,"개선사례"}</definedName>
    <definedName name="ㅁㄴ_5" localSheetId="0" hidden="1">{#N/A,#N/A,FALSE,"100PPM";#N/A,#N/A,FALSE,"3차원대책서";#N/A,#N/A,FALSE,"개선사례"}</definedName>
    <definedName name="ㅁㄴ_5" hidden="1">{#N/A,#N/A,FALSE,"100PPM";#N/A,#N/A,FALSE,"3차원대책서";#N/A,#N/A,FALSE,"개선사례"}</definedName>
    <definedName name="ㅁㄴㅇㄹ" localSheetId="26" hidden="1">{#N/A,#N/A,FALSE,"단축1";#N/A,#N/A,FALSE,"단축2";#N/A,#N/A,FALSE,"단축3";#N/A,#N/A,FALSE,"장축";#N/A,#N/A,FALSE,"4WD"}</definedName>
    <definedName name="ㅁㄴㅇㄹ" localSheetId="0" hidden="1">{#N/A,#N/A,FALSE,"단축1";#N/A,#N/A,FALSE,"단축2";#N/A,#N/A,FALSE,"단축3";#N/A,#N/A,FALSE,"장축";#N/A,#N/A,FALSE,"4WD"}</definedName>
    <definedName name="ㅁㄴㅇㄹ" hidden="1">{#N/A,#N/A,FALSE,"단축1";#N/A,#N/A,FALSE,"단축2";#N/A,#N/A,FALSE,"단축3";#N/A,#N/A,FALSE,"장축";#N/A,#N/A,FALSE,"4WD"}</definedName>
    <definedName name="ㅁㄴㅇㄹ_1" localSheetId="26" hidden="1">{#N/A,#N/A,FALSE,"단축1";#N/A,#N/A,FALSE,"단축2";#N/A,#N/A,FALSE,"단축3";#N/A,#N/A,FALSE,"장축";#N/A,#N/A,FALSE,"4WD"}</definedName>
    <definedName name="ㅁㄴㅇㄹ_1" localSheetId="0" hidden="1">{#N/A,#N/A,FALSE,"단축1";#N/A,#N/A,FALSE,"단축2";#N/A,#N/A,FALSE,"단축3";#N/A,#N/A,FALSE,"장축";#N/A,#N/A,FALSE,"4WD"}</definedName>
    <definedName name="ㅁㄴㅇㄹ_1" hidden="1">{#N/A,#N/A,FALSE,"단축1";#N/A,#N/A,FALSE,"단축2";#N/A,#N/A,FALSE,"단축3";#N/A,#N/A,FALSE,"장축";#N/A,#N/A,FALSE,"4WD"}</definedName>
    <definedName name="ㅁㄴㅇㄹ_1_1" localSheetId="26" hidden="1">{#N/A,#N/A,FALSE,"단축1";#N/A,#N/A,FALSE,"단축2";#N/A,#N/A,FALSE,"단축3";#N/A,#N/A,FALSE,"장축";#N/A,#N/A,FALSE,"4WD"}</definedName>
    <definedName name="ㅁㄴㅇㄹ_1_1" localSheetId="0" hidden="1">{#N/A,#N/A,FALSE,"단축1";#N/A,#N/A,FALSE,"단축2";#N/A,#N/A,FALSE,"단축3";#N/A,#N/A,FALSE,"장축";#N/A,#N/A,FALSE,"4WD"}</definedName>
    <definedName name="ㅁㄴㅇㄹ_1_1" hidden="1">{#N/A,#N/A,FALSE,"단축1";#N/A,#N/A,FALSE,"단축2";#N/A,#N/A,FALSE,"단축3";#N/A,#N/A,FALSE,"장축";#N/A,#N/A,FALSE,"4WD"}</definedName>
    <definedName name="ㅁㄴㅇㄹ_1_2" localSheetId="26" hidden="1">{#N/A,#N/A,FALSE,"단축1";#N/A,#N/A,FALSE,"단축2";#N/A,#N/A,FALSE,"단축3";#N/A,#N/A,FALSE,"장축";#N/A,#N/A,FALSE,"4WD"}</definedName>
    <definedName name="ㅁㄴㅇㄹ_1_2" localSheetId="0" hidden="1">{#N/A,#N/A,FALSE,"단축1";#N/A,#N/A,FALSE,"단축2";#N/A,#N/A,FALSE,"단축3";#N/A,#N/A,FALSE,"장축";#N/A,#N/A,FALSE,"4WD"}</definedName>
    <definedName name="ㅁㄴㅇㄹ_1_2" hidden="1">{#N/A,#N/A,FALSE,"단축1";#N/A,#N/A,FALSE,"단축2";#N/A,#N/A,FALSE,"단축3";#N/A,#N/A,FALSE,"장축";#N/A,#N/A,FALSE,"4WD"}</definedName>
    <definedName name="ㅁㄴㅇㄹ_1_3" localSheetId="26" hidden="1">{#N/A,#N/A,FALSE,"단축1";#N/A,#N/A,FALSE,"단축2";#N/A,#N/A,FALSE,"단축3";#N/A,#N/A,FALSE,"장축";#N/A,#N/A,FALSE,"4WD"}</definedName>
    <definedName name="ㅁㄴㅇㄹ_1_3" localSheetId="0" hidden="1">{#N/A,#N/A,FALSE,"단축1";#N/A,#N/A,FALSE,"단축2";#N/A,#N/A,FALSE,"단축3";#N/A,#N/A,FALSE,"장축";#N/A,#N/A,FALSE,"4WD"}</definedName>
    <definedName name="ㅁㄴㅇㄹ_1_3" hidden="1">{#N/A,#N/A,FALSE,"단축1";#N/A,#N/A,FALSE,"단축2";#N/A,#N/A,FALSE,"단축3";#N/A,#N/A,FALSE,"장축";#N/A,#N/A,FALSE,"4WD"}</definedName>
    <definedName name="ㅁㄴㅇㄹ_2" localSheetId="26" hidden="1">{#N/A,#N/A,FALSE,"단축1";#N/A,#N/A,FALSE,"단축2";#N/A,#N/A,FALSE,"단축3";#N/A,#N/A,FALSE,"장축";#N/A,#N/A,FALSE,"4WD"}</definedName>
    <definedName name="ㅁㄴㅇㄹ_2" localSheetId="0" hidden="1">{#N/A,#N/A,FALSE,"단축1";#N/A,#N/A,FALSE,"단축2";#N/A,#N/A,FALSE,"단축3";#N/A,#N/A,FALSE,"장축";#N/A,#N/A,FALSE,"4WD"}</definedName>
    <definedName name="ㅁㄴㅇㄹ_2" hidden="1">{#N/A,#N/A,FALSE,"단축1";#N/A,#N/A,FALSE,"단축2";#N/A,#N/A,FALSE,"단축3";#N/A,#N/A,FALSE,"장축";#N/A,#N/A,FALSE,"4WD"}</definedName>
    <definedName name="ㅁㄴㅇㄹ_2_1" localSheetId="26" hidden="1">{#N/A,#N/A,FALSE,"단축1";#N/A,#N/A,FALSE,"단축2";#N/A,#N/A,FALSE,"단축3";#N/A,#N/A,FALSE,"장축";#N/A,#N/A,FALSE,"4WD"}</definedName>
    <definedName name="ㅁㄴㅇㄹ_2_1" localSheetId="0" hidden="1">{#N/A,#N/A,FALSE,"단축1";#N/A,#N/A,FALSE,"단축2";#N/A,#N/A,FALSE,"단축3";#N/A,#N/A,FALSE,"장축";#N/A,#N/A,FALSE,"4WD"}</definedName>
    <definedName name="ㅁㄴㅇㄹ_2_1" hidden="1">{#N/A,#N/A,FALSE,"단축1";#N/A,#N/A,FALSE,"단축2";#N/A,#N/A,FALSE,"단축3";#N/A,#N/A,FALSE,"장축";#N/A,#N/A,FALSE,"4WD"}</definedName>
    <definedName name="ㅁㄴㅇㄹ_2_2" localSheetId="26" hidden="1">{#N/A,#N/A,FALSE,"단축1";#N/A,#N/A,FALSE,"단축2";#N/A,#N/A,FALSE,"단축3";#N/A,#N/A,FALSE,"장축";#N/A,#N/A,FALSE,"4WD"}</definedName>
    <definedName name="ㅁㄴㅇㄹ_2_2" localSheetId="0" hidden="1">{#N/A,#N/A,FALSE,"단축1";#N/A,#N/A,FALSE,"단축2";#N/A,#N/A,FALSE,"단축3";#N/A,#N/A,FALSE,"장축";#N/A,#N/A,FALSE,"4WD"}</definedName>
    <definedName name="ㅁㄴㅇㄹ_2_2" hidden="1">{#N/A,#N/A,FALSE,"단축1";#N/A,#N/A,FALSE,"단축2";#N/A,#N/A,FALSE,"단축3";#N/A,#N/A,FALSE,"장축";#N/A,#N/A,FALSE,"4WD"}</definedName>
    <definedName name="ㅁㄴㅇㄹ_3" localSheetId="26" hidden="1">{#N/A,#N/A,FALSE,"단축1";#N/A,#N/A,FALSE,"단축2";#N/A,#N/A,FALSE,"단축3";#N/A,#N/A,FALSE,"장축";#N/A,#N/A,FALSE,"4WD"}</definedName>
    <definedName name="ㅁㄴㅇㄹ_3" localSheetId="0" hidden="1">{#N/A,#N/A,FALSE,"단축1";#N/A,#N/A,FALSE,"단축2";#N/A,#N/A,FALSE,"단축3";#N/A,#N/A,FALSE,"장축";#N/A,#N/A,FALSE,"4WD"}</definedName>
    <definedName name="ㅁㄴㅇㄹ_3" hidden="1">{#N/A,#N/A,FALSE,"단축1";#N/A,#N/A,FALSE,"단축2";#N/A,#N/A,FALSE,"단축3";#N/A,#N/A,FALSE,"장축";#N/A,#N/A,FALSE,"4WD"}</definedName>
    <definedName name="ㅁㄴㅇㄹ_4" localSheetId="26" hidden="1">{#N/A,#N/A,FALSE,"단축1";#N/A,#N/A,FALSE,"단축2";#N/A,#N/A,FALSE,"단축3";#N/A,#N/A,FALSE,"장축";#N/A,#N/A,FALSE,"4WD"}</definedName>
    <definedName name="ㅁㄴㅇㄹ_4" localSheetId="0" hidden="1">{#N/A,#N/A,FALSE,"단축1";#N/A,#N/A,FALSE,"단축2";#N/A,#N/A,FALSE,"단축3";#N/A,#N/A,FALSE,"장축";#N/A,#N/A,FALSE,"4WD"}</definedName>
    <definedName name="ㅁㄴㅇㄹ_4" hidden="1">{#N/A,#N/A,FALSE,"단축1";#N/A,#N/A,FALSE,"단축2";#N/A,#N/A,FALSE,"단축3";#N/A,#N/A,FALSE,"장축";#N/A,#N/A,FALSE,"4WD"}</definedName>
    <definedName name="ㅁㄴㅇㄹ_5" localSheetId="26" hidden="1">{#N/A,#N/A,FALSE,"단축1";#N/A,#N/A,FALSE,"단축2";#N/A,#N/A,FALSE,"단축3";#N/A,#N/A,FALSE,"장축";#N/A,#N/A,FALSE,"4WD"}</definedName>
    <definedName name="ㅁㄴㅇㄹ_5" localSheetId="0" hidden="1">{#N/A,#N/A,FALSE,"단축1";#N/A,#N/A,FALSE,"단축2";#N/A,#N/A,FALSE,"단축3";#N/A,#N/A,FALSE,"장축";#N/A,#N/A,FALSE,"4WD"}</definedName>
    <definedName name="ㅁㄴㅇㄹ_5" hidden="1">{#N/A,#N/A,FALSE,"단축1";#N/A,#N/A,FALSE,"단축2";#N/A,#N/A,FALSE,"단축3";#N/A,#N/A,FALSE,"장축";#N/A,#N/A,FALSE,"4WD"}</definedName>
    <definedName name="ㅁㅇ" localSheetId="26" hidden="1">{#N/A,#N/A,FALSE,"단축1";#N/A,#N/A,FALSE,"단축2";#N/A,#N/A,FALSE,"단축3";#N/A,#N/A,FALSE,"장축";#N/A,#N/A,FALSE,"4WD"}</definedName>
    <definedName name="ㅁㅇ" localSheetId="0" hidden="1">{#N/A,#N/A,FALSE,"단축1";#N/A,#N/A,FALSE,"단축2";#N/A,#N/A,FALSE,"단축3";#N/A,#N/A,FALSE,"장축";#N/A,#N/A,FALSE,"4WD"}</definedName>
    <definedName name="ㅁㅇ" hidden="1">{#N/A,#N/A,FALSE,"단축1";#N/A,#N/A,FALSE,"단축2";#N/A,#N/A,FALSE,"단축3";#N/A,#N/A,FALSE,"장축";#N/A,#N/A,FALSE,"4WD"}</definedName>
    <definedName name="ㅁㅇ_1" localSheetId="26" hidden="1">{#N/A,#N/A,FALSE,"단축1";#N/A,#N/A,FALSE,"단축2";#N/A,#N/A,FALSE,"단축3";#N/A,#N/A,FALSE,"장축";#N/A,#N/A,FALSE,"4WD"}</definedName>
    <definedName name="ㅁㅇ_1" localSheetId="0" hidden="1">{#N/A,#N/A,FALSE,"단축1";#N/A,#N/A,FALSE,"단축2";#N/A,#N/A,FALSE,"단축3";#N/A,#N/A,FALSE,"장축";#N/A,#N/A,FALSE,"4WD"}</definedName>
    <definedName name="ㅁㅇ_1" hidden="1">{#N/A,#N/A,FALSE,"단축1";#N/A,#N/A,FALSE,"단축2";#N/A,#N/A,FALSE,"단축3";#N/A,#N/A,FALSE,"장축";#N/A,#N/A,FALSE,"4WD"}</definedName>
    <definedName name="ㅁㅇ_1_1" localSheetId="26" hidden="1">{#N/A,#N/A,FALSE,"단축1";#N/A,#N/A,FALSE,"단축2";#N/A,#N/A,FALSE,"단축3";#N/A,#N/A,FALSE,"장축";#N/A,#N/A,FALSE,"4WD"}</definedName>
    <definedName name="ㅁㅇ_1_1" localSheetId="0" hidden="1">{#N/A,#N/A,FALSE,"단축1";#N/A,#N/A,FALSE,"단축2";#N/A,#N/A,FALSE,"단축3";#N/A,#N/A,FALSE,"장축";#N/A,#N/A,FALSE,"4WD"}</definedName>
    <definedName name="ㅁㅇ_1_1" hidden="1">{#N/A,#N/A,FALSE,"단축1";#N/A,#N/A,FALSE,"단축2";#N/A,#N/A,FALSE,"단축3";#N/A,#N/A,FALSE,"장축";#N/A,#N/A,FALSE,"4WD"}</definedName>
    <definedName name="ㅁㅇ_1_2" localSheetId="26" hidden="1">{#N/A,#N/A,FALSE,"단축1";#N/A,#N/A,FALSE,"단축2";#N/A,#N/A,FALSE,"단축3";#N/A,#N/A,FALSE,"장축";#N/A,#N/A,FALSE,"4WD"}</definedName>
    <definedName name="ㅁㅇ_1_2" localSheetId="0" hidden="1">{#N/A,#N/A,FALSE,"단축1";#N/A,#N/A,FALSE,"단축2";#N/A,#N/A,FALSE,"단축3";#N/A,#N/A,FALSE,"장축";#N/A,#N/A,FALSE,"4WD"}</definedName>
    <definedName name="ㅁㅇ_1_2" hidden="1">{#N/A,#N/A,FALSE,"단축1";#N/A,#N/A,FALSE,"단축2";#N/A,#N/A,FALSE,"단축3";#N/A,#N/A,FALSE,"장축";#N/A,#N/A,FALSE,"4WD"}</definedName>
    <definedName name="ㅁㅇ_1_3" localSheetId="26" hidden="1">{#N/A,#N/A,FALSE,"단축1";#N/A,#N/A,FALSE,"단축2";#N/A,#N/A,FALSE,"단축3";#N/A,#N/A,FALSE,"장축";#N/A,#N/A,FALSE,"4WD"}</definedName>
    <definedName name="ㅁㅇ_1_3" localSheetId="0" hidden="1">{#N/A,#N/A,FALSE,"단축1";#N/A,#N/A,FALSE,"단축2";#N/A,#N/A,FALSE,"단축3";#N/A,#N/A,FALSE,"장축";#N/A,#N/A,FALSE,"4WD"}</definedName>
    <definedName name="ㅁㅇ_1_3" hidden="1">{#N/A,#N/A,FALSE,"단축1";#N/A,#N/A,FALSE,"단축2";#N/A,#N/A,FALSE,"단축3";#N/A,#N/A,FALSE,"장축";#N/A,#N/A,FALSE,"4WD"}</definedName>
    <definedName name="ㅁㅇ_2" localSheetId="26" hidden="1">{#N/A,#N/A,FALSE,"단축1";#N/A,#N/A,FALSE,"단축2";#N/A,#N/A,FALSE,"단축3";#N/A,#N/A,FALSE,"장축";#N/A,#N/A,FALSE,"4WD"}</definedName>
    <definedName name="ㅁㅇ_2" localSheetId="0" hidden="1">{#N/A,#N/A,FALSE,"단축1";#N/A,#N/A,FALSE,"단축2";#N/A,#N/A,FALSE,"단축3";#N/A,#N/A,FALSE,"장축";#N/A,#N/A,FALSE,"4WD"}</definedName>
    <definedName name="ㅁㅇ_2" hidden="1">{#N/A,#N/A,FALSE,"단축1";#N/A,#N/A,FALSE,"단축2";#N/A,#N/A,FALSE,"단축3";#N/A,#N/A,FALSE,"장축";#N/A,#N/A,FALSE,"4WD"}</definedName>
    <definedName name="ㅁㅇ_2_1" localSheetId="26" hidden="1">{#N/A,#N/A,FALSE,"단축1";#N/A,#N/A,FALSE,"단축2";#N/A,#N/A,FALSE,"단축3";#N/A,#N/A,FALSE,"장축";#N/A,#N/A,FALSE,"4WD"}</definedName>
    <definedName name="ㅁㅇ_2_1" localSheetId="0" hidden="1">{#N/A,#N/A,FALSE,"단축1";#N/A,#N/A,FALSE,"단축2";#N/A,#N/A,FALSE,"단축3";#N/A,#N/A,FALSE,"장축";#N/A,#N/A,FALSE,"4WD"}</definedName>
    <definedName name="ㅁㅇ_2_1" hidden="1">{#N/A,#N/A,FALSE,"단축1";#N/A,#N/A,FALSE,"단축2";#N/A,#N/A,FALSE,"단축3";#N/A,#N/A,FALSE,"장축";#N/A,#N/A,FALSE,"4WD"}</definedName>
    <definedName name="ㅁㅇ_2_2" localSheetId="26" hidden="1">{#N/A,#N/A,FALSE,"단축1";#N/A,#N/A,FALSE,"단축2";#N/A,#N/A,FALSE,"단축3";#N/A,#N/A,FALSE,"장축";#N/A,#N/A,FALSE,"4WD"}</definedName>
    <definedName name="ㅁㅇ_2_2" localSheetId="0" hidden="1">{#N/A,#N/A,FALSE,"단축1";#N/A,#N/A,FALSE,"단축2";#N/A,#N/A,FALSE,"단축3";#N/A,#N/A,FALSE,"장축";#N/A,#N/A,FALSE,"4WD"}</definedName>
    <definedName name="ㅁㅇ_2_2" hidden="1">{#N/A,#N/A,FALSE,"단축1";#N/A,#N/A,FALSE,"단축2";#N/A,#N/A,FALSE,"단축3";#N/A,#N/A,FALSE,"장축";#N/A,#N/A,FALSE,"4WD"}</definedName>
    <definedName name="ㅁㅇ_3" localSheetId="26" hidden="1">{#N/A,#N/A,FALSE,"단축1";#N/A,#N/A,FALSE,"단축2";#N/A,#N/A,FALSE,"단축3";#N/A,#N/A,FALSE,"장축";#N/A,#N/A,FALSE,"4WD"}</definedName>
    <definedName name="ㅁㅇ_3" localSheetId="0" hidden="1">{#N/A,#N/A,FALSE,"단축1";#N/A,#N/A,FALSE,"단축2";#N/A,#N/A,FALSE,"단축3";#N/A,#N/A,FALSE,"장축";#N/A,#N/A,FALSE,"4WD"}</definedName>
    <definedName name="ㅁㅇ_3" hidden="1">{#N/A,#N/A,FALSE,"단축1";#N/A,#N/A,FALSE,"단축2";#N/A,#N/A,FALSE,"단축3";#N/A,#N/A,FALSE,"장축";#N/A,#N/A,FALSE,"4WD"}</definedName>
    <definedName name="ㅁㅇ_4" localSheetId="26" hidden="1">{#N/A,#N/A,FALSE,"단축1";#N/A,#N/A,FALSE,"단축2";#N/A,#N/A,FALSE,"단축3";#N/A,#N/A,FALSE,"장축";#N/A,#N/A,FALSE,"4WD"}</definedName>
    <definedName name="ㅁㅇ_4" localSheetId="0" hidden="1">{#N/A,#N/A,FALSE,"단축1";#N/A,#N/A,FALSE,"단축2";#N/A,#N/A,FALSE,"단축3";#N/A,#N/A,FALSE,"장축";#N/A,#N/A,FALSE,"4WD"}</definedName>
    <definedName name="ㅁㅇ_4" hidden="1">{#N/A,#N/A,FALSE,"단축1";#N/A,#N/A,FALSE,"단축2";#N/A,#N/A,FALSE,"단축3";#N/A,#N/A,FALSE,"장축";#N/A,#N/A,FALSE,"4WD"}</definedName>
    <definedName name="ㅁㅇ_5" localSheetId="26" hidden="1">{#N/A,#N/A,FALSE,"단축1";#N/A,#N/A,FALSE,"단축2";#N/A,#N/A,FALSE,"단축3";#N/A,#N/A,FALSE,"장축";#N/A,#N/A,FALSE,"4WD"}</definedName>
    <definedName name="ㅁㅇ_5" localSheetId="0" hidden="1">{#N/A,#N/A,FALSE,"단축1";#N/A,#N/A,FALSE,"단축2";#N/A,#N/A,FALSE,"단축3";#N/A,#N/A,FALSE,"장축";#N/A,#N/A,FALSE,"4WD"}</definedName>
    <definedName name="ㅁㅇ_5" hidden="1">{#N/A,#N/A,FALSE,"단축1";#N/A,#N/A,FALSE,"단축2";#N/A,#N/A,FALSE,"단축3";#N/A,#N/A,FALSE,"장축";#N/A,#N/A,FALSE,"4WD"}</definedName>
    <definedName name="ㅁㅇㅊㅁㄴㅇㄹ" localSheetId="26" hidden="1">{#N/A,#N/A,FALSE,"단축1";#N/A,#N/A,FALSE,"단축2";#N/A,#N/A,FALSE,"단축3";#N/A,#N/A,FALSE,"장축";#N/A,#N/A,FALSE,"4WD"}</definedName>
    <definedName name="ㅁㅇㅊㅁㄴㅇㄹ" localSheetId="0" hidden="1">{#N/A,#N/A,FALSE,"단축1";#N/A,#N/A,FALSE,"단축2";#N/A,#N/A,FALSE,"단축3";#N/A,#N/A,FALSE,"장축";#N/A,#N/A,FALSE,"4WD"}</definedName>
    <definedName name="ㅁㅇㅊㅁㄴㅇㄹ" hidden="1">{#N/A,#N/A,FALSE,"단축1";#N/A,#N/A,FALSE,"단축2";#N/A,#N/A,FALSE,"단축3";#N/A,#N/A,FALSE,"장축";#N/A,#N/A,FALSE,"4WD"}</definedName>
    <definedName name="ㅁㅇㅊㅁㄴㅇㄹ_1" localSheetId="26" hidden="1">{#N/A,#N/A,FALSE,"단축1";#N/A,#N/A,FALSE,"단축2";#N/A,#N/A,FALSE,"단축3";#N/A,#N/A,FALSE,"장축";#N/A,#N/A,FALSE,"4WD"}</definedName>
    <definedName name="ㅁㅇㅊㅁㄴㅇㄹ_1" localSheetId="0" hidden="1">{#N/A,#N/A,FALSE,"단축1";#N/A,#N/A,FALSE,"단축2";#N/A,#N/A,FALSE,"단축3";#N/A,#N/A,FALSE,"장축";#N/A,#N/A,FALSE,"4WD"}</definedName>
    <definedName name="ㅁㅇㅊㅁㄴㅇㄹ_1" hidden="1">{#N/A,#N/A,FALSE,"단축1";#N/A,#N/A,FALSE,"단축2";#N/A,#N/A,FALSE,"단축3";#N/A,#N/A,FALSE,"장축";#N/A,#N/A,FALSE,"4WD"}</definedName>
    <definedName name="ㅁㅇㅊㅁㄴㅇㄹ_1_1" localSheetId="26" hidden="1">{#N/A,#N/A,FALSE,"단축1";#N/A,#N/A,FALSE,"단축2";#N/A,#N/A,FALSE,"단축3";#N/A,#N/A,FALSE,"장축";#N/A,#N/A,FALSE,"4WD"}</definedName>
    <definedName name="ㅁㅇㅊㅁㄴㅇㄹ_1_1" localSheetId="0" hidden="1">{#N/A,#N/A,FALSE,"단축1";#N/A,#N/A,FALSE,"단축2";#N/A,#N/A,FALSE,"단축3";#N/A,#N/A,FALSE,"장축";#N/A,#N/A,FALSE,"4WD"}</definedName>
    <definedName name="ㅁㅇㅊㅁㄴㅇㄹ_1_1" hidden="1">{#N/A,#N/A,FALSE,"단축1";#N/A,#N/A,FALSE,"단축2";#N/A,#N/A,FALSE,"단축3";#N/A,#N/A,FALSE,"장축";#N/A,#N/A,FALSE,"4WD"}</definedName>
    <definedName name="ㅁㅇㅊㅁㄴㅇㄹ_1_2" localSheetId="26" hidden="1">{#N/A,#N/A,FALSE,"단축1";#N/A,#N/A,FALSE,"단축2";#N/A,#N/A,FALSE,"단축3";#N/A,#N/A,FALSE,"장축";#N/A,#N/A,FALSE,"4WD"}</definedName>
    <definedName name="ㅁㅇㅊㅁㄴㅇㄹ_1_2" localSheetId="0" hidden="1">{#N/A,#N/A,FALSE,"단축1";#N/A,#N/A,FALSE,"단축2";#N/A,#N/A,FALSE,"단축3";#N/A,#N/A,FALSE,"장축";#N/A,#N/A,FALSE,"4WD"}</definedName>
    <definedName name="ㅁㅇㅊㅁㄴㅇㄹ_1_2" hidden="1">{#N/A,#N/A,FALSE,"단축1";#N/A,#N/A,FALSE,"단축2";#N/A,#N/A,FALSE,"단축3";#N/A,#N/A,FALSE,"장축";#N/A,#N/A,FALSE,"4WD"}</definedName>
    <definedName name="ㅁㅇㅊㅁㄴㅇㄹ_1_3" localSheetId="26" hidden="1">{#N/A,#N/A,FALSE,"단축1";#N/A,#N/A,FALSE,"단축2";#N/A,#N/A,FALSE,"단축3";#N/A,#N/A,FALSE,"장축";#N/A,#N/A,FALSE,"4WD"}</definedName>
    <definedName name="ㅁㅇㅊㅁㄴㅇㄹ_1_3" localSheetId="0" hidden="1">{#N/A,#N/A,FALSE,"단축1";#N/A,#N/A,FALSE,"단축2";#N/A,#N/A,FALSE,"단축3";#N/A,#N/A,FALSE,"장축";#N/A,#N/A,FALSE,"4WD"}</definedName>
    <definedName name="ㅁㅇㅊㅁㄴㅇㄹ_1_3" hidden="1">{#N/A,#N/A,FALSE,"단축1";#N/A,#N/A,FALSE,"단축2";#N/A,#N/A,FALSE,"단축3";#N/A,#N/A,FALSE,"장축";#N/A,#N/A,FALSE,"4WD"}</definedName>
    <definedName name="ㅁㅇㅊㅁㄴㅇㄹ_2" localSheetId="26" hidden="1">{#N/A,#N/A,FALSE,"단축1";#N/A,#N/A,FALSE,"단축2";#N/A,#N/A,FALSE,"단축3";#N/A,#N/A,FALSE,"장축";#N/A,#N/A,FALSE,"4WD"}</definedName>
    <definedName name="ㅁㅇㅊㅁㄴㅇㄹ_2" localSheetId="0" hidden="1">{#N/A,#N/A,FALSE,"단축1";#N/A,#N/A,FALSE,"단축2";#N/A,#N/A,FALSE,"단축3";#N/A,#N/A,FALSE,"장축";#N/A,#N/A,FALSE,"4WD"}</definedName>
    <definedName name="ㅁㅇㅊㅁㄴㅇㄹ_2" hidden="1">{#N/A,#N/A,FALSE,"단축1";#N/A,#N/A,FALSE,"단축2";#N/A,#N/A,FALSE,"단축3";#N/A,#N/A,FALSE,"장축";#N/A,#N/A,FALSE,"4WD"}</definedName>
    <definedName name="ㅁㅇㅊㅁㄴㅇㄹ_2_1" localSheetId="26" hidden="1">{#N/A,#N/A,FALSE,"단축1";#N/A,#N/A,FALSE,"단축2";#N/A,#N/A,FALSE,"단축3";#N/A,#N/A,FALSE,"장축";#N/A,#N/A,FALSE,"4WD"}</definedName>
    <definedName name="ㅁㅇㅊㅁㄴㅇㄹ_2_1" localSheetId="0" hidden="1">{#N/A,#N/A,FALSE,"단축1";#N/A,#N/A,FALSE,"단축2";#N/A,#N/A,FALSE,"단축3";#N/A,#N/A,FALSE,"장축";#N/A,#N/A,FALSE,"4WD"}</definedName>
    <definedName name="ㅁㅇㅊㅁㄴㅇㄹ_2_1" hidden="1">{#N/A,#N/A,FALSE,"단축1";#N/A,#N/A,FALSE,"단축2";#N/A,#N/A,FALSE,"단축3";#N/A,#N/A,FALSE,"장축";#N/A,#N/A,FALSE,"4WD"}</definedName>
    <definedName name="ㅁㅇㅊㅁㄴㅇㄹ_2_2" localSheetId="26" hidden="1">{#N/A,#N/A,FALSE,"단축1";#N/A,#N/A,FALSE,"단축2";#N/A,#N/A,FALSE,"단축3";#N/A,#N/A,FALSE,"장축";#N/A,#N/A,FALSE,"4WD"}</definedName>
    <definedName name="ㅁㅇㅊㅁㄴㅇㄹ_2_2" localSheetId="0" hidden="1">{#N/A,#N/A,FALSE,"단축1";#N/A,#N/A,FALSE,"단축2";#N/A,#N/A,FALSE,"단축3";#N/A,#N/A,FALSE,"장축";#N/A,#N/A,FALSE,"4WD"}</definedName>
    <definedName name="ㅁㅇㅊㅁㄴㅇㄹ_2_2" hidden="1">{#N/A,#N/A,FALSE,"단축1";#N/A,#N/A,FALSE,"단축2";#N/A,#N/A,FALSE,"단축3";#N/A,#N/A,FALSE,"장축";#N/A,#N/A,FALSE,"4WD"}</definedName>
    <definedName name="ㅁㅇㅊㅁㄴㅇㄹ_3" localSheetId="26" hidden="1">{#N/A,#N/A,FALSE,"단축1";#N/A,#N/A,FALSE,"단축2";#N/A,#N/A,FALSE,"단축3";#N/A,#N/A,FALSE,"장축";#N/A,#N/A,FALSE,"4WD"}</definedName>
    <definedName name="ㅁㅇㅊㅁㄴㅇㄹ_3" localSheetId="0" hidden="1">{#N/A,#N/A,FALSE,"단축1";#N/A,#N/A,FALSE,"단축2";#N/A,#N/A,FALSE,"단축3";#N/A,#N/A,FALSE,"장축";#N/A,#N/A,FALSE,"4WD"}</definedName>
    <definedName name="ㅁㅇㅊㅁㄴㅇㄹ_3" hidden="1">{#N/A,#N/A,FALSE,"단축1";#N/A,#N/A,FALSE,"단축2";#N/A,#N/A,FALSE,"단축3";#N/A,#N/A,FALSE,"장축";#N/A,#N/A,FALSE,"4WD"}</definedName>
    <definedName name="ㅁㅇㅊㅁㄴㅇㄹ_4" localSheetId="26" hidden="1">{#N/A,#N/A,FALSE,"단축1";#N/A,#N/A,FALSE,"단축2";#N/A,#N/A,FALSE,"단축3";#N/A,#N/A,FALSE,"장축";#N/A,#N/A,FALSE,"4WD"}</definedName>
    <definedName name="ㅁㅇㅊㅁㄴㅇㄹ_4" localSheetId="0" hidden="1">{#N/A,#N/A,FALSE,"단축1";#N/A,#N/A,FALSE,"단축2";#N/A,#N/A,FALSE,"단축3";#N/A,#N/A,FALSE,"장축";#N/A,#N/A,FALSE,"4WD"}</definedName>
    <definedName name="ㅁㅇㅊㅁㄴㅇㄹ_4" hidden="1">{#N/A,#N/A,FALSE,"단축1";#N/A,#N/A,FALSE,"단축2";#N/A,#N/A,FALSE,"단축3";#N/A,#N/A,FALSE,"장축";#N/A,#N/A,FALSE,"4WD"}</definedName>
    <definedName name="ㅁㅇㅊㅁㄴㅇㄹ_5" localSheetId="26" hidden="1">{#N/A,#N/A,FALSE,"단축1";#N/A,#N/A,FALSE,"단축2";#N/A,#N/A,FALSE,"단축3";#N/A,#N/A,FALSE,"장축";#N/A,#N/A,FALSE,"4WD"}</definedName>
    <definedName name="ㅁㅇㅊㅁㄴㅇㄹ_5" localSheetId="0" hidden="1">{#N/A,#N/A,FALSE,"단축1";#N/A,#N/A,FALSE,"단축2";#N/A,#N/A,FALSE,"단축3";#N/A,#N/A,FALSE,"장축";#N/A,#N/A,FALSE,"4WD"}</definedName>
    <definedName name="ㅁㅇㅊㅁㄴㅇㄹ_5" hidden="1">{#N/A,#N/A,FALSE,"단축1";#N/A,#N/A,FALSE,"단축2";#N/A,#N/A,FALSE,"단축3";#N/A,#N/A,FALSE,"장축";#N/A,#N/A,FALSE,"4WD"}</definedName>
    <definedName name="미접수" localSheetId="26" hidden="1">{#N/A,#N/A,FALSE,"해외크레임";#N/A,#N/A,FALSE,"ACCENT현황";#N/A,#N/A,FALSE,"AVANTE";#N/A,#N/A,FALSE,"SONATA(3)";#N/A,#N/A,FALSE,"국내크레임"}</definedName>
    <definedName name="미접수" localSheetId="0" hidden="1">{#N/A,#N/A,FALSE,"해외크레임";#N/A,#N/A,FALSE,"ACCENT현황";#N/A,#N/A,FALSE,"AVANTE";#N/A,#N/A,FALSE,"SONATA(3)";#N/A,#N/A,FALSE,"국내크레임"}</definedName>
    <definedName name="미접수" hidden="1">{#N/A,#N/A,FALSE,"해외크레임";#N/A,#N/A,FALSE,"ACCENT현황";#N/A,#N/A,FALSE,"AVANTE";#N/A,#N/A,FALSE,"SONATA(3)";#N/A,#N/A,FALSE,"국내크레임"}</definedName>
    <definedName name="미접수_1" localSheetId="26" hidden="1">{#N/A,#N/A,FALSE,"해외크레임";#N/A,#N/A,FALSE,"ACCENT현황";#N/A,#N/A,FALSE,"AVANTE";#N/A,#N/A,FALSE,"SONATA(3)";#N/A,#N/A,FALSE,"국내크레임"}</definedName>
    <definedName name="미접수_1" localSheetId="0" hidden="1">{#N/A,#N/A,FALSE,"해외크레임";#N/A,#N/A,FALSE,"ACCENT현황";#N/A,#N/A,FALSE,"AVANTE";#N/A,#N/A,FALSE,"SONATA(3)";#N/A,#N/A,FALSE,"국내크레임"}</definedName>
    <definedName name="미접수_1" hidden="1">{#N/A,#N/A,FALSE,"해외크레임";#N/A,#N/A,FALSE,"ACCENT현황";#N/A,#N/A,FALSE,"AVANTE";#N/A,#N/A,FALSE,"SONATA(3)";#N/A,#N/A,FALSE,"국내크레임"}</definedName>
    <definedName name="미접수_1_1" localSheetId="26" hidden="1">{#N/A,#N/A,FALSE,"해외크레임";#N/A,#N/A,FALSE,"ACCENT현황";#N/A,#N/A,FALSE,"AVANTE";#N/A,#N/A,FALSE,"SONATA(3)";#N/A,#N/A,FALSE,"국내크레임"}</definedName>
    <definedName name="미접수_1_1" localSheetId="0" hidden="1">{#N/A,#N/A,FALSE,"해외크레임";#N/A,#N/A,FALSE,"ACCENT현황";#N/A,#N/A,FALSE,"AVANTE";#N/A,#N/A,FALSE,"SONATA(3)";#N/A,#N/A,FALSE,"국내크레임"}</definedName>
    <definedName name="미접수_1_1" hidden="1">{#N/A,#N/A,FALSE,"해외크레임";#N/A,#N/A,FALSE,"ACCENT현황";#N/A,#N/A,FALSE,"AVANTE";#N/A,#N/A,FALSE,"SONATA(3)";#N/A,#N/A,FALSE,"국내크레임"}</definedName>
    <definedName name="미접수_1_2" localSheetId="26" hidden="1">{#N/A,#N/A,FALSE,"해외크레임";#N/A,#N/A,FALSE,"ACCENT현황";#N/A,#N/A,FALSE,"AVANTE";#N/A,#N/A,FALSE,"SONATA(3)";#N/A,#N/A,FALSE,"국내크레임"}</definedName>
    <definedName name="미접수_1_2" localSheetId="0" hidden="1">{#N/A,#N/A,FALSE,"해외크레임";#N/A,#N/A,FALSE,"ACCENT현황";#N/A,#N/A,FALSE,"AVANTE";#N/A,#N/A,FALSE,"SONATA(3)";#N/A,#N/A,FALSE,"국내크레임"}</definedName>
    <definedName name="미접수_1_2" hidden="1">{#N/A,#N/A,FALSE,"해외크레임";#N/A,#N/A,FALSE,"ACCENT현황";#N/A,#N/A,FALSE,"AVANTE";#N/A,#N/A,FALSE,"SONATA(3)";#N/A,#N/A,FALSE,"국내크레임"}</definedName>
    <definedName name="미접수_1_3" localSheetId="26" hidden="1">{#N/A,#N/A,FALSE,"해외크레임";#N/A,#N/A,FALSE,"ACCENT현황";#N/A,#N/A,FALSE,"AVANTE";#N/A,#N/A,FALSE,"SONATA(3)";#N/A,#N/A,FALSE,"국내크레임"}</definedName>
    <definedName name="미접수_1_3" localSheetId="0" hidden="1">{#N/A,#N/A,FALSE,"해외크레임";#N/A,#N/A,FALSE,"ACCENT현황";#N/A,#N/A,FALSE,"AVANTE";#N/A,#N/A,FALSE,"SONATA(3)";#N/A,#N/A,FALSE,"국내크레임"}</definedName>
    <definedName name="미접수_1_3" hidden="1">{#N/A,#N/A,FALSE,"해외크레임";#N/A,#N/A,FALSE,"ACCENT현황";#N/A,#N/A,FALSE,"AVANTE";#N/A,#N/A,FALSE,"SONATA(3)";#N/A,#N/A,FALSE,"국내크레임"}</definedName>
    <definedName name="미접수_2" localSheetId="26" hidden="1">{#N/A,#N/A,FALSE,"해외크레임";#N/A,#N/A,FALSE,"ACCENT현황";#N/A,#N/A,FALSE,"AVANTE";#N/A,#N/A,FALSE,"SONATA(3)";#N/A,#N/A,FALSE,"국내크레임"}</definedName>
    <definedName name="미접수_2" localSheetId="0" hidden="1">{#N/A,#N/A,FALSE,"해외크레임";#N/A,#N/A,FALSE,"ACCENT현황";#N/A,#N/A,FALSE,"AVANTE";#N/A,#N/A,FALSE,"SONATA(3)";#N/A,#N/A,FALSE,"국내크레임"}</definedName>
    <definedName name="미접수_2" hidden="1">{#N/A,#N/A,FALSE,"해외크레임";#N/A,#N/A,FALSE,"ACCENT현황";#N/A,#N/A,FALSE,"AVANTE";#N/A,#N/A,FALSE,"SONATA(3)";#N/A,#N/A,FALSE,"국내크레임"}</definedName>
    <definedName name="미접수_2_1" localSheetId="26" hidden="1">{#N/A,#N/A,FALSE,"해외크레임";#N/A,#N/A,FALSE,"ACCENT현황";#N/A,#N/A,FALSE,"AVANTE";#N/A,#N/A,FALSE,"SONATA(3)";#N/A,#N/A,FALSE,"국내크레임"}</definedName>
    <definedName name="미접수_2_1" localSheetId="0" hidden="1">{#N/A,#N/A,FALSE,"해외크레임";#N/A,#N/A,FALSE,"ACCENT현황";#N/A,#N/A,FALSE,"AVANTE";#N/A,#N/A,FALSE,"SONATA(3)";#N/A,#N/A,FALSE,"국내크레임"}</definedName>
    <definedName name="미접수_2_1" hidden="1">{#N/A,#N/A,FALSE,"해외크레임";#N/A,#N/A,FALSE,"ACCENT현황";#N/A,#N/A,FALSE,"AVANTE";#N/A,#N/A,FALSE,"SONATA(3)";#N/A,#N/A,FALSE,"국내크레임"}</definedName>
    <definedName name="미접수_2_2" localSheetId="26" hidden="1">{#N/A,#N/A,FALSE,"해외크레임";#N/A,#N/A,FALSE,"ACCENT현황";#N/A,#N/A,FALSE,"AVANTE";#N/A,#N/A,FALSE,"SONATA(3)";#N/A,#N/A,FALSE,"국내크레임"}</definedName>
    <definedName name="미접수_2_2" localSheetId="0" hidden="1">{#N/A,#N/A,FALSE,"해외크레임";#N/A,#N/A,FALSE,"ACCENT현황";#N/A,#N/A,FALSE,"AVANTE";#N/A,#N/A,FALSE,"SONATA(3)";#N/A,#N/A,FALSE,"국내크레임"}</definedName>
    <definedName name="미접수_2_2" hidden="1">{#N/A,#N/A,FALSE,"해외크레임";#N/A,#N/A,FALSE,"ACCENT현황";#N/A,#N/A,FALSE,"AVANTE";#N/A,#N/A,FALSE,"SONATA(3)";#N/A,#N/A,FALSE,"국내크레임"}</definedName>
    <definedName name="미접수_3" localSheetId="26" hidden="1">{#N/A,#N/A,FALSE,"해외크레임";#N/A,#N/A,FALSE,"ACCENT현황";#N/A,#N/A,FALSE,"AVANTE";#N/A,#N/A,FALSE,"SONATA(3)";#N/A,#N/A,FALSE,"국내크레임"}</definedName>
    <definedName name="미접수_3" localSheetId="0" hidden="1">{#N/A,#N/A,FALSE,"해외크레임";#N/A,#N/A,FALSE,"ACCENT현황";#N/A,#N/A,FALSE,"AVANTE";#N/A,#N/A,FALSE,"SONATA(3)";#N/A,#N/A,FALSE,"국내크레임"}</definedName>
    <definedName name="미접수_3" hidden="1">{#N/A,#N/A,FALSE,"해외크레임";#N/A,#N/A,FALSE,"ACCENT현황";#N/A,#N/A,FALSE,"AVANTE";#N/A,#N/A,FALSE,"SONATA(3)";#N/A,#N/A,FALSE,"국내크레임"}</definedName>
    <definedName name="미접수_4" localSheetId="26" hidden="1">{#N/A,#N/A,FALSE,"해외크레임";#N/A,#N/A,FALSE,"ACCENT현황";#N/A,#N/A,FALSE,"AVANTE";#N/A,#N/A,FALSE,"SONATA(3)";#N/A,#N/A,FALSE,"국내크레임"}</definedName>
    <definedName name="미접수_4" localSheetId="0" hidden="1">{#N/A,#N/A,FALSE,"해외크레임";#N/A,#N/A,FALSE,"ACCENT현황";#N/A,#N/A,FALSE,"AVANTE";#N/A,#N/A,FALSE,"SONATA(3)";#N/A,#N/A,FALSE,"국내크레임"}</definedName>
    <definedName name="미접수_4" hidden="1">{#N/A,#N/A,FALSE,"해외크레임";#N/A,#N/A,FALSE,"ACCENT현황";#N/A,#N/A,FALSE,"AVANTE";#N/A,#N/A,FALSE,"SONATA(3)";#N/A,#N/A,FALSE,"국내크레임"}</definedName>
    <definedName name="미접수_5" localSheetId="26" hidden="1">{#N/A,#N/A,FALSE,"해외크레임";#N/A,#N/A,FALSE,"ACCENT현황";#N/A,#N/A,FALSE,"AVANTE";#N/A,#N/A,FALSE,"SONATA(3)";#N/A,#N/A,FALSE,"국내크레임"}</definedName>
    <definedName name="미접수_5" localSheetId="0" hidden="1">{#N/A,#N/A,FALSE,"해외크레임";#N/A,#N/A,FALSE,"ACCENT현황";#N/A,#N/A,FALSE,"AVANTE";#N/A,#N/A,FALSE,"SONATA(3)";#N/A,#N/A,FALSE,"국내크레임"}</definedName>
    <definedName name="미접수_5" hidden="1">{#N/A,#N/A,FALSE,"해외크레임";#N/A,#N/A,FALSE,"ACCENT현황";#N/A,#N/A,FALSE,"AVANTE";#N/A,#N/A,FALSE,"SONATA(3)";#N/A,#N/A,FALSE,"국내크레임"}</definedName>
    <definedName name="ㅂㅂㅂ" localSheetId="26" hidden="1">{#N/A,#N/A,FALSE,"단축1";#N/A,#N/A,FALSE,"단축2";#N/A,#N/A,FALSE,"단축3";#N/A,#N/A,FALSE,"장축";#N/A,#N/A,FALSE,"4WD"}</definedName>
    <definedName name="ㅂㅂㅂ" localSheetId="0" hidden="1">{#N/A,#N/A,FALSE,"단축1";#N/A,#N/A,FALSE,"단축2";#N/A,#N/A,FALSE,"단축3";#N/A,#N/A,FALSE,"장축";#N/A,#N/A,FALSE,"4WD"}</definedName>
    <definedName name="ㅂㅂㅂ" hidden="1">{#N/A,#N/A,FALSE,"단축1";#N/A,#N/A,FALSE,"단축2";#N/A,#N/A,FALSE,"단축3";#N/A,#N/A,FALSE,"장축";#N/A,#N/A,FALSE,"4WD"}</definedName>
    <definedName name="ㅂㅂㅂ_1" localSheetId="26" hidden="1">{#N/A,#N/A,FALSE,"단축1";#N/A,#N/A,FALSE,"단축2";#N/A,#N/A,FALSE,"단축3";#N/A,#N/A,FALSE,"장축";#N/A,#N/A,FALSE,"4WD"}</definedName>
    <definedName name="ㅂㅂㅂ_1" localSheetId="0" hidden="1">{#N/A,#N/A,FALSE,"단축1";#N/A,#N/A,FALSE,"단축2";#N/A,#N/A,FALSE,"단축3";#N/A,#N/A,FALSE,"장축";#N/A,#N/A,FALSE,"4WD"}</definedName>
    <definedName name="ㅂㅂㅂ_1" hidden="1">{#N/A,#N/A,FALSE,"단축1";#N/A,#N/A,FALSE,"단축2";#N/A,#N/A,FALSE,"단축3";#N/A,#N/A,FALSE,"장축";#N/A,#N/A,FALSE,"4WD"}</definedName>
    <definedName name="ㅂㅂㅂ_1_1" localSheetId="26" hidden="1">{#N/A,#N/A,FALSE,"단축1";#N/A,#N/A,FALSE,"단축2";#N/A,#N/A,FALSE,"단축3";#N/A,#N/A,FALSE,"장축";#N/A,#N/A,FALSE,"4WD"}</definedName>
    <definedName name="ㅂㅂㅂ_1_1" localSheetId="0" hidden="1">{#N/A,#N/A,FALSE,"단축1";#N/A,#N/A,FALSE,"단축2";#N/A,#N/A,FALSE,"단축3";#N/A,#N/A,FALSE,"장축";#N/A,#N/A,FALSE,"4WD"}</definedName>
    <definedName name="ㅂㅂㅂ_1_1" hidden="1">{#N/A,#N/A,FALSE,"단축1";#N/A,#N/A,FALSE,"단축2";#N/A,#N/A,FALSE,"단축3";#N/A,#N/A,FALSE,"장축";#N/A,#N/A,FALSE,"4WD"}</definedName>
    <definedName name="ㅂㅂㅂ_1_2" localSheetId="26" hidden="1">{#N/A,#N/A,FALSE,"단축1";#N/A,#N/A,FALSE,"단축2";#N/A,#N/A,FALSE,"단축3";#N/A,#N/A,FALSE,"장축";#N/A,#N/A,FALSE,"4WD"}</definedName>
    <definedName name="ㅂㅂㅂ_1_2" localSheetId="0" hidden="1">{#N/A,#N/A,FALSE,"단축1";#N/A,#N/A,FALSE,"단축2";#N/A,#N/A,FALSE,"단축3";#N/A,#N/A,FALSE,"장축";#N/A,#N/A,FALSE,"4WD"}</definedName>
    <definedName name="ㅂㅂㅂ_1_2" hidden="1">{#N/A,#N/A,FALSE,"단축1";#N/A,#N/A,FALSE,"단축2";#N/A,#N/A,FALSE,"단축3";#N/A,#N/A,FALSE,"장축";#N/A,#N/A,FALSE,"4WD"}</definedName>
    <definedName name="ㅂㅂㅂ_1_3" localSheetId="26" hidden="1">{#N/A,#N/A,FALSE,"단축1";#N/A,#N/A,FALSE,"단축2";#N/A,#N/A,FALSE,"단축3";#N/A,#N/A,FALSE,"장축";#N/A,#N/A,FALSE,"4WD"}</definedName>
    <definedName name="ㅂㅂㅂ_1_3" localSheetId="0" hidden="1">{#N/A,#N/A,FALSE,"단축1";#N/A,#N/A,FALSE,"단축2";#N/A,#N/A,FALSE,"단축3";#N/A,#N/A,FALSE,"장축";#N/A,#N/A,FALSE,"4WD"}</definedName>
    <definedName name="ㅂㅂㅂ_1_3" hidden="1">{#N/A,#N/A,FALSE,"단축1";#N/A,#N/A,FALSE,"단축2";#N/A,#N/A,FALSE,"단축3";#N/A,#N/A,FALSE,"장축";#N/A,#N/A,FALSE,"4WD"}</definedName>
    <definedName name="ㅂㅂㅂ_2" localSheetId="26" hidden="1">{#N/A,#N/A,FALSE,"단축1";#N/A,#N/A,FALSE,"단축2";#N/A,#N/A,FALSE,"단축3";#N/A,#N/A,FALSE,"장축";#N/A,#N/A,FALSE,"4WD"}</definedName>
    <definedName name="ㅂㅂㅂ_2" localSheetId="0" hidden="1">{#N/A,#N/A,FALSE,"단축1";#N/A,#N/A,FALSE,"단축2";#N/A,#N/A,FALSE,"단축3";#N/A,#N/A,FALSE,"장축";#N/A,#N/A,FALSE,"4WD"}</definedName>
    <definedName name="ㅂㅂㅂ_2" hidden="1">{#N/A,#N/A,FALSE,"단축1";#N/A,#N/A,FALSE,"단축2";#N/A,#N/A,FALSE,"단축3";#N/A,#N/A,FALSE,"장축";#N/A,#N/A,FALSE,"4WD"}</definedName>
    <definedName name="ㅂㅂㅂ_2_1" localSheetId="26" hidden="1">{#N/A,#N/A,FALSE,"단축1";#N/A,#N/A,FALSE,"단축2";#N/A,#N/A,FALSE,"단축3";#N/A,#N/A,FALSE,"장축";#N/A,#N/A,FALSE,"4WD"}</definedName>
    <definedName name="ㅂㅂㅂ_2_1" localSheetId="0" hidden="1">{#N/A,#N/A,FALSE,"단축1";#N/A,#N/A,FALSE,"단축2";#N/A,#N/A,FALSE,"단축3";#N/A,#N/A,FALSE,"장축";#N/A,#N/A,FALSE,"4WD"}</definedName>
    <definedName name="ㅂㅂㅂ_2_1" hidden="1">{#N/A,#N/A,FALSE,"단축1";#N/A,#N/A,FALSE,"단축2";#N/A,#N/A,FALSE,"단축3";#N/A,#N/A,FALSE,"장축";#N/A,#N/A,FALSE,"4WD"}</definedName>
    <definedName name="ㅂㅂㅂ_2_2" localSheetId="26" hidden="1">{#N/A,#N/A,FALSE,"단축1";#N/A,#N/A,FALSE,"단축2";#N/A,#N/A,FALSE,"단축3";#N/A,#N/A,FALSE,"장축";#N/A,#N/A,FALSE,"4WD"}</definedName>
    <definedName name="ㅂㅂㅂ_2_2" localSheetId="0" hidden="1">{#N/A,#N/A,FALSE,"단축1";#N/A,#N/A,FALSE,"단축2";#N/A,#N/A,FALSE,"단축3";#N/A,#N/A,FALSE,"장축";#N/A,#N/A,FALSE,"4WD"}</definedName>
    <definedName name="ㅂㅂㅂ_2_2" hidden="1">{#N/A,#N/A,FALSE,"단축1";#N/A,#N/A,FALSE,"단축2";#N/A,#N/A,FALSE,"단축3";#N/A,#N/A,FALSE,"장축";#N/A,#N/A,FALSE,"4WD"}</definedName>
    <definedName name="ㅂㅂㅂ_3" localSheetId="26" hidden="1">{#N/A,#N/A,FALSE,"단축1";#N/A,#N/A,FALSE,"단축2";#N/A,#N/A,FALSE,"단축3";#N/A,#N/A,FALSE,"장축";#N/A,#N/A,FALSE,"4WD"}</definedName>
    <definedName name="ㅂㅂㅂ_3" localSheetId="0" hidden="1">{#N/A,#N/A,FALSE,"단축1";#N/A,#N/A,FALSE,"단축2";#N/A,#N/A,FALSE,"단축3";#N/A,#N/A,FALSE,"장축";#N/A,#N/A,FALSE,"4WD"}</definedName>
    <definedName name="ㅂㅂㅂ_3" hidden="1">{#N/A,#N/A,FALSE,"단축1";#N/A,#N/A,FALSE,"단축2";#N/A,#N/A,FALSE,"단축3";#N/A,#N/A,FALSE,"장축";#N/A,#N/A,FALSE,"4WD"}</definedName>
    <definedName name="ㅂㅂㅂ_4" localSheetId="26" hidden="1">{#N/A,#N/A,FALSE,"단축1";#N/A,#N/A,FALSE,"단축2";#N/A,#N/A,FALSE,"단축3";#N/A,#N/A,FALSE,"장축";#N/A,#N/A,FALSE,"4WD"}</definedName>
    <definedName name="ㅂㅂㅂ_4" localSheetId="0" hidden="1">{#N/A,#N/A,FALSE,"단축1";#N/A,#N/A,FALSE,"단축2";#N/A,#N/A,FALSE,"단축3";#N/A,#N/A,FALSE,"장축";#N/A,#N/A,FALSE,"4WD"}</definedName>
    <definedName name="ㅂㅂㅂ_4" hidden="1">{#N/A,#N/A,FALSE,"단축1";#N/A,#N/A,FALSE,"단축2";#N/A,#N/A,FALSE,"단축3";#N/A,#N/A,FALSE,"장축";#N/A,#N/A,FALSE,"4WD"}</definedName>
    <definedName name="ㅂㅂㅂ_5" localSheetId="26" hidden="1">{#N/A,#N/A,FALSE,"단축1";#N/A,#N/A,FALSE,"단축2";#N/A,#N/A,FALSE,"단축3";#N/A,#N/A,FALSE,"장축";#N/A,#N/A,FALSE,"4WD"}</definedName>
    <definedName name="ㅂㅂㅂ_5" localSheetId="0" hidden="1">{#N/A,#N/A,FALSE,"단축1";#N/A,#N/A,FALSE,"단축2";#N/A,#N/A,FALSE,"단축3";#N/A,#N/A,FALSE,"장축";#N/A,#N/A,FALSE,"4WD"}</definedName>
    <definedName name="ㅂㅂㅂ_5" hidden="1">{#N/A,#N/A,FALSE,"단축1";#N/A,#N/A,FALSE,"단축2";#N/A,#N/A,FALSE,"단축3";#N/A,#N/A,FALSE,"장축";#N/A,#N/A,FALSE,"4WD"}</definedName>
    <definedName name="방진고무" localSheetId="26" hidden="1">{#N/A,#N/A,FALSE,"단축1";#N/A,#N/A,FALSE,"단축2";#N/A,#N/A,FALSE,"단축3";#N/A,#N/A,FALSE,"장축";#N/A,#N/A,FALSE,"4WD"}</definedName>
    <definedName name="방진고무" localSheetId="0" hidden="1">{#N/A,#N/A,FALSE,"단축1";#N/A,#N/A,FALSE,"단축2";#N/A,#N/A,FALSE,"단축3";#N/A,#N/A,FALSE,"장축";#N/A,#N/A,FALSE,"4WD"}</definedName>
    <definedName name="방진고무" hidden="1">{#N/A,#N/A,FALSE,"단축1";#N/A,#N/A,FALSE,"단축2";#N/A,#N/A,FALSE,"단축3";#N/A,#N/A,FALSE,"장축";#N/A,#N/A,FALSE,"4WD"}</definedName>
    <definedName name="방진고무_1" localSheetId="26" hidden="1">{#N/A,#N/A,FALSE,"단축1";#N/A,#N/A,FALSE,"단축2";#N/A,#N/A,FALSE,"단축3";#N/A,#N/A,FALSE,"장축";#N/A,#N/A,FALSE,"4WD"}</definedName>
    <definedName name="방진고무_1" localSheetId="0" hidden="1">{#N/A,#N/A,FALSE,"단축1";#N/A,#N/A,FALSE,"단축2";#N/A,#N/A,FALSE,"단축3";#N/A,#N/A,FALSE,"장축";#N/A,#N/A,FALSE,"4WD"}</definedName>
    <definedName name="방진고무_1" hidden="1">{#N/A,#N/A,FALSE,"단축1";#N/A,#N/A,FALSE,"단축2";#N/A,#N/A,FALSE,"단축3";#N/A,#N/A,FALSE,"장축";#N/A,#N/A,FALSE,"4WD"}</definedName>
    <definedName name="방진고무_1_1" localSheetId="26" hidden="1">{#N/A,#N/A,FALSE,"단축1";#N/A,#N/A,FALSE,"단축2";#N/A,#N/A,FALSE,"단축3";#N/A,#N/A,FALSE,"장축";#N/A,#N/A,FALSE,"4WD"}</definedName>
    <definedName name="방진고무_1_1" localSheetId="0" hidden="1">{#N/A,#N/A,FALSE,"단축1";#N/A,#N/A,FALSE,"단축2";#N/A,#N/A,FALSE,"단축3";#N/A,#N/A,FALSE,"장축";#N/A,#N/A,FALSE,"4WD"}</definedName>
    <definedName name="방진고무_1_1" hidden="1">{#N/A,#N/A,FALSE,"단축1";#N/A,#N/A,FALSE,"단축2";#N/A,#N/A,FALSE,"단축3";#N/A,#N/A,FALSE,"장축";#N/A,#N/A,FALSE,"4WD"}</definedName>
    <definedName name="방진고무_1_2" localSheetId="26" hidden="1">{#N/A,#N/A,FALSE,"단축1";#N/A,#N/A,FALSE,"단축2";#N/A,#N/A,FALSE,"단축3";#N/A,#N/A,FALSE,"장축";#N/A,#N/A,FALSE,"4WD"}</definedName>
    <definedName name="방진고무_1_2" localSheetId="0" hidden="1">{#N/A,#N/A,FALSE,"단축1";#N/A,#N/A,FALSE,"단축2";#N/A,#N/A,FALSE,"단축3";#N/A,#N/A,FALSE,"장축";#N/A,#N/A,FALSE,"4WD"}</definedName>
    <definedName name="방진고무_1_2" hidden="1">{#N/A,#N/A,FALSE,"단축1";#N/A,#N/A,FALSE,"단축2";#N/A,#N/A,FALSE,"단축3";#N/A,#N/A,FALSE,"장축";#N/A,#N/A,FALSE,"4WD"}</definedName>
    <definedName name="방진고무_1_3" localSheetId="26" hidden="1">{#N/A,#N/A,FALSE,"단축1";#N/A,#N/A,FALSE,"단축2";#N/A,#N/A,FALSE,"단축3";#N/A,#N/A,FALSE,"장축";#N/A,#N/A,FALSE,"4WD"}</definedName>
    <definedName name="방진고무_1_3" localSheetId="0" hidden="1">{#N/A,#N/A,FALSE,"단축1";#N/A,#N/A,FALSE,"단축2";#N/A,#N/A,FALSE,"단축3";#N/A,#N/A,FALSE,"장축";#N/A,#N/A,FALSE,"4WD"}</definedName>
    <definedName name="방진고무_1_3" hidden="1">{#N/A,#N/A,FALSE,"단축1";#N/A,#N/A,FALSE,"단축2";#N/A,#N/A,FALSE,"단축3";#N/A,#N/A,FALSE,"장축";#N/A,#N/A,FALSE,"4WD"}</definedName>
    <definedName name="방진고무_2" localSheetId="26" hidden="1">{#N/A,#N/A,FALSE,"단축1";#N/A,#N/A,FALSE,"단축2";#N/A,#N/A,FALSE,"단축3";#N/A,#N/A,FALSE,"장축";#N/A,#N/A,FALSE,"4WD"}</definedName>
    <definedName name="방진고무_2" localSheetId="0" hidden="1">{#N/A,#N/A,FALSE,"단축1";#N/A,#N/A,FALSE,"단축2";#N/A,#N/A,FALSE,"단축3";#N/A,#N/A,FALSE,"장축";#N/A,#N/A,FALSE,"4WD"}</definedName>
    <definedName name="방진고무_2" hidden="1">{#N/A,#N/A,FALSE,"단축1";#N/A,#N/A,FALSE,"단축2";#N/A,#N/A,FALSE,"단축3";#N/A,#N/A,FALSE,"장축";#N/A,#N/A,FALSE,"4WD"}</definedName>
    <definedName name="방진고무_2_1" localSheetId="26" hidden="1">{#N/A,#N/A,FALSE,"단축1";#N/A,#N/A,FALSE,"단축2";#N/A,#N/A,FALSE,"단축3";#N/A,#N/A,FALSE,"장축";#N/A,#N/A,FALSE,"4WD"}</definedName>
    <definedName name="방진고무_2_1" localSheetId="0" hidden="1">{#N/A,#N/A,FALSE,"단축1";#N/A,#N/A,FALSE,"단축2";#N/A,#N/A,FALSE,"단축3";#N/A,#N/A,FALSE,"장축";#N/A,#N/A,FALSE,"4WD"}</definedName>
    <definedName name="방진고무_2_1" hidden="1">{#N/A,#N/A,FALSE,"단축1";#N/A,#N/A,FALSE,"단축2";#N/A,#N/A,FALSE,"단축3";#N/A,#N/A,FALSE,"장축";#N/A,#N/A,FALSE,"4WD"}</definedName>
    <definedName name="방진고무_2_2" localSheetId="26" hidden="1">{#N/A,#N/A,FALSE,"단축1";#N/A,#N/A,FALSE,"단축2";#N/A,#N/A,FALSE,"단축3";#N/A,#N/A,FALSE,"장축";#N/A,#N/A,FALSE,"4WD"}</definedName>
    <definedName name="방진고무_2_2" localSheetId="0" hidden="1">{#N/A,#N/A,FALSE,"단축1";#N/A,#N/A,FALSE,"단축2";#N/A,#N/A,FALSE,"단축3";#N/A,#N/A,FALSE,"장축";#N/A,#N/A,FALSE,"4WD"}</definedName>
    <definedName name="방진고무_2_2" hidden="1">{#N/A,#N/A,FALSE,"단축1";#N/A,#N/A,FALSE,"단축2";#N/A,#N/A,FALSE,"단축3";#N/A,#N/A,FALSE,"장축";#N/A,#N/A,FALSE,"4WD"}</definedName>
    <definedName name="방진고무_3" localSheetId="26" hidden="1">{#N/A,#N/A,FALSE,"단축1";#N/A,#N/A,FALSE,"단축2";#N/A,#N/A,FALSE,"단축3";#N/A,#N/A,FALSE,"장축";#N/A,#N/A,FALSE,"4WD"}</definedName>
    <definedName name="방진고무_3" localSheetId="0" hidden="1">{#N/A,#N/A,FALSE,"단축1";#N/A,#N/A,FALSE,"단축2";#N/A,#N/A,FALSE,"단축3";#N/A,#N/A,FALSE,"장축";#N/A,#N/A,FALSE,"4WD"}</definedName>
    <definedName name="방진고무_3" hidden="1">{#N/A,#N/A,FALSE,"단축1";#N/A,#N/A,FALSE,"단축2";#N/A,#N/A,FALSE,"단축3";#N/A,#N/A,FALSE,"장축";#N/A,#N/A,FALSE,"4WD"}</definedName>
    <definedName name="방진고무_4" localSheetId="26" hidden="1">{#N/A,#N/A,FALSE,"단축1";#N/A,#N/A,FALSE,"단축2";#N/A,#N/A,FALSE,"단축3";#N/A,#N/A,FALSE,"장축";#N/A,#N/A,FALSE,"4WD"}</definedName>
    <definedName name="방진고무_4" localSheetId="0" hidden="1">{#N/A,#N/A,FALSE,"단축1";#N/A,#N/A,FALSE,"단축2";#N/A,#N/A,FALSE,"단축3";#N/A,#N/A,FALSE,"장축";#N/A,#N/A,FALSE,"4WD"}</definedName>
    <definedName name="방진고무_4" hidden="1">{#N/A,#N/A,FALSE,"단축1";#N/A,#N/A,FALSE,"단축2";#N/A,#N/A,FALSE,"단축3";#N/A,#N/A,FALSE,"장축";#N/A,#N/A,FALSE,"4WD"}</definedName>
    <definedName name="방진고무_5" localSheetId="26" hidden="1">{#N/A,#N/A,FALSE,"단축1";#N/A,#N/A,FALSE,"단축2";#N/A,#N/A,FALSE,"단축3";#N/A,#N/A,FALSE,"장축";#N/A,#N/A,FALSE,"4WD"}</definedName>
    <definedName name="방진고무_5" localSheetId="0" hidden="1">{#N/A,#N/A,FALSE,"단축1";#N/A,#N/A,FALSE,"단축2";#N/A,#N/A,FALSE,"단축3";#N/A,#N/A,FALSE,"장축";#N/A,#N/A,FALSE,"4WD"}</definedName>
    <definedName name="방진고무_5" hidden="1">{#N/A,#N/A,FALSE,"단축1";#N/A,#N/A,FALSE,"단축2";#N/A,#N/A,FALSE,"단축3";#N/A,#N/A,FALSE,"장축";#N/A,#N/A,FALSE,"4WD"}</definedName>
    <definedName name="보고" localSheetId="26" hidden="1">{#N/A,#N/A,FALSE,"단축1";#N/A,#N/A,FALSE,"단축2";#N/A,#N/A,FALSE,"단축3";#N/A,#N/A,FALSE,"장축";#N/A,#N/A,FALSE,"4WD"}</definedName>
    <definedName name="보고" localSheetId="0" hidden="1">{#N/A,#N/A,FALSE,"단축1";#N/A,#N/A,FALSE,"단축2";#N/A,#N/A,FALSE,"단축3";#N/A,#N/A,FALSE,"장축";#N/A,#N/A,FALSE,"4WD"}</definedName>
    <definedName name="보고" hidden="1">{#N/A,#N/A,FALSE,"단축1";#N/A,#N/A,FALSE,"단축2";#N/A,#N/A,FALSE,"단축3";#N/A,#N/A,FALSE,"장축";#N/A,#N/A,FALSE,"4WD"}</definedName>
    <definedName name="보고_1" localSheetId="26" hidden="1">{#N/A,#N/A,FALSE,"단축1";#N/A,#N/A,FALSE,"단축2";#N/A,#N/A,FALSE,"단축3";#N/A,#N/A,FALSE,"장축";#N/A,#N/A,FALSE,"4WD"}</definedName>
    <definedName name="보고_1" localSheetId="0" hidden="1">{#N/A,#N/A,FALSE,"단축1";#N/A,#N/A,FALSE,"단축2";#N/A,#N/A,FALSE,"단축3";#N/A,#N/A,FALSE,"장축";#N/A,#N/A,FALSE,"4WD"}</definedName>
    <definedName name="보고_1" hidden="1">{#N/A,#N/A,FALSE,"단축1";#N/A,#N/A,FALSE,"단축2";#N/A,#N/A,FALSE,"단축3";#N/A,#N/A,FALSE,"장축";#N/A,#N/A,FALSE,"4WD"}</definedName>
    <definedName name="보고_1_1" localSheetId="26" hidden="1">{#N/A,#N/A,FALSE,"단축1";#N/A,#N/A,FALSE,"단축2";#N/A,#N/A,FALSE,"단축3";#N/A,#N/A,FALSE,"장축";#N/A,#N/A,FALSE,"4WD"}</definedName>
    <definedName name="보고_1_1" localSheetId="0" hidden="1">{#N/A,#N/A,FALSE,"단축1";#N/A,#N/A,FALSE,"단축2";#N/A,#N/A,FALSE,"단축3";#N/A,#N/A,FALSE,"장축";#N/A,#N/A,FALSE,"4WD"}</definedName>
    <definedName name="보고_1_1" hidden="1">{#N/A,#N/A,FALSE,"단축1";#N/A,#N/A,FALSE,"단축2";#N/A,#N/A,FALSE,"단축3";#N/A,#N/A,FALSE,"장축";#N/A,#N/A,FALSE,"4WD"}</definedName>
    <definedName name="보고_1_2" localSheetId="26" hidden="1">{#N/A,#N/A,FALSE,"단축1";#N/A,#N/A,FALSE,"단축2";#N/A,#N/A,FALSE,"단축3";#N/A,#N/A,FALSE,"장축";#N/A,#N/A,FALSE,"4WD"}</definedName>
    <definedName name="보고_1_2" localSheetId="0" hidden="1">{#N/A,#N/A,FALSE,"단축1";#N/A,#N/A,FALSE,"단축2";#N/A,#N/A,FALSE,"단축3";#N/A,#N/A,FALSE,"장축";#N/A,#N/A,FALSE,"4WD"}</definedName>
    <definedName name="보고_1_2" hidden="1">{#N/A,#N/A,FALSE,"단축1";#N/A,#N/A,FALSE,"단축2";#N/A,#N/A,FALSE,"단축3";#N/A,#N/A,FALSE,"장축";#N/A,#N/A,FALSE,"4WD"}</definedName>
    <definedName name="보고_1_3" localSheetId="26" hidden="1">{#N/A,#N/A,FALSE,"단축1";#N/A,#N/A,FALSE,"단축2";#N/A,#N/A,FALSE,"단축3";#N/A,#N/A,FALSE,"장축";#N/A,#N/A,FALSE,"4WD"}</definedName>
    <definedName name="보고_1_3" localSheetId="0" hidden="1">{#N/A,#N/A,FALSE,"단축1";#N/A,#N/A,FALSE,"단축2";#N/A,#N/A,FALSE,"단축3";#N/A,#N/A,FALSE,"장축";#N/A,#N/A,FALSE,"4WD"}</definedName>
    <definedName name="보고_1_3" hidden="1">{#N/A,#N/A,FALSE,"단축1";#N/A,#N/A,FALSE,"단축2";#N/A,#N/A,FALSE,"단축3";#N/A,#N/A,FALSE,"장축";#N/A,#N/A,FALSE,"4WD"}</definedName>
    <definedName name="보고_2" localSheetId="26" hidden="1">{#N/A,#N/A,FALSE,"단축1";#N/A,#N/A,FALSE,"단축2";#N/A,#N/A,FALSE,"단축3";#N/A,#N/A,FALSE,"장축";#N/A,#N/A,FALSE,"4WD"}</definedName>
    <definedName name="보고_2" localSheetId="0" hidden="1">{#N/A,#N/A,FALSE,"단축1";#N/A,#N/A,FALSE,"단축2";#N/A,#N/A,FALSE,"단축3";#N/A,#N/A,FALSE,"장축";#N/A,#N/A,FALSE,"4WD"}</definedName>
    <definedName name="보고_2" hidden="1">{#N/A,#N/A,FALSE,"단축1";#N/A,#N/A,FALSE,"단축2";#N/A,#N/A,FALSE,"단축3";#N/A,#N/A,FALSE,"장축";#N/A,#N/A,FALSE,"4WD"}</definedName>
    <definedName name="보고_2_1" localSheetId="26" hidden="1">{#N/A,#N/A,FALSE,"단축1";#N/A,#N/A,FALSE,"단축2";#N/A,#N/A,FALSE,"단축3";#N/A,#N/A,FALSE,"장축";#N/A,#N/A,FALSE,"4WD"}</definedName>
    <definedName name="보고_2_1" localSheetId="0" hidden="1">{#N/A,#N/A,FALSE,"단축1";#N/A,#N/A,FALSE,"단축2";#N/A,#N/A,FALSE,"단축3";#N/A,#N/A,FALSE,"장축";#N/A,#N/A,FALSE,"4WD"}</definedName>
    <definedName name="보고_2_1" hidden="1">{#N/A,#N/A,FALSE,"단축1";#N/A,#N/A,FALSE,"단축2";#N/A,#N/A,FALSE,"단축3";#N/A,#N/A,FALSE,"장축";#N/A,#N/A,FALSE,"4WD"}</definedName>
    <definedName name="보고_2_2" localSheetId="26" hidden="1">{#N/A,#N/A,FALSE,"단축1";#N/A,#N/A,FALSE,"단축2";#N/A,#N/A,FALSE,"단축3";#N/A,#N/A,FALSE,"장축";#N/A,#N/A,FALSE,"4WD"}</definedName>
    <definedName name="보고_2_2" localSheetId="0" hidden="1">{#N/A,#N/A,FALSE,"단축1";#N/A,#N/A,FALSE,"단축2";#N/A,#N/A,FALSE,"단축3";#N/A,#N/A,FALSE,"장축";#N/A,#N/A,FALSE,"4WD"}</definedName>
    <definedName name="보고_2_2" hidden="1">{#N/A,#N/A,FALSE,"단축1";#N/A,#N/A,FALSE,"단축2";#N/A,#N/A,FALSE,"단축3";#N/A,#N/A,FALSE,"장축";#N/A,#N/A,FALSE,"4WD"}</definedName>
    <definedName name="보고_3" localSheetId="26" hidden="1">{#N/A,#N/A,FALSE,"단축1";#N/A,#N/A,FALSE,"단축2";#N/A,#N/A,FALSE,"단축3";#N/A,#N/A,FALSE,"장축";#N/A,#N/A,FALSE,"4WD"}</definedName>
    <definedName name="보고_3" localSheetId="0" hidden="1">{#N/A,#N/A,FALSE,"단축1";#N/A,#N/A,FALSE,"단축2";#N/A,#N/A,FALSE,"단축3";#N/A,#N/A,FALSE,"장축";#N/A,#N/A,FALSE,"4WD"}</definedName>
    <definedName name="보고_3" hidden="1">{#N/A,#N/A,FALSE,"단축1";#N/A,#N/A,FALSE,"단축2";#N/A,#N/A,FALSE,"단축3";#N/A,#N/A,FALSE,"장축";#N/A,#N/A,FALSE,"4WD"}</definedName>
    <definedName name="보고_4" localSheetId="26" hidden="1">{#N/A,#N/A,FALSE,"단축1";#N/A,#N/A,FALSE,"단축2";#N/A,#N/A,FALSE,"단축3";#N/A,#N/A,FALSE,"장축";#N/A,#N/A,FALSE,"4WD"}</definedName>
    <definedName name="보고_4" localSheetId="0" hidden="1">{#N/A,#N/A,FALSE,"단축1";#N/A,#N/A,FALSE,"단축2";#N/A,#N/A,FALSE,"단축3";#N/A,#N/A,FALSE,"장축";#N/A,#N/A,FALSE,"4WD"}</definedName>
    <definedName name="보고_4" hidden="1">{#N/A,#N/A,FALSE,"단축1";#N/A,#N/A,FALSE,"단축2";#N/A,#N/A,FALSE,"단축3";#N/A,#N/A,FALSE,"장축";#N/A,#N/A,FALSE,"4WD"}</definedName>
    <definedName name="보고_5" localSheetId="26" hidden="1">{#N/A,#N/A,FALSE,"단축1";#N/A,#N/A,FALSE,"단축2";#N/A,#N/A,FALSE,"단축3";#N/A,#N/A,FALSE,"장축";#N/A,#N/A,FALSE,"4WD"}</definedName>
    <definedName name="보고_5" localSheetId="0" hidden="1">{#N/A,#N/A,FALSE,"단축1";#N/A,#N/A,FALSE,"단축2";#N/A,#N/A,FALSE,"단축3";#N/A,#N/A,FALSE,"장축";#N/A,#N/A,FALSE,"4WD"}</definedName>
    <definedName name="보고_5" hidden="1">{#N/A,#N/A,FALSE,"단축1";#N/A,#N/A,FALSE,"단축2";#N/A,#N/A,FALSE,"단축3";#N/A,#N/A,FALSE,"장축";#N/A,#N/A,FALSE,"4WD"}</definedName>
    <definedName name="볼트수정" localSheetId="26" hidden="1">{#N/A,#N/A,FALSE,"단축1";#N/A,#N/A,FALSE,"단축2";#N/A,#N/A,FALSE,"단축3";#N/A,#N/A,FALSE,"장축";#N/A,#N/A,FALSE,"4WD"}</definedName>
    <definedName name="볼트수정" localSheetId="0" hidden="1">{#N/A,#N/A,FALSE,"단축1";#N/A,#N/A,FALSE,"단축2";#N/A,#N/A,FALSE,"단축3";#N/A,#N/A,FALSE,"장축";#N/A,#N/A,FALSE,"4WD"}</definedName>
    <definedName name="볼트수정" hidden="1">{#N/A,#N/A,FALSE,"단축1";#N/A,#N/A,FALSE,"단축2";#N/A,#N/A,FALSE,"단축3";#N/A,#N/A,FALSE,"장축";#N/A,#N/A,FALSE,"4WD"}</definedName>
    <definedName name="볼트수정_1" localSheetId="26" hidden="1">{#N/A,#N/A,FALSE,"단축1";#N/A,#N/A,FALSE,"단축2";#N/A,#N/A,FALSE,"단축3";#N/A,#N/A,FALSE,"장축";#N/A,#N/A,FALSE,"4WD"}</definedName>
    <definedName name="볼트수정_1" localSheetId="0" hidden="1">{#N/A,#N/A,FALSE,"단축1";#N/A,#N/A,FALSE,"단축2";#N/A,#N/A,FALSE,"단축3";#N/A,#N/A,FALSE,"장축";#N/A,#N/A,FALSE,"4WD"}</definedName>
    <definedName name="볼트수정_1" hidden="1">{#N/A,#N/A,FALSE,"단축1";#N/A,#N/A,FALSE,"단축2";#N/A,#N/A,FALSE,"단축3";#N/A,#N/A,FALSE,"장축";#N/A,#N/A,FALSE,"4WD"}</definedName>
    <definedName name="볼트수정_1_1" localSheetId="26" hidden="1">{#N/A,#N/A,FALSE,"단축1";#N/A,#N/A,FALSE,"단축2";#N/A,#N/A,FALSE,"단축3";#N/A,#N/A,FALSE,"장축";#N/A,#N/A,FALSE,"4WD"}</definedName>
    <definedName name="볼트수정_1_1" localSheetId="0" hidden="1">{#N/A,#N/A,FALSE,"단축1";#N/A,#N/A,FALSE,"단축2";#N/A,#N/A,FALSE,"단축3";#N/A,#N/A,FALSE,"장축";#N/A,#N/A,FALSE,"4WD"}</definedName>
    <definedName name="볼트수정_1_1" hidden="1">{#N/A,#N/A,FALSE,"단축1";#N/A,#N/A,FALSE,"단축2";#N/A,#N/A,FALSE,"단축3";#N/A,#N/A,FALSE,"장축";#N/A,#N/A,FALSE,"4WD"}</definedName>
    <definedName name="볼트수정_1_2" localSheetId="26" hidden="1">{#N/A,#N/A,FALSE,"단축1";#N/A,#N/A,FALSE,"단축2";#N/A,#N/A,FALSE,"단축3";#N/A,#N/A,FALSE,"장축";#N/A,#N/A,FALSE,"4WD"}</definedName>
    <definedName name="볼트수정_1_2" localSheetId="0" hidden="1">{#N/A,#N/A,FALSE,"단축1";#N/A,#N/A,FALSE,"단축2";#N/A,#N/A,FALSE,"단축3";#N/A,#N/A,FALSE,"장축";#N/A,#N/A,FALSE,"4WD"}</definedName>
    <definedName name="볼트수정_1_2" hidden="1">{#N/A,#N/A,FALSE,"단축1";#N/A,#N/A,FALSE,"단축2";#N/A,#N/A,FALSE,"단축3";#N/A,#N/A,FALSE,"장축";#N/A,#N/A,FALSE,"4WD"}</definedName>
    <definedName name="볼트수정_1_3" localSheetId="26" hidden="1">{#N/A,#N/A,FALSE,"단축1";#N/A,#N/A,FALSE,"단축2";#N/A,#N/A,FALSE,"단축3";#N/A,#N/A,FALSE,"장축";#N/A,#N/A,FALSE,"4WD"}</definedName>
    <definedName name="볼트수정_1_3" localSheetId="0" hidden="1">{#N/A,#N/A,FALSE,"단축1";#N/A,#N/A,FALSE,"단축2";#N/A,#N/A,FALSE,"단축3";#N/A,#N/A,FALSE,"장축";#N/A,#N/A,FALSE,"4WD"}</definedName>
    <definedName name="볼트수정_1_3" hidden="1">{#N/A,#N/A,FALSE,"단축1";#N/A,#N/A,FALSE,"단축2";#N/A,#N/A,FALSE,"단축3";#N/A,#N/A,FALSE,"장축";#N/A,#N/A,FALSE,"4WD"}</definedName>
    <definedName name="볼트수정_2" localSheetId="26" hidden="1">{#N/A,#N/A,FALSE,"단축1";#N/A,#N/A,FALSE,"단축2";#N/A,#N/A,FALSE,"단축3";#N/A,#N/A,FALSE,"장축";#N/A,#N/A,FALSE,"4WD"}</definedName>
    <definedName name="볼트수정_2" localSheetId="0" hidden="1">{#N/A,#N/A,FALSE,"단축1";#N/A,#N/A,FALSE,"단축2";#N/A,#N/A,FALSE,"단축3";#N/A,#N/A,FALSE,"장축";#N/A,#N/A,FALSE,"4WD"}</definedName>
    <definedName name="볼트수정_2" hidden="1">{#N/A,#N/A,FALSE,"단축1";#N/A,#N/A,FALSE,"단축2";#N/A,#N/A,FALSE,"단축3";#N/A,#N/A,FALSE,"장축";#N/A,#N/A,FALSE,"4WD"}</definedName>
    <definedName name="볼트수정_2_1" localSheetId="26" hidden="1">{#N/A,#N/A,FALSE,"단축1";#N/A,#N/A,FALSE,"단축2";#N/A,#N/A,FALSE,"단축3";#N/A,#N/A,FALSE,"장축";#N/A,#N/A,FALSE,"4WD"}</definedName>
    <definedName name="볼트수정_2_1" localSheetId="0" hidden="1">{#N/A,#N/A,FALSE,"단축1";#N/A,#N/A,FALSE,"단축2";#N/A,#N/A,FALSE,"단축3";#N/A,#N/A,FALSE,"장축";#N/A,#N/A,FALSE,"4WD"}</definedName>
    <definedName name="볼트수정_2_1" hidden="1">{#N/A,#N/A,FALSE,"단축1";#N/A,#N/A,FALSE,"단축2";#N/A,#N/A,FALSE,"단축3";#N/A,#N/A,FALSE,"장축";#N/A,#N/A,FALSE,"4WD"}</definedName>
    <definedName name="볼트수정_2_2" localSheetId="26" hidden="1">{#N/A,#N/A,FALSE,"단축1";#N/A,#N/A,FALSE,"단축2";#N/A,#N/A,FALSE,"단축3";#N/A,#N/A,FALSE,"장축";#N/A,#N/A,FALSE,"4WD"}</definedName>
    <definedName name="볼트수정_2_2" localSheetId="0" hidden="1">{#N/A,#N/A,FALSE,"단축1";#N/A,#N/A,FALSE,"단축2";#N/A,#N/A,FALSE,"단축3";#N/A,#N/A,FALSE,"장축";#N/A,#N/A,FALSE,"4WD"}</definedName>
    <definedName name="볼트수정_2_2" hidden="1">{#N/A,#N/A,FALSE,"단축1";#N/A,#N/A,FALSE,"단축2";#N/A,#N/A,FALSE,"단축3";#N/A,#N/A,FALSE,"장축";#N/A,#N/A,FALSE,"4WD"}</definedName>
    <definedName name="볼트수정_3" localSheetId="26" hidden="1">{#N/A,#N/A,FALSE,"단축1";#N/A,#N/A,FALSE,"단축2";#N/A,#N/A,FALSE,"단축3";#N/A,#N/A,FALSE,"장축";#N/A,#N/A,FALSE,"4WD"}</definedName>
    <definedName name="볼트수정_3" localSheetId="0" hidden="1">{#N/A,#N/A,FALSE,"단축1";#N/A,#N/A,FALSE,"단축2";#N/A,#N/A,FALSE,"단축3";#N/A,#N/A,FALSE,"장축";#N/A,#N/A,FALSE,"4WD"}</definedName>
    <definedName name="볼트수정_3" hidden="1">{#N/A,#N/A,FALSE,"단축1";#N/A,#N/A,FALSE,"단축2";#N/A,#N/A,FALSE,"단축3";#N/A,#N/A,FALSE,"장축";#N/A,#N/A,FALSE,"4WD"}</definedName>
    <definedName name="볼트수정_4" localSheetId="26" hidden="1">{#N/A,#N/A,FALSE,"단축1";#N/A,#N/A,FALSE,"단축2";#N/A,#N/A,FALSE,"단축3";#N/A,#N/A,FALSE,"장축";#N/A,#N/A,FALSE,"4WD"}</definedName>
    <definedName name="볼트수정_4" localSheetId="0" hidden="1">{#N/A,#N/A,FALSE,"단축1";#N/A,#N/A,FALSE,"단축2";#N/A,#N/A,FALSE,"단축3";#N/A,#N/A,FALSE,"장축";#N/A,#N/A,FALSE,"4WD"}</definedName>
    <definedName name="볼트수정_4" hidden="1">{#N/A,#N/A,FALSE,"단축1";#N/A,#N/A,FALSE,"단축2";#N/A,#N/A,FALSE,"단축3";#N/A,#N/A,FALSE,"장축";#N/A,#N/A,FALSE,"4WD"}</definedName>
    <definedName name="볼트수정_5" localSheetId="26" hidden="1">{#N/A,#N/A,FALSE,"단축1";#N/A,#N/A,FALSE,"단축2";#N/A,#N/A,FALSE,"단축3";#N/A,#N/A,FALSE,"장축";#N/A,#N/A,FALSE,"4WD"}</definedName>
    <definedName name="볼트수정_5" localSheetId="0" hidden="1">{#N/A,#N/A,FALSE,"단축1";#N/A,#N/A,FALSE,"단축2";#N/A,#N/A,FALSE,"단축3";#N/A,#N/A,FALSE,"장축";#N/A,#N/A,FALSE,"4WD"}</definedName>
    <definedName name="볼트수정_5" hidden="1">{#N/A,#N/A,FALSE,"단축1";#N/A,#N/A,FALSE,"단축2";#N/A,#N/A,FALSE,"단축3";#N/A,#N/A,FALSE,"장축";#N/A,#N/A,FALSE,"4WD"}</definedName>
    <definedName name="부품1" localSheetId="26" hidden="1">{#N/A,#N/A,FALSE,"해외크레임";#N/A,#N/A,FALSE,"ACCENT현황";#N/A,#N/A,FALSE,"AVANTE";#N/A,#N/A,FALSE,"SONATA(3)";#N/A,#N/A,FALSE,"국내크레임"}</definedName>
    <definedName name="부품1" localSheetId="0" hidden="1">{#N/A,#N/A,FALSE,"해외크레임";#N/A,#N/A,FALSE,"ACCENT현황";#N/A,#N/A,FALSE,"AVANTE";#N/A,#N/A,FALSE,"SONATA(3)";#N/A,#N/A,FALSE,"국내크레임"}</definedName>
    <definedName name="부품1" hidden="1">{#N/A,#N/A,FALSE,"해외크레임";#N/A,#N/A,FALSE,"ACCENT현황";#N/A,#N/A,FALSE,"AVANTE";#N/A,#N/A,FALSE,"SONATA(3)";#N/A,#N/A,FALSE,"국내크레임"}</definedName>
    <definedName name="부품1_1" localSheetId="26" hidden="1">{#N/A,#N/A,FALSE,"해외크레임";#N/A,#N/A,FALSE,"ACCENT현황";#N/A,#N/A,FALSE,"AVANTE";#N/A,#N/A,FALSE,"SONATA(3)";#N/A,#N/A,FALSE,"국내크레임"}</definedName>
    <definedName name="부품1_1" localSheetId="0" hidden="1">{#N/A,#N/A,FALSE,"해외크레임";#N/A,#N/A,FALSE,"ACCENT현황";#N/A,#N/A,FALSE,"AVANTE";#N/A,#N/A,FALSE,"SONATA(3)";#N/A,#N/A,FALSE,"국내크레임"}</definedName>
    <definedName name="부품1_1" hidden="1">{#N/A,#N/A,FALSE,"해외크레임";#N/A,#N/A,FALSE,"ACCENT현황";#N/A,#N/A,FALSE,"AVANTE";#N/A,#N/A,FALSE,"SONATA(3)";#N/A,#N/A,FALSE,"국내크레임"}</definedName>
    <definedName name="부품1_1_1" localSheetId="26" hidden="1">{#N/A,#N/A,FALSE,"해외크레임";#N/A,#N/A,FALSE,"ACCENT현황";#N/A,#N/A,FALSE,"AVANTE";#N/A,#N/A,FALSE,"SONATA(3)";#N/A,#N/A,FALSE,"국내크레임"}</definedName>
    <definedName name="부품1_1_1" localSheetId="0" hidden="1">{#N/A,#N/A,FALSE,"해외크레임";#N/A,#N/A,FALSE,"ACCENT현황";#N/A,#N/A,FALSE,"AVANTE";#N/A,#N/A,FALSE,"SONATA(3)";#N/A,#N/A,FALSE,"국내크레임"}</definedName>
    <definedName name="부품1_1_1" hidden="1">{#N/A,#N/A,FALSE,"해외크레임";#N/A,#N/A,FALSE,"ACCENT현황";#N/A,#N/A,FALSE,"AVANTE";#N/A,#N/A,FALSE,"SONATA(3)";#N/A,#N/A,FALSE,"국내크레임"}</definedName>
    <definedName name="부품1_1_2" localSheetId="26" hidden="1">{#N/A,#N/A,FALSE,"해외크레임";#N/A,#N/A,FALSE,"ACCENT현황";#N/A,#N/A,FALSE,"AVANTE";#N/A,#N/A,FALSE,"SONATA(3)";#N/A,#N/A,FALSE,"국내크레임"}</definedName>
    <definedName name="부품1_1_2" localSheetId="0" hidden="1">{#N/A,#N/A,FALSE,"해외크레임";#N/A,#N/A,FALSE,"ACCENT현황";#N/A,#N/A,FALSE,"AVANTE";#N/A,#N/A,FALSE,"SONATA(3)";#N/A,#N/A,FALSE,"국내크레임"}</definedName>
    <definedName name="부품1_1_2" hidden="1">{#N/A,#N/A,FALSE,"해외크레임";#N/A,#N/A,FALSE,"ACCENT현황";#N/A,#N/A,FALSE,"AVANTE";#N/A,#N/A,FALSE,"SONATA(3)";#N/A,#N/A,FALSE,"국내크레임"}</definedName>
    <definedName name="부품1_1_3" localSheetId="26" hidden="1">{#N/A,#N/A,FALSE,"해외크레임";#N/A,#N/A,FALSE,"ACCENT현황";#N/A,#N/A,FALSE,"AVANTE";#N/A,#N/A,FALSE,"SONATA(3)";#N/A,#N/A,FALSE,"국내크레임"}</definedName>
    <definedName name="부품1_1_3" localSheetId="0" hidden="1">{#N/A,#N/A,FALSE,"해외크레임";#N/A,#N/A,FALSE,"ACCENT현황";#N/A,#N/A,FALSE,"AVANTE";#N/A,#N/A,FALSE,"SONATA(3)";#N/A,#N/A,FALSE,"국내크레임"}</definedName>
    <definedName name="부품1_1_3" hidden="1">{#N/A,#N/A,FALSE,"해외크레임";#N/A,#N/A,FALSE,"ACCENT현황";#N/A,#N/A,FALSE,"AVANTE";#N/A,#N/A,FALSE,"SONATA(3)";#N/A,#N/A,FALSE,"국내크레임"}</definedName>
    <definedName name="부품1_2" localSheetId="26" hidden="1">{#N/A,#N/A,FALSE,"해외크레임";#N/A,#N/A,FALSE,"ACCENT현황";#N/A,#N/A,FALSE,"AVANTE";#N/A,#N/A,FALSE,"SONATA(3)";#N/A,#N/A,FALSE,"국내크레임"}</definedName>
    <definedName name="부품1_2" localSheetId="0" hidden="1">{#N/A,#N/A,FALSE,"해외크레임";#N/A,#N/A,FALSE,"ACCENT현황";#N/A,#N/A,FALSE,"AVANTE";#N/A,#N/A,FALSE,"SONATA(3)";#N/A,#N/A,FALSE,"국내크레임"}</definedName>
    <definedName name="부품1_2" hidden="1">{#N/A,#N/A,FALSE,"해외크레임";#N/A,#N/A,FALSE,"ACCENT현황";#N/A,#N/A,FALSE,"AVANTE";#N/A,#N/A,FALSE,"SONATA(3)";#N/A,#N/A,FALSE,"국내크레임"}</definedName>
    <definedName name="부품1_2_1" localSheetId="26" hidden="1">{#N/A,#N/A,FALSE,"해외크레임";#N/A,#N/A,FALSE,"ACCENT현황";#N/A,#N/A,FALSE,"AVANTE";#N/A,#N/A,FALSE,"SONATA(3)";#N/A,#N/A,FALSE,"국내크레임"}</definedName>
    <definedName name="부품1_2_1" localSheetId="0" hidden="1">{#N/A,#N/A,FALSE,"해외크레임";#N/A,#N/A,FALSE,"ACCENT현황";#N/A,#N/A,FALSE,"AVANTE";#N/A,#N/A,FALSE,"SONATA(3)";#N/A,#N/A,FALSE,"국내크레임"}</definedName>
    <definedName name="부품1_2_1" hidden="1">{#N/A,#N/A,FALSE,"해외크레임";#N/A,#N/A,FALSE,"ACCENT현황";#N/A,#N/A,FALSE,"AVANTE";#N/A,#N/A,FALSE,"SONATA(3)";#N/A,#N/A,FALSE,"국내크레임"}</definedName>
    <definedName name="부품1_2_2" localSheetId="26" hidden="1">{#N/A,#N/A,FALSE,"해외크레임";#N/A,#N/A,FALSE,"ACCENT현황";#N/A,#N/A,FALSE,"AVANTE";#N/A,#N/A,FALSE,"SONATA(3)";#N/A,#N/A,FALSE,"국내크레임"}</definedName>
    <definedName name="부품1_2_2" localSheetId="0" hidden="1">{#N/A,#N/A,FALSE,"해외크레임";#N/A,#N/A,FALSE,"ACCENT현황";#N/A,#N/A,FALSE,"AVANTE";#N/A,#N/A,FALSE,"SONATA(3)";#N/A,#N/A,FALSE,"국내크레임"}</definedName>
    <definedName name="부품1_2_2" hidden="1">{#N/A,#N/A,FALSE,"해외크레임";#N/A,#N/A,FALSE,"ACCENT현황";#N/A,#N/A,FALSE,"AVANTE";#N/A,#N/A,FALSE,"SONATA(3)";#N/A,#N/A,FALSE,"국내크레임"}</definedName>
    <definedName name="부품1_3" localSheetId="26" hidden="1">{#N/A,#N/A,FALSE,"해외크레임";#N/A,#N/A,FALSE,"ACCENT현황";#N/A,#N/A,FALSE,"AVANTE";#N/A,#N/A,FALSE,"SONATA(3)";#N/A,#N/A,FALSE,"국내크레임"}</definedName>
    <definedName name="부품1_3" localSheetId="0" hidden="1">{#N/A,#N/A,FALSE,"해외크레임";#N/A,#N/A,FALSE,"ACCENT현황";#N/A,#N/A,FALSE,"AVANTE";#N/A,#N/A,FALSE,"SONATA(3)";#N/A,#N/A,FALSE,"국내크레임"}</definedName>
    <definedName name="부품1_3" hidden="1">{#N/A,#N/A,FALSE,"해외크레임";#N/A,#N/A,FALSE,"ACCENT현황";#N/A,#N/A,FALSE,"AVANTE";#N/A,#N/A,FALSE,"SONATA(3)";#N/A,#N/A,FALSE,"국내크레임"}</definedName>
    <definedName name="부품1_4" localSheetId="26" hidden="1">{#N/A,#N/A,FALSE,"해외크레임";#N/A,#N/A,FALSE,"ACCENT현황";#N/A,#N/A,FALSE,"AVANTE";#N/A,#N/A,FALSE,"SONATA(3)";#N/A,#N/A,FALSE,"국내크레임"}</definedName>
    <definedName name="부품1_4" localSheetId="0" hidden="1">{#N/A,#N/A,FALSE,"해외크레임";#N/A,#N/A,FALSE,"ACCENT현황";#N/A,#N/A,FALSE,"AVANTE";#N/A,#N/A,FALSE,"SONATA(3)";#N/A,#N/A,FALSE,"국내크레임"}</definedName>
    <definedName name="부품1_4" hidden="1">{#N/A,#N/A,FALSE,"해외크레임";#N/A,#N/A,FALSE,"ACCENT현황";#N/A,#N/A,FALSE,"AVANTE";#N/A,#N/A,FALSE,"SONATA(3)";#N/A,#N/A,FALSE,"국내크레임"}</definedName>
    <definedName name="부품1_5" localSheetId="26" hidden="1">{#N/A,#N/A,FALSE,"해외크레임";#N/A,#N/A,FALSE,"ACCENT현황";#N/A,#N/A,FALSE,"AVANTE";#N/A,#N/A,FALSE,"SONATA(3)";#N/A,#N/A,FALSE,"국내크레임"}</definedName>
    <definedName name="부품1_5" localSheetId="0" hidden="1">{#N/A,#N/A,FALSE,"해외크레임";#N/A,#N/A,FALSE,"ACCENT현황";#N/A,#N/A,FALSE,"AVANTE";#N/A,#N/A,FALSE,"SONATA(3)";#N/A,#N/A,FALSE,"국내크레임"}</definedName>
    <definedName name="부품1_5" hidden="1">{#N/A,#N/A,FALSE,"해외크레임";#N/A,#N/A,FALSE,"ACCENT현황";#N/A,#N/A,FALSE,"AVANTE";#N/A,#N/A,FALSE,"SONATA(3)";#N/A,#N/A,FALSE,"국내크레임"}</definedName>
    <definedName name="ㅅㅅㅅ" localSheetId="26" hidden="1">{#N/A,#N/A,FALSE,"단축1";#N/A,#N/A,FALSE,"단축2";#N/A,#N/A,FALSE,"단축3";#N/A,#N/A,FALSE,"장축";#N/A,#N/A,FALSE,"4WD"}</definedName>
    <definedName name="ㅅㅅㅅ" localSheetId="0" hidden="1">{#N/A,#N/A,FALSE,"단축1";#N/A,#N/A,FALSE,"단축2";#N/A,#N/A,FALSE,"단축3";#N/A,#N/A,FALSE,"장축";#N/A,#N/A,FALSE,"4WD"}</definedName>
    <definedName name="ㅅㅅㅅ" hidden="1">{#N/A,#N/A,FALSE,"단축1";#N/A,#N/A,FALSE,"단축2";#N/A,#N/A,FALSE,"단축3";#N/A,#N/A,FALSE,"장축";#N/A,#N/A,FALSE,"4WD"}</definedName>
    <definedName name="ㅅㅅㅅ_1" localSheetId="26" hidden="1">{#N/A,#N/A,FALSE,"단축1";#N/A,#N/A,FALSE,"단축2";#N/A,#N/A,FALSE,"단축3";#N/A,#N/A,FALSE,"장축";#N/A,#N/A,FALSE,"4WD"}</definedName>
    <definedName name="ㅅㅅㅅ_1" localSheetId="0" hidden="1">{#N/A,#N/A,FALSE,"단축1";#N/A,#N/A,FALSE,"단축2";#N/A,#N/A,FALSE,"단축3";#N/A,#N/A,FALSE,"장축";#N/A,#N/A,FALSE,"4WD"}</definedName>
    <definedName name="ㅅㅅㅅ_1" hidden="1">{#N/A,#N/A,FALSE,"단축1";#N/A,#N/A,FALSE,"단축2";#N/A,#N/A,FALSE,"단축3";#N/A,#N/A,FALSE,"장축";#N/A,#N/A,FALSE,"4WD"}</definedName>
    <definedName name="ㅅㅅㅅ_1_1" localSheetId="26" hidden="1">{#N/A,#N/A,FALSE,"단축1";#N/A,#N/A,FALSE,"단축2";#N/A,#N/A,FALSE,"단축3";#N/A,#N/A,FALSE,"장축";#N/A,#N/A,FALSE,"4WD"}</definedName>
    <definedName name="ㅅㅅㅅ_1_1" localSheetId="0" hidden="1">{#N/A,#N/A,FALSE,"단축1";#N/A,#N/A,FALSE,"단축2";#N/A,#N/A,FALSE,"단축3";#N/A,#N/A,FALSE,"장축";#N/A,#N/A,FALSE,"4WD"}</definedName>
    <definedName name="ㅅㅅㅅ_1_1" hidden="1">{#N/A,#N/A,FALSE,"단축1";#N/A,#N/A,FALSE,"단축2";#N/A,#N/A,FALSE,"단축3";#N/A,#N/A,FALSE,"장축";#N/A,#N/A,FALSE,"4WD"}</definedName>
    <definedName name="ㅅㅅㅅ_1_2" localSheetId="26" hidden="1">{#N/A,#N/A,FALSE,"단축1";#N/A,#N/A,FALSE,"단축2";#N/A,#N/A,FALSE,"단축3";#N/A,#N/A,FALSE,"장축";#N/A,#N/A,FALSE,"4WD"}</definedName>
    <definedName name="ㅅㅅㅅ_1_2" localSheetId="0" hidden="1">{#N/A,#N/A,FALSE,"단축1";#N/A,#N/A,FALSE,"단축2";#N/A,#N/A,FALSE,"단축3";#N/A,#N/A,FALSE,"장축";#N/A,#N/A,FALSE,"4WD"}</definedName>
    <definedName name="ㅅㅅㅅ_1_2" hidden="1">{#N/A,#N/A,FALSE,"단축1";#N/A,#N/A,FALSE,"단축2";#N/A,#N/A,FALSE,"단축3";#N/A,#N/A,FALSE,"장축";#N/A,#N/A,FALSE,"4WD"}</definedName>
    <definedName name="ㅅㅅㅅ_1_3" localSheetId="26" hidden="1">{#N/A,#N/A,FALSE,"단축1";#N/A,#N/A,FALSE,"단축2";#N/A,#N/A,FALSE,"단축3";#N/A,#N/A,FALSE,"장축";#N/A,#N/A,FALSE,"4WD"}</definedName>
    <definedName name="ㅅㅅㅅ_1_3" localSheetId="0" hidden="1">{#N/A,#N/A,FALSE,"단축1";#N/A,#N/A,FALSE,"단축2";#N/A,#N/A,FALSE,"단축3";#N/A,#N/A,FALSE,"장축";#N/A,#N/A,FALSE,"4WD"}</definedName>
    <definedName name="ㅅㅅㅅ_1_3" hidden="1">{#N/A,#N/A,FALSE,"단축1";#N/A,#N/A,FALSE,"단축2";#N/A,#N/A,FALSE,"단축3";#N/A,#N/A,FALSE,"장축";#N/A,#N/A,FALSE,"4WD"}</definedName>
    <definedName name="ㅅㅅㅅ_2" localSheetId="26" hidden="1">{#N/A,#N/A,FALSE,"단축1";#N/A,#N/A,FALSE,"단축2";#N/A,#N/A,FALSE,"단축3";#N/A,#N/A,FALSE,"장축";#N/A,#N/A,FALSE,"4WD"}</definedName>
    <definedName name="ㅅㅅㅅ_2" localSheetId="0" hidden="1">{#N/A,#N/A,FALSE,"단축1";#N/A,#N/A,FALSE,"단축2";#N/A,#N/A,FALSE,"단축3";#N/A,#N/A,FALSE,"장축";#N/A,#N/A,FALSE,"4WD"}</definedName>
    <definedName name="ㅅㅅㅅ_2" hidden="1">{#N/A,#N/A,FALSE,"단축1";#N/A,#N/A,FALSE,"단축2";#N/A,#N/A,FALSE,"단축3";#N/A,#N/A,FALSE,"장축";#N/A,#N/A,FALSE,"4WD"}</definedName>
    <definedName name="ㅅㅅㅅ_2_1" localSheetId="26" hidden="1">{#N/A,#N/A,FALSE,"단축1";#N/A,#N/A,FALSE,"단축2";#N/A,#N/A,FALSE,"단축3";#N/A,#N/A,FALSE,"장축";#N/A,#N/A,FALSE,"4WD"}</definedName>
    <definedName name="ㅅㅅㅅ_2_1" localSheetId="0" hidden="1">{#N/A,#N/A,FALSE,"단축1";#N/A,#N/A,FALSE,"단축2";#N/A,#N/A,FALSE,"단축3";#N/A,#N/A,FALSE,"장축";#N/A,#N/A,FALSE,"4WD"}</definedName>
    <definedName name="ㅅㅅㅅ_2_1" hidden="1">{#N/A,#N/A,FALSE,"단축1";#N/A,#N/A,FALSE,"단축2";#N/A,#N/A,FALSE,"단축3";#N/A,#N/A,FALSE,"장축";#N/A,#N/A,FALSE,"4WD"}</definedName>
    <definedName name="ㅅㅅㅅ_2_2" localSheetId="26" hidden="1">{#N/A,#N/A,FALSE,"단축1";#N/A,#N/A,FALSE,"단축2";#N/A,#N/A,FALSE,"단축3";#N/A,#N/A,FALSE,"장축";#N/A,#N/A,FALSE,"4WD"}</definedName>
    <definedName name="ㅅㅅㅅ_2_2" localSheetId="0" hidden="1">{#N/A,#N/A,FALSE,"단축1";#N/A,#N/A,FALSE,"단축2";#N/A,#N/A,FALSE,"단축3";#N/A,#N/A,FALSE,"장축";#N/A,#N/A,FALSE,"4WD"}</definedName>
    <definedName name="ㅅㅅㅅ_2_2" hidden="1">{#N/A,#N/A,FALSE,"단축1";#N/A,#N/A,FALSE,"단축2";#N/A,#N/A,FALSE,"단축3";#N/A,#N/A,FALSE,"장축";#N/A,#N/A,FALSE,"4WD"}</definedName>
    <definedName name="ㅅㅅㅅ_3" localSheetId="26" hidden="1">{#N/A,#N/A,FALSE,"단축1";#N/A,#N/A,FALSE,"단축2";#N/A,#N/A,FALSE,"단축3";#N/A,#N/A,FALSE,"장축";#N/A,#N/A,FALSE,"4WD"}</definedName>
    <definedName name="ㅅㅅㅅ_3" localSheetId="0" hidden="1">{#N/A,#N/A,FALSE,"단축1";#N/A,#N/A,FALSE,"단축2";#N/A,#N/A,FALSE,"단축3";#N/A,#N/A,FALSE,"장축";#N/A,#N/A,FALSE,"4WD"}</definedName>
    <definedName name="ㅅㅅㅅ_3" hidden="1">{#N/A,#N/A,FALSE,"단축1";#N/A,#N/A,FALSE,"단축2";#N/A,#N/A,FALSE,"단축3";#N/A,#N/A,FALSE,"장축";#N/A,#N/A,FALSE,"4WD"}</definedName>
    <definedName name="ㅅㅅㅅ_4" localSheetId="26" hidden="1">{#N/A,#N/A,FALSE,"단축1";#N/A,#N/A,FALSE,"단축2";#N/A,#N/A,FALSE,"단축3";#N/A,#N/A,FALSE,"장축";#N/A,#N/A,FALSE,"4WD"}</definedName>
    <definedName name="ㅅㅅㅅ_4" localSheetId="0" hidden="1">{#N/A,#N/A,FALSE,"단축1";#N/A,#N/A,FALSE,"단축2";#N/A,#N/A,FALSE,"단축3";#N/A,#N/A,FALSE,"장축";#N/A,#N/A,FALSE,"4WD"}</definedName>
    <definedName name="ㅅㅅㅅ_4" hidden="1">{#N/A,#N/A,FALSE,"단축1";#N/A,#N/A,FALSE,"단축2";#N/A,#N/A,FALSE,"단축3";#N/A,#N/A,FALSE,"장축";#N/A,#N/A,FALSE,"4WD"}</definedName>
    <definedName name="ㅅㅅㅅ_5" localSheetId="26" hidden="1">{#N/A,#N/A,FALSE,"단축1";#N/A,#N/A,FALSE,"단축2";#N/A,#N/A,FALSE,"단축3";#N/A,#N/A,FALSE,"장축";#N/A,#N/A,FALSE,"4WD"}</definedName>
    <definedName name="ㅅㅅㅅ_5" localSheetId="0" hidden="1">{#N/A,#N/A,FALSE,"단축1";#N/A,#N/A,FALSE,"단축2";#N/A,#N/A,FALSE,"단축3";#N/A,#N/A,FALSE,"장축";#N/A,#N/A,FALSE,"4WD"}</definedName>
    <definedName name="ㅅㅅㅅ_5" hidden="1">{#N/A,#N/A,FALSE,"단축1";#N/A,#N/A,FALSE,"단축2";#N/A,#N/A,FALSE,"단축3";#N/A,#N/A,FALSE,"장축";#N/A,#N/A,FALSE,"4WD"}</definedName>
    <definedName name="세왕123" localSheetId="26" hidden="1">{#N/A,#N/A,FALSE,"단축1";#N/A,#N/A,FALSE,"단축2";#N/A,#N/A,FALSE,"단축3";#N/A,#N/A,FALSE,"장축";#N/A,#N/A,FALSE,"4WD"}</definedName>
    <definedName name="세왕123" localSheetId="0" hidden="1">{#N/A,#N/A,FALSE,"단축1";#N/A,#N/A,FALSE,"단축2";#N/A,#N/A,FALSE,"단축3";#N/A,#N/A,FALSE,"장축";#N/A,#N/A,FALSE,"4WD"}</definedName>
    <definedName name="세왕123" hidden="1">{#N/A,#N/A,FALSE,"단축1";#N/A,#N/A,FALSE,"단축2";#N/A,#N/A,FALSE,"단축3";#N/A,#N/A,FALSE,"장축";#N/A,#N/A,FALSE,"4WD"}</definedName>
    <definedName name="세왕123_1" localSheetId="26" hidden="1">{#N/A,#N/A,FALSE,"단축1";#N/A,#N/A,FALSE,"단축2";#N/A,#N/A,FALSE,"단축3";#N/A,#N/A,FALSE,"장축";#N/A,#N/A,FALSE,"4WD"}</definedName>
    <definedName name="세왕123_1" localSheetId="0" hidden="1">{#N/A,#N/A,FALSE,"단축1";#N/A,#N/A,FALSE,"단축2";#N/A,#N/A,FALSE,"단축3";#N/A,#N/A,FALSE,"장축";#N/A,#N/A,FALSE,"4WD"}</definedName>
    <definedName name="세왕123_1" hidden="1">{#N/A,#N/A,FALSE,"단축1";#N/A,#N/A,FALSE,"단축2";#N/A,#N/A,FALSE,"단축3";#N/A,#N/A,FALSE,"장축";#N/A,#N/A,FALSE,"4WD"}</definedName>
    <definedName name="세왕123_1_1" localSheetId="26" hidden="1">{#N/A,#N/A,FALSE,"단축1";#N/A,#N/A,FALSE,"단축2";#N/A,#N/A,FALSE,"단축3";#N/A,#N/A,FALSE,"장축";#N/A,#N/A,FALSE,"4WD"}</definedName>
    <definedName name="세왕123_1_1" localSheetId="0" hidden="1">{#N/A,#N/A,FALSE,"단축1";#N/A,#N/A,FALSE,"단축2";#N/A,#N/A,FALSE,"단축3";#N/A,#N/A,FALSE,"장축";#N/A,#N/A,FALSE,"4WD"}</definedName>
    <definedName name="세왕123_1_1" hidden="1">{#N/A,#N/A,FALSE,"단축1";#N/A,#N/A,FALSE,"단축2";#N/A,#N/A,FALSE,"단축3";#N/A,#N/A,FALSE,"장축";#N/A,#N/A,FALSE,"4WD"}</definedName>
    <definedName name="세왕123_1_2" localSheetId="26" hidden="1">{#N/A,#N/A,FALSE,"단축1";#N/A,#N/A,FALSE,"단축2";#N/A,#N/A,FALSE,"단축3";#N/A,#N/A,FALSE,"장축";#N/A,#N/A,FALSE,"4WD"}</definedName>
    <definedName name="세왕123_1_2" localSheetId="0" hidden="1">{#N/A,#N/A,FALSE,"단축1";#N/A,#N/A,FALSE,"단축2";#N/A,#N/A,FALSE,"단축3";#N/A,#N/A,FALSE,"장축";#N/A,#N/A,FALSE,"4WD"}</definedName>
    <definedName name="세왕123_1_2" hidden="1">{#N/A,#N/A,FALSE,"단축1";#N/A,#N/A,FALSE,"단축2";#N/A,#N/A,FALSE,"단축3";#N/A,#N/A,FALSE,"장축";#N/A,#N/A,FALSE,"4WD"}</definedName>
    <definedName name="세왕123_1_3" localSheetId="26" hidden="1">{#N/A,#N/A,FALSE,"단축1";#N/A,#N/A,FALSE,"단축2";#N/A,#N/A,FALSE,"단축3";#N/A,#N/A,FALSE,"장축";#N/A,#N/A,FALSE,"4WD"}</definedName>
    <definedName name="세왕123_1_3" localSheetId="0" hidden="1">{#N/A,#N/A,FALSE,"단축1";#N/A,#N/A,FALSE,"단축2";#N/A,#N/A,FALSE,"단축3";#N/A,#N/A,FALSE,"장축";#N/A,#N/A,FALSE,"4WD"}</definedName>
    <definedName name="세왕123_1_3" hidden="1">{#N/A,#N/A,FALSE,"단축1";#N/A,#N/A,FALSE,"단축2";#N/A,#N/A,FALSE,"단축3";#N/A,#N/A,FALSE,"장축";#N/A,#N/A,FALSE,"4WD"}</definedName>
    <definedName name="세왕123_2" localSheetId="26" hidden="1">{#N/A,#N/A,FALSE,"단축1";#N/A,#N/A,FALSE,"단축2";#N/A,#N/A,FALSE,"단축3";#N/A,#N/A,FALSE,"장축";#N/A,#N/A,FALSE,"4WD"}</definedName>
    <definedName name="세왕123_2" localSheetId="0" hidden="1">{#N/A,#N/A,FALSE,"단축1";#N/A,#N/A,FALSE,"단축2";#N/A,#N/A,FALSE,"단축3";#N/A,#N/A,FALSE,"장축";#N/A,#N/A,FALSE,"4WD"}</definedName>
    <definedName name="세왕123_2" hidden="1">{#N/A,#N/A,FALSE,"단축1";#N/A,#N/A,FALSE,"단축2";#N/A,#N/A,FALSE,"단축3";#N/A,#N/A,FALSE,"장축";#N/A,#N/A,FALSE,"4WD"}</definedName>
    <definedName name="세왕123_2_1" localSheetId="26" hidden="1">{#N/A,#N/A,FALSE,"단축1";#N/A,#N/A,FALSE,"단축2";#N/A,#N/A,FALSE,"단축3";#N/A,#N/A,FALSE,"장축";#N/A,#N/A,FALSE,"4WD"}</definedName>
    <definedName name="세왕123_2_1" localSheetId="0" hidden="1">{#N/A,#N/A,FALSE,"단축1";#N/A,#N/A,FALSE,"단축2";#N/A,#N/A,FALSE,"단축3";#N/A,#N/A,FALSE,"장축";#N/A,#N/A,FALSE,"4WD"}</definedName>
    <definedName name="세왕123_2_1" hidden="1">{#N/A,#N/A,FALSE,"단축1";#N/A,#N/A,FALSE,"단축2";#N/A,#N/A,FALSE,"단축3";#N/A,#N/A,FALSE,"장축";#N/A,#N/A,FALSE,"4WD"}</definedName>
    <definedName name="세왕123_2_2" localSheetId="26" hidden="1">{#N/A,#N/A,FALSE,"단축1";#N/A,#N/A,FALSE,"단축2";#N/A,#N/A,FALSE,"단축3";#N/A,#N/A,FALSE,"장축";#N/A,#N/A,FALSE,"4WD"}</definedName>
    <definedName name="세왕123_2_2" localSheetId="0" hidden="1">{#N/A,#N/A,FALSE,"단축1";#N/A,#N/A,FALSE,"단축2";#N/A,#N/A,FALSE,"단축3";#N/A,#N/A,FALSE,"장축";#N/A,#N/A,FALSE,"4WD"}</definedName>
    <definedName name="세왕123_2_2" hidden="1">{#N/A,#N/A,FALSE,"단축1";#N/A,#N/A,FALSE,"단축2";#N/A,#N/A,FALSE,"단축3";#N/A,#N/A,FALSE,"장축";#N/A,#N/A,FALSE,"4WD"}</definedName>
    <definedName name="세왕123_3" localSheetId="26" hidden="1">{#N/A,#N/A,FALSE,"단축1";#N/A,#N/A,FALSE,"단축2";#N/A,#N/A,FALSE,"단축3";#N/A,#N/A,FALSE,"장축";#N/A,#N/A,FALSE,"4WD"}</definedName>
    <definedName name="세왕123_3" localSheetId="0" hidden="1">{#N/A,#N/A,FALSE,"단축1";#N/A,#N/A,FALSE,"단축2";#N/A,#N/A,FALSE,"단축3";#N/A,#N/A,FALSE,"장축";#N/A,#N/A,FALSE,"4WD"}</definedName>
    <definedName name="세왕123_3" hidden="1">{#N/A,#N/A,FALSE,"단축1";#N/A,#N/A,FALSE,"단축2";#N/A,#N/A,FALSE,"단축3";#N/A,#N/A,FALSE,"장축";#N/A,#N/A,FALSE,"4WD"}</definedName>
    <definedName name="세왕123_4" localSheetId="26" hidden="1">{#N/A,#N/A,FALSE,"단축1";#N/A,#N/A,FALSE,"단축2";#N/A,#N/A,FALSE,"단축3";#N/A,#N/A,FALSE,"장축";#N/A,#N/A,FALSE,"4WD"}</definedName>
    <definedName name="세왕123_4" localSheetId="0" hidden="1">{#N/A,#N/A,FALSE,"단축1";#N/A,#N/A,FALSE,"단축2";#N/A,#N/A,FALSE,"단축3";#N/A,#N/A,FALSE,"장축";#N/A,#N/A,FALSE,"4WD"}</definedName>
    <definedName name="세왕123_4" hidden="1">{#N/A,#N/A,FALSE,"단축1";#N/A,#N/A,FALSE,"단축2";#N/A,#N/A,FALSE,"단축3";#N/A,#N/A,FALSE,"장축";#N/A,#N/A,FALSE,"4WD"}</definedName>
    <definedName name="세왕123_5" localSheetId="26" hidden="1">{#N/A,#N/A,FALSE,"단축1";#N/A,#N/A,FALSE,"단축2";#N/A,#N/A,FALSE,"단축3";#N/A,#N/A,FALSE,"장축";#N/A,#N/A,FALSE,"4WD"}</definedName>
    <definedName name="세왕123_5" localSheetId="0" hidden="1">{#N/A,#N/A,FALSE,"단축1";#N/A,#N/A,FALSE,"단축2";#N/A,#N/A,FALSE,"단축3";#N/A,#N/A,FALSE,"장축";#N/A,#N/A,FALSE,"4WD"}</definedName>
    <definedName name="세왕123_5" hidden="1">{#N/A,#N/A,FALSE,"단축1";#N/A,#N/A,FALSE,"단축2";#N/A,#N/A,FALSE,"단축3";#N/A,#N/A,FALSE,"장축";#N/A,#N/A,FALSE,"4WD"}</definedName>
    <definedName name="소나타" localSheetId="26" hidden="1">{#N/A,#N/A,FALSE,"100PPM";#N/A,#N/A,FALSE,"3차원대책서";#N/A,#N/A,FALSE,"개선사례"}</definedName>
    <definedName name="소나타" localSheetId="0" hidden="1">{#N/A,#N/A,FALSE,"100PPM";#N/A,#N/A,FALSE,"3차원대책서";#N/A,#N/A,FALSE,"개선사례"}</definedName>
    <definedName name="소나타" hidden="1">{#N/A,#N/A,FALSE,"100PPM";#N/A,#N/A,FALSE,"3차원대책서";#N/A,#N/A,FALSE,"개선사례"}</definedName>
    <definedName name="소나타_1" localSheetId="26" hidden="1">{#N/A,#N/A,FALSE,"100PPM";#N/A,#N/A,FALSE,"3차원대책서";#N/A,#N/A,FALSE,"개선사례"}</definedName>
    <definedName name="소나타_1" localSheetId="0" hidden="1">{#N/A,#N/A,FALSE,"100PPM";#N/A,#N/A,FALSE,"3차원대책서";#N/A,#N/A,FALSE,"개선사례"}</definedName>
    <definedName name="소나타_1" hidden="1">{#N/A,#N/A,FALSE,"100PPM";#N/A,#N/A,FALSE,"3차원대책서";#N/A,#N/A,FALSE,"개선사례"}</definedName>
    <definedName name="소나타_1_1" localSheetId="26" hidden="1">{#N/A,#N/A,FALSE,"100PPM";#N/A,#N/A,FALSE,"3차원대책서";#N/A,#N/A,FALSE,"개선사례"}</definedName>
    <definedName name="소나타_1_1" localSheetId="0" hidden="1">{#N/A,#N/A,FALSE,"100PPM";#N/A,#N/A,FALSE,"3차원대책서";#N/A,#N/A,FALSE,"개선사례"}</definedName>
    <definedName name="소나타_1_1" hidden="1">{#N/A,#N/A,FALSE,"100PPM";#N/A,#N/A,FALSE,"3차원대책서";#N/A,#N/A,FALSE,"개선사례"}</definedName>
    <definedName name="소나타_1_2" localSheetId="26" hidden="1">{#N/A,#N/A,FALSE,"100PPM";#N/A,#N/A,FALSE,"3차원대책서";#N/A,#N/A,FALSE,"개선사례"}</definedName>
    <definedName name="소나타_1_2" localSheetId="0" hidden="1">{#N/A,#N/A,FALSE,"100PPM";#N/A,#N/A,FALSE,"3차원대책서";#N/A,#N/A,FALSE,"개선사례"}</definedName>
    <definedName name="소나타_1_2" hidden="1">{#N/A,#N/A,FALSE,"100PPM";#N/A,#N/A,FALSE,"3차원대책서";#N/A,#N/A,FALSE,"개선사례"}</definedName>
    <definedName name="소나타_1_3" localSheetId="26" hidden="1">{#N/A,#N/A,FALSE,"100PPM";#N/A,#N/A,FALSE,"3차원대책서";#N/A,#N/A,FALSE,"개선사례"}</definedName>
    <definedName name="소나타_1_3" localSheetId="0" hidden="1">{#N/A,#N/A,FALSE,"100PPM";#N/A,#N/A,FALSE,"3차원대책서";#N/A,#N/A,FALSE,"개선사례"}</definedName>
    <definedName name="소나타_1_3" hidden="1">{#N/A,#N/A,FALSE,"100PPM";#N/A,#N/A,FALSE,"3차원대책서";#N/A,#N/A,FALSE,"개선사례"}</definedName>
    <definedName name="소나타_2" localSheetId="26" hidden="1">{#N/A,#N/A,FALSE,"100PPM";#N/A,#N/A,FALSE,"3차원대책서";#N/A,#N/A,FALSE,"개선사례"}</definedName>
    <definedName name="소나타_2" localSheetId="0" hidden="1">{#N/A,#N/A,FALSE,"100PPM";#N/A,#N/A,FALSE,"3차원대책서";#N/A,#N/A,FALSE,"개선사례"}</definedName>
    <definedName name="소나타_2" hidden="1">{#N/A,#N/A,FALSE,"100PPM";#N/A,#N/A,FALSE,"3차원대책서";#N/A,#N/A,FALSE,"개선사례"}</definedName>
    <definedName name="소나타_2_1" localSheetId="26" hidden="1">{#N/A,#N/A,FALSE,"100PPM";#N/A,#N/A,FALSE,"3차원대책서";#N/A,#N/A,FALSE,"개선사례"}</definedName>
    <definedName name="소나타_2_1" localSheetId="0" hidden="1">{#N/A,#N/A,FALSE,"100PPM";#N/A,#N/A,FALSE,"3차원대책서";#N/A,#N/A,FALSE,"개선사례"}</definedName>
    <definedName name="소나타_2_1" hidden="1">{#N/A,#N/A,FALSE,"100PPM";#N/A,#N/A,FALSE,"3차원대책서";#N/A,#N/A,FALSE,"개선사례"}</definedName>
    <definedName name="소나타_2_2" localSheetId="26" hidden="1">{#N/A,#N/A,FALSE,"100PPM";#N/A,#N/A,FALSE,"3차원대책서";#N/A,#N/A,FALSE,"개선사례"}</definedName>
    <definedName name="소나타_2_2" localSheetId="0" hidden="1">{#N/A,#N/A,FALSE,"100PPM";#N/A,#N/A,FALSE,"3차원대책서";#N/A,#N/A,FALSE,"개선사례"}</definedName>
    <definedName name="소나타_2_2" hidden="1">{#N/A,#N/A,FALSE,"100PPM";#N/A,#N/A,FALSE,"3차원대책서";#N/A,#N/A,FALSE,"개선사례"}</definedName>
    <definedName name="소나타_3" localSheetId="26" hidden="1">{#N/A,#N/A,FALSE,"100PPM";#N/A,#N/A,FALSE,"3차원대책서";#N/A,#N/A,FALSE,"개선사례"}</definedName>
    <definedName name="소나타_3" localSheetId="0" hidden="1">{#N/A,#N/A,FALSE,"100PPM";#N/A,#N/A,FALSE,"3차원대책서";#N/A,#N/A,FALSE,"개선사례"}</definedName>
    <definedName name="소나타_3" hidden="1">{#N/A,#N/A,FALSE,"100PPM";#N/A,#N/A,FALSE,"3차원대책서";#N/A,#N/A,FALSE,"개선사례"}</definedName>
    <definedName name="소나타_4" localSheetId="26" hidden="1">{#N/A,#N/A,FALSE,"100PPM";#N/A,#N/A,FALSE,"3차원대책서";#N/A,#N/A,FALSE,"개선사례"}</definedName>
    <definedName name="소나타_4" localSheetId="0" hidden="1">{#N/A,#N/A,FALSE,"100PPM";#N/A,#N/A,FALSE,"3차원대책서";#N/A,#N/A,FALSE,"개선사례"}</definedName>
    <definedName name="소나타_4" hidden="1">{#N/A,#N/A,FALSE,"100PPM";#N/A,#N/A,FALSE,"3차원대책서";#N/A,#N/A,FALSE,"개선사례"}</definedName>
    <definedName name="소나타_5" localSheetId="26" hidden="1">{#N/A,#N/A,FALSE,"100PPM";#N/A,#N/A,FALSE,"3차원대책서";#N/A,#N/A,FALSE,"개선사례"}</definedName>
    <definedName name="소나타_5" localSheetId="0" hidden="1">{#N/A,#N/A,FALSE,"100PPM";#N/A,#N/A,FALSE,"3차원대책서";#N/A,#N/A,FALSE,"개선사례"}</definedName>
    <definedName name="소나타_5" hidden="1">{#N/A,#N/A,FALSE,"100PPM";#N/A,#N/A,FALSE,"3차원대책서";#N/A,#N/A,FALSE,"개선사례"}</definedName>
    <definedName name="소하프로젝트" localSheetId="26" hidden="1">{#N/A,#N/A,FALSE,"단축1";#N/A,#N/A,FALSE,"단축2";#N/A,#N/A,FALSE,"단축3";#N/A,#N/A,FALSE,"장축";#N/A,#N/A,FALSE,"4WD"}</definedName>
    <definedName name="소하프로젝트" localSheetId="0" hidden="1">{#N/A,#N/A,FALSE,"단축1";#N/A,#N/A,FALSE,"단축2";#N/A,#N/A,FALSE,"단축3";#N/A,#N/A,FALSE,"장축";#N/A,#N/A,FALSE,"4WD"}</definedName>
    <definedName name="소하프로젝트" hidden="1">{#N/A,#N/A,FALSE,"단축1";#N/A,#N/A,FALSE,"단축2";#N/A,#N/A,FALSE,"단축3";#N/A,#N/A,FALSE,"장축";#N/A,#N/A,FALSE,"4WD"}</definedName>
    <definedName name="소하프로젝트_1" localSheetId="26" hidden="1">{#N/A,#N/A,FALSE,"단축1";#N/A,#N/A,FALSE,"단축2";#N/A,#N/A,FALSE,"단축3";#N/A,#N/A,FALSE,"장축";#N/A,#N/A,FALSE,"4WD"}</definedName>
    <definedName name="소하프로젝트_1" localSheetId="0" hidden="1">{#N/A,#N/A,FALSE,"단축1";#N/A,#N/A,FALSE,"단축2";#N/A,#N/A,FALSE,"단축3";#N/A,#N/A,FALSE,"장축";#N/A,#N/A,FALSE,"4WD"}</definedName>
    <definedName name="소하프로젝트_1" hidden="1">{#N/A,#N/A,FALSE,"단축1";#N/A,#N/A,FALSE,"단축2";#N/A,#N/A,FALSE,"단축3";#N/A,#N/A,FALSE,"장축";#N/A,#N/A,FALSE,"4WD"}</definedName>
    <definedName name="소하프로젝트_1_1" localSheetId="26" hidden="1">{#N/A,#N/A,FALSE,"단축1";#N/A,#N/A,FALSE,"단축2";#N/A,#N/A,FALSE,"단축3";#N/A,#N/A,FALSE,"장축";#N/A,#N/A,FALSE,"4WD"}</definedName>
    <definedName name="소하프로젝트_1_1" localSheetId="0" hidden="1">{#N/A,#N/A,FALSE,"단축1";#N/A,#N/A,FALSE,"단축2";#N/A,#N/A,FALSE,"단축3";#N/A,#N/A,FALSE,"장축";#N/A,#N/A,FALSE,"4WD"}</definedName>
    <definedName name="소하프로젝트_1_1" hidden="1">{#N/A,#N/A,FALSE,"단축1";#N/A,#N/A,FALSE,"단축2";#N/A,#N/A,FALSE,"단축3";#N/A,#N/A,FALSE,"장축";#N/A,#N/A,FALSE,"4WD"}</definedName>
    <definedName name="소하프로젝트_1_2" localSheetId="26" hidden="1">{#N/A,#N/A,FALSE,"단축1";#N/A,#N/A,FALSE,"단축2";#N/A,#N/A,FALSE,"단축3";#N/A,#N/A,FALSE,"장축";#N/A,#N/A,FALSE,"4WD"}</definedName>
    <definedName name="소하프로젝트_1_2" localSheetId="0" hidden="1">{#N/A,#N/A,FALSE,"단축1";#N/A,#N/A,FALSE,"단축2";#N/A,#N/A,FALSE,"단축3";#N/A,#N/A,FALSE,"장축";#N/A,#N/A,FALSE,"4WD"}</definedName>
    <definedName name="소하프로젝트_1_2" hidden="1">{#N/A,#N/A,FALSE,"단축1";#N/A,#N/A,FALSE,"단축2";#N/A,#N/A,FALSE,"단축3";#N/A,#N/A,FALSE,"장축";#N/A,#N/A,FALSE,"4WD"}</definedName>
    <definedName name="소하프로젝트_1_3" localSheetId="26" hidden="1">{#N/A,#N/A,FALSE,"단축1";#N/A,#N/A,FALSE,"단축2";#N/A,#N/A,FALSE,"단축3";#N/A,#N/A,FALSE,"장축";#N/A,#N/A,FALSE,"4WD"}</definedName>
    <definedName name="소하프로젝트_1_3" localSheetId="0" hidden="1">{#N/A,#N/A,FALSE,"단축1";#N/A,#N/A,FALSE,"단축2";#N/A,#N/A,FALSE,"단축3";#N/A,#N/A,FALSE,"장축";#N/A,#N/A,FALSE,"4WD"}</definedName>
    <definedName name="소하프로젝트_1_3" hidden="1">{#N/A,#N/A,FALSE,"단축1";#N/A,#N/A,FALSE,"단축2";#N/A,#N/A,FALSE,"단축3";#N/A,#N/A,FALSE,"장축";#N/A,#N/A,FALSE,"4WD"}</definedName>
    <definedName name="소하프로젝트_2" localSheetId="26" hidden="1">{#N/A,#N/A,FALSE,"단축1";#N/A,#N/A,FALSE,"단축2";#N/A,#N/A,FALSE,"단축3";#N/A,#N/A,FALSE,"장축";#N/A,#N/A,FALSE,"4WD"}</definedName>
    <definedName name="소하프로젝트_2" localSheetId="0" hidden="1">{#N/A,#N/A,FALSE,"단축1";#N/A,#N/A,FALSE,"단축2";#N/A,#N/A,FALSE,"단축3";#N/A,#N/A,FALSE,"장축";#N/A,#N/A,FALSE,"4WD"}</definedName>
    <definedName name="소하프로젝트_2" hidden="1">{#N/A,#N/A,FALSE,"단축1";#N/A,#N/A,FALSE,"단축2";#N/A,#N/A,FALSE,"단축3";#N/A,#N/A,FALSE,"장축";#N/A,#N/A,FALSE,"4WD"}</definedName>
    <definedName name="소하프로젝트_2_1" localSheetId="26" hidden="1">{#N/A,#N/A,FALSE,"단축1";#N/A,#N/A,FALSE,"단축2";#N/A,#N/A,FALSE,"단축3";#N/A,#N/A,FALSE,"장축";#N/A,#N/A,FALSE,"4WD"}</definedName>
    <definedName name="소하프로젝트_2_1" localSheetId="0" hidden="1">{#N/A,#N/A,FALSE,"단축1";#N/A,#N/A,FALSE,"단축2";#N/A,#N/A,FALSE,"단축3";#N/A,#N/A,FALSE,"장축";#N/A,#N/A,FALSE,"4WD"}</definedName>
    <definedName name="소하프로젝트_2_1" hidden="1">{#N/A,#N/A,FALSE,"단축1";#N/A,#N/A,FALSE,"단축2";#N/A,#N/A,FALSE,"단축3";#N/A,#N/A,FALSE,"장축";#N/A,#N/A,FALSE,"4WD"}</definedName>
    <definedName name="소하프로젝트_2_2" localSheetId="26" hidden="1">{#N/A,#N/A,FALSE,"단축1";#N/A,#N/A,FALSE,"단축2";#N/A,#N/A,FALSE,"단축3";#N/A,#N/A,FALSE,"장축";#N/A,#N/A,FALSE,"4WD"}</definedName>
    <definedName name="소하프로젝트_2_2" localSheetId="0" hidden="1">{#N/A,#N/A,FALSE,"단축1";#N/A,#N/A,FALSE,"단축2";#N/A,#N/A,FALSE,"단축3";#N/A,#N/A,FALSE,"장축";#N/A,#N/A,FALSE,"4WD"}</definedName>
    <definedName name="소하프로젝트_2_2" hidden="1">{#N/A,#N/A,FALSE,"단축1";#N/A,#N/A,FALSE,"단축2";#N/A,#N/A,FALSE,"단축3";#N/A,#N/A,FALSE,"장축";#N/A,#N/A,FALSE,"4WD"}</definedName>
    <definedName name="소하프로젝트_3" localSheetId="26" hidden="1">{#N/A,#N/A,FALSE,"단축1";#N/A,#N/A,FALSE,"단축2";#N/A,#N/A,FALSE,"단축3";#N/A,#N/A,FALSE,"장축";#N/A,#N/A,FALSE,"4WD"}</definedName>
    <definedName name="소하프로젝트_3" localSheetId="0" hidden="1">{#N/A,#N/A,FALSE,"단축1";#N/A,#N/A,FALSE,"단축2";#N/A,#N/A,FALSE,"단축3";#N/A,#N/A,FALSE,"장축";#N/A,#N/A,FALSE,"4WD"}</definedName>
    <definedName name="소하프로젝트_3" hidden="1">{#N/A,#N/A,FALSE,"단축1";#N/A,#N/A,FALSE,"단축2";#N/A,#N/A,FALSE,"단축3";#N/A,#N/A,FALSE,"장축";#N/A,#N/A,FALSE,"4WD"}</definedName>
    <definedName name="소하프로젝트_4" localSheetId="26" hidden="1">{#N/A,#N/A,FALSE,"단축1";#N/A,#N/A,FALSE,"단축2";#N/A,#N/A,FALSE,"단축3";#N/A,#N/A,FALSE,"장축";#N/A,#N/A,FALSE,"4WD"}</definedName>
    <definedName name="소하프로젝트_4" localSheetId="0" hidden="1">{#N/A,#N/A,FALSE,"단축1";#N/A,#N/A,FALSE,"단축2";#N/A,#N/A,FALSE,"단축3";#N/A,#N/A,FALSE,"장축";#N/A,#N/A,FALSE,"4WD"}</definedName>
    <definedName name="소하프로젝트_4" hidden="1">{#N/A,#N/A,FALSE,"단축1";#N/A,#N/A,FALSE,"단축2";#N/A,#N/A,FALSE,"단축3";#N/A,#N/A,FALSE,"장축";#N/A,#N/A,FALSE,"4WD"}</definedName>
    <definedName name="소하프로젝트_5" localSheetId="26" hidden="1">{#N/A,#N/A,FALSE,"단축1";#N/A,#N/A,FALSE,"단축2";#N/A,#N/A,FALSE,"단축3";#N/A,#N/A,FALSE,"장축";#N/A,#N/A,FALSE,"4WD"}</definedName>
    <definedName name="소하프로젝트_5" localSheetId="0" hidden="1">{#N/A,#N/A,FALSE,"단축1";#N/A,#N/A,FALSE,"단축2";#N/A,#N/A,FALSE,"단축3";#N/A,#N/A,FALSE,"장축";#N/A,#N/A,FALSE,"4WD"}</definedName>
    <definedName name="소하프로젝트_5" hidden="1">{#N/A,#N/A,FALSE,"단축1";#N/A,#N/A,FALSE,"단축2";#N/A,#N/A,FALSE,"단축3";#N/A,#N/A,FALSE,"장축";#N/A,#N/A,FALSE,"4WD"}</definedName>
    <definedName name="쇼바2" localSheetId="26" hidden="1">{#N/A,#N/A,FALSE,"단축1";#N/A,#N/A,FALSE,"단축2";#N/A,#N/A,FALSE,"단축3";#N/A,#N/A,FALSE,"장축";#N/A,#N/A,FALSE,"4WD"}</definedName>
    <definedName name="쇼바2" localSheetId="0" hidden="1">{#N/A,#N/A,FALSE,"단축1";#N/A,#N/A,FALSE,"단축2";#N/A,#N/A,FALSE,"단축3";#N/A,#N/A,FALSE,"장축";#N/A,#N/A,FALSE,"4WD"}</definedName>
    <definedName name="쇼바2" hidden="1">{#N/A,#N/A,FALSE,"단축1";#N/A,#N/A,FALSE,"단축2";#N/A,#N/A,FALSE,"단축3";#N/A,#N/A,FALSE,"장축";#N/A,#N/A,FALSE,"4WD"}</definedName>
    <definedName name="쇼바2_1" localSheetId="26" hidden="1">{#N/A,#N/A,FALSE,"단축1";#N/A,#N/A,FALSE,"단축2";#N/A,#N/A,FALSE,"단축3";#N/A,#N/A,FALSE,"장축";#N/A,#N/A,FALSE,"4WD"}</definedName>
    <definedName name="쇼바2_1" localSheetId="0" hidden="1">{#N/A,#N/A,FALSE,"단축1";#N/A,#N/A,FALSE,"단축2";#N/A,#N/A,FALSE,"단축3";#N/A,#N/A,FALSE,"장축";#N/A,#N/A,FALSE,"4WD"}</definedName>
    <definedName name="쇼바2_1" hidden="1">{#N/A,#N/A,FALSE,"단축1";#N/A,#N/A,FALSE,"단축2";#N/A,#N/A,FALSE,"단축3";#N/A,#N/A,FALSE,"장축";#N/A,#N/A,FALSE,"4WD"}</definedName>
    <definedName name="쇼바2_1_1" localSheetId="26" hidden="1">{#N/A,#N/A,FALSE,"단축1";#N/A,#N/A,FALSE,"단축2";#N/A,#N/A,FALSE,"단축3";#N/A,#N/A,FALSE,"장축";#N/A,#N/A,FALSE,"4WD"}</definedName>
    <definedName name="쇼바2_1_1" localSheetId="0" hidden="1">{#N/A,#N/A,FALSE,"단축1";#N/A,#N/A,FALSE,"단축2";#N/A,#N/A,FALSE,"단축3";#N/A,#N/A,FALSE,"장축";#N/A,#N/A,FALSE,"4WD"}</definedName>
    <definedName name="쇼바2_1_1" hidden="1">{#N/A,#N/A,FALSE,"단축1";#N/A,#N/A,FALSE,"단축2";#N/A,#N/A,FALSE,"단축3";#N/A,#N/A,FALSE,"장축";#N/A,#N/A,FALSE,"4WD"}</definedName>
    <definedName name="쇼바2_1_2" localSheetId="26" hidden="1">{#N/A,#N/A,FALSE,"단축1";#N/A,#N/A,FALSE,"단축2";#N/A,#N/A,FALSE,"단축3";#N/A,#N/A,FALSE,"장축";#N/A,#N/A,FALSE,"4WD"}</definedName>
    <definedName name="쇼바2_1_2" localSheetId="0" hidden="1">{#N/A,#N/A,FALSE,"단축1";#N/A,#N/A,FALSE,"단축2";#N/A,#N/A,FALSE,"단축3";#N/A,#N/A,FALSE,"장축";#N/A,#N/A,FALSE,"4WD"}</definedName>
    <definedName name="쇼바2_1_2" hidden="1">{#N/A,#N/A,FALSE,"단축1";#N/A,#N/A,FALSE,"단축2";#N/A,#N/A,FALSE,"단축3";#N/A,#N/A,FALSE,"장축";#N/A,#N/A,FALSE,"4WD"}</definedName>
    <definedName name="쇼바2_1_3" localSheetId="26" hidden="1">{#N/A,#N/A,FALSE,"단축1";#N/A,#N/A,FALSE,"단축2";#N/A,#N/A,FALSE,"단축3";#N/A,#N/A,FALSE,"장축";#N/A,#N/A,FALSE,"4WD"}</definedName>
    <definedName name="쇼바2_1_3" localSheetId="0" hidden="1">{#N/A,#N/A,FALSE,"단축1";#N/A,#N/A,FALSE,"단축2";#N/A,#N/A,FALSE,"단축3";#N/A,#N/A,FALSE,"장축";#N/A,#N/A,FALSE,"4WD"}</definedName>
    <definedName name="쇼바2_1_3" hidden="1">{#N/A,#N/A,FALSE,"단축1";#N/A,#N/A,FALSE,"단축2";#N/A,#N/A,FALSE,"단축3";#N/A,#N/A,FALSE,"장축";#N/A,#N/A,FALSE,"4WD"}</definedName>
    <definedName name="쇼바2_2" localSheetId="26" hidden="1">{#N/A,#N/A,FALSE,"단축1";#N/A,#N/A,FALSE,"단축2";#N/A,#N/A,FALSE,"단축3";#N/A,#N/A,FALSE,"장축";#N/A,#N/A,FALSE,"4WD"}</definedName>
    <definedName name="쇼바2_2" localSheetId="0" hidden="1">{#N/A,#N/A,FALSE,"단축1";#N/A,#N/A,FALSE,"단축2";#N/A,#N/A,FALSE,"단축3";#N/A,#N/A,FALSE,"장축";#N/A,#N/A,FALSE,"4WD"}</definedName>
    <definedName name="쇼바2_2" hidden="1">{#N/A,#N/A,FALSE,"단축1";#N/A,#N/A,FALSE,"단축2";#N/A,#N/A,FALSE,"단축3";#N/A,#N/A,FALSE,"장축";#N/A,#N/A,FALSE,"4WD"}</definedName>
    <definedName name="쇼바2_2_1" localSheetId="26" hidden="1">{#N/A,#N/A,FALSE,"단축1";#N/A,#N/A,FALSE,"단축2";#N/A,#N/A,FALSE,"단축3";#N/A,#N/A,FALSE,"장축";#N/A,#N/A,FALSE,"4WD"}</definedName>
    <definedName name="쇼바2_2_1" localSheetId="0" hidden="1">{#N/A,#N/A,FALSE,"단축1";#N/A,#N/A,FALSE,"단축2";#N/A,#N/A,FALSE,"단축3";#N/A,#N/A,FALSE,"장축";#N/A,#N/A,FALSE,"4WD"}</definedName>
    <definedName name="쇼바2_2_1" hidden="1">{#N/A,#N/A,FALSE,"단축1";#N/A,#N/A,FALSE,"단축2";#N/A,#N/A,FALSE,"단축3";#N/A,#N/A,FALSE,"장축";#N/A,#N/A,FALSE,"4WD"}</definedName>
    <definedName name="쇼바2_2_2" localSheetId="26" hidden="1">{#N/A,#N/A,FALSE,"단축1";#N/A,#N/A,FALSE,"단축2";#N/A,#N/A,FALSE,"단축3";#N/A,#N/A,FALSE,"장축";#N/A,#N/A,FALSE,"4WD"}</definedName>
    <definedName name="쇼바2_2_2" localSheetId="0" hidden="1">{#N/A,#N/A,FALSE,"단축1";#N/A,#N/A,FALSE,"단축2";#N/A,#N/A,FALSE,"단축3";#N/A,#N/A,FALSE,"장축";#N/A,#N/A,FALSE,"4WD"}</definedName>
    <definedName name="쇼바2_2_2" hidden="1">{#N/A,#N/A,FALSE,"단축1";#N/A,#N/A,FALSE,"단축2";#N/A,#N/A,FALSE,"단축3";#N/A,#N/A,FALSE,"장축";#N/A,#N/A,FALSE,"4WD"}</definedName>
    <definedName name="쇼바2_3" localSheetId="26" hidden="1">{#N/A,#N/A,FALSE,"단축1";#N/A,#N/A,FALSE,"단축2";#N/A,#N/A,FALSE,"단축3";#N/A,#N/A,FALSE,"장축";#N/A,#N/A,FALSE,"4WD"}</definedName>
    <definedName name="쇼바2_3" localSheetId="0" hidden="1">{#N/A,#N/A,FALSE,"단축1";#N/A,#N/A,FALSE,"단축2";#N/A,#N/A,FALSE,"단축3";#N/A,#N/A,FALSE,"장축";#N/A,#N/A,FALSE,"4WD"}</definedName>
    <definedName name="쇼바2_3" hidden="1">{#N/A,#N/A,FALSE,"단축1";#N/A,#N/A,FALSE,"단축2";#N/A,#N/A,FALSE,"단축3";#N/A,#N/A,FALSE,"장축";#N/A,#N/A,FALSE,"4WD"}</definedName>
    <definedName name="쇼바2_4" localSheetId="26" hidden="1">{#N/A,#N/A,FALSE,"단축1";#N/A,#N/A,FALSE,"단축2";#N/A,#N/A,FALSE,"단축3";#N/A,#N/A,FALSE,"장축";#N/A,#N/A,FALSE,"4WD"}</definedName>
    <definedName name="쇼바2_4" localSheetId="0" hidden="1">{#N/A,#N/A,FALSE,"단축1";#N/A,#N/A,FALSE,"단축2";#N/A,#N/A,FALSE,"단축3";#N/A,#N/A,FALSE,"장축";#N/A,#N/A,FALSE,"4WD"}</definedName>
    <definedName name="쇼바2_4" hidden="1">{#N/A,#N/A,FALSE,"단축1";#N/A,#N/A,FALSE,"단축2";#N/A,#N/A,FALSE,"단축3";#N/A,#N/A,FALSE,"장축";#N/A,#N/A,FALSE,"4WD"}</definedName>
    <definedName name="쇼바2_5" localSheetId="26" hidden="1">{#N/A,#N/A,FALSE,"단축1";#N/A,#N/A,FALSE,"단축2";#N/A,#N/A,FALSE,"단축3";#N/A,#N/A,FALSE,"장축";#N/A,#N/A,FALSE,"4WD"}</definedName>
    <definedName name="쇼바2_5" localSheetId="0" hidden="1">{#N/A,#N/A,FALSE,"단축1";#N/A,#N/A,FALSE,"단축2";#N/A,#N/A,FALSE,"단축3";#N/A,#N/A,FALSE,"장축";#N/A,#N/A,FALSE,"4WD"}</definedName>
    <definedName name="쇼바2_5" hidden="1">{#N/A,#N/A,FALSE,"단축1";#N/A,#N/A,FALSE,"단축2";#N/A,#N/A,FALSE,"단축3";#N/A,#N/A,FALSE,"장축";#N/A,#N/A,FALSE,"4WD"}</definedName>
    <definedName name="수통" localSheetId="26" hidden="1">{#N/A,#N/A,FALSE,"단축1";#N/A,#N/A,FALSE,"단축2";#N/A,#N/A,FALSE,"단축3";#N/A,#N/A,FALSE,"장축";#N/A,#N/A,FALSE,"4WD"}</definedName>
    <definedName name="수통" localSheetId="0" hidden="1">{#N/A,#N/A,FALSE,"단축1";#N/A,#N/A,FALSE,"단축2";#N/A,#N/A,FALSE,"단축3";#N/A,#N/A,FALSE,"장축";#N/A,#N/A,FALSE,"4WD"}</definedName>
    <definedName name="수통" hidden="1">{#N/A,#N/A,FALSE,"단축1";#N/A,#N/A,FALSE,"단축2";#N/A,#N/A,FALSE,"단축3";#N/A,#N/A,FALSE,"장축";#N/A,#N/A,FALSE,"4WD"}</definedName>
    <definedName name="수통_1" localSheetId="26" hidden="1">{#N/A,#N/A,FALSE,"단축1";#N/A,#N/A,FALSE,"단축2";#N/A,#N/A,FALSE,"단축3";#N/A,#N/A,FALSE,"장축";#N/A,#N/A,FALSE,"4WD"}</definedName>
    <definedName name="수통_1" localSheetId="0" hidden="1">{#N/A,#N/A,FALSE,"단축1";#N/A,#N/A,FALSE,"단축2";#N/A,#N/A,FALSE,"단축3";#N/A,#N/A,FALSE,"장축";#N/A,#N/A,FALSE,"4WD"}</definedName>
    <definedName name="수통_1" hidden="1">{#N/A,#N/A,FALSE,"단축1";#N/A,#N/A,FALSE,"단축2";#N/A,#N/A,FALSE,"단축3";#N/A,#N/A,FALSE,"장축";#N/A,#N/A,FALSE,"4WD"}</definedName>
    <definedName name="수통_1_1" localSheetId="26" hidden="1">{#N/A,#N/A,FALSE,"단축1";#N/A,#N/A,FALSE,"단축2";#N/A,#N/A,FALSE,"단축3";#N/A,#N/A,FALSE,"장축";#N/A,#N/A,FALSE,"4WD"}</definedName>
    <definedName name="수통_1_1" localSheetId="0" hidden="1">{#N/A,#N/A,FALSE,"단축1";#N/A,#N/A,FALSE,"단축2";#N/A,#N/A,FALSE,"단축3";#N/A,#N/A,FALSE,"장축";#N/A,#N/A,FALSE,"4WD"}</definedName>
    <definedName name="수통_1_1" hidden="1">{#N/A,#N/A,FALSE,"단축1";#N/A,#N/A,FALSE,"단축2";#N/A,#N/A,FALSE,"단축3";#N/A,#N/A,FALSE,"장축";#N/A,#N/A,FALSE,"4WD"}</definedName>
    <definedName name="수통_1_2" localSheetId="26" hidden="1">{#N/A,#N/A,FALSE,"단축1";#N/A,#N/A,FALSE,"단축2";#N/A,#N/A,FALSE,"단축3";#N/A,#N/A,FALSE,"장축";#N/A,#N/A,FALSE,"4WD"}</definedName>
    <definedName name="수통_1_2" localSheetId="0" hidden="1">{#N/A,#N/A,FALSE,"단축1";#N/A,#N/A,FALSE,"단축2";#N/A,#N/A,FALSE,"단축3";#N/A,#N/A,FALSE,"장축";#N/A,#N/A,FALSE,"4WD"}</definedName>
    <definedName name="수통_1_2" hidden="1">{#N/A,#N/A,FALSE,"단축1";#N/A,#N/A,FALSE,"단축2";#N/A,#N/A,FALSE,"단축3";#N/A,#N/A,FALSE,"장축";#N/A,#N/A,FALSE,"4WD"}</definedName>
    <definedName name="수통_1_3" localSheetId="26" hidden="1">{#N/A,#N/A,FALSE,"단축1";#N/A,#N/A,FALSE,"단축2";#N/A,#N/A,FALSE,"단축3";#N/A,#N/A,FALSE,"장축";#N/A,#N/A,FALSE,"4WD"}</definedName>
    <definedName name="수통_1_3" localSheetId="0" hidden="1">{#N/A,#N/A,FALSE,"단축1";#N/A,#N/A,FALSE,"단축2";#N/A,#N/A,FALSE,"단축3";#N/A,#N/A,FALSE,"장축";#N/A,#N/A,FALSE,"4WD"}</definedName>
    <definedName name="수통_1_3" hidden="1">{#N/A,#N/A,FALSE,"단축1";#N/A,#N/A,FALSE,"단축2";#N/A,#N/A,FALSE,"단축3";#N/A,#N/A,FALSE,"장축";#N/A,#N/A,FALSE,"4WD"}</definedName>
    <definedName name="수통_2" localSheetId="26" hidden="1">{#N/A,#N/A,FALSE,"단축1";#N/A,#N/A,FALSE,"단축2";#N/A,#N/A,FALSE,"단축3";#N/A,#N/A,FALSE,"장축";#N/A,#N/A,FALSE,"4WD"}</definedName>
    <definedName name="수통_2" localSheetId="0" hidden="1">{#N/A,#N/A,FALSE,"단축1";#N/A,#N/A,FALSE,"단축2";#N/A,#N/A,FALSE,"단축3";#N/A,#N/A,FALSE,"장축";#N/A,#N/A,FALSE,"4WD"}</definedName>
    <definedName name="수통_2" hidden="1">{#N/A,#N/A,FALSE,"단축1";#N/A,#N/A,FALSE,"단축2";#N/A,#N/A,FALSE,"단축3";#N/A,#N/A,FALSE,"장축";#N/A,#N/A,FALSE,"4WD"}</definedName>
    <definedName name="수통_2_1" localSheetId="26" hidden="1">{#N/A,#N/A,FALSE,"단축1";#N/A,#N/A,FALSE,"단축2";#N/A,#N/A,FALSE,"단축3";#N/A,#N/A,FALSE,"장축";#N/A,#N/A,FALSE,"4WD"}</definedName>
    <definedName name="수통_2_1" localSheetId="0" hidden="1">{#N/A,#N/A,FALSE,"단축1";#N/A,#N/A,FALSE,"단축2";#N/A,#N/A,FALSE,"단축3";#N/A,#N/A,FALSE,"장축";#N/A,#N/A,FALSE,"4WD"}</definedName>
    <definedName name="수통_2_1" hidden="1">{#N/A,#N/A,FALSE,"단축1";#N/A,#N/A,FALSE,"단축2";#N/A,#N/A,FALSE,"단축3";#N/A,#N/A,FALSE,"장축";#N/A,#N/A,FALSE,"4WD"}</definedName>
    <definedName name="수통_2_2" localSheetId="26" hidden="1">{#N/A,#N/A,FALSE,"단축1";#N/A,#N/A,FALSE,"단축2";#N/A,#N/A,FALSE,"단축3";#N/A,#N/A,FALSE,"장축";#N/A,#N/A,FALSE,"4WD"}</definedName>
    <definedName name="수통_2_2" localSheetId="0" hidden="1">{#N/A,#N/A,FALSE,"단축1";#N/A,#N/A,FALSE,"단축2";#N/A,#N/A,FALSE,"단축3";#N/A,#N/A,FALSE,"장축";#N/A,#N/A,FALSE,"4WD"}</definedName>
    <definedName name="수통_2_2" hidden="1">{#N/A,#N/A,FALSE,"단축1";#N/A,#N/A,FALSE,"단축2";#N/A,#N/A,FALSE,"단축3";#N/A,#N/A,FALSE,"장축";#N/A,#N/A,FALSE,"4WD"}</definedName>
    <definedName name="수통_3" localSheetId="26" hidden="1">{#N/A,#N/A,FALSE,"단축1";#N/A,#N/A,FALSE,"단축2";#N/A,#N/A,FALSE,"단축3";#N/A,#N/A,FALSE,"장축";#N/A,#N/A,FALSE,"4WD"}</definedName>
    <definedName name="수통_3" localSheetId="0" hidden="1">{#N/A,#N/A,FALSE,"단축1";#N/A,#N/A,FALSE,"단축2";#N/A,#N/A,FALSE,"단축3";#N/A,#N/A,FALSE,"장축";#N/A,#N/A,FALSE,"4WD"}</definedName>
    <definedName name="수통_3" hidden="1">{#N/A,#N/A,FALSE,"단축1";#N/A,#N/A,FALSE,"단축2";#N/A,#N/A,FALSE,"단축3";#N/A,#N/A,FALSE,"장축";#N/A,#N/A,FALSE,"4WD"}</definedName>
    <definedName name="수통_4" localSheetId="26" hidden="1">{#N/A,#N/A,FALSE,"단축1";#N/A,#N/A,FALSE,"단축2";#N/A,#N/A,FALSE,"단축3";#N/A,#N/A,FALSE,"장축";#N/A,#N/A,FALSE,"4WD"}</definedName>
    <definedName name="수통_4" localSheetId="0" hidden="1">{#N/A,#N/A,FALSE,"단축1";#N/A,#N/A,FALSE,"단축2";#N/A,#N/A,FALSE,"단축3";#N/A,#N/A,FALSE,"장축";#N/A,#N/A,FALSE,"4WD"}</definedName>
    <definedName name="수통_4" hidden="1">{#N/A,#N/A,FALSE,"단축1";#N/A,#N/A,FALSE,"단축2";#N/A,#N/A,FALSE,"단축3";#N/A,#N/A,FALSE,"장축";#N/A,#N/A,FALSE,"4WD"}</definedName>
    <definedName name="수통_5" localSheetId="26" hidden="1">{#N/A,#N/A,FALSE,"단축1";#N/A,#N/A,FALSE,"단축2";#N/A,#N/A,FALSE,"단축3";#N/A,#N/A,FALSE,"장축";#N/A,#N/A,FALSE,"4WD"}</definedName>
    <definedName name="수통_5" localSheetId="0" hidden="1">{#N/A,#N/A,FALSE,"단축1";#N/A,#N/A,FALSE,"단축2";#N/A,#N/A,FALSE,"단축3";#N/A,#N/A,FALSE,"장축";#N/A,#N/A,FALSE,"4WD"}</definedName>
    <definedName name="수통_5" hidden="1">{#N/A,#N/A,FALSE,"단축1";#N/A,#N/A,FALSE,"단축2";#N/A,#N/A,FALSE,"단축3";#N/A,#N/A,FALSE,"장축";#N/A,#N/A,FALSE,"4WD"}</definedName>
    <definedName name="시작품의서독촉MTG" localSheetId="26" hidden="1">{#N/A,#N/A,FALSE,"단축1";#N/A,#N/A,FALSE,"단축2";#N/A,#N/A,FALSE,"단축3";#N/A,#N/A,FALSE,"장축";#N/A,#N/A,FALSE,"4WD"}</definedName>
    <definedName name="시작품의서독촉MTG" localSheetId="0" hidden="1">{#N/A,#N/A,FALSE,"단축1";#N/A,#N/A,FALSE,"단축2";#N/A,#N/A,FALSE,"단축3";#N/A,#N/A,FALSE,"장축";#N/A,#N/A,FALSE,"4WD"}</definedName>
    <definedName name="시작품의서독촉MTG" hidden="1">{#N/A,#N/A,FALSE,"단축1";#N/A,#N/A,FALSE,"단축2";#N/A,#N/A,FALSE,"단축3";#N/A,#N/A,FALSE,"장축";#N/A,#N/A,FALSE,"4WD"}</definedName>
    <definedName name="시작품의서독촉MTG_1" localSheetId="26" hidden="1">{#N/A,#N/A,FALSE,"단축1";#N/A,#N/A,FALSE,"단축2";#N/A,#N/A,FALSE,"단축3";#N/A,#N/A,FALSE,"장축";#N/A,#N/A,FALSE,"4WD"}</definedName>
    <definedName name="시작품의서독촉MTG_1" localSheetId="0" hidden="1">{#N/A,#N/A,FALSE,"단축1";#N/A,#N/A,FALSE,"단축2";#N/A,#N/A,FALSE,"단축3";#N/A,#N/A,FALSE,"장축";#N/A,#N/A,FALSE,"4WD"}</definedName>
    <definedName name="시작품의서독촉MTG_1" hidden="1">{#N/A,#N/A,FALSE,"단축1";#N/A,#N/A,FALSE,"단축2";#N/A,#N/A,FALSE,"단축3";#N/A,#N/A,FALSE,"장축";#N/A,#N/A,FALSE,"4WD"}</definedName>
    <definedName name="시작품의서독촉MTG_1_1" localSheetId="26" hidden="1">{#N/A,#N/A,FALSE,"단축1";#N/A,#N/A,FALSE,"단축2";#N/A,#N/A,FALSE,"단축3";#N/A,#N/A,FALSE,"장축";#N/A,#N/A,FALSE,"4WD"}</definedName>
    <definedName name="시작품의서독촉MTG_1_1" localSheetId="0" hidden="1">{#N/A,#N/A,FALSE,"단축1";#N/A,#N/A,FALSE,"단축2";#N/A,#N/A,FALSE,"단축3";#N/A,#N/A,FALSE,"장축";#N/A,#N/A,FALSE,"4WD"}</definedName>
    <definedName name="시작품의서독촉MTG_1_1" hidden="1">{#N/A,#N/A,FALSE,"단축1";#N/A,#N/A,FALSE,"단축2";#N/A,#N/A,FALSE,"단축3";#N/A,#N/A,FALSE,"장축";#N/A,#N/A,FALSE,"4WD"}</definedName>
    <definedName name="시작품의서독촉MTG_1_2" localSheetId="26" hidden="1">{#N/A,#N/A,FALSE,"단축1";#N/A,#N/A,FALSE,"단축2";#N/A,#N/A,FALSE,"단축3";#N/A,#N/A,FALSE,"장축";#N/A,#N/A,FALSE,"4WD"}</definedName>
    <definedName name="시작품의서독촉MTG_1_2" localSheetId="0" hidden="1">{#N/A,#N/A,FALSE,"단축1";#N/A,#N/A,FALSE,"단축2";#N/A,#N/A,FALSE,"단축3";#N/A,#N/A,FALSE,"장축";#N/A,#N/A,FALSE,"4WD"}</definedName>
    <definedName name="시작품의서독촉MTG_1_2" hidden="1">{#N/A,#N/A,FALSE,"단축1";#N/A,#N/A,FALSE,"단축2";#N/A,#N/A,FALSE,"단축3";#N/A,#N/A,FALSE,"장축";#N/A,#N/A,FALSE,"4WD"}</definedName>
    <definedName name="시작품의서독촉MTG_1_3" localSheetId="26" hidden="1">{#N/A,#N/A,FALSE,"단축1";#N/A,#N/A,FALSE,"단축2";#N/A,#N/A,FALSE,"단축3";#N/A,#N/A,FALSE,"장축";#N/A,#N/A,FALSE,"4WD"}</definedName>
    <definedName name="시작품의서독촉MTG_1_3" localSheetId="0" hidden="1">{#N/A,#N/A,FALSE,"단축1";#N/A,#N/A,FALSE,"단축2";#N/A,#N/A,FALSE,"단축3";#N/A,#N/A,FALSE,"장축";#N/A,#N/A,FALSE,"4WD"}</definedName>
    <definedName name="시작품의서독촉MTG_1_3" hidden="1">{#N/A,#N/A,FALSE,"단축1";#N/A,#N/A,FALSE,"단축2";#N/A,#N/A,FALSE,"단축3";#N/A,#N/A,FALSE,"장축";#N/A,#N/A,FALSE,"4WD"}</definedName>
    <definedName name="시작품의서독촉MTG_2" localSheetId="26" hidden="1">{#N/A,#N/A,FALSE,"단축1";#N/A,#N/A,FALSE,"단축2";#N/A,#N/A,FALSE,"단축3";#N/A,#N/A,FALSE,"장축";#N/A,#N/A,FALSE,"4WD"}</definedName>
    <definedName name="시작품의서독촉MTG_2" localSheetId="0" hidden="1">{#N/A,#N/A,FALSE,"단축1";#N/A,#N/A,FALSE,"단축2";#N/A,#N/A,FALSE,"단축3";#N/A,#N/A,FALSE,"장축";#N/A,#N/A,FALSE,"4WD"}</definedName>
    <definedName name="시작품의서독촉MTG_2" hidden="1">{#N/A,#N/A,FALSE,"단축1";#N/A,#N/A,FALSE,"단축2";#N/A,#N/A,FALSE,"단축3";#N/A,#N/A,FALSE,"장축";#N/A,#N/A,FALSE,"4WD"}</definedName>
    <definedName name="시작품의서독촉MTG_2_1" localSheetId="26" hidden="1">{#N/A,#N/A,FALSE,"단축1";#N/A,#N/A,FALSE,"단축2";#N/A,#N/A,FALSE,"단축3";#N/A,#N/A,FALSE,"장축";#N/A,#N/A,FALSE,"4WD"}</definedName>
    <definedName name="시작품의서독촉MTG_2_1" localSheetId="0" hidden="1">{#N/A,#N/A,FALSE,"단축1";#N/A,#N/A,FALSE,"단축2";#N/A,#N/A,FALSE,"단축3";#N/A,#N/A,FALSE,"장축";#N/A,#N/A,FALSE,"4WD"}</definedName>
    <definedName name="시작품의서독촉MTG_2_1" hidden="1">{#N/A,#N/A,FALSE,"단축1";#N/A,#N/A,FALSE,"단축2";#N/A,#N/A,FALSE,"단축3";#N/A,#N/A,FALSE,"장축";#N/A,#N/A,FALSE,"4WD"}</definedName>
    <definedName name="시작품의서독촉MTG_2_2" localSheetId="26" hidden="1">{#N/A,#N/A,FALSE,"단축1";#N/A,#N/A,FALSE,"단축2";#N/A,#N/A,FALSE,"단축3";#N/A,#N/A,FALSE,"장축";#N/A,#N/A,FALSE,"4WD"}</definedName>
    <definedName name="시작품의서독촉MTG_2_2" localSheetId="0" hidden="1">{#N/A,#N/A,FALSE,"단축1";#N/A,#N/A,FALSE,"단축2";#N/A,#N/A,FALSE,"단축3";#N/A,#N/A,FALSE,"장축";#N/A,#N/A,FALSE,"4WD"}</definedName>
    <definedName name="시작품의서독촉MTG_2_2" hidden="1">{#N/A,#N/A,FALSE,"단축1";#N/A,#N/A,FALSE,"단축2";#N/A,#N/A,FALSE,"단축3";#N/A,#N/A,FALSE,"장축";#N/A,#N/A,FALSE,"4WD"}</definedName>
    <definedName name="시작품의서독촉MTG_3" localSheetId="26" hidden="1">{#N/A,#N/A,FALSE,"단축1";#N/A,#N/A,FALSE,"단축2";#N/A,#N/A,FALSE,"단축3";#N/A,#N/A,FALSE,"장축";#N/A,#N/A,FALSE,"4WD"}</definedName>
    <definedName name="시작품의서독촉MTG_3" localSheetId="0" hidden="1">{#N/A,#N/A,FALSE,"단축1";#N/A,#N/A,FALSE,"단축2";#N/A,#N/A,FALSE,"단축3";#N/A,#N/A,FALSE,"장축";#N/A,#N/A,FALSE,"4WD"}</definedName>
    <definedName name="시작품의서독촉MTG_3" hidden="1">{#N/A,#N/A,FALSE,"단축1";#N/A,#N/A,FALSE,"단축2";#N/A,#N/A,FALSE,"단축3";#N/A,#N/A,FALSE,"장축";#N/A,#N/A,FALSE,"4WD"}</definedName>
    <definedName name="시작품의서독촉MTG_4" localSheetId="26" hidden="1">{#N/A,#N/A,FALSE,"단축1";#N/A,#N/A,FALSE,"단축2";#N/A,#N/A,FALSE,"단축3";#N/A,#N/A,FALSE,"장축";#N/A,#N/A,FALSE,"4WD"}</definedName>
    <definedName name="시작품의서독촉MTG_4" localSheetId="0" hidden="1">{#N/A,#N/A,FALSE,"단축1";#N/A,#N/A,FALSE,"단축2";#N/A,#N/A,FALSE,"단축3";#N/A,#N/A,FALSE,"장축";#N/A,#N/A,FALSE,"4WD"}</definedName>
    <definedName name="시작품의서독촉MTG_4" hidden="1">{#N/A,#N/A,FALSE,"단축1";#N/A,#N/A,FALSE,"단축2";#N/A,#N/A,FALSE,"단축3";#N/A,#N/A,FALSE,"장축";#N/A,#N/A,FALSE,"4WD"}</definedName>
    <definedName name="시작품의서독촉MTG_5" localSheetId="26" hidden="1">{#N/A,#N/A,FALSE,"단축1";#N/A,#N/A,FALSE,"단축2";#N/A,#N/A,FALSE,"단축3";#N/A,#N/A,FALSE,"장축";#N/A,#N/A,FALSE,"4WD"}</definedName>
    <definedName name="시작품의서독촉MTG_5" localSheetId="0" hidden="1">{#N/A,#N/A,FALSE,"단축1";#N/A,#N/A,FALSE,"단축2";#N/A,#N/A,FALSE,"단축3";#N/A,#N/A,FALSE,"장축";#N/A,#N/A,FALSE,"4WD"}</definedName>
    <definedName name="시작품의서독촉MTG_5" hidden="1">{#N/A,#N/A,FALSE,"단축1";#N/A,#N/A,FALSE,"단축2";#N/A,#N/A,FALSE,"단축3";#N/A,#N/A,FALSE,"장축";#N/A,#N/A,FALSE,"4WD"}</definedName>
    <definedName name="신차개발" localSheetId="26" hidden="1">{#N/A,#N/A,FALSE,"단축1";#N/A,#N/A,FALSE,"단축2";#N/A,#N/A,FALSE,"단축3";#N/A,#N/A,FALSE,"장축";#N/A,#N/A,FALSE,"4WD"}</definedName>
    <definedName name="신차개발" localSheetId="0" hidden="1">{#N/A,#N/A,FALSE,"단축1";#N/A,#N/A,FALSE,"단축2";#N/A,#N/A,FALSE,"단축3";#N/A,#N/A,FALSE,"장축";#N/A,#N/A,FALSE,"4WD"}</definedName>
    <definedName name="신차개발" hidden="1">{#N/A,#N/A,FALSE,"단축1";#N/A,#N/A,FALSE,"단축2";#N/A,#N/A,FALSE,"단축3";#N/A,#N/A,FALSE,"장축";#N/A,#N/A,FALSE,"4WD"}</definedName>
    <definedName name="신차개발_1" localSheetId="26" hidden="1">{#N/A,#N/A,FALSE,"단축1";#N/A,#N/A,FALSE,"단축2";#N/A,#N/A,FALSE,"단축3";#N/A,#N/A,FALSE,"장축";#N/A,#N/A,FALSE,"4WD"}</definedName>
    <definedName name="신차개발_1" localSheetId="0" hidden="1">{#N/A,#N/A,FALSE,"단축1";#N/A,#N/A,FALSE,"단축2";#N/A,#N/A,FALSE,"단축3";#N/A,#N/A,FALSE,"장축";#N/A,#N/A,FALSE,"4WD"}</definedName>
    <definedName name="신차개발_1" hidden="1">{#N/A,#N/A,FALSE,"단축1";#N/A,#N/A,FALSE,"단축2";#N/A,#N/A,FALSE,"단축3";#N/A,#N/A,FALSE,"장축";#N/A,#N/A,FALSE,"4WD"}</definedName>
    <definedName name="신차개발_1_1" localSheetId="26" hidden="1">{#N/A,#N/A,FALSE,"단축1";#N/A,#N/A,FALSE,"단축2";#N/A,#N/A,FALSE,"단축3";#N/A,#N/A,FALSE,"장축";#N/A,#N/A,FALSE,"4WD"}</definedName>
    <definedName name="신차개발_1_1" localSheetId="0" hidden="1">{#N/A,#N/A,FALSE,"단축1";#N/A,#N/A,FALSE,"단축2";#N/A,#N/A,FALSE,"단축3";#N/A,#N/A,FALSE,"장축";#N/A,#N/A,FALSE,"4WD"}</definedName>
    <definedName name="신차개발_1_1" hidden="1">{#N/A,#N/A,FALSE,"단축1";#N/A,#N/A,FALSE,"단축2";#N/A,#N/A,FALSE,"단축3";#N/A,#N/A,FALSE,"장축";#N/A,#N/A,FALSE,"4WD"}</definedName>
    <definedName name="신차개발_1_2" localSheetId="26" hidden="1">{#N/A,#N/A,FALSE,"단축1";#N/A,#N/A,FALSE,"단축2";#N/A,#N/A,FALSE,"단축3";#N/A,#N/A,FALSE,"장축";#N/A,#N/A,FALSE,"4WD"}</definedName>
    <definedName name="신차개발_1_2" localSheetId="0" hidden="1">{#N/A,#N/A,FALSE,"단축1";#N/A,#N/A,FALSE,"단축2";#N/A,#N/A,FALSE,"단축3";#N/A,#N/A,FALSE,"장축";#N/A,#N/A,FALSE,"4WD"}</definedName>
    <definedName name="신차개발_1_2" hidden="1">{#N/A,#N/A,FALSE,"단축1";#N/A,#N/A,FALSE,"단축2";#N/A,#N/A,FALSE,"단축3";#N/A,#N/A,FALSE,"장축";#N/A,#N/A,FALSE,"4WD"}</definedName>
    <definedName name="신차개발_1_3" localSheetId="26" hidden="1">{#N/A,#N/A,FALSE,"단축1";#N/A,#N/A,FALSE,"단축2";#N/A,#N/A,FALSE,"단축3";#N/A,#N/A,FALSE,"장축";#N/A,#N/A,FALSE,"4WD"}</definedName>
    <definedName name="신차개발_1_3" localSheetId="0" hidden="1">{#N/A,#N/A,FALSE,"단축1";#N/A,#N/A,FALSE,"단축2";#N/A,#N/A,FALSE,"단축3";#N/A,#N/A,FALSE,"장축";#N/A,#N/A,FALSE,"4WD"}</definedName>
    <definedName name="신차개발_1_3" hidden="1">{#N/A,#N/A,FALSE,"단축1";#N/A,#N/A,FALSE,"단축2";#N/A,#N/A,FALSE,"단축3";#N/A,#N/A,FALSE,"장축";#N/A,#N/A,FALSE,"4WD"}</definedName>
    <definedName name="신차개발_2" localSheetId="26" hidden="1">{#N/A,#N/A,FALSE,"단축1";#N/A,#N/A,FALSE,"단축2";#N/A,#N/A,FALSE,"단축3";#N/A,#N/A,FALSE,"장축";#N/A,#N/A,FALSE,"4WD"}</definedName>
    <definedName name="신차개발_2" localSheetId="0" hidden="1">{#N/A,#N/A,FALSE,"단축1";#N/A,#N/A,FALSE,"단축2";#N/A,#N/A,FALSE,"단축3";#N/A,#N/A,FALSE,"장축";#N/A,#N/A,FALSE,"4WD"}</definedName>
    <definedName name="신차개발_2" hidden="1">{#N/A,#N/A,FALSE,"단축1";#N/A,#N/A,FALSE,"단축2";#N/A,#N/A,FALSE,"단축3";#N/A,#N/A,FALSE,"장축";#N/A,#N/A,FALSE,"4WD"}</definedName>
    <definedName name="신차개발_2_1" localSheetId="26" hidden="1">{#N/A,#N/A,FALSE,"단축1";#N/A,#N/A,FALSE,"단축2";#N/A,#N/A,FALSE,"단축3";#N/A,#N/A,FALSE,"장축";#N/A,#N/A,FALSE,"4WD"}</definedName>
    <definedName name="신차개발_2_1" localSheetId="0" hidden="1">{#N/A,#N/A,FALSE,"단축1";#N/A,#N/A,FALSE,"단축2";#N/A,#N/A,FALSE,"단축3";#N/A,#N/A,FALSE,"장축";#N/A,#N/A,FALSE,"4WD"}</definedName>
    <definedName name="신차개발_2_1" hidden="1">{#N/A,#N/A,FALSE,"단축1";#N/A,#N/A,FALSE,"단축2";#N/A,#N/A,FALSE,"단축3";#N/A,#N/A,FALSE,"장축";#N/A,#N/A,FALSE,"4WD"}</definedName>
    <definedName name="신차개발_2_2" localSheetId="26" hidden="1">{#N/A,#N/A,FALSE,"단축1";#N/A,#N/A,FALSE,"단축2";#N/A,#N/A,FALSE,"단축3";#N/A,#N/A,FALSE,"장축";#N/A,#N/A,FALSE,"4WD"}</definedName>
    <definedName name="신차개발_2_2" localSheetId="0" hidden="1">{#N/A,#N/A,FALSE,"단축1";#N/A,#N/A,FALSE,"단축2";#N/A,#N/A,FALSE,"단축3";#N/A,#N/A,FALSE,"장축";#N/A,#N/A,FALSE,"4WD"}</definedName>
    <definedName name="신차개발_2_2" hidden="1">{#N/A,#N/A,FALSE,"단축1";#N/A,#N/A,FALSE,"단축2";#N/A,#N/A,FALSE,"단축3";#N/A,#N/A,FALSE,"장축";#N/A,#N/A,FALSE,"4WD"}</definedName>
    <definedName name="신차개발_3" localSheetId="26" hidden="1">{#N/A,#N/A,FALSE,"단축1";#N/A,#N/A,FALSE,"단축2";#N/A,#N/A,FALSE,"단축3";#N/A,#N/A,FALSE,"장축";#N/A,#N/A,FALSE,"4WD"}</definedName>
    <definedName name="신차개발_3" localSheetId="0" hidden="1">{#N/A,#N/A,FALSE,"단축1";#N/A,#N/A,FALSE,"단축2";#N/A,#N/A,FALSE,"단축3";#N/A,#N/A,FALSE,"장축";#N/A,#N/A,FALSE,"4WD"}</definedName>
    <definedName name="신차개발_3" hidden="1">{#N/A,#N/A,FALSE,"단축1";#N/A,#N/A,FALSE,"단축2";#N/A,#N/A,FALSE,"단축3";#N/A,#N/A,FALSE,"장축";#N/A,#N/A,FALSE,"4WD"}</definedName>
    <definedName name="신차개발_4" localSheetId="26" hidden="1">{#N/A,#N/A,FALSE,"단축1";#N/A,#N/A,FALSE,"단축2";#N/A,#N/A,FALSE,"단축3";#N/A,#N/A,FALSE,"장축";#N/A,#N/A,FALSE,"4WD"}</definedName>
    <definedName name="신차개발_4" localSheetId="0" hidden="1">{#N/A,#N/A,FALSE,"단축1";#N/A,#N/A,FALSE,"단축2";#N/A,#N/A,FALSE,"단축3";#N/A,#N/A,FALSE,"장축";#N/A,#N/A,FALSE,"4WD"}</definedName>
    <definedName name="신차개발_4" hidden="1">{#N/A,#N/A,FALSE,"단축1";#N/A,#N/A,FALSE,"단축2";#N/A,#N/A,FALSE,"단축3";#N/A,#N/A,FALSE,"장축";#N/A,#N/A,FALSE,"4WD"}</definedName>
    <definedName name="신차개발_5" localSheetId="26" hidden="1">{#N/A,#N/A,FALSE,"단축1";#N/A,#N/A,FALSE,"단축2";#N/A,#N/A,FALSE,"단축3";#N/A,#N/A,FALSE,"장축";#N/A,#N/A,FALSE,"4WD"}</definedName>
    <definedName name="신차개발_5" localSheetId="0" hidden="1">{#N/A,#N/A,FALSE,"단축1";#N/A,#N/A,FALSE,"단축2";#N/A,#N/A,FALSE,"단축3";#N/A,#N/A,FALSE,"장축";#N/A,#N/A,FALSE,"4WD"}</definedName>
    <definedName name="신차개발_5" hidden="1">{#N/A,#N/A,FALSE,"단축1";#N/A,#N/A,FALSE,"단축2";#N/A,#N/A,FALSE,"단축3";#N/A,#N/A,FALSE,"장축";#N/A,#N/A,FALSE,"4WD"}</definedName>
    <definedName name="실적집계" localSheetId="26" hidden="1">{#N/A,#N/A,FALSE,"단축1";#N/A,#N/A,FALSE,"단축2";#N/A,#N/A,FALSE,"단축3";#N/A,#N/A,FALSE,"장축";#N/A,#N/A,FALSE,"4WD"}</definedName>
    <definedName name="실적집계" localSheetId="0" hidden="1">{#N/A,#N/A,FALSE,"단축1";#N/A,#N/A,FALSE,"단축2";#N/A,#N/A,FALSE,"단축3";#N/A,#N/A,FALSE,"장축";#N/A,#N/A,FALSE,"4WD"}</definedName>
    <definedName name="실적집계" hidden="1">{#N/A,#N/A,FALSE,"단축1";#N/A,#N/A,FALSE,"단축2";#N/A,#N/A,FALSE,"단축3";#N/A,#N/A,FALSE,"장축";#N/A,#N/A,FALSE,"4WD"}</definedName>
    <definedName name="실적집계_1" localSheetId="26" hidden="1">{#N/A,#N/A,FALSE,"단축1";#N/A,#N/A,FALSE,"단축2";#N/A,#N/A,FALSE,"단축3";#N/A,#N/A,FALSE,"장축";#N/A,#N/A,FALSE,"4WD"}</definedName>
    <definedName name="실적집계_1" localSheetId="0" hidden="1">{#N/A,#N/A,FALSE,"단축1";#N/A,#N/A,FALSE,"단축2";#N/A,#N/A,FALSE,"단축3";#N/A,#N/A,FALSE,"장축";#N/A,#N/A,FALSE,"4WD"}</definedName>
    <definedName name="실적집계_1" hidden="1">{#N/A,#N/A,FALSE,"단축1";#N/A,#N/A,FALSE,"단축2";#N/A,#N/A,FALSE,"단축3";#N/A,#N/A,FALSE,"장축";#N/A,#N/A,FALSE,"4WD"}</definedName>
    <definedName name="실적집계_1_1" localSheetId="26" hidden="1">{#N/A,#N/A,FALSE,"단축1";#N/A,#N/A,FALSE,"단축2";#N/A,#N/A,FALSE,"단축3";#N/A,#N/A,FALSE,"장축";#N/A,#N/A,FALSE,"4WD"}</definedName>
    <definedName name="실적집계_1_1" localSheetId="0" hidden="1">{#N/A,#N/A,FALSE,"단축1";#N/A,#N/A,FALSE,"단축2";#N/A,#N/A,FALSE,"단축3";#N/A,#N/A,FALSE,"장축";#N/A,#N/A,FALSE,"4WD"}</definedName>
    <definedName name="실적집계_1_1" hidden="1">{#N/A,#N/A,FALSE,"단축1";#N/A,#N/A,FALSE,"단축2";#N/A,#N/A,FALSE,"단축3";#N/A,#N/A,FALSE,"장축";#N/A,#N/A,FALSE,"4WD"}</definedName>
    <definedName name="실적집계_1_2" localSheetId="26" hidden="1">{#N/A,#N/A,FALSE,"단축1";#N/A,#N/A,FALSE,"단축2";#N/A,#N/A,FALSE,"단축3";#N/A,#N/A,FALSE,"장축";#N/A,#N/A,FALSE,"4WD"}</definedName>
    <definedName name="실적집계_1_2" localSheetId="0" hidden="1">{#N/A,#N/A,FALSE,"단축1";#N/A,#N/A,FALSE,"단축2";#N/A,#N/A,FALSE,"단축3";#N/A,#N/A,FALSE,"장축";#N/A,#N/A,FALSE,"4WD"}</definedName>
    <definedName name="실적집계_1_2" hidden="1">{#N/A,#N/A,FALSE,"단축1";#N/A,#N/A,FALSE,"단축2";#N/A,#N/A,FALSE,"단축3";#N/A,#N/A,FALSE,"장축";#N/A,#N/A,FALSE,"4WD"}</definedName>
    <definedName name="실적집계_1_3" localSheetId="26" hidden="1">{#N/A,#N/A,FALSE,"단축1";#N/A,#N/A,FALSE,"단축2";#N/A,#N/A,FALSE,"단축3";#N/A,#N/A,FALSE,"장축";#N/A,#N/A,FALSE,"4WD"}</definedName>
    <definedName name="실적집계_1_3" localSheetId="0" hidden="1">{#N/A,#N/A,FALSE,"단축1";#N/A,#N/A,FALSE,"단축2";#N/A,#N/A,FALSE,"단축3";#N/A,#N/A,FALSE,"장축";#N/A,#N/A,FALSE,"4WD"}</definedName>
    <definedName name="실적집계_1_3" hidden="1">{#N/A,#N/A,FALSE,"단축1";#N/A,#N/A,FALSE,"단축2";#N/A,#N/A,FALSE,"단축3";#N/A,#N/A,FALSE,"장축";#N/A,#N/A,FALSE,"4WD"}</definedName>
    <definedName name="실적집계_2" localSheetId="26" hidden="1">{#N/A,#N/A,FALSE,"단축1";#N/A,#N/A,FALSE,"단축2";#N/A,#N/A,FALSE,"단축3";#N/A,#N/A,FALSE,"장축";#N/A,#N/A,FALSE,"4WD"}</definedName>
    <definedName name="실적집계_2" localSheetId="0" hidden="1">{#N/A,#N/A,FALSE,"단축1";#N/A,#N/A,FALSE,"단축2";#N/A,#N/A,FALSE,"단축3";#N/A,#N/A,FALSE,"장축";#N/A,#N/A,FALSE,"4WD"}</definedName>
    <definedName name="실적집계_2" hidden="1">{#N/A,#N/A,FALSE,"단축1";#N/A,#N/A,FALSE,"단축2";#N/A,#N/A,FALSE,"단축3";#N/A,#N/A,FALSE,"장축";#N/A,#N/A,FALSE,"4WD"}</definedName>
    <definedName name="실적집계_2_1" localSheetId="26" hidden="1">{#N/A,#N/A,FALSE,"단축1";#N/A,#N/A,FALSE,"단축2";#N/A,#N/A,FALSE,"단축3";#N/A,#N/A,FALSE,"장축";#N/A,#N/A,FALSE,"4WD"}</definedName>
    <definedName name="실적집계_2_1" localSheetId="0" hidden="1">{#N/A,#N/A,FALSE,"단축1";#N/A,#N/A,FALSE,"단축2";#N/A,#N/A,FALSE,"단축3";#N/A,#N/A,FALSE,"장축";#N/A,#N/A,FALSE,"4WD"}</definedName>
    <definedName name="실적집계_2_1" hidden="1">{#N/A,#N/A,FALSE,"단축1";#N/A,#N/A,FALSE,"단축2";#N/A,#N/A,FALSE,"단축3";#N/A,#N/A,FALSE,"장축";#N/A,#N/A,FALSE,"4WD"}</definedName>
    <definedName name="실적집계_2_2" localSheetId="26" hidden="1">{#N/A,#N/A,FALSE,"단축1";#N/A,#N/A,FALSE,"단축2";#N/A,#N/A,FALSE,"단축3";#N/A,#N/A,FALSE,"장축";#N/A,#N/A,FALSE,"4WD"}</definedName>
    <definedName name="실적집계_2_2" localSheetId="0" hidden="1">{#N/A,#N/A,FALSE,"단축1";#N/A,#N/A,FALSE,"단축2";#N/A,#N/A,FALSE,"단축3";#N/A,#N/A,FALSE,"장축";#N/A,#N/A,FALSE,"4WD"}</definedName>
    <definedName name="실적집계_2_2" hidden="1">{#N/A,#N/A,FALSE,"단축1";#N/A,#N/A,FALSE,"단축2";#N/A,#N/A,FALSE,"단축3";#N/A,#N/A,FALSE,"장축";#N/A,#N/A,FALSE,"4WD"}</definedName>
    <definedName name="실적집계_3" localSheetId="26" hidden="1">{#N/A,#N/A,FALSE,"단축1";#N/A,#N/A,FALSE,"단축2";#N/A,#N/A,FALSE,"단축3";#N/A,#N/A,FALSE,"장축";#N/A,#N/A,FALSE,"4WD"}</definedName>
    <definedName name="실적집계_3" localSheetId="0" hidden="1">{#N/A,#N/A,FALSE,"단축1";#N/A,#N/A,FALSE,"단축2";#N/A,#N/A,FALSE,"단축3";#N/A,#N/A,FALSE,"장축";#N/A,#N/A,FALSE,"4WD"}</definedName>
    <definedName name="실적집계_3" hidden="1">{#N/A,#N/A,FALSE,"단축1";#N/A,#N/A,FALSE,"단축2";#N/A,#N/A,FALSE,"단축3";#N/A,#N/A,FALSE,"장축";#N/A,#N/A,FALSE,"4WD"}</definedName>
    <definedName name="실적집계_4" localSheetId="26" hidden="1">{#N/A,#N/A,FALSE,"단축1";#N/A,#N/A,FALSE,"단축2";#N/A,#N/A,FALSE,"단축3";#N/A,#N/A,FALSE,"장축";#N/A,#N/A,FALSE,"4WD"}</definedName>
    <definedName name="실적집계_4" localSheetId="0" hidden="1">{#N/A,#N/A,FALSE,"단축1";#N/A,#N/A,FALSE,"단축2";#N/A,#N/A,FALSE,"단축3";#N/A,#N/A,FALSE,"장축";#N/A,#N/A,FALSE,"4WD"}</definedName>
    <definedName name="실적집계_4" hidden="1">{#N/A,#N/A,FALSE,"단축1";#N/A,#N/A,FALSE,"단축2";#N/A,#N/A,FALSE,"단축3";#N/A,#N/A,FALSE,"장축";#N/A,#N/A,FALSE,"4WD"}</definedName>
    <definedName name="실적집계_5" localSheetId="26" hidden="1">{#N/A,#N/A,FALSE,"단축1";#N/A,#N/A,FALSE,"단축2";#N/A,#N/A,FALSE,"단축3";#N/A,#N/A,FALSE,"장축";#N/A,#N/A,FALSE,"4WD"}</definedName>
    <definedName name="실적집계_5" localSheetId="0" hidden="1">{#N/A,#N/A,FALSE,"단축1";#N/A,#N/A,FALSE,"단축2";#N/A,#N/A,FALSE,"단축3";#N/A,#N/A,FALSE,"장축";#N/A,#N/A,FALSE,"4WD"}</definedName>
    <definedName name="실적집계_5" hidden="1">{#N/A,#N/A,FALSE,"단축1";#N/A,#N/A,FALSE,"단축2";#N/A,#N/A,FALSE,"단축3";#N/A,#N/A,FALSE,"장축";#N/A,#N/A,FALSE,"4WD"}</definedName>
    <definedName name="ㅇㄴㄹ" localSheetId="26" hidden="1">{#N/A,#N/A,FALSE,"단축1";#N/A,#N/A,FALSE,"단축2";#N/A,#N/A,FALSE,"단축3";#N/A,#N/A,FALSE,"장축";#N/A,#N/A,FALSE,"4WD"}</definedName>
    <definedName name="ㅇㄴㄹ" localSheetId="0" hidden="1">{#N/A,#N/A,FALSE,"단축1";#N/A,#N/A,FALSE,"단축2";#N/A,#N/A,FALSE,"단축3";#N/A,#N/A,FALSE,"장축";#N/A,#N/A,FALSE,"4WD"}</definedName>
    <definedName name="ㅇㄴㄹ" hidden="1">{#N/A,#N/A,FALSE,"단축1";#N/A,#N/A,FALSE,"단축2";#N/A,#N/A,FALSE,"단축3";#N/A,#N/A,FALSE,"장축";#N/A,#N/A,FALSE,"4WD"}</definedName>
    <definedName name="ㅇㄴㄹ_1" localSheetId="26" hidden="1">{#N/A,#N/A,FALSE,"단축1";#N/A,#N/A,FALSE,"단축2";#N/A,#N/A,FALSE,"단축3";#N/A,#N/A,FALSE,"장축";#N/A,#N/A,FALSE,"4WD"}</definedName>
    <definedName name="ㅇㄴㄹ_1" localSheetId="0" hidden="1">{#N/A,#N/A,FALSE,"단축1";#N/A,#N/A,FALSE,"단축2";#N/A,#N/A,FALSE,"단축3";#N/A,#N/A,FALSE,"장축";#N/A,#N/A,FALSE,"4WD"}</definedName>
    <definedName name="ㅇㄴㄹ_1" hidden="1">{#N/A,#N/A,FALSE,"단축1";#N/A,#N/A,FALSE,"단축2";#N/A,#N/A,FALSE,"단축3";#N/A,#N/A,FALSE,"장축";#N/A,#N/A,FALSE,"4WD"}</definedName>
    <definedName name="ㅇㄴㄹ_1_1" localSheetId="26" hidden="1">{#N/A,#N/A,FALSE,"단축1";#N/A,#N/A,FALSE,"단축2";#N/A,#N/A,FALSE,"단축3";#N/A,#N/A,FALSE,"장축";#N/A,#N/A,FALSE,"4WD"}</definedName>
    <definedName name="ㅇㄴㄹ_1_1" localSheetId="0" hidden="1">{#N/A,#N/A,FALSE,"단축1";#N/A,#N/A,FALSE,"단축2";#N/A,#N/A,FALSE,"단축3";#N/A,#N/A,FALSE,"장축";#N/A,#N/A,FALSE,"4WD"}</definedName>
    <definedName name="ㅇㄴㄹ_1_1" hidden="1">{#N/A,#N/A,FALSE,"단축1";#N/A,#N/A,FALSE,"단축2";#N/A,#N/A,FALSE,"단축3";#N/A,#N/A,FALSE,"장축";#N/A,#N/A,FALSE,"4WD"}</definedName>
    <definedName name="ㅇㄴㄹ_1_2" localSheetId="26" hidden="1">{#N/A,#N/A,FALSE,"단축1";#N/A,#N/A,FALSE,"단축2";#N/A,#N/A,FALSE,"단축3";#N/A,#N/A,FALSE,"장축";#N/A,#N/A,FALSE,"4WD"}</definedName>
    <definedName name="ㅇㄴㄹ_1_2" localSheetId="0" hidden="1">{#N/A,#N/A,FALSE,"단축1";#N/A,#N/A,FALSE,"단축2";#N/A,#N/A,FALSE,"단축3";#N/A,#N/A,FALSE,"장축";#N/A,#N/A,FALSE,"4WD"}</definedName>
    <definedName name="ㅇㄴㄹ_1_2" hidden="1">{#N/A,#N/A,FALSE,"단축1";#N/A,#N/A,FALSE,"단축2";#N/A,#N/A,FALSE,"단축3";#N/A,#N/A,FALSE,"장축";#N/A,#N/A,FALSE,"4WD"}</definedName>
    <definedName name="ㅇㄴㄹ_1_3" localSheetId="26" hidden="1">{#N/A,#N/A,FALSE,"단축1";#N/A,#N/A,FALSE,"단축2";#N/A,#N/A,FALSE,"단축3";#N/A,#N/A,FALSE,"장축";#N/A,#N/A,FALSE,"4WD"}</definedName>
    <definedName name="ㅇㄴㄹ_1_3" localSheetId="0" hidden="1">{#N/A,#N/A,FALSE,"단축1";#N/A,#N/A,FALSE,"단축2";#N/A,#N/A,FALSE,"단축3";#N/A,#N/A,FALSE,"장축";#N/A,#N/A,FALSE,"4WD"}</definedName>
    <definedName name="ㅇㄴㄹ_1_3" hidden="1">{#N/A,#N/A,FALSE,"단축1";#N/A,#N/A,FALSE,"단축2";#N/A,#N/A,FALSE,"단축3";#N/A,#N/A,FALSE,"장축";#N/A,#N/A,FALSE,"4WD"}</definedName>
    <definedName name="ㅇㄴㄹ_2" localSheetId="26" hidden="1">{#N/A,#N/A,FALSE,"단축1";#N/A,#N/A,FALSE,"단축2";#N/A,#N/A,FALSE,"단축3";#N/A,#N/A,FALSE,"장축";#N/A,#N/A,FALSE,"4WD"}</definedName>
    <definedName name="ㅇㄴㄹ_2" localSheetId="0" hidden="1">{#N/A,#N/A,FALSE,"단축1";#N/A,#N/A,FALSE,"단축2";#N/A,#N/A,FALSE,"단축3";#N/A,#N/A,FALSE,"장축";#N/A,#N/A,FALSE,"4WD"}</definedName>
    <definedName name="ㅇㄴㄹ_2" hidden="1">{#N/A,#N/A,FALSE,"단축1";#N/A,#N/A,FALSE,"단축2";#N/A,#N/A,FALSE,"단축3";#N/A,#N/A,FALSE,"장축";#N/A,#N/A,FALSE,"4WD"}</definedName>
    <definedName name="ㅇㄴㄹ_2_1" localSheetId="26" hidden="1">{#N/A,#N/A,FALSE,"단축1";#N/A,#N/A,FALSE,"단축2";#N/A,#N/A,FALSE,"단축3";#N/A,#N/A,FALSE,"장축";#N/A,#N/A,FALSE,"4WD"}</definedName>
    <definedName name="ㅇㄴㄹ_2_1" localSheetId="0" hidden="1">{#N/A,#N/A,FALSE,"단축1";#N/A,#N/A,FALSE,"단축2";#N/A,#N/A,FALSE,"단축3";#N/A,#N/A,FALSE,"장축";#N/A,#N/A,FALSE,"4WD"}</definedName>
    <definedName name="ㅇㄴㄹ_2_1" hidden="1">{#N/A,#N/A,FALSE,"단축1";#N/A,#N/A,FALSE,"단축2";#N/A,#N/A,FALSE,"단축3";#N/A,#N/A,FALSE,"장축";#N/A,#N/A,FALSE,"4WD"}</definedName>
    <definedName name="ㅇㄴㄹ_2_2" localSheetId="26" hidden="1">{#N/A,#N/A,FALSE,"단축1";#N/A,#N/A,FALSE,"단축2";#N/A,#N/A,FALSE,"단축3";#N/A,#N/A,FALSE,"장축";#N/A,#N/A,FALSE,"4WD"}</definedName>
    <definedName name="ㅇㄴㄹ_2_2" localSheetId="0" hidden="1">{#N/A,#N/A,FALSE,"단축1";#N/A,#N/A,FALSE,"단축2";#N/A,#N/A,FALSE,"단축3";#N/A,#N/A,FALSE,"장축";#N/A,#N/A,FALSE,"4WD"}</definedName>
    <definedName name="ㅇㄴㄹ_2_2" hidden="1">{#N/A,#N/A,FALSE,"단축1";#N/A,#N/A,FALSE,"단축2";#N/A,#N/A,FALSE,"단축3";#N/A,#N/A,FALSE,"장축";#N/A,#N/A,FALSE,"4WD"}</definedName>
    <definedName name="ㅇㄴㄹ_3" localSheetId="26" hidden="1">{#N/A,#N/A,FALSE,"단축1";#N/A,#N/A,FALSE,"단축2";#N/A,#N/A,FALSE,"단축3";#N/A,#N/A,FALSE,"장축";#N/A,#N/A,FALSE,"4WD"}</definedName>
    <definedName name="ㅇㄴㄹ_3" localSheetId="0" hidden="1">{#N/A,#N/A,FALSE,"단축1";#N/A,#N/A,FALSE,"단축2";#N/A,#N/A,FALSE,"단축3";#N/A,#N/A,FALSE,"장축";#N/A,#N/A,FALSE,"4WD"}</definedName>
    <definedName name="ㅇㄴㄹ_3" hidden="1">{#N/A,#N/A,FALSE,"단축1";#N/A,#N/A,FALSE,"단축2";#N/A,#N/A,FALSE,"단축3";#N/A,#N/A,FALSE,"장축";#N/A,#N/A,FALSE,"4WD"}</definedName>
    <definedName name="ㅇㄴㄹ_4" localSheetId="26" hidden="1">{#N/A,#N/A,FALSE,"단축1";#N/A,#N/A,FALSE,"단축2";#N/A,#N/A,FALSE,"단축3";#N/A,#N/A,FALSE,"장축";#N/A,#N/A,FALSE,"4WD"}</definedName>
    <definedName name="ㅇㄴㄹ_4" localSheetId="0" hidden="1">{#N/A,#N/A,FALSE,"단축1";#N/A,#N/A,FALSE,"단축2";#N/A,#N/A,FALSE,"단축3";#N/A,#N/A,FALSE,"장축";#N/A,#N/A,FALSE,"4WD"}</definedName>
    <definedName name="ㅇㄴㄹ_4" hidden="1">{#N/A,#N/A,FALSE,"단축1";#N/A,#N/A,FALSE,"단축2";#N/A,#N/A,FALSE,"단축3";#N/A,#N/A,FALSE,"장축";#N/A,#N/A,FALSE,"4WD"}</definedName>
    <definedName name="ㅇㄴㄹ_5" localSheetId="26" hidden="1">{#N/A,#N/A,FALSE,"단축1";#N/A,#N/A,FALSE,"단축2";#N/A,#N/A,FALSE,"단축3";#N/A,#N/A,FALSE,"장축";#N/A,#N/A,FALSE,"4WD"}</definedName>
    <definedName name="ㅇㄴㄹ_5" localSheetId="0" hidden="1">{#N/A,#N/A,FALSE,"단축1";#N/A,#N/A,FALSE,"단축2";#N/A,#N/A,FALSE,"단축3";#N/A,#N/A,FALSE,"장축";#N/A,#N/A,FALSE,"4WD"}</definedName>
    <definedName name="ㅇㄴㄹ_5" hidden="1">{#N/A,#N/A,FALSE,"단축1";#N/A,#N/A,FALSE,"단축2";#N/A,#N/A,FALSE,"단축3";#N/A,#N/A,FALSE,"장축";#N/A,#N/A,FALSE,"4WD"}</definedName>
    <definedName name="ㅇㄴㅀㅇ" localSheetId="26" hidden="1">{#N/A,#N/A,FALSE,"단축1";#N/A,#N/A,FALSE,"단축2";#N/A,#N/A,FALSE,"단축3";#N/A,#N/A,FALSE,"장축";#N/A,#N/A,FALSE,"4WD"}</definedName>
    <definedName name="ㅇㄴㅀㅇ" localSheetId="0" hidden="1">{#N/A,#N/A,FALSE,"단축1";#N/A,#N/A,FALSE,"단축2";#N/A,#N/A,FALSE,"단축3";#N/A,#N/A,FALSE,"장축";#N/A,#N/A,FALSE,"4WD"}</definedName>
    <definedName name="ㅇㄴㅀㅇ" hidden="1">{#N/A,#N/A,FALSE,"단축1";#N/A,#N/A,FALSE,"단축2";#N/A,#N/A,FALSE,"단축3";#N/A,#N/A,FALSE,"장축";#N/A,#N/A,FALSE,"4WD"}</definedName>
    <definedName name="ㅇㄴㅀㅇ_1" localSheetId="26" hidden="1">{#N/A,#N/A,FALSE,"단축1";#N/A,#N/A,FALSE,"단축2";#N/A,#N/A,FALSE,"단축3";#N/A,#N/A,FALSE,"장축";#N/A,#N/A,FALSE,"4WD"}</definedName>
    <definedName name="ㅇㄴㅀㅇ_1" localSheetId="0" hidden="1">{#N/A,#N/A,FALSE,"단축1";#N/A,#N/A,FALSE,"단축2";#N/A,#N/A,FALSE,"단축3";#N/A,#N/A,FALSE,"장축";#N/A,#N/A,FALSE,"4WD"}</definedName>
    <definedName name="ㅇㄴㅀㅇ_1" hidden="1">{#N/A,#N/A,FALSE,"단축1";#N/A,#N/A,FALSE,"단축2";#N/A,#N/A,FALSE,"단축3";#N/A,#N/A,FALSE,"장축";#N/A,#N/A,FALSE,"4WD"}</definedName>
    <definedName name="ㅇㄴㅀㅇ_1_1" localSheetId="26" hidden="1">{#N/A,#N/A,FALSE,"단축1";#N/A,#N/A,FALSE,"단축2";#N/A,#N/A,FALSE,"단축3";#N/A,#N/A,FALSE,"장축";#N/A,#N/A,FALSE,"4WD"}</definedName>
    <definedName name="ㅇㄴㅀㅇ_1_1" localSheetId="0" hidden="1">{#N/A,#N/A,FALSE,"단축1";#N/A,#N/A,FALSE,"단축2";#N/A,#N/A,FALSE,"단축3";#N/A,#N/A,FALSE,"장축";#N/A,#N/A,FALSE,"4WD"}</definedName>
    <definedName name="ㅇㄴㅀㅇ_1_1" hidden="1">{#N/A,#N/A,FALSE,"단축1";#N/A,#N/A,FALSE,"단축2";#N/A,#N/A,FALSE,"단축3";#N/A,#N/A,FALSE,"장축";#N/A,#N/A,FALSE,"4WD"}</definedName>
    <definedName name="ㅇㄴㅀㅇ_1_2" localSheetId="26" hidden="1">{#N/A,#N/A,FALSE,"단축1";#N/A,#N/A,FALSE,"단축2";#N/A,#N/A,FALSE,"단축3";#N/A,#N/A,FALSE,"장축";#N/A,#N/A,FALSE,"4WD"}</definedName>
    <definedName name="ㅇㄴㅀㅇ_1_2" localSheetId="0" hidden="1">{#N/A,#N/A,FALSE,"단축1";#N/A,#N/A,FALSE,"단축2";#N/A,#N/A,FALSE,"단축3";#N/A,#N/A,FALSE,"장축";#N/A,#N/A,FALSE,"4WD"}</definedName>
    <definedName name="ㅇㄴㅀㅇ_1_2" hidden="1">{#N/A,#N/A,FALSE,"단축1";#N/A,#N/A,FALSE,"단축2";#N/A,#N/A,FALSE,"단축3";#N/A,#N/A,FALSE,"장축";#N/A,#N/A,FALSE,"4WD"}</definedName>
    <definedName name="ㅇㄴㅀㅇ_1_3" localSheetId="26" hidden="1">{#N/A,#N/A,FALSE,"단축1";#N/A,#N/A,FALSE,"단축2";#N/A,#N/A,FALSE,"단축3";#N/A,#N/A,FALSE,"장축";#N/A,#N/A,FALSE,"4WD"}</definedName>
    <definedName name="ㅇㄴㅀㅇ_1_3" localSheetId="0" hidden="1">{#N/A,#N/A,FALSE,"단축1";#N/A,#N/A,FALSE,"단축2";#N/A,#N/A,FALSE,"단축3";#N/A,#N/A,FALSE,"장축";#N/A,#N/A,FALSE,"4WD"}</definedName>
    <definedName name="ㅇㄴㅀㅇ_1_3" hidden="1">{#N/A,#N/A,FALSE,"단축1";#N/A,#N/A,FALSE,"단축2";#N/A,#N/A,FALSE,"단축3";#N/A,#N/A,FALSE,"장축";#N/A,#N/A,FALSE,"4WD"}</definedName>
    <definedName name="ㅇㄴㅀㅇ_2" localSheetId="26" hidden="1">{#N/A,#N/A,FALSE,"단축1";#N/A,#N/A,FALSE,"단축2";#N/A,#N/A,FALSE,"단축3";#N/A,#N/A,FALSE,"장축";#N/A,#N/A,FALSE,"4WD"}</definedName>
    <definedName name="ㅇㄴㅀㅇ_2" localSheetId="0" hidden="1">{#N/A,#N/A,FALSE,"단축1";#N/A,#N/A,FALSE,"단축2";#N/A,#N/A,FALSE,"단축3";#N/A,#N/A,FALSE,"장축";#N/A,#N/A,FALSE,"4WD"}</definedName>
    <definedName name="ㅇㄴㅀㅇ_2" hidden="1">{#N/A,#N/A,FALSE,"단축1";#N/A,#N/A,FALSE,"단축2";#N/A,#N/A,FALSE,"단축3";#N/A,#N/A,FALSE,"장축";#N/A,#N/A,FALSE,"4WD"}</definedName>
    <definedName name="ㅇㄴㅀㅇ_2_1" localSheetId="26" hidden="1">{#N/A,#N/A,FALSE,"단축1";#N/A,#N/A,FALSE,"단축2";#N/A,#N/A,FALSE,"단축3";#N/A,#N/A,FALSE,"장축";#N/A,#N/A,FALSE,"4WD"}</definedName>
    <definedName name="ㅇㄴㅀㅇ_2_1" localSheetId="0" hidden="1">{#N/A,#N/A,FALSE,"단축1";#N/A,#N/A,FALSE,"단축2";#N/A,#N/A,FALSE,"단축3";#N/A,#N/A,FALSE,"장축";#N/A,#N/A,FALSE,"4WD"}</definedName>
    <definedName name="ㅇㄴㅀㅇ_2_1" hidden="1">{#N/A,#N/A,FALSE,"단축1";#N/A,#N/A,FALSE,"단축2";#N/A,#N/A,FALSE,"단축3";#N/A,#N/A,FALSE,"장축";#N/A,#N/A,FALSE,"4WD"}</definedName>
    <definedName name="ㅇㄴㅀㅇ_2_2" localSheetId="26" hidden="1">{#N/A,#N/A,FALSE,"단축1";#N/A,#N/A,FALSE,"단축2";#N/A,#N/A,FALSE,"단축3";#N/A,#N/A,FALSE,"장축";#N/A,#N/A,FALSE,"4WD"}</definedName>
    <definedName name="ㅇㄴㅀㅇ_2_2" localSheetId="0" hidden="1">{#N/A,#N/A,FALSE,"단축1";#N/A,#N/A,FALSE,"단축2";#N/A,#N/A,FALSE,"단축3";#N/A,#N/A,FALSE,"장축";#N/A,#N/A,FALSE,"4WD"}</definedName>
    <definedName name="ㅇㄴㅀㅇ_2_2" hidden="1">{#N/A,#N/A,FALSE,"단축1";#N/A,#N/A,FALSE,"단축2";#N/A,#N/A,FALSE,"단축3";#N/A,#N/A,FALSE,"장축";#N/A,#N/A,FALSE,"4WD"}</definedName>
    <definedName name="ㅇㄴㅀㅇ_3" localSheetId="26" hidden="1">{#N/A,#N/A,FALSE,"단축1";#N/A,#N/A,FALSE,"단축2";#N/A,#N/A,FALSE,"단축3";#N/A,#N/A,FALSE,"장축";#N/A,#N/A,FALSE,"4WD"}</definedName>
    <definedName name="ㅇㄴㅀㅇ_3" localSheetId="0" hidden="1">{#N/A,#N/A,FALSE,"단축1";#N/A,#N/A,FALSE,"단축2";#N/A,#N/A,FALSE,"단축3";#N/A,#N/A,FALSE,"장축";#N/A,#N/A,FALSE,"4WD"}</definedName>
    <definedName name="ㅇㄴㅀㅇ_3" hidden="1">{#N/A,#N/A,FALSE,"단축1";#N/A,#N/A,FALSE,"단축2";#N/A,#N/A,FALSE,"단축3";#N/A,#N/A,FALSE,"장축";#N/A,#N/A,FALSE,"4WD"}</definedName>
    <definedName name="ㅇㄴㅀㅇ_4" localSheetId="26" hidden="1">{#N/A,#N/A,FALSE,"단축1";#N/A,#N/A,FALSE,"단축2";#N/A,#N/A,FALSE,"단축3";#N/A,#N/A,FALSE,"장축";#N/A,#N/A,FALSE,"4WD"}</definedName>
    <definedName name="ㅇㄴㅀㅇ_4" localSheetId="0" hidden="1">{#N/A,#N/A,FALSE,"단축1";#N/A,#N/A,FALSE,"단축2";#N/A,#N/A,FALSE,"단축3";#N/A,#N/A,FALSE,"장축";#N/A,#N/A,FALSE,"4WD"}</definedName>
    <definedName name="ㅇㄴㅀㅇ_4" hidden="1">{#N/A,#N/A,FALSE,"단축1";#N/A,#N/A,FALSE,"단축2";#N/A,#N/A,FALSE,"단축3";#N/A,#N/A,FALSE,"장축";#N/A,#N/A,FALSE,"4WD"}</definedName>
    <definedName name="ㅇㄴㅀㅇ_5" localSheetId="26" hidden="1">{#N/A,#N/A,FALSE,"단축1";#N/A,#N/A,FALSE,"단축2";#N/A,#N/A,FALSE,"단축3";#N/A,#N/A,FALSE,"장축";#N/A,#N/A,FALSE,"4WD"}</definedName>
    <definedName name="ㅇㄴㅀㅇ_5" localSheetId="0" hidden="1">{#N/A,#N/A,FALSE,"단축1";#N/A,#N/A,FALSE,"단축2";#N/A,#N/A,FALSE,"단축3";#N/A,#N/A,FALSE,"장축";#N/A,#N/A,FALSE,"4WD"}</definedName>
    <definedName name="ㅇㄴㅀㅇ_5" hidden="1">{#N/A,#N/A,FALSE,"단축1";#N/A,#N/A,FALSE,"단축2";#N/A,#N/A,FALSE,"단축3";#N/A,#N/A,FALSE,"장축";#N/A,#N/A,FALSE,"4WD"}</definedName>
    <definedName name="ㅇㄹㅇㄴ" localSheetId="26" hidden="1">{#N/A,#N/A,FALSE,"P.V.C 9월 압출 CAPA";#N/A,#N/A,FALSE,"P.V.C 10월 압출 CAPA ";#N/A,#N/A,FALSE,"P.V.C 11월 압출 CAPA ";#N/A,#N/A,FALSE,"P.V.C 12월 압출 CAPA "}</definedName>
    <definedName name="ㅇㄹㅇㄴ" localSheetId="0" hidden="1">{#N/A,#N/A,FALSE,"P.V.C 9월 압출 CAPA";#N/A,#N/A,FALSE,"P.V.C 10월 압출 CAPA ";#N/A,#N/A,FALSE,"P.V.C 11월 압출 CAPA ";#N/A,#N/A,FALSE,"P.V.C 12월 압출 CAPA "}</definedName>
    <definedName name="ㅇㄹㅇㄴ" hidden="1">{#N/A,#N/A,FALSE,"P.V.C 9월 압출 CAPA";#N/A,#N/A,FALSE,"P.V.C 10월 압출 CAPA ";#N/A,#N/A,FALSE,"P.V.C 11월 압출 CAPA ";#N/A,#N/A,FALSE,"P.V.C 12월 압출 CAPA "}</definedName>
    <definedName name="ㅇㄹㅇㄴ_1" localSheetId="26" hidden="1">{#N/A,#N/A,FALSE,"P.V.C 9월 압출 CAPA";#N/A,#N/A,FALSE,"P.V.C 10월 압출 CAPA ";#N/A,#N/A,FALSE,"P.V.C 11월 압출 CAPA ";#N/A,#N/A,FALSE,"P.V.C 12월 압출 CAPA "}</definedName>
    <definedName name="ㅇㄹㅇㄴ_1" localSheetId="0" hidden="1">{#N/A,#N/A,FALSE,"P.V.C 9월 압출 CAPA";#N/A,#N/A,FALSE,"P.V.C 10월 압출 CAPA ";#N/A,#N/A,FALSE,"P.V.C 11월 압출 CAPA ";#N/A,#N/A,FALSE,"P.V.C 12월 압출 CAPA "}</definedName>
    <definedName name="ㅇㄹㅇㄴ_1" hidden="1">{#N/A,#N/A,FALSE,"P.V.C 9월 압출 CAPA";#N/A,#N/A,FALSE,"P.V.C 10월 압출 CAPA ";#N/A,#N/A,FALSE,"P.V.C 11월 압출 CAPA ";#N/A,#N/A,FALSE,"P.V.C 12월 압출 CAPA "}</definedName>
    <definedName name="ㅇㄹㅇㄴ_1_1" localSheetId="26" hidden="1">{#N/A,#N/A,FALSE,"P.V.C 9월 압출 CAPA";#N/A,#N/A,FALSE,"P.V.C 10월 압출 CAPA ";#N/A,#N/A,FALSE,"P.V.C 11월 압출 CAPA ";#N/A,#N/A,FALSE,"P.V.C 12월 압출 CAPA "}</definedName>
    <definedName name="ㅇㄹㅇㄴ_1_1" localSheetId="0" hidden="1">{#N/A,#N/A,FALSE,"P.V.C 9월 압출 CAPA";#N/A,#N/A,FALSE,"P.V.C 10월 압출 CAPA ";#N/A,#N/A,FALSE,"P.V.C 11월 압출 CAPA ";#N/A,#N/A,FALSE,"P.V.C 12월 압출 CAPA "}</definedName>
    <definedName name="ㅇㄹㅇㄴ_1_1" hidden="1">{#N/A,#N/A,FALSE,"P.V.C 9월 압출 CAPA";#N/A,#N/A,FALSE,"P.V.C 10월 압출 CAPA ";#N/A,#N/A,FALSE,"P.V.C 11월 압출 CAPA ";#N/A,#N/A,FALSE,"P.V.C 12월 압출 CAPA "}</definedName>
    <definedName name="ㅇㄹㅇㄴ_1_2" localSheetId="26" hidden="1">{#N/A,#N/A,FALSE,"P.V.C 9월 압출 CAPA";#N/A,#N/A,FALSE,"P.V.C 10월 압출 CAPA ";#N/A,#N/A,FALSE,"P.V.C 11월 압출 CAPA ";#N/A,#N/A,FALSE,"P.V.C 12월 압출 CAPA "}</definedName>
    <definedName name="ㅇㄹㅇㄴ_1_2" localSheetId="0" hidden="1">{#N/A,#N/A,FALSE,"P.V.C 9월 압출 CAPA";#N/A,#N/A,FALSE,"P.V.C 10월 압출 CAPA ";#N/A,#N/A,FALSE,"P.V.C 11월 압출 CAPA ";#N/A,#N/A,FALSE,"P.V.C 12월 압출 CAPA "}</definedName>
    <definedName name="ㅇㄹㅇㄴ_1_2" hidden="1">{#N/A,#N/A,FALSE,"P.V.C 9월 압출 CAPA";#N/A,#N/A,FALSE,"P.V.C 10월 압출 CAPA ";#N/A,#N/A,FALSE,"P.V.C 11월 압출 CAPA ";#N/A,#N/A,FALSE,"P.V.C 12월 압출 CAPA "}</definedName>
    <definedName name="ㅇㄹㅇㄴ_1_3" localSheetId="26" hidden="1">{#N/A,#N/A,FALSE,"P.V.C 9월 압출 CAPA";#N/A,#N/A,FALSE,"P.V.C 10월 압출 CAPA ";#N/A,#N/A,FALSE,"P.V.C 11월 압출 CAPA ";#N/A,#N/A,FALSE,"P.V.C 12월 압출 CAPA "}</definedName>
    <definedName name="ㅇㄹㅇㄴ_1_3" localSheetId="0" hidden="1">{#N/A,#N/A,FALSE,"P.V.C 9월 압출 CAPA";#N/A,#N/A,FALSE,"P.V.C 10월 압출 CAPA ";#N/A,#N/A,FALSE,"P.V.C 11월 압출 CAPA ";#N/A,#N/A,FALSE,"P.V.C 12월 압출 CAPA "}</definedName>
    <definedName name="ㅇㄹㅇㄴ_1_3" hidden="1">{#N/A,#N/A,FALSE,"P.V.C 9월 압출 CAPA";#N/A,#N/A,FALSE,"P.V.C 10월 압출 CAPA ";#N/A,#N/A,FALSE,"P.V.C 11월 압출 CAPA ";#N/A,#N/A,FALSE,"P.V.C 12월 압출 CAPA "}</definedName>
    <definedName name="ㅇㄹㅇㄴ_2" localSheetId="26" hidden="1">{#N/A,#N/A,FALSE,"P.V.C 9월 압출 CAPA";#N/A,#N/A,FALSE,"P.V.C 10월 압출 CAPA ";#N/A,#N/A,FALSE,"P.V.C 11월 압출 CAPA ";#N/A,#N/A,FALSE,"P.V.C 12월 압출 CAPA "}</definedName>
    <definedName name="ㅇㄹㅇㄴ_2" localSheetId="0" hidden="1">{#N/A,#N/A,FALSE,"P.V.C 9월 압출 CAPA";#N/A,#N/A,FALSE,"P.V.C 10월 압출 CAPA ";#N/A,#N/A,FALSE,"P.V.C 11월 압출 CAPA ";#N/A,#N/A,FALSE,"P.V.C 12월 압출 CAPA "}</definedName>
    <definedName name="ㅇㄹㅇㄴ_2" hidden="1">{#N/A,#N/A,FALSE,"P.V.C 9월 압출 CAPA";#N/A,#N/A,FALSE,"P.V.C 10월 압출 CAPA ";#N/A,#N/A,FALSE,"P.V.C 11월 압출 CAPA ";#N/A,#N/A,FALSE,"P.V.C 12월 압출 CAPA "}</definedName>
    <definedName name="ㅇㄹㅇㄴ_2_1" localSheetId="26" hidden="1">{#N/A,#N/A,FALSE,"P.V.C 9월 압출 CAPA";#N/A,#N/A,FALSE,"P.V.C 10월 압출 CAPA ";#N/A,#N/A,FALSE,"P.V.C 11월 압출 CAPA ";#N/A,#N/A,FALSE,"P.V.C 12월 압출 CAPA "}</definedName>
    <definedName name="ㅇㄹㅇㄴ_2_1" localSheetId="0" hidden="1">{#N/A,#N/A,FALSE,"P.V.C 9월 압출 CAPA";#N/A,#N/A,FALSE,"P.V.C 10월 압출 CAPA ";#N/A,#N/A,FALSE,"P.V.C 11월 압출 CAPA ";#N/A,#N/A,FALSE,"P.V.C 12월 압출 CAPA "}</definedName>
    <definedName name="ㅇㄹㅇㄴ_2_1" hidden="1">{#N/A,#N/A,FALSE,"P.V.C 9월 압출 CAPA";#N/A,#N/A,FALSE,"P.V.C 10월 압출 CAPA ";#N/A,#N/A,FALSE,"P.V.C 11월 압출 CAPA ";#N/A,#N/A,FALSE,"P.V.C 12월 압출 CAPA "}</definedName>
    <definedName name="ㅇㄹㅇㄴ_2_2" localSheetId="26" hidden="1">{#N/A,#N/A,FALSE,"P.V.C 9월 압출 CAPA";#N/A,#N/A,FALSE,"P.V.C 10월 압출 CAPA ";#N/A,#N/A,FALSE,"P.V.C 11월 압출 CAPA ";#N/A,#N/A,FALSE,"P.V.C 12월 압출 CAPA "}</definedName>
    <definedName name="ㅇㄹㅇㄴ_2_2" localSheetId="0" hidden="1">{#N/A,#N/A,FALSE,"P.V.C 9월 압출 CAPA";#N/A,#N/A,FALSE,"P.V.C 10월 압출 CAPA ";#N/A,#N/A,FALSE,"P.V.C 11월 압출 CAPA ";#N/A,#N/A,FALSE,"P.V.C 12월 압출 CAPA "}</definedName>
    <definedName name="ㅇㄹㅇㄴ_2_2" hidden="1">{#N/A,#N/A,FALSE,"P.V.C 9월 압출 CAPA";#N/A,#N/A,FALSE,"P.V.C 10월 압출 CAPA ";#N/A,#N/A,FALSE,"P.V.C 11월 압출 CAPA ";#N/A,#N/A,FALSE,"P.V.C 12월 압출 CAPA "}</definedName>
    <definedName name="ㅇㄹㅇㄴ_3" localSheetId="26" hidden="1">{#N/A,#N/A,FALSE,"P.V.C 9월 압출 CAPA";#N/A,#N/A,FALSE,"P.V.C 10월 압출 CAPA ";#N/A,#N/A,FALSE,"P.V.C 11월 압출 CAPA ";#N/A,#N/A,FALSE,"P.V.C 12월 압출 CAPA "}</definedName>
    <definedName name="ㅇㄹㅇㄴ_3" localSheetId="0" hidden="1">{#N/A,#N/A,FALSE,"P.V.C 9월 압출 CAPA";#N/A,#N/A,FALSE,"P.V.C 10월 압출 CAPA ";#N/A,#N/A,FALSE,"P.V.C 11월 압출 CAPA ";#N/A,#N/A,FALSE,"P.V.C 12월 압출 CAPA "}</definedName>
    <definedName name="ㅇㄹㅇㄴ_3" hidden="1">{#N/A,#N/A,FALSE,"P.V.C 9월 압출 CAPA";#N/A,#N/A,FALSE,"P.V.C 10월 압출 CAPA ";#N/A,#N/A,FALSE,"P.V.C 11월 압출 CAPA ";#N/A,#N/A,FALSE,"P.V.C 12월 압출 CAPA "}</definedName>
    <definedName name="ㅇㄹㅇㄴ_4" localSheetId="26" hidden="1">{#N/A,#N/A,FALSE,"P.V.C 9월 압출 CAPA";#N/A,#N/A,FALSE,"P.V.C 10월 압출 CAPA ";#N/A,#N/A,FALSE,"P.V.C 11월 압출 CAPA ";#N/A,#N/A,FALSE,"P.V.C 12월 압출 CAPA "}</definedName>
    <definedName name="ㅇㄹㅇㄴ_4" localSheetId="0" hidden="1">{#N/A,#N/A,FALSE,"P.V.C 9월 압출 CAPA";#N/A,#N/A,FALSE,"P.V.C 10월 압출 CAPA ";#N/A,#N/A,FALSE,"P.V.C 11월 압출 CAPA ";#N/A,#N/A,FALSE,"P.V.C 12월 압출 CAPA "}</definedName>
    <definedName name="ㅇㄹㅇㄴ_4" hidden="1">{#N/A,#N/A,FALSE,"P.V.C 9월 압출 CAPA";#N/A,#N/A,FALSE,"P.V.C 10월 압출 CAPA ";#N/A,#N/A,FALSE,"P.V.C 11월 압출 CAPA ";#N/A,#N/A,FALSE,"P.V.C 12월 압출 CAPA "}</definedName>
    <definedName name="ㅇㄹㅇㄴ_5" localSheetId="26" hidden="1">{#N/A,#N/A,FALSE,"P.V.C 9월 압출 CAPA";#N/A,#N/A,FALSE,"P.V.C 10월 압출 CAPA ";#N/A,#N/A,FALSE,"P.V.C 11월 압출 CAPA ";#N/A,#N/A,FALSE,"P.V.C 12월 압출 CAPA "}</definedName>
    <definedName name="ㅇㄹㅇㄴ_5" localSheetId="0" hidden="1">{#N/A,#N/A,FALSE,"P.V.C 9월 압출 CAPA";#N/A,#N/A,FALSE,"P.V.C 10월 압출 CAPA ";#N/A,#N/A,FALSE,"P.V.C 11월 압출 CAPA ";#N/A,#N/A,FALSE,"P.V.C 12월 압출 CAPA "}</definedName>
    <definedName name="ㅇㄹㅇㄴ_5" hidden="1">{#N/A,#N/A,FALSE,"P.V.C 9월 압출 CAPA";#N/A,#N/A,FALSE,"P.V.C 10월 압출 CAPA ";#N/A,#N/A,FALSE,"P.V.C 11월 압출 CAPA ";#N/A,#N/A,FALSE,"P.V.C 12월 압출 CAPA "}</definedName>
    <definedName name="ㅇㅇㅇㅇㅇㅇㅇㅇㅇ" localSheetId="26" hidden="1">{#N/A,#N/A,FALSE,"단축1";#N/A,#N/A,FALSE,"단축2";#N/A,#N/A,FALSE,"단축3";#N/A,#N/A,FALSE,"장축";#N/A,#N/A,FALSE,"4WD"}</definedName>
    <definedName name="ㅇㅇㅇㅇㅇㅇㅇㅇㅇ" localSheetId="0" hidden="1">{#N/A,#N/A,FALSE,"단축1";#N/A,#N/A,FALSE,"단축2";#N/A,#N/A,FALSE,"단축3";#N/A,#N/A,FALSE,"장축";#N/A,#N/A,FALSE,"4WD"}</definedName>
    <definedName name="ㅇㅇㅇㅇㅇㅇㅇㅇㅇ" hidden="1">{#N/A,#N/A,FALSE,"단축1";#N/A,#N/A,FALSE,"단축2";#N/A,#N/A,FALSE,"단축3";#N/A,#N/A,FALSE,"장축";#N/A,#N/A,FALSE,"4WD"}</definedName>
    <definedName name="ㅇㅇㅇㅇㅇㅇㅇㅇㅇ_1" localSheetId="26" hidden="1">{#N/A,#N/A,FALSE,"단축1";#N/A,#N/A,FALSE,"단축2";#N/A,#N/A,FALSE,"단축3";#N/A,#N/A,FALSE,"장축";#N/A,#N/A,FALSE,"4WD"}</definedName>
    <definedName name="ㅇㅇㅇㅇㅇㅇㅇㅇㅇ_1" localSheetId="0" hidden="1">{#N/A,#N/A,FALSE,"단축1";#N/A,#N/A,FALSE,"단축2";#N/A,#N/A,FALSE,"단축3";#N/A,#N/A,FALSE,"장축";#N/A,#N/A,FALSE,"4WD"}</definedName>
    <definedName name="ㅇㅇㅇㅇㅇㅇㅇㅇㅇ_1" hidden="1">{#N/A,#N/A,FALSE,"단축1";#N/A,#N/A,FALSE,"단축2";#N/A,#N/A,FALSE,"단축3";#N/A,#N/A,FALSE,"장축";#N/A,#N/A,FALSE,"4WD"}</definedName>
    <definedName name="ㅇㅇㅇㅇㅇㅇㅇㅇㅇ_1_1" localSheetId="26" hidden="1">{#N/A,#N/A,FALSE,"단축1";#N/A,#N/A,FALSE,"단축2";#N/A,#N/A,FALSE,"단축3";#N/A,#N/A,FALSE,"장축";#N/A,#N/A,FALSE,"4WD"}</definedName>
    <definedName name="ㅇㅇㅇㅇㅇㅇㅇㅇㅇ_1_1" localSheetId="0" hidden="1">{#N/A,#N/A,FALSE,"단축1";#N/A,#N/A,FALSE,"단축2";#N/A,#N/A,FALSE,"단축3";#N/A,#N/A,FALSE,"장축";#N/A,#N/A,FALSE,"4WD"}</definedName>
    <definedName name="ㅇㅇㅇㅇㅇㅇㅇㅇㅇ_1_1" hidden="1">{#N/A,#N/A,FALSE,"단축1";#N/A,#N/A,FALSE,"단축2";#N/A,#N/A,FALSE,"단축3";#N/A,#N/A,FALSE,"장축";#N/A,#N/A,FALSE,"4WD"}</definedName>
    <definedName name="ㅇㅇㅇㅇㅇㅇㅇㅇㅇ_1_2" localSheetId="26" hidden="1">{#N/A,#N/A,FALSE,"단축1";#N/A,#N/A,FALSE,"단축2";#N/A,#N/A,FALSE,"단축3";#N/A,#N/A,FALSE,"장축";#N/A,#N/A,FALSE,"4WD"}</definedName>
    <definedName name="ㅇㅇㅇㅇㅇㅇㅇㅇㅇ_1_2" localSheetId="0" hidden="1">{#N/A,#N/A,FALSE,"단축1";#N/A,#N/A,FALSE,"단축2";#N/A,#N/A,FALSE,"단축3";#N/A,#N/A,FALSE,"장축";#N/A,#N/A,FALSE,"4WD"}</definedName>
    <definedName name="ㅇㅇㅇㅇㅇㅇㅇㅇㅇ_1_2" hidden="1">{#N/A,#N/A,FALSE,"단축1";#N/A,#N/A,FALSE,"단축2";#N/A,#N/A,FALSE,"단축3";#N/A,#N/A,FALSE,"장축";#N/A,#N/A,FALSE,"4WD"}</definedName>
    <definedName name="ㅇㅇㅇㅇㅇㅇㅇㅇㅇ_1_3" localSheetId="26" hidden="1">{#N/A,#N/A,FALSE,"단축1";#N/A,#N/A,FALSE,"단축2";#N/A,#N/A,FALSE,"단축3";#N/A,#N/A,FALSE,"장축";#N/A,#N/A,FALSE,"4WD"}</definedName>
    <definedName name="ㅇㅇㅇㅇㅇㅇㅇㅇㅇ_1_3" localSheetId="0" hidden="1">{#N/A,#N/A,FALSE,"단축1";#N/A,#N/A,FALSE,"단축2";#N/A,#N/A,FALSE,"단축3";#N/A,#N/A,FALSE,"장축";#N/A,#N/A,FALSE,"4WD"}</definedName>
    <definedName name="ㅇㅇㅇㅇㅇㅇㅇㅇㅇ_1_3" hidden="1">{#N/A,#N/A,FALSE,"단축1";#N/A,#N/A,FALSE,"단축2";#N/A,#N/A,FALSE,"단축3";#N/A,#N/A,FALSE,"장축";#N/A,#N/A,FALSE,"4WD"}</definedName>
    <definedName name="ㅇㅇㅇㅇㅇㅇㅇㅇㅇ_2" localSheetId="26" hidden="1">{#N/A,#N/A,FALSE,"단축1";#N/A,#N/A,FALSE,"단축2";#N/A,#N/A,FALSE,"단축3";#N/A,#N/A,FALSE,"장축";#N/A,#N/A,FALSE,"4WD"}</definedName>
    <definedName name="ㅇㅇㅇㅇㅇㅇㅇㅇㅇ_2" localSheetId="0" hidden="1">{#N/A,#N/A,FALSE,"단축1";#N/A,#N/A,FALSE,"단축2";#N/A,#N/A,FALSE,"단축3";#N/A,#N/A,FALSE,"장축";#N/A,#N/A,FALSE,"4WD"}</definedName>
    <definedName name="ㅇㅇㅇㅇㅇㅇㅇㅇㅇ_2" hidden="1">{#N/A,#N/A,FALSE,"단축1";#N/A,#N/A,FALSE,"단축2";#N/A,#N/A,FALSE,"단축3";#N/A,#N/A,FALSE,"장축";#N/A,#N/A,FALSE,"4WD"}</definedName>
    <definedName name="ㅇㅇㅇㅇㅇㅇㅇㅇㅇ_2_1" localSheetId="26" hidden="1">{#N/A,#N/A,FALSE,"단축1";#N/A,#N/A,FALSE,"단축2";#N/A,#N/A,FALSE,"단축3";#N/A,#N/A,FALSE,"장축";#N/A,#N/A,FALSE,"4WD"}</definedName>
    <definedName name="ㅇㅇㅇㅇㅇㅇㅇㅇㅇ_2_1" localSheetId="0" hidden="1">{#N/A,#N/A,FALSE,"단축1";#N/A,#N/A,FALSE,"단축2";#N/A,#N/A,FALSE,"단축3";#N/A,#N/A,FALSE,"장축";#N/A,#N/A,FALSE,"4WD"}</definedName>
    <definedName name="ㅇㅇㅇㅇㅇㅇㅇㅇㅇ_2_1" hidden="1">{#N/A,#N/A,FALSE,"단축1";#N/A,#N/A,FALSE,"단축2";#N/A,#N/A,FALSE,"단축3";#N/A,#N/A,FALSE,"장축";#N/A,#N/A,FALSE,"4WD"}</definedName>
    <definedName name="ㅇㅇㅇㅇㅇㅇㅇㅇㅇ_2_2" localSheetId="26" hidden="1">{#N/A,#N/A,FALSE,"단축1";#N/A,#N/A,FALSE,"단축2";#N/A,#N/A,FALSE,"단축3";#N/A,#N/A,FALSE,"장축";#N/A,#N/A,FALSE,"4WD"}</definedName>
    <definedName name="ㅇㅇㅇㅇㅇㅇㅇㅇㅇ_2_2" localSheetId="0" hidden="1">{#N/A,#N/A,FALSE,"단축1";#N/A,#N/A,FALSE,"단축2";#N/A,#N/A,FALSE,"단축3";#N/A,#N/A,FALSE,"장축";#N/A,#N/A,FALSE,"4WD"}</definedName>
    <definedName name="ㅇㅇㅇㅇㅇㅇㅇㅇㅇ_2_2" hidden="1">{#N/A,#N/A,FALSE,"단축1";#N/A,#N/A,FALSE,"단축2";#N/A,#N/A,FALSE,"단축3";#N/A,#N/A,FALSE,"장축";#N/A,#N/A,FALSE,"4WD"}</definedName>
    <definedName name="ㅇㅇㅇㅇㅇㅇㅇㅇㅇ_3" localSheetId="26" hidden="1">{#N/A,#N/A,FALSE,"단축1";#N/A,#N/A,FALSE,"단축2";#N/A,#N/A,FALSE,"단축3";#N/A,#N/A,FALSE,"장축";#N/A,#N/A,FALSE,"4WD"}</definedName>
    <definedName name="ㅇㅇㅇㅇㅇㅇㅇㅇㅇ_3" localSheetId="0" hidden="1">{#N/A,#N/A,FALSE,"단축1";#N/A,#N/A,FALSE,"단축2";#N/A,#N/A,FALSE,"단축3";#N/A,#N/A,FALSE,"장축";#N/A,#N/A,FALSE,"4WD"}</definedName>
    <definedName name="ㅇㅇㅇㅇㅇㅇㅇㅇㅇ_3" hidden="1">{#N/A,#N/A,FALSE,"단축1";#N/A,#N/A,FALSE,"단축2";#N/A,#N/A,FALSE,"단축3";#N/A,#N/A,FALSE,"장축";#N/A,#N/A,FALSE,"4WD"}</definedName>
    <definedName name="ㅇㅇㅇㅇㅇㅇㅇㅇㅇ_4" localSheetId="26" hidden="1">{#N/A,#N/A,FALSE,"단축1";#N/A,#N/A,FALSE,"단축2";#N/A,#N/A,FALSE,"단축3";#N/A,#N/A,FALSE,"장축";#N/A,#N/A,FALSE,"4WD"}</definedName>
    <definedName name="ㅇㅇㅇㅇㅇㅇㅇㅇㅇ_4" localSheetId="0" hidden="1">{#N/A,#N/A,FALSE,"단축1";#N/A,#N/A,FALSE,"단축2";#N/A,#N/A,FALSE,"단축3";#N/A,#N/A,FALSE,"장축";#N/A,#N/A,FALSE,"4WD"}</definedName>
    <definedName name="ㅇㅇㅇㅇㅇㅇㅇㅇㅇ_4" hidden="1">{#N/A,#N/A,FALSE,"단축1";#N/A,#N/A,FALSE,"단축2";#N/A,#N/A,FALSE,"단축3";#N/A,#N/A,FALSE,"장축";#N/A,#N/A,FALSE,"4WD"}</definedName>
    <definedName name="ㅇㅇㅇㅇㅇㅇㅇㅇㅇ_5" localSheetId="26" hidden="1">{#N/A,#N/A,FALSE,"단축1";#N/A,#N/A,FALSE,"단축2";#N/A,#N/A,FALSE,"단축3";#N/A,#N/A,FALSE,"장축";#N/A,#N/A,FALSE,"4WD"}</definedName>
    <definedName name="ㅇㅇㅇㅇㅇㅇㅇㅇㅇ_5" localSheetId="0" hidden="1">{#N/A,#N/A,FALSE,"단축1";#N/A,#N/A,FALSE,"단축2";#N/A,#N/A,FALSE,"단축3";#N/A,#N/A,FALSE,"장축";#N/A,#N/A,FALSE,"4WD"}</definedName>
    <definedName name="ㅇㅇㅇㅇㅇㅇㅇㅇㅇ_5" hidden="1">{#N/A,#N/A,FALSE,"단축1";#N/A,#N/A,FALSE,"단축2";#N/A,#N/A,FALSE,"단축3";#N/A,#N/A,FALSE,"장축";#N/A,#N/A,FALSE,"4WD"}</definedName>
    <definedName name="ㅇㅎ오" localSheetId="26" hidden="1">{#N/A,#N/A,FALSE,"단축1";#N/A,#N/A,FALSE,"단축2";#N/A,#N/A,FALSE,"단축3";#N/A,#N/A,FALSE,"장축";#N/A,#N/A,FALSE,"4WD"}</definedName>
    <definedName name="ㅇㅎ오" localSheetId="0" hidden="1">{#N/A,#N/A,FALSE,"단축1";#N/A,#N/A,FALSE,"단축2";#N/A,#N/A,FALSE,"단축3";#N/A,#N/A,FALSE,"장축";#N/A,#N/A,FALSE,"4WD"}</definedName>
    <definedName name="ㅇㅎ오" hidden="1">{#N/A,#N/A,FALSE,"단축1";#N/A,#N/A,FALSE,"단축2";#N/A,#N/A,FALSE,"단축3";#N/A,#N/A,FALSE,"장축";#N/A,#N/A,FALSE,"4WD"}</definedName>
    <definedName name="ㅇㅎ오_1" localSheetId="26" hidden="1">{#N/A,#N/A,FALSE,"단축1";#N/A,#N/A,FALSE,"단축2";#N/A,#N/A,FALSE,"단축3";#N/A,#N/A,FALSE,"장축";#N/A,#N/A,FALSE,"4WD"}</definedName>
    <definedName name="ㅇㅎ오_1" localSheetId="0" hidden="1">{#N/A,#N/A,FALSE,"단축1";#N/A,#N/A,FALSE,"단축2";#N/A,#N/A,FALSE,"단축3";#N/A,#N/A,FALSE,"장축";#N/A,#N/A,FALSE,"4WD"}</definedName>
    <definedName name="ㅇㅎ오_1" hidden="1">{#N/A,#N/A,FALSE,"단축1";#N/A,#N/A,FALSE,"단축2";#N/A,#N/A,FALSE,"단축3";#N/A,#N/A,FALSE,"장축";#N/A,#N/A,FALSE,"4WD"}</definedName>
    <definedName name="ㅇㅎ오_1_1" localSheetId="26" hidden="1">{#N/A,#N/A,FALSE,"단축1";#N/A,#N/A,FALSE,"단축2";#N/A,#N/A,FALSE,"단축3";#N/A,#N/A,FALSE,"장축";#N/A,#N/A,FALSE,"4WD"}</definedName>
    <definedName name="ㅇㅎ오_1_1" localSheetId="0" hidden="1">{#N/A,#N/A,FALSE,"단축1";#N/A,#N/A,FALSE,"단축2";#N/A,#N/A,FALSE,"단축3";#N/A,#N/A,FALSE,"장축";#N/A,#N/A,FALSE,"4WD"}</definedName>
    <definedName name="ㅇㅎ오_1_1" hidden="1">{#N/A,#N/A,FALSE,"단축1";#N/A,#N/A,FALSE,"단축2";#N/A,#N/A,FALSE,"단축3";#N/A,#N/A,FALSE,"장축";#N/A,#N/A,FALSE,"4WD"}</definedName>
    <definedName name="ㅇㅎ오_1_2" localSheetId="26" hidden="1">{#N/A,#N/A,FALSE,"단축1";#N/A,#N/A,FALSE,"단축2";#N/A,#N/A,FALSE,"단축3";#N/A,#N/A,FALSE,"장축";#N/A,#N/A,FALSE,"4WD"}</definedName>
    <definedName name="ㅇㅎ오_1_2" localSheetId="0" hidden="1">{#N/A,#N/A,FALSE,"단축1";#N/A,#N/A,FALSE,"단축2";#N/A,#N/A,FALSE,"단축3";#N/A,#N/A,FALSE,"장축";#N/A,#N/A,FALSE,"4WD"}</definedName>
    <definedName name="ㅇㅎ오_1_2" hidden="1">{#N/A,#N/A,FALSE,"단축1";#N/A,#N/A,FALSE,"단축2";#N/A,#N/A,FALSE,"단축3";#N/A,#N/A,FALSE,"장축";#N/A,#N/A,FALSE,"4WD"}</definedName>
    <definedName name="ㅇㅎ오_1_3" localSheetId="26" hidden="1">{#N/A,#N/A,FALSE,"단축1";#N/A,#N/A,FALSE,"단축2";#N/A,#N/A,FALSE,"단축3";#N/A,#N/A,FALSE,"장축";#N/A,#N/A,FALSE,"4WD"}</definedName>
    <definedName name="ㅇㅎ오_1_3" localSheetId="0" hidden="1">{#N/A,#N/A,FALSE,"단축1";#N/A,#N/A,FALSE,"단축2";#N/A,#N/A,FALSE,"단축3";#N/A,#N/A,FALSE,"장축";#N/A,#N/A,FALSE,"4WD"}</definedName>
    <definedName name="ㅇㅎ오_1_3" hidden="1">{#N/A,#N/A,FALSE,"단축1";#N/A,#N/A,FALSE,"단축2";#N/A,#N/A,FALSE,"단축3";#N/A,#N/A,FALSE,"장축";#N/A,#N/A,FALSE,"4WD"}</definedName>
    <definedName name="ㅇㅎ오_2" localSheetId="26" hidden="1">{#N/A,#N/A,FALSE,"단축1";#N/A,#N/A,FALSE,"단축2";#N/A,#N/A,FALSE,"단축3";#N/A,#N/A,FALSE,"장축";#N/A,#N/A,FALSE,"4WD"}</definedName>
    <definedName name="ㅇㅎ오_2" localSheetId="0" hidden="1">{#N/A,#N/A,FALSE,"단축1";#N/A,#N/A,FALSE,"단축2";#N/A,#N/A,FALSE,"단축3";#N/A,#N/A,FALSE,"장축";#N/A,#N/A,FALSE,"4WD"}</definedName>
    <definedName name="ㅇㅎ오_2" hidden="1">{#N/A,#N/A,FALSE,"단축1";#N/A,#N/A,FALSE,"단축2";#N/A,#N/A,FALSE,"단축3";#N/A,#N/A,FALSE,"장축";#N/A,#N/A,FALSE,"4WD"}</definedName>
    <definedName name="ㅇㅎ오_2_1" localSheetId="26" hidden="1">{#N/A,#N/A,FALSE,"단축1";#N/A,#N/A,FALSE,"단축2";#N/A,#N/A,FALSE,"단축3";#N/A,#N/A,FALSE,"장축";#N/A,#N/A,FALSE,"4WD"}</definedName>
    <definedName name="ㅇㅎ오_2_1" localSheetId="0" hidden="1">{#N/A,#N/A,FALSE,"단축1";#N/A,#N/A,FALSE,"단축2";#N/A,#N/A,FALSE,"단축3";#N/A,#N/A,FALSE,"장축";#N/A,#N/A,FALSE,"4WD"}</definedName>
    <definedName name="ㅇㅎ오_2_1" hidden="1">{#N/A,#N/A,FALSE,"단축1";#N/A,#N/A,FALSE,"단축2";#N/A,#N/A,FALSE,"단축3";#N/A,#N/A,FALSE,"장축";#N/A,#N/A,FALSE,"4WD"}</definedName>
    <definedName name="ㅇㅎ오_2_2" localSheetId="26" hidden="1">{#N/A,#N/A,FALSE,"단축1";#N/A,#N/A,FALSE,"단축2";#N/A,#N/A,FALSE,"단축3";#N/A,#N/A,FALSE,"장축";#N/A,#N/A,FALSE,"4WD"}</definedName>
    <definedName name="ㅇㅎ오_2_2" localSheetId="0" hidden="1">{#N/A,#N/A,FALSE,"단축1";#N/A,#N/A,FALSE,"단축2";#N/A,#N/A,FALSE,"단축3";#N/A,#N/A,FALSE,"장축";#N/A,#N/A,FALSE,"4WD"}</definedName>
    <definedName name="ㅇㅎ오_2_2" hidden="1">{#N/A,#N/A,FALSE,"단축1";#N/A,#N/A,FALSE,"단축2";#N/A,#N/A,FALSE,"단축3";#N/A,#N/A,FALSE,"장축";#N/A,#N/A,FALSE,"4WD"}</definedName>
    <definedName name="ㅇㅎ오_3" localSheetId="26" hidden="1">{#N/A,#N/A,FALSE,"단축1";#N/A,#N/A,FALSE,"단축2";#N/A,#N/A,FALSE,"단축3";#N/A,#N/A,FALSE,"장축";#N/A,#N/A,FALSE,"4WD"}</definedName>
    <definedName name="ㅇㅎ오_3" localSheetId="0" hidden="1">{#N/A,#N/A,FALSE,"단축1";#N/A,#N/A,FALSE,"단축2";#N/A,#N/A,FALSE,"단축3";#N/A,#N/A,FALSE,"장축";#N/A,#N/A,FALSE,"4WD"}</definedName>
    <definedName name="ㅇㅎ오_3" hidden="1">{#N/A,#N/A,FALSE,"단축1";#N/A,#N/A,FALSE,"단축2";#N/A,#N/A,FALSE,"단축3";#N/A,#N/A,FALSE,"장축";#N/A,#N/A,FALSE,"4WD"}</definedName>
    <definedName name="ㅇㅎ오_4" localSheetId="26" hidden="1">{#N/A,#N/A,FALSE,"단축1";#N/A,#N/A,FALSE,"단축2";#N/A,#N/A,FALSE,"단축3";#N/A,#N/A,FALSE,"장축";#N/A,#N/A,FALSE,"4WD"}</definedName>
    <definedName name="ㅇㅎ오_4" localSheetId="0" hidden="1">{#N/A,#N/A,FALSE,"단축1";#N/A,#N/A,FALSE,"단축2";#N/A,#N/A,FALSE,"단축3";#N/A,#N/A,FALSE,"장축";#N/A,#N/A,FALSE,"4WD"}</definedName>
    <definedName name="ㅇㅎ오_4" hidden="1">{#N/A,#N/A,FALSE,"단축1";#N/A,#N/A,FALSE,"단축2";#N/A,#N/A,FALSE,"단축3";#N/A,#N/A,FALSE,"장축";#N/A,#N/A,FALSE,"4WD"}</definedName>
    <definedName name="ㅇㅎ오_5" localSheetId="26" hidden="1">{#N/A,#N/A,FALSE,"단축1";#N/A,#N/A,FALSE,"단축2";#N/A,#N/A,FALSE,"단축3";#N/A,#N/A,FALSE,"장축";#N/A,#N/A,FALSE,"4WD"}</definedName>
    <definedName name="ㅇㅎ오_5" localSheetId="0" hidden="1">{#N/A,#N/A,FALSE,"단축1";#N/A,#N/A,FALSE,"단축2";#N/A,#N/A,FALSE,"단축3";#N/A,#N/A,FALSE,"장축";#N/A,#N/A,FALSE,"4WD"}</definedName>
    <definedName name="ㅇㅎ오_5" hidden="1">{#N/A,#N/A,FALSE,"단축1";#N/A,#N/A,FALSE,"단축2";#N/A,#N/A,FALSE,"단축3";#N/A,#N/A,FALSE,"장축";#N/A,#N/A,FALSE,"4WD"}</definedName>
    <definedName name="아폴로" localSheetId="26" hidden="1">{#N/A,#N/A,FALSE,"해외크레임";#N/A,#N/A,FALSE,"ACCENT현황";#N/A,#N/A,FALSE,"AVANTE";#N/A,#N/A,FALSE,"SONATA(3)";#N/A,#N/A,FALSE,"국내크레임"}</definedName>
    <definedName name="아폴로" localSheetId="0" hidden="1">{#N/A,#N/A,FALSE,"해외크레임";#N/A,#N/A,FALSE,"ACCENT현황";#N/A,#N/A,FALSE,"AVANTE";#N/A,#N/A,FALSE,"SONATA(3)";#N/A,#N/A,FALSE,"국내크레임"}</definedName>
    <definedName name="아폴로" hidden="1">{#N/A,#N/A,FALSE,"해외크레임";#N/A,#N/A,FALSE,"ACCENT현황";#N/A,#N/A,FALSE,"AVANTE";#N/A,#N/A,FALSE,"SONATA(3)";#N/A,#N/A,FALSE,"국내크레임"}</definedName>
    <definedName name="아폴로_1" localSheetId="26" hidden="1">{#N/A,#N/A,FALSE,"해외크레임";#N/A,#N/A,FALSE,"ACCENT현황";#N/A,#N/A,FALSE,"AVANTE";#N/A,#N/A,FALSE,"SONATA(3)";#N/A,#N/A,FALSE,"국내크레임"}</definedName>
    <definedName name="아폴로_1" localSheetId="0" hidden="1">{#N/A,#N/A,FALSE,"해외크레임";#N/A,#N/A,FALSE,"ACCENT현황";#N/A,#N/A,FALSE,"AVANTE";#N/A,#N/A,FALSE,"SONATA(3)";#N/A,#N/A,FALSE,"국내크레임"}</definedName>
    <definedName name="아폴로_1" hidden="1">{#N/A,#N/A,FALSE,"해외크레임";#N/A,#N/A,FALSE,"ACCENT현황";#N/A,#N/A,FALSE,"AVANTE";#N/A,#N/A,FALSE,"SONATA(3)";#N/A,#N/A,FALSE,"국내크레임"}</definedName>
    <definedName name="아폴로_1_1" localSheetId="26" hidden="1">{#N/A,#N/A,FALSE,"해외크레임";#N/A,#N/A,FALSE,"ACCENT현황";#N/A,#N/A,FALSE,"AVANTE";#N/A,#N/A,FALSE,"SONATA(3)";#N/A,#N/A,FALSE,"국내크레임"}</definedName>
    <definedName name="아폴로_1_1" localSheetId="0" hidden="1">{#N/A,#N/A,FALSE,"해외크레임";#N/A,#N/A,FALSE,"ACCENT현황";#N/A,#N/A,FALSE,"AVANTE";#N/A,#N/A,FALSE,"SONATA(3)";#N/A,#N/A,FALSE,"국내크레임"}</definedName>
    <definedName name="아폴로_1_1" hidden="1">{#N/A,#N/A,FALSE,"해외크레임";#N/A,#N/A,FALSE,"ACCENT현황";#N/A,#N/A,FALSE,"AVANTE";#N/A,#N/A,FALSE,"SONATA(3)";#N/A,#N/A,FALSE,"국내크레임"}</definedName>
    <definedName name="아폴로_1_2" localSheetId="26" hidden="1">{#N/A,#N/A,FALSE,"해외크레임";#N/A,#N/A,FALSE,"ACCENT현황";#N/A,#N/A,FALSE,"AVANTE";#N/A,#N/A,FALSE,"SONATA(3)";#N/A,#N/A,FALSE,"국내크레임"}</definedName>
    <definedName name="아폴로_1_2" localSheetId="0" hidden="1">{#N/A,#N/A,FALSE,"해외크레임";#N/A,#N/A,FALSE,"ACCENT현황";#N/A,#N/A,FALSE,"AVANTE";#N/A,#N/A,FALSE,"SONATA(3)";#N/A,#N/A,FALSE,"국내크레임"}</definedName>
    <definedName name="아폴로_1_2" hidden="1">{#N/A,#N/A,FALSE,"해외크레임";#N/A,#N/A,FALSE,"ACCENT현황";#N/A,#N/A,FALSE,"AVANTE";#N/A,#N/A,FALSE,"SONATA(3)";#N/A,#N/A,FALSE,"국내크레임"}</definedName>
    <definedName name="아폴로_1_3" localSheetId="26" hidden="1">{#N/A,#N/A,FALSE,"해외크레임";#N/A,#N/A,FALSE,"ACCENT현황";#N/A,#N/A,FALSE,"AVANTE";#N/A,#N/A,FALSE,"SONATA(3)";#N/A,#N/A,FALSE,"국내크레임"}</definedName>
    <definedName name="아폴로_1_3" localSheetId="0" hidden="1">{#N/A,#N/A,FALSE,"해외크레임";#N/A,#N/A,FALSE,"ACCENT현황";#N/A,#N/A,FALSE,"AVANTE";#N/A,#N/A,FALSE,"SONATA(3)";#N/A,#N/A,FALSE,"국내크레임"}</definedName>
    <definedName name="아폴로_1_3" hidden="1">{#N/A,#N/A,FALSE,"해외크레임";#N/A,#N/A,FALSE,"ACCENT현황";#N/A,#N/A,FALSE,"AVANTE";#N/A,#N/A,FALSE,"SONATA(3)";#N/A,#N/A,FALSE,"국내크레임"}</definedName>
    <definedName name="아폴로_2" localSheetId="26" hidden="1">{#N/A,#N/A,FALSE,"해외크레임";#N/A,#N/A,FALSE,"ACCENT현황";#N/A,#N/A,FALSE,"AVANTE";#N/A,#N/A,FALSE,"SONATA(3)";#N/A,#N/A,FALSE,"국내크레임"}</definedName>
    <definedName name="아폴로_2" localSheetId="0" hidden="1">{#N/A,#N/A,FALSE,"해외크레임";#N/A,#N/A,FALSE,"ACCENT현황";#N/A,#N/A,FALSE,"AVANTE";#N/A,#N/A,FALSE,"SONATA(3)";#N/A,#N/A,FALSE,"국내크레임"}</definedName>
    <definedName name="아폴로_2" hidden="1">{#N/A,#N/A,FALSE,"해외크레임";#N/A,#N/A,FALSE,"ACCENT현황";#N/A,#N/A,FALSE,"AVANTE";#N/A,#N/A,FALSE,"SONATA(3)";#N/A,#N/A,FALSE,"국내크레임"}</definedName>
    <definedName name="아폴로_2_1" localSheetId="26" hidden="1">{#N/A,#N/A,FALSE,"해외크레임";#N/A,#N/A,FALSE,"ACCENT현황";#N/A,#N/A,FALSE,"AVANTE";#N/A,#N/A,FALSE,"SONATA(3)";#N/A,#N/A,FALSE,"국내크레임"}</definedName>
    <definedName name="아폴로_2_1" localSheetId="0" hidden="1">{#N/A,#N/A,FALSE,"해외크레임";#N/A,#N/A,FALSE,"ACCENT현황";#N/A,#N/A,FALSE,"AVANTE";#N/A,#N/A,FALSE,"SONATA(3)";#N/A,#N/A,FALSE,"국내크레임"}</definedName>
    <definedName name="아폴로_2_1" hidden="1">{#N/A,#N/A,FALSE,"해외크레임";#N/A,#N/A,FALSE,"ACCENT현황";#N/A,#N/A,FALSE,"AVANTE";#N/A,#N/A,FALSE,"SONATA(3)";#N/A,#N/A,FALSE,"국내크레임"}</definedName>
    <definedName name="아폴로_2_2" localSheetId="26" hidden="1">{#N/A,#N/A,FALSE,"해외크레임";#N/A,#N/A,FALSE,"ACCENT현황";#N/A,#N/A,FALSE,"AVANTE";#N/A,#N/A,FALSE,"SONATA(3)";#N/A,#N/A,FALSE,"국내크레임"}</definedName>
    <definedName name="아폴로_2_2" localSheetId="0" hidden="1">{#N/A,#N/A,FALSE,"해외크레임";#N/A,#N/A,FALSE,"ACCENT현황";#N/A,#N/A,FALSE,"AVANTE";#N/A,#N/A,FALSE,"SONATA(3)";#N/A,#N/A,FALSE,"국내크레임"}</definedName>
    <definedName name="아폴로_2_2" hidden="1">{#N/A,#N/A,FALSE,"해외크레임";#N/A,#N/A,FALSE,"ACCENT현황";#N/A,#N/A,FALSE,"AVANTE";#N/A,#N/A,FALSE,"SONATA(3)";#N/A,#N/A,FALSE,"국내크레임"}</definedName>
    <definedName name="아폴로_3" localSheetId="26" hidden="1">{#N/A,#N/A,FALSE,"해외크레임";#N/A,#N/A,FALSE,"ACCENT현황";#N/A,#N/A,FALSE,"AVANTE";#N/A,#N/A,FALSE,"SONATA(3)";#N/A,#N/A,FALSE,"국내크레임"}</definedName>
    <definedName name="아폴로_3" localSheetId="0" hidden="1">{#N/A,#N/A,FALSE,"해외크레임";#N/A,#N/A,FALSE,"ACCENT현황";#N/A,#N/A,FALSE,"AVANTE";#N/A,#N/A,FALSE,"SONATA(3)";#N/A,#N/A,FALSE,"국내크레임"}</definedName>
    <definedName name="아폴로_3" hidden="1">{#N/A,#N/A,FALSE,"해외크레임";#N/A,#N/A,FALSE,"ACCENT현황";#N/A,#N/A,FALSE,"AVANTE";#N/A,#N/A,FALSE,"SONATA(3)";#N/A,#N/A,FALSE,"국내크레임"}</definedName>
    <definedName name="아폴로_4" localSheetId="26" hidden="1">{#N/A,#N/A,FALSE,"해외크레임";#N/A,#N/A,FALSE,"ACCENT현황";#N/A,#N/A,FALSE,"AVANTE";#N/A,#N/A,FALSE,"SONATA(3)";#N/A,#N/A,FALSE,"국내크레임"}</definedName>
    <definedName name="아폴로_4" localSheetId="0" hidden="1">{#N/A,#N/A,FALSE,"해외크레임";#N/A,#N/A,FALSE,"ACCENT현황";#N/A,#N/A,FALSE,"AVANTE";#N/A,#N/A,FALSE,"SONATA(3)";#N/A,#N/A,FALSE,"국내크레임"}</definedName>
    <definedName name="아폴로_4" hidden="1">{#N/A,#N/A,FALSE,"해외크레임";#N/A,#N/A,FALSE,"ACCENT현황";#N/A,#N/A,FALSE,"AVANTE";#N/A,#N/A,FALSE,"SONATA(3)";#N/A,#N/A,FALSE,"국내크레임"}</definedName>
    <definedName name="아폴로_5" localSheetId="26" hidden="1">{#N/A,#N/A,FALSE,"해외크레임";#N/A,#N/A,FALSE,"ACCENT현황";#N/A,#N/A,FALSE,"AVANTE";#N/A,#N/A,FALSE,"SONATA(3)";#N/A,#N/A,FALSE,"국내크레임"}</definedName>
    <definedName name="아폴로_5" localSheetId="0" hidden="1">{#N/A,#N/A,FALSE,"해외크레임";#N/A,#N/A,FALSE,"ACCENT현황";#N/A,#N/A,FALSE,"AVANTE";#N/A,#N/A,FALSE,"SONATA(3)";#N/A,#N/A,FALSE,"국내크레임"}</definedName>
    <definedName name="아폴로_5" hidden="1">{#N/A,#N/A,FALSE,"해외크레임";#N/A,#N/A,FALSE,"ACCENT현황";#N/A,#N/A,FALSE,"AVANTE";#N/A,#N/A,FALSE,"SONATA(3)";#N/A,#N/A,FALSE,"국내크레임"}</definedName>
    <definedName name="액슬" localSheetId="26" hidden="1">{#N/A,#N/A,FALSE,"단축1";#N/A,#N/A,FALSE,"단축2";#N/A,#N/A,FALSE,"단축3";#N/A,#N/A,FALSE,"장축";#N/A,#N/A,FALSE,"4WD"}</definedName>
    <definedName name="액슬" localSheetId="0" hidden="1">{#N/A,#N/A,FALSE,"단축1";#N/A,#N/A,FALSE,"단축2";#N/A,#N/A,FALSE,"단축3";#N/A,#N/A,FALSE,"장축";#N/A,#N/A,FALSE,"4WD"}</definedName>
    <definedName name="액슬" hidden="1">{#N/A,#N/A,FALSE,"단축1";#N/A,#N/A,FALSE,"단축2";#N/A,#N/A,FALSE,"단축3";#N/A,#N/A,FALSE,"장축";#N/A,#N/A,FALSE,"4WD"}</definedName>
    <definedName name="액슬_1" localSheetId="26" hidden="1">{#N/A,#N/A,FALSE,"단축1";#N/A,#N/A,FALSE,"단축2";#N/A,#N/A,FALSE,"단축3";#N/A,#N/A,FALSE,"장축";#N/A,#N/A,FALSE,"4WD"}</definedName>
    <definedName name="액슬_1" localSheetId="0" hidden="1">{#N/A,#N/A,FALSE,"단축1";#N/A,#N/A,FALSE,"단축2";#N/A,#N/A,FALSE,"단축3";#N/A,#N/A,FALSE,"장축";#N/A,#N/A,FALSE,"4WD"}</definedName>
    <definedName name="액슬_1" hidden="1">{#N/A,#N/A,FALSE,"단축1";#N/A,#N/A,FALSE,"단축2";#N/A,#N/A,FALSE,"단축3";#N/A,#N/A,FALSE,"장축";#N/A,#N/A,FALSE,"4WD"}</definedName>
    <definedName name="액슬_1_1" localSheetId="26" hidden="1">{#N/A,#N/A,FALSE,"단축1";#N/A,#N/A,FALSE,"단축2";#N/A,#N/A,FALSE,"단축3";#N/A,#N/A,FALSE,"장축";#N/A,#N/A,FALSE,"4WD"}</definedName>
    <definedName name="액슬_1_1" localSheetId="0" hidden="1">{#N/A,#N/A,FALSE,"단축1";#N/A,#N/A,FALSE,"단축2";#N/A,#N/A,FALSE,"단축3";#N/A,#N/A,FALSE,"장축";#N/A,#N/A,FALSE,"4WD"}</definedName>
    <definedName name="액슬_1_1" hidden="1">{#N/A,#N/A,FALSE,"단축1";#N/A,#N/A,FALSE,"단축2";#N/A,#N/A,FALSE,"단축3";#N/A,#N/A,FALSE,"장축";#N/A,#N/A,FALSE,"4WD"}</definedName>
    <definedName name="액슬_1_2" localSheetId="26" hidden="1">{#N/A,#N/A,FALSE,"단축1";#N/A,#N/A,FALSE,"단축2";#N/A,#N/A,FALSE,"단축3";#N/A,#N/A,FALSE,"장축";#N/A,#N/A,FALSE,"4WD"}</definedName>
    <definedName name="액슬_1_2" localSheetId="0" hidden="1">{#N/A,#N/A,FALSE,"단축1";#N/A,#N/A,FALSE,"단축2";#N/A,#N/A,FALSE,"단축3";#N/A,#N/A,FALSE,"장축";#N/A,#N/A,FALSE,"4WD"}</definedName>
    <definedName name="액슬_1_2" hidden="1">{#N/A,#N/A,FALSE,"단축1";#N/A,#N/A,FALSE,"단축2";#N/A,#N/A,FALSE,"단축3";#N/A,#N/A,FALSE,"장축";#N/A,#N/A,FALSE,"4WD"}</definedName>
    <definedName name="액슬_1_3" localSheetId="26" hidden="1">{#N/A,#N/A,FALSE,"단축1";#N/A,#N/A,FALSE,"단축2";#N/A,#N/A,FALSE,"단축3";#N/A,#N/A,FALSE,"장축";#N/A,#N/A,FALSE,"4WD"}</definedName>
    <definedName name="액슬_1_3" localSheetId="0" hidden="1">{#N/A,#N/A,FALSE,"단축1";#N/A,#N/A,FALSE,"단축2";#N/A,#N/A,FALSE,"단축3";#N/A,#N/A,FALSE,"장축";#N/A,#N/A,FALSE,"4WD"}</definedName>
    <definedName name="액슬_1_3" hidden="1">{#N/A,#N/A,FALSE,"단축1";#N/A,#N/A,FALSE,"단축2";#N/A,#N/A,FALSE,"단축3";#N/A,#N/A,FALSE,"장축";#N/A,#N/A,FALSE,"4WD"}</definedName>
    <definedName name="액슬_2" localSheetId="26" hidden="1">{#N/A,#N/A,FALSE,"단축1";#N/A,#N/A,FALSE,"단축2";#N/A,#N/A,FALSE,"단축3";#N/A,#N/A,FALSE,"장축";#N/A,#N/A,FALSE,"4WD"}</definedName>
    <definedName name="액슬_2" localSheetId="0" hidden="1">{#N/A,#N/A,FALSE,"단축1";#N/A,#N/A,FALSE,"단축2";#N/A,#N/A,FALSE,"단축3";#N/A,#N/A,FALSE,"장축";#N/A,#N/A,FALSE,"4WD"}</definedName>
    <definedName name="액슬_2" hidden="1">{#N/A,#N/A,FALSE,"단축1";#N/A,#N/A,FALSE,"단축2";#N/A,#N/A,FALSE,"단축3";#N/A,#N/A,FALSE,"장축";#N/A,#N/A,FALSE,"4WD"}</definedName>
    <definedName name="액슬_2_1" localSheetId="26" hidden="1">{#N/A,#N/A,FALSE,"단축1";#N/A,#N/A,FALSE,"단축2";#N/A,#N/A,FALSE,"단축3";#N/A,#N/A,FALSE,"장축";#N/A,#N/A,FALSE,"4WD"}</definedName>
    <definedName name="액슬_2_1" localSheetId="0" hidden="1">{#N/A,#N/A,FALSE,"단축1";#N/A,#N/A,FALSE,"단축2";#N/A,#N/A,FALSE,"단축3";#N/A,#N/A,FALSE,"장축";#N/A,#N/A,FALSE,"4WD"}</definedName>
    <definedName name="액슬_2_1" hidden="1">{#N/A,#N/A,FALSE,"단축1";#N/A,#N/A,FALSE,"단축2";#N/A,#N/A,FALSE,"단축3";#N/A,#N/A,FALSE,"장축";#N/A,#N/A,FALSE,"4WD"}</definedName>
    <definedName name="액슬_2_2" localSheetId="26" hidden="1">{#N/A,#N/A,FALSE,"단축1";#N/A,#N/A,FALSE,"단축2";#N/A,#N/A,FALSE,"단축3";#N/A,#N/A,FALSE,"장축";#N/A,#N/A,FALSE,"4WD"}</definedName>
    <definedName name="액슬_2_2" localSheetId="0" hidden="1">{#N/A,#N/A,FALSE,"단축1";#N/A,#N/A,FALSE,"단축2";#N/A,#N/A,FALSE,"단축3";#N/A,#N/A,FALSE,"장축";#N/A,#N/A,FALSE,"4WD"}</definedName>
    <definedName name="액슬_2_2" hidden="1">{#N/A,#N/A,FALSE,"단축1";#N/A,#N/A,FALSE,"단축2";#N/A,#N/A,FALSE,"단축3";#N/A,#N/A,FALSE,"장축";#N/A,#N/A,FALSE,"4WD"}</definedName>
    <definedName name="액슬_3" localSheetId="26" hidden="1">{#N/A,#N/A,FALSE,"단축1";#N/A,#N/A,FALSE,"단축2";#N/A,#N/A,FALSE,"단축3";#N/A,#N/A,FALSE,"장축";#N/A,#N/A,FALSE,"4WD"}</definedName>
    <definedName name="액슬_3" localSheetId="0" hidden="1">{#N/A,#N/A,FALSE,"단축1";#N/A,#N/A,FALSE,"단축2";#N/A,#N/A,FALSE,"단축3";#N/A,#N/A,FALSE,"장축";#N/A,#N/A,FALSE,"4WD"}</definedName>
    <definedName name="액슬_3" hidden="1">{#N/A,#N/A,FALSE,"단축1";#N/A,#N/A,FALSE,"단축2";#N/A,#N/A,FALSE,"단축3";#N/A,#N/A,FALSE,"장축";#N/A,#N/A,FALSE,"4WD"}</definedName>
    <definedName name="액슬_4" localSheetId="26" hidden="1">{#N/A,#N/A,FALSE,"단축1";#N/A,#N/A,FALSE,"단축2";#N/A,#N/A,FALSE,"단축3";#N/A,#N/A,FALSE,"장축";#N/A,#N/A,FALSE,"4WD"}</definedName>
    <definedName name="액슬_4" localSheetId="0" hidden="1">{#N/A,#N/A,FALSE,"단축1";#N/A,#N/A,FALSE,"단축2";#N/A,#N/A,FALSE,"단축3";#N/A,#N/A,FALSE,"장축";#N/A,#N/A,FALSE,"4WD"}</definedName>
    <definedName name="액슬_4" hidden="1">{#N/A,#N/A,FALSE,"단축1";#N/A,#N/A,FALSE,"단축2";#N/A,#N/A,FALSE,"단축3";#N/A,#N/A,FALSE,"장축";#N/A,#N/A,FALSE,"4WD"}</definedName>
    <definedName name="액슬_5" localSheetId="26" hidden="1">{#N/A,#N/A,FALSE,"단축1";#N/A,#N/A,FALSE,"단축2";#N/A,#N/A,FALSE,"단축3";#N/A,#N/A,FALSE,"장축";#N/A,#N/A,FALSE,"4WD"}</definedName>
    <definedName name="액슬_5" localSheetId="0" hidden="1">{#N/A,#N/A,FALSE,"단축1";#N/A,#N/A,FALSE,"단축2";#N/A,#N/A,FALSE,"단축3";#N/A,#N/A,FALSE,"장축";#N/A,#N/A,FALSE,"4WD"}</definedName>
    <definedName name="액슬_5" hidden="1">{#N/A,#N/A,FALSE,"단축1";#N/A,#N/A,FALSE,"단축2";#N/A,#N/A,FALSE,"단축3";#N/A,#N/A,FALSE,"장축";#N/A,#N/A,FALSE,"4WD"}</definedName>
    <definedName name="양대호" localSheetId="26" hidden="1">{#N/A,#N/A,FALSE,"단축1";#N/A,#N/A,FALSE,"단축2";#N/A,#N/A,FALSE,"단축3";#N/A,#N/A,FALSE,"장축";#N/A,#N/A,FALSE,"4WD"}</definedName>
    <definedName name="양대호" localSheetId="0" hidden="1">{#N/A,#N/A,FALSE,"단축1";#N/A,#N/A,FALSE,"단축2";#N/A,#N/A,FALSE,"단축3";#N/A,#N/A,FALSE,"장축";#N/A,#N/A,FALSE,"4WD"}</definedName>
    <definedName name="양대호" hidden="1">{#N/A,#N/A,FALSE,"단축1";#N/A,#N/A,FALSE,"단축2";#N/A,#N/A,FALSE,"단축3";#N/A,#N/A,FALSE,"장축";#N/A,#N/A,FALSE,"4WD"}</definedName>
    <definedName name="양대호_1" localSheetId="26" hidden="1">{#N/A,#N/A,FALSE,"단축1";#N/A,#N/A,FALSE,"단축2";#N/A,#N/A,FALSE,"단축3";#N/A,#N/A,FALSE,"장축";#N/A,#N/A,FALSE,"4WD"}</definedName>
    <definedName name="양대호_1" localSheetId="0" hidden="1">{#N/A,#N/A,FALSE,"단축1";#N/A,#N/A,FALSE,"단축2";#N/A,#N/A,FALSE,"단축3";#N/A,#N/A,FALSE,"장축";#N/A,#N/A,FALSE,"4WD"}</definedName>
    <definedName name="양대호_1" hidden="1">{#N/A,#N/A,FALSE,"단축1";#N/A,#N/A,FALSE,"단축2";#N/A,#N/A,FALSE,"단축3";#N/A,#N/A,FALSE,"장축";#N/A,#N/A,FALSE,"4WD"}</definedName>
    <definedName name="양대호_1_1" localSheetId="26" hidden="1">{#N/A,#N/A,FALSE,"단축1";#N/A,#N/A,FALSE,"단축2";#N/A,#N/A,FALSE,"단축3";#N/A,#N/A,FALSE,"장축";#N/A,#N/A,FALSE,"4WD"}</definedName>
    <definedName name="양대호_1_1" localSheetId="0" hidden="1">{#N/A,#N/A,FALSE,"단축1";#N/A,#N/A,FALSE,"단축2";#N/A,#N/A,FALSE,"단축3";#N/A,#N/A,FALSE,"장축";#N/A,#N/A,FALSE,"4WD"}</definedName>
    <definedName name="양대호_1_1" hidden="1">{#N/A,#N/A,FALSE,"단축1";#N/A,#N/A,FALSE,"단축2";#N/A,#N/A,FALSE,"단축3";#N/A,#N/A,FALSE,"장축";#N/A,#N/A,FALSE,"4WD"}</definedName>
    <definedName name="양대호_1_2" localSheetId="26" hidden="1">{#N/A,#N/A,FALSE,"단축1";#N/A,#N/A,FALSE,"단축2";#N/A,#N/A,FALSE,"단축3";#N/A,#N/A,FALSE,"장축";#N/A,#N/A,FALSE,"4WD"}</definedName>
    <definedName name="양대호_1_2" localSheetId="0" hidden="1">{#N/A,#N/A,FALSE,"단축1";#N/A,#N/A,FALSE,"단축2";#N/A,#N/A,FALSE,"단축3";#N/A,#N/A,FALSE,"장축";#N/A,#N/A,FALSE,"4WD"}</definedName>
    <definedName name="양대호_1_2" hidden="1">{#N/A,#N/A,FALSE,"단축1";#N/A,#N/A,FALSE,"단축2";#N/A,#N/A,FALSE,"단축3";#N/A,#N/A,FALSE,"장축";#N/A,#N/A,FALSE,"4WD"}</definedName>
    <definedName name="양대호_1_3" localSheetId="26" hidden="1">{#N/A,#N/A,FALSE,"단축1";#N/A,#N/A,FALSE,"단축2";#N/A,#N/A,FALSE,"단축3";#N/A,#N/A,FALSE,"장축";#N/A,#N/A,FALSE,"4WD"}</definedName>
    <definedName name="양대호_1_3" localSheetId="0" hidden="1">{#N/A,#N/A,FALSE,"단축1";#N/A,#N/A,FALSE,"단축2";#N/A,#N/A,FALSE,"단축3";#N/A,#N/A,FALSE,"장축";#N/A,#N/A,FALSE,"4WD"}</definedName>
    <definedName name="양대호_1_3" hidden="1">{#N/A,#N/A,FALSE,"단축1";#N/A,#N/A,FALSE,"단축2";#N/A,#N/A,FALSE,"단축3";#N/A,#N/A,FALSE,"장축";#N/A,#N/A,FALSE,"4WD"}</definedName>
    <definedName name="양대호_2" localSheetId="26" hidden="1">{#N/A,#N/A,FALSE,"단축1";#N/A,#N/A,FALSE,"단축2";#N/A,#N/A,FALSE,"단축3";#N/A,#N/A,FALSE,"장축";#N/A,#N/A,FALSE,"4WD"}</definedName>
    <definedName name="양대호_2" localSheetId="0" hidden="1">{#N/A,#N/A,FALSE,"단축1";#N/A,#N/A,FALSE,"단축2";#N/A,#N/A,FALSE,"단축3";#N/A,#N/A,FALSE,"장축";#N/A,#N/A,FALSE,"4WD"}</definedName>
    <definedName name="양대호_2" hidden="1">{#N/A,#N/A,FALSE,"단축1";#N/A,#N/A,FALSE,"단축2";#N/A,#N/A,FALSE,"단축3";#N/A,#N/A,FALSE,"장축";#N/A,#N/A,FALSE,"4WD"}</definedName>
    <definedName name="양대호_2_1" localSheetId="26" hidden="1">{#N/A,#N/A,FALSE,"단축1";#N/A,#N/A,FALSE,"단축2";#N/A,#N/A,FALSE,"단축3";#N/A,#N/A,FALSE,"장축";#N/A,#N/A,FALSE,"4WD"}</definedName>
    <definedName name="양대호_2_1" localSheetId="0" hidden="1">{#N/A,#N/A,FALSE,"단축1";#N/A,#N/A,FALSE,"단축2";#N/A,#N/A,FALSE,"단축3";#N/A,#N/A,FALSE,"장축";#N/A,#N/A,FALSE,"4WD"}</definedName>
    <definedName name="양대호_2_1" hidden="1">{#N/A,#N/A,FALSE,"단축1";#N/A,#N/A,FALSE,"단축2";#N/A,#N/A,FALSE,"단축3";#N/A,#N/A,FALSE,"장축";#N/A,#N/A,FALSE,"4WD"}</definedName>
    <definedName name="양대호_2_2" localSheetId="26" hidden="1">{#N/A,#N/A,FALSE,"단축1";#N/A,#N/A,FALSE,"단축2";#N/A,#N/A,FALSE,"단축3";#N/A,#N/A,FALSE,"장축";#N/A,#N/A,FALSE,"4WD"}</definedName>
    <definedName name="양대호_2_2" localSheetId="0" hidden="1">{#N/A,#N/A,FALSE,"단축1";#N/A,#N/A,FALSE,"단축2";#N/A,#N/A,FALSE,"단축3";#N/A,#N/A,FALSE,"장축";#N/A,#N/A,FALSE,"4WD"}</definedName>
    <definedName name="양대호_2_2" hidden="1">{#N/A,#N/A,FALSE,"단축1";#N/A,#N/A,FALSE,"단축2";#N/A,#N/A,FALSE,"단축3";#N/A,#N/A,FALSE,"장축";#N/A,#N/A,FALSE,"4WD"}</definedName>
    <definedName name="양대호_3" localSheetId="26" hidden="1">{#N/A,#N/A,FALSE,"단축1";#N/A,#N/A,FALSE,"단축2";#N/A,#N/A,FALSE,"단축3";#N/A,#N/A,FALSE,"장축";#N/A,#N/A,FALSE,"4WD"}</definedName>
    <definedName name="양대호_3" localSheetId="0" hidden="1">{#N/A,#N/A,FALSE,"단축1";#N/A,#N/A,FALSE,"단축2";#N/A,#N/A,FALSE,"단축3";#N/A,#N/A,FALSE,"장축";#N/A,#N/A,FALSE,"4WD"}</definedName>
    <definedName name="양대호_3" hidden="1">{#N/A,#N/A,FALSE,"단축1";#N/A,#N/A,FALSE,"단축2";#N/A,#N/A,FALSE,"단축3";#N/A,#N/A,FALSE,"장축";#N/A,#N/A,FALSE,"4WD"}</definedName>
    <definedName name="양대호_4" localSheetId="26" hidden="1">{#N/A,#N/A,FALSE,"단축1";#N/A,#N/A,FALSE,"단축2";#N/A,#N/A,FALSE,"단축3";#N/A,#N/A,FALSE,"장축";#N/A,#N/A,FALSE,"4WD"}</definedName>
    <definedName name="양대호_4" localSheetId="0" hidden="1">{#N/A,#N/A,FALSE,"단축1";#N/A,#N/A,FALSE,"단축2";#N/A,#N/A,FALSE,"단축3";#N/A,#N/A,FALSE,"장축";#N/A,#N/A,FALSE,"4WD"}</definedName>
    <definedName name="양대호_4" hidden="1">{#N/A,#N/A,FALSE,"단축1";#N/A,#N/A,FALSE,"단축2";#N/A,#N/A,FALSE,"단축3";#N/A,#N/A,FALSE,"장축";#N/A,#N/A,FALSE,"4WD"}</definedName>
    <definedName name="양대호_5" localSheetId="26" hidden="1">{#N/A,#N/A,FALSE,"단축1";#N/A,#N/A,FALSE,"단축2";#N/A,#N/A,FALSE,"단축3";#N/A,#N/A,FALSE,"장축";#N/A,#N/A,FALSE,"4WD"}</definedName>
    <definedName name="양대호_5" localSheetId="0" hidden="1">{#N/A,#N/A,FALSE,"단축1";#N/A,#N/A,FALSE,"단축2";#N/A,#N/A,FALSE,"단축3";#N/A,#N/A,FALSE,"장축";#N/A,#N/A,FALSE,"4WD"}</definedName>
    <definedName name="양대호_5" hidden="1">{#N/A,#N/A,FALSE,"단축1";#N/A,#N/A,FALSE,"단축2";#N/A,#N/A,FALSE,"단축3";#N/A,#N/A,FALSE,"장축";#N/A,#N/A,FALSE,"4WD"}</definedName>
    <definedName name="업체방문" localSheetId="26" hidden="1">{#N/A,#N/A,FALSE,"단축1";#N/A,#N/A,FALSE,"단축2";#N/A,#N/A,FALSE,"단축3";#N/A,#N/A,FALSE,"장축";#N/A,#N/A,FALSE,"4WD"}</definedName>
    <definedName name="업체방문" localSheetId="0" hidden="1">{#N/A,#N/A,FALSE,"단축1";#N/A,#N/A,FALSE,"단축2";#N/A,#N/A,FALSE,"단축3";#N/A,#N/A,FALSE,"장축";#N/A,#N/A,FALSE,"4WD"}</definedName>
    <definedName name="업체방문" hidden="1">{#N/A,#N/A,FALSE,"단축1";#N/A,#N/A,FALSE,"단축2";#N/A,#N/A,FALSE,"단축3";#N/A,#N/A,FALSE,"장축";#N/A,#N/A,FALSE,"4WD"}</definedName>
    <definedName name="업체방문_1" localSheetId="26" hidden="1">{#N/A,#N/A,FALSE,"단축1";#N/A,#N/A,FALSE,"단축2";#N/A,#N/A,FALSE,"단축3";#N/A,#N/A,FALSE,"장축";#N/A,#N/A,FALSE,"4WD"}</definedName>
    <definedName name="업체방문_1" localSheetId="0" hidden="1">{#N/A,#N/A,FALSE,"단축1";#N/A,#N/A,FALSE,"단축2";#N/A,#N/A,FALSE,"단축3";#N/A,#N/A,FALSE,"장축";#N/A,#N/A,FALSE,"4WD"}</definedName>
    <definedName name="업체방문_1" hidden="1">{#N/A,#N/A,FALSE,"단축1";#N/A,#N/A,FALSE,"단축2";#N/A,#N/A,FALSE,"단축3";#N/A,#N/A,FALSE,"장축";#N/A,#N/A,FALSE,"4WD"}</definedName>
    <definedName name="업체방문_1_1" localSheetId="26" hidden="1">{#N/A,#N/A,FALSE,"단축1";#N/A,#N/A,FALSE,"단축2";#N/A,#N/A,FALSE,"단축3";#N/A,#N/A,FALSE,"장축";#N/A,#N/A,FALSE,"4WD"}</definedName>
    <definedName name="업체방문_1_1" localSheetId="0" hidden="1">{#N/A,#N/A,FALSE,"단축1";#N/A,#N/A,FALSE,"단축2";#N/A,#N/A,FALSE,"단축3";#N/A,#N/A,FALSE,"장축";#N/A,#N/A,FALSE,"4WD"}</definedName>
    <definedName name="업체방문_1_1" hidden="1">{#N/A,#N/A,FALSE,"단축1";#N/A,#N/A,FALSE,"단축2";#N/A,#N/A,FALSE,"단축3";#N/A,#N/A,FALSE,"장축";#N/A,#N/A,FALSE,"4WD"}</definedName>
    <definedName name="업체방문_1_2" localSheetId="26" hidden="1">{#N/A,#N/A,FALSE,"단축1";#N/A,#N/A,FALSE,"단축2";#N/A,#N/A,FALSE,"단축3";#N/A,#N/A,FALSE,"장축";#N/A,#N/A,FALSE,"4WD"}</definedName>
    <definedName name="업체방문_1_2" localSheetId="0" hidden="1">{#N/A,#N/A,FALSE,"단축1";#N/A,#N/A,FALSE,"단축2";#N/A,#N/A,FALSE,"단축3";#N/A,#N/A,FALSE,"장축";#N/A,#N/A,FALSE,"4WD"}</definedName>
    <definedName name="업체방문_1_2" hidden="1">{#N/A,#N/A,FALSE,"단축1";#N/A,#N/A,FALSE,"단축2";#N/A,#N/A,FALSE,"단축3";#N/A,#N/A,FALSE,"장축";#N/A,#N/A,FALSE,"4WD"}</definedName>
    <definedName name="업체방문_1_3" localSheetId="26" hidden="1">{#N/A,#N/A,FALSE,"단축1";#N/A,#N/A,FALSE,"단축2";#N/A,#N/A,FALSE,"단축3";#N/A,#N/A,FALSE,"장축";#N/A,#N/A,FALSE,"4WD"}</definedName>
    <definedName name="업체방문_1_3" localSheetId="0" hidden="1">{#N/A,#N/A,FALSE,"단축1";#N/A,#N/A,FALSE,"단축2";#N/A,#N/A,FALSE,"단축3";#N/A,#N/A,FALSE,"장축";#N/A,#N/A,FALSE,"4WD"}</definedName>
    <definedName name="업체방문_1_3" hidden="1">{#N/A,#N/A,FALSE,"단축1";#N/A,#N/A,FALSE,"단축2";#N/A,#N/A,FALSE,"단축3";#N/A,#N/A,FALSE,"장축";#N/A,#N/A,FALSE,"4WD"}</definedName>
    <definedName name="업체방문_2" localSheetId="26" hidden="1">{#N/A,#N/A,FALSE,"단축1";#N/A,#N/A,FALSE,"단축2";#N/A,#N/A,FALSE,"단축3";#N/A,#N/A,FALSE,"장축";#N/A,#N/A,FALSE,"4WD"}</definedName>
    <definedName name="업체방문_2" localSheetId="0" hidden="1">{#N/A,#N/A,FALSE,"단축1";#N/A,#N/A,FALSE,"단축2";#N/A,#N/A,FALSE,"단축3";#N/A,#N/A,FALSE,"장축";#N/A,#N/A,FALSE,"4WD"}</definedName>
    <definedName name="업체방문_2" hidden="1">{#N/A,#N/A,FALSE,"단축1";#N/A,#N/A,FALSE,"단축2";#N/A,#N/A,FALSE,"단축3";#N/A,#N/A,FALSE,"장축";#N/A,#N/A,FALSE,"4WD"}</definedName>
    <definedName name="업체방문_2_1" localSheetId="26" hidden="1">{#N/A,#N/A,FALSE,"단축1";#N/A,#N/A,FALSE,"단축2";#N/A,#N/A,FALSE,"단축3";#N/A,#N/A,FALSE,"장축";#N/A,#N/A,FALSE,"4WD"}</definedName>
    <definedName name="업체방문_2_1" localSheetId="0" hidden="1">{#N/A,#N/A,FALSE,"단축1";#N/A,#N/A,FALSE,"단축2";#N/A,#N/A,FALSE,"단축3";#N/A,#N/A,FALSE,"장축";#N/A,#N/A,FALSE,"4WD"}</definedName>
    <definedName name="업체방문_2_1" hidden="1">{#N/A,#N/A,FALSE,"단축1";#N/A,#N/A,FALSE,"단축2";#N/A,#N/A,FALSE,"단축3";#N/A,#N/A,FALSE,"장축";#N/A,#N/A,FALSE,"4WD"}</definedName>
    <definedName name="업체방문_2_2" localSheetId="26" hidden="1">{#N/A,#N/A,FALSE,"단축1";#N/A,#N/A,FALSE,"단축2";#N/A,#N/A,FALSE,"단축3";#N/A,#N/A,FALSE,"장축";#N/A,#N/A,FALSE,"4WD"}</definedName>
    <definedName name="업체방문_2_2" localSheetId="0" hidden="1">{#N/A,#N/A,FALSE,"단축1";#N/A,#N/A,FALSE,"단축2";#N/A,#N/A,FALSE,"단축3";#N/A,#N/A,FALSE,"장축";#N/A,#N/A,FALSE,"4WD"}</definedName>
    <definedName name="업체방문_2_2" hidden="1">{#N/A,#N/A,FALSE,"단축1";#N/A,#N/A,FALSE,"단축2";#N/A,#N/A,FALSE,"단축3";#N/A,#N/A,FALSE,"장축";#N/A,#N/A,FALSE,"4WD"}</definedName>
    <definedName name="업체방문_3" localSheetId="26" hidden="1">{#N/A,#N/A,FALSE,"단축1";#N/A,#N/A,FALSE,"단축2";#N/A,#N/A,FALSE,"단축3";#N/A,#N/A,FALSE,"장축";#N/A,#N/A,FALSE,"4WD"}</definedName>
    <definedName name="업체방문_3" localSheetId="0" hidden="1">{#N/A,#N/A,FALSE,"단축1";#N/A,#N/A,FALSE,"단축2";#N/A,#N/A,FALSE,"단축3";#N/A,#N/A,FALSE,"장축";#N/A,#N/A,FALSE,"4WD"}</definedName>
    <definedName name="업체방문_3" hidden="1">{#N/A,#N/A,FALSE,"단축1";#N/A,#N/A,FALSE,"단축2";#N/A,#N/A,FALSE,"단축3";#N/A,#N/A,FALSE,"장축";#N/A,#N/A,FALSE,"4WD"}</definedName>
    <definedName name="업체방문_4" localSheetId="26" hidden="1">{#N/A,#N/A,FALSE,"단축1";#N/A,#N/A,FALSE,"단축2";#N/A,#N/A,FALSE,"단축3";#N/A,#N/A,FALSE,"장축";#N/A,#N/A,FALSE,"4WD"}</definedName>
    <definedName name="업체방문_4" localSheetId="0" hidden="1">{#N/A,#N/A,FALSE,"단축1";#N/A,#N/A,FALSE,"단축2";#N/A,#N/A,FALSE,"단축3";#N/A,#N/A,FALSE,"장축";#N/A,#N/A,FALSE,"4WD"}</definedName>
    <definedName name="업체방문_4" hidden="1">{#N/A,#N/A,FALSE,"단축1";#N/A,#N/A,FALSE,"단축2";#N/A,#N/A,FALSE,"단축3";#N/A,#N/A,FALSE,"장축";#N/A,#N/A,FALSE,"4WD"}</definedName>
    <definedName name="업체방문_5" localSheetId="26" hidden="1">{#N/A,#N/A,FALSE,"단축1";#N/A,#N/A,FALSE,"단축2";#N/A,#N/A,FALSE,"단축3";#N/A,#N/A,FALSE,"장축";#N/A,#N/A,FALSE,"4WD"}</definedName>
    <definedName name="업체방문_5" localSheetId="0" hidden="1">{#N/A,#N/A,FALSE,"단축1";#N/A,#N/A,FALSE,"단축2";#N/A,#N/A,FALSE,"단축3";#N/A,#N/A,FALSE,"장축";#N/A,#N/A,FALSE,"4WD"}</definedName>
    <definedName name="업체방문_5" hidden="1">{#N/A,#N/A,FALSE,"단축1";#N/A,#N/A,FALSE,"단축2";#N/A,#N/A,FALSE,"단축3";#N/A,#N/A,FALSE,"장축";#N/A,#N/A,FALSE,"4WD"}</definedName>
    <definedName name="에어벤트" localSheetId="26" hidden="1">{#N/A,#N/A,FALSE,"단축1";#N/A,#N/A,FALSE,"단축2";#N/A,#N/A,FALSE,"단축3";#N/A,#N/A,FALSE,"장축";#N/A,#N/A,FALSE,"4WD"}</definedName>
    <definedName name="에어벤트" localSheetId="0" hidden="1">{#N/A,#N/A,FALSE,"단축1";#N/A,#N/A,FALSE,"단축2";#N/A,#N/A,FALSE,"단축3";#N/A,#N/A,FALSE,"장축";#N/A,#N/A,FALSE,"4WD"}</definedName>
    <definedName name="에어벤트" hidden="1">{#N/A,#N/A,FALSE,"단축1";#N/A,#N/A,FALSE,"단축2";#N/A,#N/A,FALSE,"단축3";#N/A,#N/A,FALSE,"장축";#N/A,#N/A,FALSE,"4WD"}</definedName>
    <definedName name="에어벤트_1" localSheetId="26" hidden="1">{#N/A,#N/A,FALSE,"단축1";#N/A,#N/A,FALSE,"단축2";#N/A,#N/A,FALSE,"단축3";#N/A,#N/A,FALSE,"장축";#N/A,#N/A,FALSE,"4WD"}</definedName>
    <definedName name="에어벤트_1" localSheetId="0" hidden="1">{#N/A,#N/A,FALSE,"단축1";#N/A,#N/A,FALSE,"단축2";#N/A,#N/A,FALSE,"단축3";#N/A,#N/A,FALSE,"장축";#N/A,#N/A,FALSE,"4WD"}</definedName>
    <definedName name="에어벤트_1" hidden="1">{#N/A,#N/A,FALSE,"단축1";#N/A,#N/A,FALSE,"단축2";#N/A,#N/A,FALSE,"단축3";#N/A,#N/A,FALSE,"장축";#N/A,#N/A,FALSE,"4WD"}</definedName>
    <definedName name="에어벤트_1_1" localSheetId="26" hidden="1">{#N/A,#N/A,FALSE,"단축1";#N/A,#N/A,FALSE,"단축2";#N/A,#N/A,FALSE,"단축3";#N/A,#N/A,FALSE,"장축";#N/A,#N/A,FALSE,"4WD"}</definedName>
    <definedName name="에어벤트_1_1" localSheetId="0" hidden="1">{#N/A,#N/A,FALSE,"단축1";#N/A,#N/A,FALSE,"단축2";#N/A,#N/A,FALSE,"단축3";#N/A,#N/A,FALSE,"장축";#N/A,#N/A,FALSE,"4WD"}</definedName>
    <definedName name="에어벤트_1_1" hidden="1">{#N/A,#N/A,FALSE,"단축1";#N/A,#N/A,FALSE,"단축2";#N/A,#N/A,FALSE,"단축3";#N/A,#N/A,FALSE,"장축";#N/A,#N/A,FALSE,"4WD"}</definedName>
    <definedName name="에어벤트_1_2" localSheetId="26" hidden="1">{#N/A,#N/A,FALSE,"단축1";#N/A,#N/A,FALSE,"단축2";#N/A,#N/A,FALSE,"단축3";#N/A,#N/A,FALSE,"장축";#N/A,#N/A,FALSE,"4WD"}</definedName>
    <definedName name="에어벤트_1_2" localSheetId="0" hidden="1">{#N/A,#N/A,FALSE,"단축1";#N/A,#N/A,FALSE,"단축2";#N/A,#N/A,FALSE,"단축3";#N/A,#N/A,FALSE,"장축";#N/A,#N/A,FALSE,"4WD"}</definedName>
    <definedName name="에어벤트_1_2" hidden="1">{#N/A,#N/A,FALSE,"단축1";#N/A,#N/A,FALSE,"단축2";#N/A,#N/A,FALSE,"단축3";#N/A,#N/A,FALSE,"장축";#N/A,#N/A,FALSE,"4WD"}</definedName>
    <definedName name="에어벤트_1_3" localSheetId="26" hidden="1">{#N/A,#N/A,FALSE,"단축1";#N/A,#N/A,FALSE,"단축2";#N/A,#N/A,FALSE,"단축3";#N/A,#N/A,FALSE,"장축";#N/A,#N/A,FALSE,"4WD"}</definedName>
    <definedName name="에어벤트_1_3" localSheetId="0" hidden="1">{#N/A,#N/A,FALSE,"단축1";#N/A,#N/A,FALSE,"단축2";#N/A,#N/A,FALSE,"단축3";#N/A,#N/A,FALSE,"장축";#N/A,#N/A,FALSE,"4WD"}</definedName>
    <definedName name="에어벤트_1_3" hidden="1">{#N/A,#N/A,FALSE,"단축1";#N/A,#N/A,FALSE,"단축2";#N/A,#N/A,FALSE,"단축3";#N/A,#N/A,FALSE,"장축";#N/A,#N/A,FALSE,"4WD"}</definedName>
    <definedName name="에어벤트_2" localSheetId="26" hidden="1">{#N/A,#N/A,FALSE,"단축1";#N/A,#N/A,FALSE,"단축2";#N/A,#N/A,FALSE,"단축3";#N/A,#N/A,FALSE,"장축";#N/A,#N/A,FALSE,"4WD"}</definedName>
    <definedName name="에어벤트_2" localSheetId="0" hidden="1">{#N/A,#N/A,FALSE,"단축1";#N/A,#N/A,FALSE,"단축2";#N/A,#N/A,FALSE,"단축3";#N/A,#N/A,FALSE,"장축";#N/A,#N/A,FALSE,"4WD"}</definedName>
    <definedName name="에어벤트_2" hidden="1">{#N/A,#N/A,FALSE,"단축1";#N/A,#N/A,FALSE,"단축2";#N/A,#N/A,FALSE,"단축3";#N/A,#N/A,FALSE,"장축";#N/A,#N/A,FALSE,"4WD"}</definedName>
    <definedName name="에어벤트_2_1" localSheetId="26" hidden="1">{#N/A,#N/A,FALSE,"단축1";#N/A,#N/A,FALSE,"단축2";#N/A,#N/A,FALSE,"단축3";#N/A,#N/A,FALSE,"장축";#N/A,#N/A,FALSE,"4WD"}</definedName>
    <definedName name="에어벤트_2_1" localSheetId="0" hidden="1">{#N/A,#N/A,FALSE,"단축1";#N/A,#N/A,FALSE,"단축2";#N/A,#N/A,FALSE,"단축3";#N/A,#N/A,FALSE,"장축";#N/A,#N/A,FALSE,"4WD"}</definedName>
    <definedName name="에어벤트_2_1" hidden="1">{#N/A,#N/A,FALSE,"단축1";#N/A,#N/A,FALSE,"단축2";#N/A,#N/A,FALSE,"단축3";#N/A,#N/A,FALSE,"장축";#N/A,#N/A,FALSE,"4WD"}</definedName>
    <definedName name="에어벤트_2_2" localSheetId="26" hidden="1">{#N/A,#N/A,FALSE,"단축1";#N/A,#N/A,FALSE,"단축2";#N/A,#N/A,FALSE,"단축3";#N/A,#N/A,FALSE,"장축";#N/A,#N/A,FALSE,"4WD"}</definedName>
    <definedName name="에어벤트_2_2" localSheetId="0" hidden="1">{#N/A,#N/A,FALSE,"단축1";#N/A,#N/A,FALSE,"단축2";#N/A,#N/A,FALSE,"단축3";#N/A,#N/A,FALSE,"장축";#N/A,#N/A,FALSE,"4WD"}</definedName>
    <definedName name="에어벤트_2_2" hidden="1">{#N/A,#N/A,FALSE,"단축1";#N/A,#N/A,FALSE,"단축2";#N/A,#N/A,FALSE,"단축3";#N/A,#N/A,FALSE,"장축";#N/A,#N/A,FALSE,"4WD"}</definedName>
    <definedName name="에어벤트_3" localSheetId="26" hidden="1">{#N/A,#N/A,FALSE,"단축1";#N/A,#N/A,FALSE,"단축2";#N/A,#N/A,FALSE,"단축3";#N/A,#N/A,FALSE,"장축";#N/A,#N/A,FALSE,"4WD"}</definedName>
    <definedName name="에어벤트_3" localSheetId="0" hidden="1">{#N/A,#N/A,FALSE,"단축1";#N/A,#N/A,FALSE,"단축2";#N/A,#N/A,FALSE,"단축3";#N/A,#N/A,FALSE,"장축";#N/A,#N/A,FALSE,"4WD"}</definedName>
    <definedName name="에어벤트_3" hidden="1">{#N/A,#N/A,FALSE,"단축1";#N/A,#N/A,FALSE,"단축2";#N/A,#N/A,FALSE,"단축3";#N/A,#N/A,FALSE,"장축";#N/A,#N/A,FALSE,"4WD"}</definedName>
    <definedName name="에어벤트_4" localSheetId="26" hidden="1">{#N/A,#N/A,FALSE,"단축1";#N/A,#N/A,FALSE,"단축2";#N/A,#N/A,FALSE,"단축3";#N/A,#N/A,FALSE,"장축";#N/A,#N/A,FALSE,"4WD"}</definedName>
    <definedName name="에어벤트_4" localSheetId="0" hidden="1">{#N/A,#N/A,FALSE,"단축1";#N/A,#N/A,FALSE,"단축2";#N/A,#N/A,FALSE,"단축3";#N/A,#N/A,FALSE,"장축";#N/A,#N/A,FALSE,"4WD"}</definedName>
    <definedName name="에어벤트_4" hidden="1">{#N/A,#N/A,FALSE,"단축1";#N/A,#N/A,FALSE,"단축2";#N/A,#N/A,FALSE,"단축3";#N/A,#N/A,FALSE,"장축";#N/A,#N/A,FALSE,"4WD"}</definedName>
    <definedName name="에어벤트_5" localSheetId="26" hidden="1">{#N/A,#N/A,FALSE,"단축1";#N/A,#N/A,FALSE,"단축2";#N/A,#N/A,FALSE,"단축3";#N/A,#N/A,FALSE,"장축";#N/A,#N/A,FALSE,"4WD"}</definedName>
    <definedName name="에어벤트_5" localSheetId="0" hidden="1">{#N/A,#N/A,FALSE,"단축1";#N/A,#N/A,FALSE,"단축2";#N/A,#N/A,FALSE,"단축3";#N/A,#N/A,FALSE,"장축";#N/A,#N/A,FALSE,"4WD"}</definedName>
    <definedName name="에어벤트_5" hidden="1">{#N/A,#N/A,FALSE,"단축1";#N/A,#N/A,FALSE,"단축2";#N/A,#N/A,FALSE,"단축3";#N/A,#N/A,FALSE,"장축";#N/A,#N/A,FALSE,"4WD"}</definedName>
    <definedName name="엔진" localSheetId="26" hidden="1">{#N/A,#N/A,FALSE,"단축1";#N/A,#N/A,FALSE,"단축2";#N/A,#N/A,FALSE,"단축3";#N/A,#N/A,FALSE,"장축";#N/A,#N/A,FALSE,"4WD"}</definedName>
    <definedName name="엔진" localSheetId="0" hidden="1">{#N/A,#N/A,FALSE,"단축1";#N/A,#N/A,FALSE,"단축2";#N/A,#N/A,FALSE,"단축3";#N/A,#N/A,FALSE,"장축";#N/A,#N/A,FALSE,"4WD"}</definedName>
    <definedName name="엔진" hidden="1">{#N/A,#N/A,FALSE,"단축1";#N/A,#N/A,FALSE,"단축2";#N/A,#N/A,FALSE,"단축3";#N/A,#N/A,FALSE,"장축";#N/A,#N/A,FALSE,"4WD"}</definedName>
    <definedName name="엔진_1" localSheetId="26" hidden="1">{#N/A,#N/A,FALSE,"단축1";#N/A,#N/A,FALSE,"단축2";#N/A,#N/A,FALSE,"단축3";#N/A,#N/A,FALSE,"장축";#N/A,#N/A,FALSE,"4WD"}</definedName>
    <definedName name="엔진_1" localSheetId="0" hidden="1">{#N/A,#N/A,FALSE,"단축1";#N/A,#N/A,FALSE,"단축2";#N/A,#N/A,FALSE,"단축3";#N/A,#N/A,FALSE,"장축";#N/A,#N/A,FALSE,"4WD"}</definedName>
    <definedName name="엔진_1" hidden="1">{#N/A,#N/A,FALSE,"단축1";#N/A,#N/A,FALSE,"단축2";#N/A,#N/A,FALSE,"단축3";#N/A,#N/A,FALSE,"장축";#N/A,#N/A,FALSE,"4WD"}</definedName>
    <definedName name="엔진_1_1" localSheetId="26" hidden="1">{#N/A,#N/A,FALSE,"단축1";#N/A,#N/A,FALSE,"단축2";#N/A,#N/A,FALSE,"단축3";#N/A,#N/A,FALSE,"장축";#N/A,#N/A,FALSE,"4WD"}</definedName>
    <definedName name="엔진_1_1" localSheetId="0" hidden="1">{#N/A,#N/A,FALSE,"단축1";#N/A,#N/A,FALSE,"단축2";#N/A,#N/A,FALSE,"단축3";#N/A,#N/A,FALSE,"장축";#N/A,#N/A,FALSE,"4WD"}</definedName>
    <definedName name="엔진_1_1" hidden="1">{#N/A,#N/A,FALSE,"단축1";#N/A,#N/A,FALSE,"단축2";#N/A,#N/A,FALSE,"단축3";#N/A,#N/A,FALSE,"장축";#N/A,#N/A,FALSE,"4WD"}</definedName>
    <definedName name="엔진_1_2" localSheetId="26" hidden="1">{#N/A,#N/A,FALSE,"단축1";#N/A,#N/A,FALSE,"단축2";#N/A,#N/A,FALSE,"단축3";#N/A,#N/A,FALSE,"장축";#N/A,#N/A,FALSE,"4WD"}</definedName>
    <definedName name="엔진_1_2" localSheetId="0" hidden="1">{#N/A,#N/A,FALSE,"단축1";#N/A,#N/A,FALSE,"단축2";#N/A,#N/A,FALSE,"단축3";#N/A,#N/A,FALSE,"장축";#N/A,#N/A,FALSE,"4WD"}</definedName>
    <definedName name="엔진_1_2" hidden="1">{#N/A,#N/A,FALSE,"단축1";#N/A,#N/A,FALSE,"단축2";#N/A,#N/A,FALSE,"단축3";#N/A,#N/A,FALSE,"장축";#N/A,#N/A,FALSE,"4WD"}</definedName>
    <definedName name="엔진_1_3" localSheetId="26" hidden="1">{#N/A,#N/A,FALSE,"단축1";#N/A,#N/A,FALSE,"단축2";#N/A,#N/A,FALSE,"단축3";#N/A,#N/A,FALSE,"장축";#N/A,#N/A,FALSE,"4WD"}</definedName>
    <definedName name="엔진_1_3" localSheetId="0" hidden="1">{#N/A,#N/A,FALSE,"단축1";#N/A,#N/A,FALSE,"단축2";#N/A,#N/A,FALSE,"단축3";#N/A,#N/A,FALSE,"장축";#N/A,#N/A,FALSE,"4WD"}</definedName>
    <definedName name="엔진_1_3" hidden="1">{#N/A,#N/A,FALSE,"단축1";#N/A,#N/A,FALSE,"단축2";#N/A,#N/A,FALSE,"단축3";#N/A,#N/A,FALSE,"장축";#N/A,#N/A,FALSE,"4WD"}</definedName>
    <definedName name="엔진_2" localSheetId="26" hidden="1">{#N/A,#N/A,FALSE,"단축1";#N/A,#N/A,FALSE,"단축2";#N/A,#N/A,FALSE,"단축3";#N/A,#N/A,FALSE,"장축";#N/A,#N/A,FALSE,"4WD"}</definedName>
    <definedName name="엔진_2" localSheetId="0" hidden="1">{#N/A,#N/A,FALSE,"단축1";#N/A,#N/A,FALSE,"단축2";#N/A,#N/A,FALSE,"단축3";#N/A,#N/A,FALSE,"장축";#N/A,#N/A,FALSE,"4WD"}</definedName>
    <definedName name="엔진_2" hidden="1">{#N/A,#N/A,FALSE,"단축1";#N/A,#N/A,FALSE,"단축2";#N/A,#N/A,FALSE,"단축3";#N/A,#N/A,FALSE,"장축";#N/A,#N/A,FALSE,"4WD"}</definedName>
    <definedName name="엔진_2_1" localSheetId="26" hidden="1">{#N/A,#N/A,FALSE,"단축1";#N/A,#N/A,FALSE,"단축2";#N/A,#N/A,FALSE,"단축3";#N/A,#N/A,FALSE,"장축";#N/A,#N/A,FALSE,"4WD"}</definedName>
    <definedName name="엔진_2_1" localSheetId="0" hidden="1">{#N/A,#N/A,FALSE,"단축1";#N/A,#N/A,FALSE,"단축2";#N/A,#N/A,FALSE,"단축3";#N/A,#N/A,FALSE,"장축";#N/A,#N/A,FALSE,"4WD"}</definedName>
    <definedName name="엔진_2_1" hidden="1">{#N/A,#N/A,FALSE,"단축1";#N/A,#N/A,FALSE,"단축2";#N/A,#N/A,FALSE,"단축3";#N/A,#N/A,FALSE,"장축";#N/A,#N/A,FALSE,"4WD"}</definedName>
    <definedName name="엔진_2_2" localSheetId="26" hidden="1">{#N/A,#N/A,FALSE,"단축1";#N/A,#N/A,FALSE,"단축2";#N/A,#N/A,FALSE,"단축3";#N/A,#N/A,FALSE,"장축";#N/A,#N/A,FALSE,"4WD"}</definedName>
    <definedName name="엔진_2_2" localSheetId="0" hidden="1">{#N/A,#N/A,FALSE,"단축1";#N/A,#N/A,FALSE,"단축2";#N/A,#N/A,FALSE,"단축3";#N/A,#N/A,FALSE,"장축";#N/A,#N/A,FALSE,"4WD"}</definedName>
    <definedName name="엔진_2_2" hidden="1">{#N/A,#N/A,FALSE,"단축1";#N/A,#N/A,FALSE,"단축2";#N/A,#N/A,FALSE,"단축3";#N/A,#N/A,FALSE,"장축";#N/A,#N/A,FALSE,"4WD"}</definedName>
    <definedName name="엔진_3" localSheetId="26" hidden="1">{#N/A,#N/A,FALSE,"단축1";#N/A,#N/A,FALSE,"단축2";#N/A,#N/A,FALSE,"단축3";#N/A,#N/A,FALSE,"장축";#N/A,#N/A,FALSE,"4WD"}</definedName>
    <definedName name="엔진_3" localSheetId="0" hidden="1">{#N/A,#N/A,FALSE,"단축1";#N/A,#N/A,FALSE,"단축2";#N/A,#N/A,FALSE,"단축3";#N/A,#N/A,FALSE,"장축";#N/A,#N/A,FALSE,"4WD"}</definedName>
    <definedName name="엔진_3" hidden="1">{#N/A,#N/A,FALSE,"단축1";#N/A,#N/A,FALSE,"단축2";#N/A,#N/A,FALSE,"단축3";#N/A,#N/A,FALSE,"장축";#N/A,#N/A,FALSE,"4WD"}</definedName>
    <definedName name="엔진_4" localSheetId="26" hidden="1">{#N/A,#N/A,FALSE,"단축1";#N/A,#N/A,FALSE,"단축2";#N/A,#N/A,FALSE,"단축3";#N/A,#N/A,FALSE,"장축";#N/A,#N/A,FALSE,"4WD"}</definedName>
    <definedName name="엔진_4" localSheetId="0" hidden="1">{#N/A,#N/A,FALSE,"단축1";#N/A,#N/A,FALSE,"단축2";#N/A,#N/A,FALSE,"단축3";#N/A,#N/A,FALSE,"장축";#N/A,#N/A,FALSE,"4WD"}</definedName>
    <definedName name="엔진_4" hidden="1">{#N/A,#N/A,FALSE,"단축1";#N/A,#N/A,FALSE,"단축2";#N/A,#N/A,FALSE,"단축3";#N/A,#N/A,FALSE,"장축";#N/A,#N/A,FALSE,"4WD"}</definedName>
    <definedName name="엔진_5" localSheetId="26" hidden="1">{#N/A,#N/A,FALSE,"단축1";#N/A,#N/A,FALSE,"단축2";#N/A,#N/A,FALSE,"단축3";#N/A,#N/A,FALSE,"장축";#N/A,#N/A,FALSE,"4WD"}</definedName>
    <definedName name="엔진_5" localSheetId="0" hidden="1">{#N/A,#N/A,FALSE,"단축1";#N/A,#N/A,FALSE,"단축2";#N/A,#N/A,FALSE,"단축3";#N/A,#N/A,FALSE,"장축";#N/A,#N/A,FALSE,"4WD"}</definedName>
    <definedName name="엔진_5" hidden="1">{#N/A,#N/A,FALSE,"단축1";#N/A,#N/A,FALSE,"단축2";#N/A,#N/A,FALSE,"단축3";#N/A,#N/A,FALSE,"장축";#N/A,#N/A,FALSE,"4WD"}</definedName>
    <definedName name="오" localSheetId="26" hidden="1">{#N/A,#N/A,FALSE,"단축1";#N/A,#N/A,FALSE,"단축2";#N/A,#N/A,FALSE,"단축3";#N/A,#N/A,FALSE,"장축";#N/A,#N/A,FALSE,"4WD"}</definedName>
    <definedName name="오" localSheetId="0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오_1" localSheetId="26" hidden="1">{#N/A,#N/A,FALSE,"단축1";#N/A,#N/A,FALSE,"단축2";#N/A,#N/A,FALSE,"단축3";#N/A,#N/A,FALSE,"장축";#N/A,#N/A,FALSE,"4WD"}</definedName>
    <definedName name="오_1" localSheetId="0" hidden="1">{#N/A,#N/A,FALSE,"단축1";#N/A,#N/A,FALSE,"단축2";#N/A,#N/A,FALSE,"단축3";#N/A,#N/A,FALSE,"장축";#N/A,#N/A,FALSE,"4WD"}</definedName>
    <definedName name="오_1" hidden="1">{#N/A,#N/A,FALSE,"단축1";#N/A,#N/A,FALSE,"단축2";#N/A,#N/A,FALSE,"단축3";#N/A,#N/A,FALSE,"장축";#N/A,#N/A,FALSE,"4WD"}</definedName>
    <definedName name="오_1_1" localSheetId="26" hidden="1">{#N/A,#N/A,FALSE,"단축1";#N/A,#N/A,FALSE,"단축2";#N/A,#N/A,FALSE,"단축3";#N/A,#N/A,FALSE,"장축";#N/A,#N/A,FALSE,"4WD"}</definedName>
    <definedName name="오_1_1" localSheetId="0" hidden="1">{#N/A,#N/A,FALSE,"단축1";#N/A,#N/A,FALSE,"단축2";#N/A,#N/A,FALSE,"단축3";#N/A,#N/A,FALSE,"장축";#N/A,#N/A,FALSE,"4WD"}</definedName>
    <definedName name="오_1_1" hidden="1">{#N/A,#N/A,FALSE,"단축1";#N/A,#N/A,FALSE,"단축2";#N/A,#N/A,FALSE,"단축3";#N/A,#N/A,FALSE,"장축";#N/A,#N/A,FALSE,"4WD"}</definedName>
    <definedName name="오_1_2" localSheetId="26" hidden="1">{#N/A,#N/A,FALSE,"단축1";#N/A,#N/A,FALSE,"단축2";#N/A,#N/A,FALSE,"단축3";#N/A,#N/A,FALSE,"장축";#N/A,#N/A,FALSE,"4WD"}</definedName>
    <definedName name="오_1_2" localSheetId="0" hidden="1">{#N/A,#N/A,FALSE,"단축1";#N/A,#N/A,FALSE,"단축2";#N/A,#N/A,FALSE,"단축3";#N/A,#N/A,FALSE,"장축";#N/A,#N/A,FALSE,"4WD"}</definedName>
    <definedName name="오_1_2" hidden="1">{#N/A,#N/A,FALSE,"단축1";#N/A,#N/A,FALSE,"단축2";#N/A,#N/A,FALSE,"단축3";#N/A,#N/A,FALSE,"장축";#N/A,#N/A,FALSE,"4WD"}</definedName>
    <definedName name="오_1_3" localSheetId="26" hidden="1">{#N/A,#N/A,FALSE,"단축1";#N/A,#N/A,FALSE,"단축2";#N/A,#N/A,FALSE,"단축3";#N/A,#N/A,FALSE,"장축";#N/A,#N/A,FALSE,"4WD"}</definedName>
    <definedName name="오_1_3" localSheetId="0" hidden="1">{#N/A,#N/A,FALSE,"단축1";#N/A,#N/A,FALSE,"단축2";#N/A,#N/A,FALSE,"단축3";#N/A,#N/A,FALSE,"장축";#N/A,#N/A,FALSE,"4WD"}</definedName>
    <definedName name="오_1_3" hidden="1">{#N/A,#N/A,FALSE,"단축1";#N/A,#N/A,FALSE,"단축2";#N/A,#N/A,FALSE,"단축3";#N/A,#N/A,FALSE,"장축";#N/A,#N/A,FALSE,"4WD"}</definedName>
    <definedName name="오_2" localSheetId="26" hidden="1">{#N/A,#N/A,FALSE,"단축1";#N/A,#N/A,FALSE,"단축2";#N/A,#N/A,FALSE,"단축3";#N/A,#N/A,FALSE,"장축";#N/A,#N/A,FALSE,"4WD"}</definedName>
    <definedName name="오_2" localSheetId="0" hidden="1">{#N/A,#N/A,FALSE,"단축1";#N/A,#N/A,FALSE,"단축2";#N/A,#N/A,FALSE,"단축3";#N/A,#N/A,FALSE,"장축";#N/A,#N/A,FALSE,"4WD"}</definedName>
    <definedName name="오_2" hidden="1">{#N/A,#N/A,FALSE,"단축1";#N/A,#N/A,FALSE,"단축2";#N/A,#N/A,FALSE,"단축3";#N/A,#N/A,FALSE,"장축";#N/A,#N/A,FALSE,"4WD"}</definedName>
    <definedName name="오_2_1" localSheetId="26" hidden="1">{#N/A,#N/A,FALSE,"단축1";#N/A,#N/A,FALSE,"단축2";#N/A,#N/A,FALSE,"단축3";#N/A,#N/A,FALSE,"장축";#N/A,#N/A,FALSE,"4WD"}</definedName>
    <definedName name="오_2_1" localSheetId="0" hidden="1">{#N/A,#N/A,FALSE,"단축1";#N/A,#N/A,FALSE,"단축2";#N/A,#N/A,FALSE,"단축3";#N/A,#N/A,FALSE,"장축";#N/A,#N/A,FALSE,"4WD"}</definedName>
    <definedName name="오_2_1" hidden="1">{#N/A,#N/A,FALSE,"단축1";#N/A,#N/A,FALSE,"단축2";#N/A,#N/A,FALSE,"단축3";#N/A,#N/A,FALSE,"장축";#N/A,#N/A,FALSE,"4WD"}</definedName>
    <definedName name="오_2_2" localSheetId="26" hidden="1">{#N/A,#N/A,FALSE,"단축1";#N/A,#N/A,FALSE,"단축2";#N/A,#N/A,FALSE,"단축3";#N/A,#N/A,FALSE,"장축";#N/A,#N/A,FALSE,"4WD"}</definedName>
    <definedName name="오_2_2" localSheetId="0" hidden="1">{#N/A,#N/A,FALSE,"단축1";#N/A,#N/A,FALSE,"단축2";#N/A,#N/A,FALSE,"단축3";#N/A,#N/A,FALSE,"장축";#N/A,#N/A,FALSE,"4WD"}</definedName>
    <definedName name="오_2_2" hidden="1">{#N/A,#N/A,FALSE,"단축1";#N/A,#N/A,FALSE,"단축2";#N/A,#N/A,FALSE,"단축3";#N/A,#N/A,FALSE,"장축";#N/A,#N/A,FALSE,"4WD"}</definedName>
    <definedName name="오_3" localSheetId="26" hidden="1">{#N/A,#N/A,FALSE,"단축1";#N/A,#N/A,FALSE,"단축2";#N/A,#N/A,FALSE,"단축3";#N/A,#N/A,FALSE,"장축";#N/A,#N/A,FALSE,"4WD"}</definedName>
    <definedName name="오_3" localSheetId="0" hidden="1">{#N/A,#N/A,FALSE,"단축1";#N/A,#N/A,FALSE,"단축2";#N/A,#N/A,FALSE,"단축3";#N/A,#N/A,FALSE,"장축";#N/A,#N/A,FALSE,"4WD"}</definedName>
    <definedName name="오_3" hidden="1">{#N/A,#N/A,FALSE,"단축1";#N/A,#N/A,FALSE,"단축2";#N/A,#N/A,FALSE,"단축3";#N/A,#N/A,FALSE,"장축";#N/A,#N/A,FALSE,"4WD"}</definedName>
    <definedName name="오_4" localSheetId="26" hidden="1">{#N/A,#N/A,FALSE,"단축1";#N/A,#N/A,FALSE,"단축2";#N/A,#N/A,FALSE,"단축3";#N/A,#N/A,FALSE,"장축";#N/A,#N/A,FALSE,"4WD"}</definedName>
    <definedName name="오_4" localSheetId="0" hidden="1">{#N/A,#N/A,FALSE,"단축1";#N/A,#N/A,FALSE,"단축2";#N/A,#N/A,FALSE,"단축3";#N/A,#N/A,FALSE,"장축";#N/A,#N/A,FALSE,"4WD"}</definedName>
    <definedName name="오_4" hidden="1">{#N/A,#N/A,FALSE,"단축1";#N/A,#N/A,FALSE,"단축2";#N/A,#N/A,FALSE,"단축3";#N/A,#N/A,FALSE,"장축";#N/A,#N/A,FALSE,"4WD"}</definedName>
    <definedName name="오_5" localSheetId="26" hidden="1">{#N/A,#N/A,FALSE,"단축1";#N/A,#N/A,FALSE,"단축2";#N/A,#N/A,FALSE,"단축3";#N/A,#N/A,FALSE,"장축";#N/A,#N/A,FALSE,"4WD"}</definedName>
    <definedName name="오_5" localSheetId="0" hidden="1">{#N/A,#N/A,FALSE,"단축1";#N/A,#N/A,FALSE,"단축2";#N/A,#N/A,FALSE,"단축3";#N/A,#N/A,FALSE,"장축";#N/A,#N/A,FALSE,"4WD"}</definedName>
    <definedName name="오_5" hidden="1">{#N/A,#N/A,FALSE,"단축1";#N/A,#N/A,FALSE,"단축2";#N/A,#N/A,FALSE,"단축3";#N/A,#N/A,FALSE,"장축";#N/A,#N/A,FALSE,"4WD"}</definedName>
    <definedName name="이란" localSheetId="26" hidden="1">{#N/A,#N/A,FALSE,"단축1";#N/A,#N/A,FALSE,"단축2";#N/A,#N/A,FALSE,"단축3";#N/A,#N/A,FALSE,"장축";#N/A,#N/A,FALSE,"4WD"}</definedName>
    <definedName name="이란" localSheetId="0" hidden="1">{#N/A,#N/A,FALSE,"단축1";#N/A,#N/A,FALSE,"단축2";#N/A,#N/A,FALSE,"단축3";#N/A,#N/A,FALSE,"장축";#N/A,#N/A,FALSE,"4WD"}</definedName>
    <definedName name="이란" hidden="1">{#N/A,#N/A,FALSE,"단축1";#N/A,#N/A,FALSE,"단축2";#N/A,#N/A,FALSE,"단축3";#N/A,#N/A,FALSE,"장축";#N/A,#N/A,FALSE,"4WD"}</definedName>
    <definedName name="이란_1" localSheetId="26" hidden="1">{#N/A,#N/A,FALSE,"단축1";#N/A,#N/A,FALSE,"단축2";#N/A,#N/A,FALSE,"단축3";#N/A,#N/A,FALSE,"장축";#N/A,#N/A,FALSE,"4WD"}</definedName>
    <definedName name="이란_1" localSheetId="0" hidden="1">{#N/A,#N/A,FALSE,"단축1";#N/A,#N/A,FALSE,"단축2";#N/A,#N/A,FALSE,"단축3";#N/A,#N/A,FALSE,"장축";#N/A,#N/A,FALSE,"4WD"}</definedName>
    <definedName name="이란_1" hidden="1">{#N/A,#N/A,FALSE,"단축1";#N/A,#N/A,FALSE,"단축2";#N/A,#N/A,FALSE,"단축3";#N/A,#N/A,FALSE,"장축";#N/A,#N/A,FALSE,"4WD"}</definedName>
    <definedName name="이란_1_1" localSheetId="26" hidden="1">{#N/A,#N/A,FALSE,"단축1";#N/A,#N/A,FALSE,"단축2";#N/A,#N/A,FALSE,"단축3";#N/A,#N/A,FALSE,"장축";#N/A,#N/A,FALSE,"4WD"}</definedName>
    <definedName name="이란_1_1" localSheetId="0" hidden="1">{#N/A,#N/A,FALSE,"단축1";#N/A,#N/A,FALSE,"단축2";#N/A,#N/A,FALSE,"단축3";#N/A,#N/A,FALSE,"장축";#N/A,#N/A,FALSE,"4WD"}</definedName>
    <definedName name="이란_1_1" hidden="1">{#N/A,#N/A,FALSE,"단축1";#N/A,#N/A,FALSE,"단축2";#N/A,#N/A,FALSE,"단축3";#N/A,#N/A,FALSE,"장축";#N/A,#N/A,FALSE,"4WD"}</definedName>
    <definedName name="이란_1_2" localSheetId="26" hidden="1">{#N/A,#N/A,FALSE,"단축1";#N/A,#N/A,FALSE,"단축2";#N/A,#N/A,FALSE,"단축3";#N/A,#N/A,FALSE,"장축";#N/A,#N/A,FALSE,"4WD"}</definedName>
    <definedName name="이란_1_2" localSheetId="0" hidden="1">{#N/A,#N/A,FALSE,"단축1";#N/A,#N/A,FALSE,"단축2";#N/A,#N/A,FALSE,"단축3";#N/A,#N/A,FALSE,"장축";#N/A,#N/A,FALSE,"4WD"}</definedName>
    <definedName name="이란_1_2" hidden="1">{#N/A,#N/A,FALSE,"단축1";#N/A,#N/A,FALSE,"단축2";#N/A,#N/A,FALSE,"단축3";#N/A,#N/A,FALSE,"장축";#N/A,#N/A,FALSE,"4WD"}</definedName>
    <definedName name="이란_1_3" localSheetId="26" hidden="1">{#N/A,#N/A,FALSE,"단축1";#N/A,#N/A,FALSE,"단축2";#N/A,#N/A,FALSE,"단축3";#N/A,#N/A,FALSE,"장축";#N/A,#N/A,FALSE,"4WD"}</definedName>
    <definedName name="이란_1_3" localSheetId="0" hidden="1">{#N/A,#N/A,FALSE,"단축1";#N/A,#N/A,FALSE,"단축2";#N/A,#N/A,FALSE,"단축3";#N/A,#N/A,FALSE,"장축";#N/A,#N/A,FALSE,"4WD"}</definedName>
    <definedName name="이란_1_3" hidden="1">{#N/A,#N/A,FALSE,"단축1";#N/A,#N/A,FALSE,"단축2";#N/A,#N/A,FALSE,"단축3";#N/A,#N/A,FALSE,"장축";#N/A,#N/A,FALSE,"4WD"}</definedName>
    <definedName name="이란_2" localSheetId="26" hidden="1">{#N/A,#N/A,FALSE,"단축1";#N/A,#N/A,FALSE,"단축2";#N/A,#N/A,FALSE,"단축3";#N/A,#N/A,FALSE,"장축";#N/A,#N/A,FALSE,"4WD"}</definedName>
    <definedName name="이란_2" localSheetId="0" hidden="1">{#N/A,#N/A,FALSE,"단축1";#N/A,#N/A,FALSE,"단축2";#N/A,#N/A,FALSE,"단축3";#N/A,#N/A,FALSE,"장축";#N/A,#N/A,FALSE,"4WD"}</definedName>
    <definedName name="이란_2" hidden="1">{#N/A,#N/A,FALSE,"단축1";#N/A,#N/A,FALSE,"단축2";#N/A,#N/A,FALSE,"단축3";#N/A,#N/A,FALSE,"장축";#N/A,#N/A,FALSE,"4WD"}</definedName>
    <definedName name="이란_2_1" localSheetId="26" hidden="1">{#N/A,#N/A,FALSE,"단축1";#N/A,#N/A,FALSE,"단축2";#N/A,#N/A,FALSE,"단축3";#N/A,#N/A,FALSE,"장축";#N/A,#N/A,FALSE,"4WD"}</definedName>
    <definedName name="이란_2_1" localSheetId="0" hidden="1">{#N/A,#N/A,FALSE,"단축1";#N/A,#N/A,FALSE,"단축2";#N/A,#N/A,FALSE,"단축3";#N/A,#N/A,FALSE,"장축";#N/A,#N/A,FALSE,"4WD"}</definedName>
    <definedName name="이란_2_1" hidden="1">{#N/A,#N/A,FALSE,"단축1";#N/A,#N/A,FALSE,"단축2";#N/A,#N/A,FALSE,"단축3";#N/A,#N/A,FALSE,"장축";#N/A,#N/A,FALSE,"4WD"}</definedName>
    <definedName name="이란_2_2" localSheetId="26" hidden="1">{#N/A,#N/A,FALSE,"단축1";#N/A,#N/A,FALSE,"단축2";#N/A,#N/A,FALSE,"단축3";#N/A,#N/A,FALSE,"장축";#N/A,#N/A,FALSE,"4WD"}</definedName>
    <definedName name="이란_2_2" localSheetId="0" hidden="1">{#N/A,#N/A,FALSE,"단축1";#N/A,#N/A,FALSE,"단축2";#N/A,#N/A,FALSE,"단축3";#N/A,#N/A,FALSE,"장축";#N/A,#N/A,FALSE,"4WD"}</definedName>
    <definedName name="이란_2_2" hidden="1">{#N/A,#N/A,FALSE,"단축1";#N/A,#N/A,FALSE,"단축2";#N/A,#N/A,FALSE,"단축3";#N/A,#N/A,FALSE,"장축";#N/A,#N/A,FALSE,"4WD"}</definedName>
    <definedName name="이란_3" localSheetId="26" hidden="1">{#N/A,#N/A,FALSE,"단축1";#N/A,#N/A,FALSE,"단축2";#N/A,#N/A,FALSE,"단축3";#N/A,#N/A,FALSE,"장축";#N/A,#N/A,FALSE,"4WD"}</definedName>
    <definedName name="이란_3" localSheetId="0" hidden="1">{#N/A,#N/A,FALSE,"단축1";#N/A,#N/A,FALSE,"단축2";#N/A,#N/A,FALSE,"단축3";#N/A,#N/A,FALSE,"장축";#N/A,#N/A,FALSE,"4WD"}</definedName>
    <definedName name="이란_3" hidden="1">{#N/A,#N/A,FALSE,"단축1";#N/A,#N/A,FALSE,"단축2";#N/A,#N/A,FALSE,"단축3";#N/A,#N/A,FALSE,"장축";#N/A,#N/A,FALSE,"4WD"}</definedName>
    <definedName name="이란_4" localSheetId="26" hidden="1">{#N/A,#N/A,FALSE,"단축1";#N/A,#N/A,FALSE,"단축2";#N/A,#N/A,FALSE,"단축3";#N/A,#N/A,FALSE,"장축";#N/A,#N/A,FALSE,"4WD"}</definedName>
    <definedName name="이란_4" localSheetId="0" hidden="1">{#N/A,#N/A,FALSE,"단축1";#N/A,#N/A,FALSE,"단축2";#N/A,#N/A,FALSE,"단축3";#N/A,#N/A,FALSE,"장축";#N/A,#N/A,FALSE,"4WD"}</definedName>
    <definedName name="이란_4" hidden="1">{#N/A,#N/A,FALSE,"단축1";#N/A,#N/A,FALSE,"단축2";#N/A,#N/A,FALSE,"단축3";#N/A,#N/A,FALSE,"장축";#N/A,#N/A,FALSE,"4WD"}</definedName>
    <definedName name="이란_5" localSheetId="26" hidden="1">{#N/A,#N/A,FALSE,"단축1";#N/A,#N/A,FALSE,"단축2";#N/A,#N/A,FALSE,"단축3";#N/A,#N/A,FALSE,"장축";#N/A,#N/A,FALSE,"4WD"}</definedName>
    <definedName name="이란_5" localSheetId="0" hidden="1">{#N/A,#N/A,FALSE,"단축1";#N/A,#N/A,FALSE,"단축2";#N/A,#N/A,FALSE,"단축3";#N/A,#N/A,FALSE,"장축";#N/A,#N/A,FALSE,"4WD"}</definedName>
    <definedName name="이란_5" hidden="1">{#N/A,#N/A,FALSE,"단축1";#N/A,#N/A,FALSE,"단축2";#N/A,#N/A,FALSE,"단축3";#N/A,#N/A,FALSE,"장축";#N/A,#N/A,FALSE,"4WD"}</definedName>
    <definedName name="인몰드2" localSheetId="26" hidden="1">{#N/A,#N/A,FALSE,"단축1";#N/A,#N/A,FALSE,"단축2";#N/A,#N/A,FALSE,"단축3";#N/A,#N/A,FALSE,"장축";#N/A,#N/A,FALSE,"4WD"}</definedName>
    <definedName name="인몰드2" localSheetId="0" hidden="1">{#N/A,#N/A,FALSE,"단축1";#N/A,#N/A,FALSE,"단축2";#N/A,#N/A,FALSE,"단축3";#N/A,#N/A,FALSE,"장축";#N/A,#N/A,FALSE,"4WD"}</definedName>
    <definedName name="인몰드2" hidden="1">{#N/A,#N/A,FALSE,"단축1";#N/A,#N/A,FALSE,"단축2";#N/A,#N/A,FALSE,"단축3";#N/A,#N/A,FALSE,"장축";#N/A,#N/A,FALSE,"4WD"}</definedName>
    <definedName name="인몰드2_1" localSheetId="26" hidden="1">{#N/A,#N/A,FALSE,"단축1";#N/A,#N/A,FALSE,"단축2";#N/A,#N/A,FALSE,"단축3";#N/A,#N/A,FALSE,"장축";#N/A,#N/A,FALSE,"4WD"}</definedName>
    <definedName name="인몰드2_1" localSheetId="0" hidden="1">{#N/A,#N/A,FALSE,"단축1";#N/A,#N/A,FALSE,"단축2";#N/A,#N/A,FALSE,"단축3";#N/A,#N/A,FALSE,"장축";#N/A,#N/A,FALSE,"4WD"}</definedName>
    <definedName name="인몰드2_1" hidden="1">{#N/A,#N/A,FALSE,"단축1";#N/A,#N/A,FALSE,"단축2";#N/A,#N/A,FALSE,"단축3";#N/A,#N/A,FALSE,"장축";#N/A,#N/A,FALSE,"4WD"}</definedName>
    <definedName name="인몰드2_1_1" localSheetId="26" hidden="1">{#N/A,#N/A,FALSE,"단축1";#N/A,#N/A,FALSE,"단축2";#N/A,#N/A,FALSE,"단축3";#N/A,#N/A,FALSE,"장축";#N/A,#N/A,FALSE,"4WD"}</definedName>
    <definedName name="인몰드2_1_1" localSheetId="0" hidden="1">{#N/A,#N/A,FALSE,"단축1";#N/A,#N/A,FALSE,"단축2";#N/A,#N/A,FALSE,"단축3";#N/A,#N/A,FALSE,"장축";#N/A,#N/A,FALSE,"4WD"}</definedName>
    <definedName name="인몰드2_1_1" hidden="1">{#N/A,#N/A,FALSE,"단축1";#N/A,#N/A,FALSE,"단축2";#N/A,#N/A,FALSE,"단축3";#N/A,#N/A,FALSE,"장축";#N/A,#N/A,FALSE,"4WD"}</definedName>
    <definedName name="인몰드2_1_2" localSheetId="26" hidden="1">{#N/A,#N/A,FALSE,"단축1";#N/A,#N/A,FALSE,"단축2";#N/A,#N/A,FALSE,"단축3";#N/A,#N/A,FALSE,"장축";#N/A,#N/A,FALSE,"4WD"}</definedName>
    <definedName name="인몰드2_1_2" localSheetId="0" hidden="1">{#N/A,#N/A,FALSE,"단축1";#N/A,#N/A,FALSE,"단축2";#N/A,#N/A,FALSE,"단축3";#N/A,#N/A,FALSE,"장축";#N/A,#N/A,FALSE,"4WD"}</definedName>
    <definedName name="인몰드2_1_2" hidden="1">{#N/A,#N/A,FALSE,"단축1";#N/A,#N/A,FALSE,"단축2";#N/A,#N/A,FALSE,"단축3";#N/A,#N/A,FALSE,"장축";#N/A,#N/A,FALSE,"4WD"}</definedName>
    <definedName name="인몰드2_1_3" localSheetId="26" hidden="1">{#N/A,#N/A,FALSE,"단축1";#N/A,#N/A,FALSE,"단축2";#N/A,#N/A,FALSE,"단축3";#N/A,#N/A,FALSE,"장축";#N/A,#N/A,FALSE,"4WD"}</definedName>
    <definedName name="인몰드2_1_3" localSheetId="0" hidden="1">{#N/A,#N/A,FALSE,"단축1";#N/A,#N/A,FALSE,"단축2";#N/A,#N/A,FALSE,"단축3";#N/A,#N/A,FALSE,"장축";#N/A,#N/A,FALSE,"4WD"}</definedName>
    <definedName name="인몰드2_1_3" hidden="1">{#N/A,#N/A,FALSE,"단축1";#N/A,#N/A,FALSE,"단축2";#N/A,#N/A,FALSE,"단축3";#N/A,#N/A,FALSE,"장축";#N/A,#N/A,FALSE,"4WD"}</definedName>
    <definedName name="인몰드2_2" localSheetId="26" hidden="1">{#N/A,#N/A,FALSE,"단축1";#N/A,#N/A,FALSE,"단축2";#N/A,#N/A,FALSE,"단축3";#N/A,#N/A,FALSE,"장축";#N/A,#N/A,FALSE,"4WD"}</definedName>
    <definedName name="인몰드2_2" localSheetId="0" hidden="1">{#N/A,#N/A,FALSE,"단축1";#N/A,#N/A,FALSE,"단축2";#N/A,#N/A,FALSE,"단축3";#N/A,#N/A,FALSE,"장축";#N/A,#N/A,FALSE,"4WD"}</definedName>
    <definedName name="인몰드2_2" hidden="1">{#N/A,#N/A,FALSE,"단축1";#N/A,#N/A,FALSE,"단축2";#N/A,#N/A,FALSE,"단축3";#N/A,#N/A,FALSE,"장축";#N/A,#N/A,FALSE,"4WD"}</definedName>
    <definedName name="인몰드2_2_1" localSheetId="26" hidden="1">{#N/A,#N/A,FALSE,"단축1";#N/A,#N/A,FALSE,"단축2";#N/A,#N/A,FALSE,"단축3";#N/A,#N/A,FALSE,"장축";#N/A,#N/A,FALSE,"4WD"}</definedName>
    <definedName name="인몰드2_2_1" localSheetId="0" hidden="1">{#N/A,#N/A,FALSE,"단축1";#N/A,#N/A,FALSE,"단축2";#N/A,#N/A,FALSE,"단축3";#N/A,#N/A,FALSE,"장축";#N/A,#N/A,FALSE,"4WD"}</definedName>
    <definedName name="인몰드2_2_1" hidden="1">{#N/A,#N/A,FALSE,"단축1";#N/A,#N/A,FALSE,"단축2";#N/A,#N/A,FALSE,"단축3";#N/A,#N/A,FALSE,"장축";#N/A,#N/A,FALSE,"4WD"}</definedName>
    <definedName name="인몰드2_2_2" localSheetId="26" hidden="1">{#N/A,#N/A,FALSE,"단축1";#N/A,#N/A,FALSE,"단축2";#N/A,#N/A,FALSE,"단축3";#N/A,#N/A,FALSE,"장축";#N/A,#N/A,FALSE,"4WD"}</definedName>
    <definedName name="인몰드2_2_2" localSheetId="0" hidden="1">{#N/A,#N/A,FALSE,"단축1";#N/A,#N/A,FALSE,"단축2";#N/A,#N/A,FALSE,"단축3";#N/A,#N/A,FALSE,"장축";#N/A,#N/A,FALSE,"4WD"}</definedName>
    <definedName name="인몰드2_2_2" hidden="1">{#N/A,#N/A,FALSE,"단축1";#N/A,#N/A,FALSE,"단축2";#N/A,#N/A,FALSE,"단축3";#N/A,#N/A,FALSE,"장축";#N/A,#N/A,FALSE,"4WD"}</definedName>
    <definedName name="인몰드2_3" localSheetId="26" hidden="1">{#N/A,#N/A,FALSE,"단축1";#N/A,#N/A,FALSE,"단축2";#N/A,#N/A,FALSE,"단축3";#N/A,#N/A,FALSE,"장축";#N/A,#N/A,FALSE,"4WD"}</definedName>
    <definedName name="인몰드2_3" localSheetId="0" hidden="1">{#N/A,#N/A,FALSE,"단축1";#N/A,#N/A,FALSE,"단축2";#N/A,#N/A,FALSE,"단축3";#N/A,#N/A,FALSE,"장축";#N/A,#N/A,FALSE,"4WD"}</definedName>
    <definedName name="인몰드2_3" hidden="1">{#N/A,#N/A,FALSE,"단축1";#N/A,#N/A,FALSE,"단축2";#N/A,#N/A,FALSE,"단축3";#N/A,#N/A,FALSE,"장축";#N/A,#N/A,FALSE,"4WD"}</definedName>
    <definedName name="인몰드2_4" localSheetId="26" hidden="1">{#N/A,#N/A,FALSE,"단축1";#N/A,#N/A,FALSE,"단축2";#N/A,#N/A,FALSE,"단축3";#N/A,#N/A,FALSE,"장축";#N/A,#N/A,FALSE,"4WD"}</definedName>
    <definedName name="인몰드2_4" localSheetId="0" hidden="1">{#N/A,#N/A,FALSE,"단축1";#N/A,#N/A,FALSE,"단축2";#N/A,#N/A,FALSE,"단축3";#N/A,#N/A,FALSE,"장축";#N/A,#N/A,FALSE,"4WD"}</definedName>
    <definedName name="인몰드2_4" hidden="1">{#N/A,#N/A,FALSE,"단축1";#N/A,#N/A,FALSE,"단축2";#N/A,#N/A,FALSE,"단축3";#N/A,#N/A,FALSE,"장축";#N/A,#N/A,FALSE,"4WD"}</definedName>
    <definedName name="인몰드2_5" localSheetId="26" hidden="1">{#N/A,#N/A,FALSE,"단축1";#N/A,#N/A,FALSE,"단축2";#N/A,#N/A,FALSE,"단축3";#N/A,#N/A,FALSE,"장축";#N/A,#N/A,FALSE,"4WD"}</definedName>
    <definedName name="인몰드2_5" localSheetId="0" hidden="1">{#N/A,#N/A,FALSE,"단축1";#N/A,#N/A,FALSE,"단축2";#N/A,#N/A,FALSE,"단축3";#N/A,#N/A,FALSE,"장축";#N/A,#N/A,FALSE,"4WD"}</definedName>
    <definedName name="인몰드2_5" hidden="1">{#N/A,#N/A,FALSE,"단축1";#N/A,#N/A,FALSE,"단축2";#N/A,#N/A,FALSE,"단축3";#N/A,#N/A,FALSE,"장축";#N/A,#N/A,FALSE,"4WD"}</definedName>
    <definedName name="인몰드성형" localSheetId="26" hidden="1">{#N/A,#N/A,FALSE,"단축1";#N/A,#N/A,FALSE,"단축2";#N/A,#N/A,FALSE,"단축3";#N/A,#N/A,FALSE,"장축";#N/A,#N/A,FALSE,"4WD"}</definedName>
    <definedName name="인몰드성형" localSheetId="0" hidden="1">{#N/A,#N/A,FALSE,"단축1";#N/A,#N/A,FALSE,"단축2";#N/A,#N/A,FALSE,"단축3";#N/A,#N/A,FALSE,"장축";#N/A,#N/A,FALSE,"4WD"}</definedName>
    <definedName name="인몰드성형" hidden="1">{#N/A,#N/A,FALSE,"단축1";#N/A,#N/A,FALSE,"단축2";#N/A,#N/A,FALSE,"단축3";#N/A,#N/A,FALSE,"장축";#N/A,#N/A,FALSE,"4WD"}</definedName>
    <definedName name="인몰드성형_1" localSheetId="26" hidden="1">{#N/A,#N/A,FALSE,"단축1";#N/A,#N/A,FALSE,"단축2";#N/A,#N/A,FALSE,"단축3";#N/A,#N/A,FALSE,"장축";#N/A,#N/A,FALSE,"4WD"}</definedName>
    <definedName name="인몰드성형_1" localSheetId="0" hidden="1">{#N/A,#N/A,FALSE,"단축1";#N/A,#N/A,FALSE,"단축2";#N/A,#N/A,FALSE,"단축3";#N/A,#N/A,FALSE,"장축";#N/A,#N/A,FALSE,"4WD"}</definedName>
    <definedName name="인몰드성형_1" hidden="1">{#N/A,#N/A,FALSE,"단축1";#N/A,#N/A,FALSE,"단축2";#N/A,#N/A,FALSE,"단축3";#N/A,#N/A,FALSE,"장축";#N/A,#N/A,FALSE,"4WD"}</definedName>
    <definedName name="인몰드성형_1_1" localSheetId="26" hidden="1">{#N/A,#N/A,FALSE,"단축1";#N/A,#N/A,FALSE,"단축2";#N/A,#N/A,FALSE,"단축3";#N/A,#N/A,FALSE,"장축";#N/A,#N/A,FALSE,"4WD"}</definedName>
    <definedName name="인몰드성형_1_1" localSheetId="0" hidden="1">{#N/A,#N/A,FALSE,"단축1";#N/A,#N/A,FALSE,"단축2";#N/A,#N/A,FALSE,"단축3";#N/A,#N/A,FALSE,"장축";#N/A,#N/A,FALSE,"4WD"}</definedName>
    <definedName name="인몰드성형_1_1" hidden="1">{#N/A,#N/A,FALSE,"단축1";#N/A,#N/A,FALSE,"단축2";#N/A,#N/A,FALSE,"단축3";#N/A,#N/A,FALSE,"장축";#N/A,#N/A,FALSE,"4WD"}</definedName>
    <definedName name="인몰드성형_1_2" localSheetId="26" hidden="1">{#N/A,#N/A,FALSE,"단축1";#N/A,#N/A,FALSE,"단축2";#N/A,#N/A,FALSE,"단축3";#N/A,#N/A,FALSE,"장축";#N/A,#N/A,FALSE,"4WD"}</definedName>
    <definedName name="인몰드성형_1_2" localSheetId="0" hidden="1">{#N/A,#N/A,FALSE,"단축1";#N/A,#N/A,FALSE,"단축2";#N/A,#N/A,FALSE,"단축3";#N/A,#N/A,FALSE,"장축";#N/A,#N/A,FALSE,"4WD"}</definedName>
    <definedName name="인몰드성형_1_2" hidden="1">{#N/A,#N/A,FALSE,"단축1";#N/A,#N/A,FALSE,"단축2";#N/A,#N/A,FALSE,"단축3";#N/A,#N/A,FALSE,"장축";#N/A,#N/A,FALSE,"4WD"}</definedName>
    <definedName name="인몰드성형_1_3" localSheetId="26" hidden="1">{#N/A,#N/A,FALSE,"단축1";#N/A,#N/A,FALSE,"단축2";#N/A,#N/A,FALSE,"단축3";#N/A,#N/A,FALSE,"장축";#N/A,#N/A,FALSE,"4WD"}</definedName>
    <definedName name="인몰드성형_1_3" localSheetId="0" hidden="1">{#N/A,#N/A,FALSE,"단축1";#N/A,#N/A,FALSE,"단축2";#N/A,#N/A,FALSE,"단축3";#N/A,#N/A,FALSE,"장축";#N/A,#N/A,FALSE,"4WD"}</definedName>
    <definedName name="인몰드성형_1_3" hidden="1">{#N/A,#N/A,FALSE,"단축1";#N/A,#N/A,FALSE,"단축2";#N/A,#N/A,FALSE,"단축3";#N/A,#N/A,FALSE,"장축";#N/A,#N/A,FALSE,"4WD"}</definedName>
    <definedName name="인몰드성형_2" localSheetId="26" hidden="1">{#N/A,#N/A,FALSE,"단축1";#N/A,#N/A,FALSE,"단축2";#N/A,#N/A,FALSE,"단축3";#N/A,#N/A,FALSE,"장축";#N/A,#N/A,FALSE,"4WD"}</definedName>
    <definedName name="인몰드성형_2" localSheetId="0" hidden="1">{#N/A,#N/A,FALSE,"단축1";#N/A,#N/A,FALSE,"단축2";#N/A,#N/A,FALSE,"단축3";#N/A,#N/A,FALSE,"장축";#N/A,#N/A,FALSE,"4WD"}</definedName>
    <definedName name="인몰드성형_2" hidden="1">{#N/A,#N/A,FALSE,"단축1";#N/A,#N/A,FALSE,"단축2";#N/A,#N/A,FALSE,"단축3";#N/A,#N/A,FALSE,"장축";#N/A,#N/A,FALSE,"4WD"}</definedName>
    <definedName name="인몰드성형_2_1" localSheetId="26" hidden="1">{#N/A,#N/A,FALSE,"단축1";#N/A,#N/A,FALSE,"단축2";#N/A,#N/A,FALSE,"단축3";#N/A,#N/A,FALSE,"장축";#N/A,#N/A,FALSE,"4WD"}</definedName>
    <definedName name="인몰드성형_2_1" localSheetId="0" hidden="1">{#N/A,#N/A,FALSE,"단축1";#N/A,#N/A,FALSE,"단축2";#N/A,#N/A,FALSE,"단축3";#N/A,#N/A,FALSE,"장축";#N/A,#N/A,FALSE,"4WD"}</definedName>
    <definedName name="인몰드성형_2_1" hidden="1">{#N/A,#N/A,FALSE,"단축1";#N/A,#N/A,FALSE,"단축2";#N/A,#N/A,FALSE,"단축3";#N/A,#N/A,FALSE,"장축";#N/A,#N/A,FALSE,"4WD"}</definedName>
    <definedName name="인몰드성형_2_2" localSheetId="26" hidden="1">{#N/A,#N/A,FALSE,"단축1";#N/A,#N/A,FALSE,"단축2";#N/A,#N/A,FALSE,"단축3";#N/A,#N/A,FALSE,"장축";#N/A,#N/A,FALSE,"4WD"}</definedName>
    <definedName name="인몰드성형_2_2" localSheetId="0" hidden="1">{#N/A,#N/A,FALSE,"단축1";#N/A,#N/A,FALSE,"단축2";#N/A,#N/A,FALSE,"단축3";#N/A,#N/A,FALSE,"장축";#N/A,#N/A,FALSE,"4WD"}</definedName>
    <definedName name="인몰드성형_2_2" hidden="1">{#N/A,#N/A,FALSE,"단축1";#N/A,#N/A,FALSE,"단축2";#N/A,#N/A,FALSE,"단축3";#N/A,#N/A,FALSE,"장축";#N/A,#N/A,FALSE,"4WD"}</definedName>
    <definedName name="인몰드성형_3" localSheetId="26" hidden="1">{#N/A,#N/A,FALSE,"단축1";#N/A,#N/A,FALSE,"단축2";#N/A,#N/A,FALSE,"단축3";#N/A,#N/A,FALSE,"장축";#N/A,#N/A,FALSE,"4WD"}</definedName>
    <definedName name="인몰드성형_3" localSheetId="0" hidden="1">{#N/A,#N/A,FALSE,"단축1";#N/A,#N/A,FALSE,"단축2";#N/A,#N/A,FALSE,"단축3";#N/A,#N/A,FALSE,"장축";#N/A,#N/A,FALSE,"4WD"}</definedName>
    <definedName name="인몰드성형_3" hidden="1">{#N/A,#N/A,FALSE,"단축1";#N/A,#N/A,FALSE,"단축2";#N/A,#N/A,FALSE,"단축3";#N/A,#N/A,FALSE,"장축";#N/A,#N/A,FALSE,"4WD"}</definedName>
    <definedName name="인몰드성형_4" localSheetId="26" hidden="1">{#N/A,#N/A,FALSE,"단축1";#N/A,#N/A,FALSE,"단축2";#N/A,#N/A,FALSE,"단축3";#N/A,#N/A,FALSE,"장축";#N/A,#N/A,FALSE,"4WD"}</definedName>
    <definedName name="인몰드성형_4" localSheetId="0" hidden="1">{#N/A,#N/A,FALSE,"단축1";#N/A,#N/A,FALSE,"단축2";#N/A,#N/A,FALSE,"단축3";#N/A,#N/A,FALSE,"장축";#N/A,#N/A,FALSE,"4WD"}</definedName>
    <definedName name="인몰드성형_4" hidden="1">{#N/A,#N/A,FALSE,"단축1";#N/A,#N/A,FALSE,"단축2";#N/A,#N/A,FALSE,"단축3";#N/A,#N/A,FALSE,"장축";#N/A,#N/A,FALSE,"4WD"}</definedName>
    <definedName name="인몰드성형_5" localSheetId="26" hidden="1">{#N/A,#N/A,FALSE,"단축1";#N/A,#N/A,FALSE,"단축2";#N/A,#N/A,FALSE,"단축3";#N/A,#N/A,FALSE,"장축";#N/A,#N/A,FALSE,"4WD"}</definedName>
    <definedName name="인몰드성형_5" localSheetId="0" hidden="1">{#N/A,#N/A,FALSE,"단축1";#N/A,#N/A,FALSE,"단축2";#N/A,#N/A,FALSE,"단축3";#N/A,#N/A,FALSE,"장축";#N/A,#N/A,FALSE,"4WD"}</definedName>
    <definedName name="인몰드성형_5" hidden="1">{#N/A,#N/A,FALSE,"단축1";#N/A,#N/A,FALSE,"단축2";#N/A,#N/A,FALSE,"단축3";#N/A,#N/A,FALSE,"장축";#N/A,#N/A,FALSE,"4WD"}</definedName>
    <definedName name="일이ㅏㄹ" localSheetId="26" hidden="1">{#N/A,#N/A,FALSE,"단축1";#N/A,#N/A,FALSE,"단축2";#N/A,#N/A,FALSE,"단축3";#N/A,#N/A,FALSE,"장축";#N/A,#N/A,FALSE,"4WD"}</definedName>
    <definedName name="일이ㅏㄹ" localSheetId="0" hidden="1">{#N/A,#N/A,FALSE,"단축1";#N/A,#N/A,FALSE,"단축2";#N/A,#N/A,FALSE,"단축3";#N/A,#N/A,FALSE,"장축";#N/A,#N/A,FALSE,"4WD"}</definedName>
    <definedName name="일이ㅏㄹ" hidden="1">{#N/A,#N/A,FALSE,"단축1";#N/A,#N/A,FALSE,"단축2";#N/A,#N/A,FALSE,"단축3";#N/A,#N/A,FALSE,"장축";#N/A,#N/A,FALSE,"4WD"}</definedName>
    <definedName name="일이ㅏㄹ_1" localSheetId="26" hidden="1">{#N/A,#N/A,FALSE,"단축1";#N/A,#N/A,FALSE,"단축2";#N/A,#N/A,FALSE,"단축3";#N/A,#N/A,FALSE,"장축";#N/A,#N/A,FALSE,"4WD"}</definedName>
    <definedName name="일이ㅏㄹ_1" localSheetId="0" hidden="1">{#N/A,#N/A,FALSE,"단축1";#N/A,#N/A,FALSE,"단축2";#N/A,#N/A,FALSE,"단축3";#N/A,#N/A,FALSE,"장축";#N/A,#N/A,FALSE,"4WD"}</definedName>
    <definedName name="일이ㅏㄹ_1" hidden="1">{#N/A,#N/A,FALSE,"단축1";#N/A,#N/A,FALSE,"단축2";#N/A,#N/A,FALSE,"단축3";#N/A,#N/A,FALSE,"장축";#N/A,#N/A,FALSE,"4WD"}</definedName>
    <definedName name="일이ㅏㄹ_1_1" localSheetId="26" hidden="1">{#N/A,#N/A,FALSE,"단축1";#N/A,#N/A,FALSE,"단축2";#N/A,#N/A,FALSE,"단축3";#N/A,#N/A,FALSE,"장축";#N/A,#N/A,FALSE,"4WD"}</definedName>
    <definedName name="일이ㅏㄹ_1_1" localSheetId="0" hidden="1">{#N/A,#N/A,FALSE,"단축1";#N/A,#N/A,FALSE,"단축2";#N/A,#N/A,FALSE,"단축3";#N/A,#N/A,FALSE,"장축";#N/A,#N/A,FALSE,"4WD"}</definedName>
    <definedName name="일이ㅏㄹ_1_1" hidden="1">{#N/A,#N/A,FALSE,"단축1";#N/A,#N/A,FALSE,"단축2";#N/A,#N/A,FALSE,"단축3";#N/A,#N/A,FALSE,"장축";#N/A,#N/A,FALSE,"4WD"}</definedName>
    <definedName name="일이ㅏㄹ_1_2" localSheetId="26" hidden="1">{#N/A,#N/A,FALSE,"단축1";#N/A,#N/A,FALSE,"단축2";#N/A,#N/A,FALSE,"단축3";#N/A,#N/A,FALSE,"장축";#N/A,#N/A,FALSE,"4WD"}</definedName>
    <definedName name="일이ㅏㄹ_1_2" localSheetId="0" hidden="1">{#N/A,#N/A,FALSE,"단축1";#N/A,#N/A,FALSE,"단축2";#N/A,#N/A,FALSE,"단축3";#N/A,#N/A,FALSE,"장축";#N/A,#N/A,FALSE,"4WD"}</definedName>
    <definedName name="일이ㅏㄹ_1_2" hidden="1">{#N/A,#N/A,FALSE,"단축1";#N/A,#N/A,FALSE,"단축2";#N/A,#N/A,FALSE,"단축3";#N/A,#N/A,FALSE,"장축";#N/A,#N/A,FALSE,"4WD"}</definedName>
    <definedName name="일이ㅏㄹ_1_3" localSheetId="26" hidden="1">{#N/A,#N/A,FALSE,"단축1";#N/A,#N/A,FALSE,"단축2";#N/A,#N/A,FALSE,"단축3";#N/A,#N/A,FALSE,"장축";#N/A,#N/A,FALSE,"4WD"}</definedName>
    <definedName name="일이ㅏㄹ_1_3" localSheetId="0" hidden="1">{#N/A,#N/A,FALSE,"단축1";#N/A,#N/A,FALSE,"단축2";#N/A,#N/A,FALSE,"단축3";#N/A,#N/A,FALSE,"장축";#N/A,#N/A,FALSE,"4WD"}</definedName>
    <definedName name="일이ㅏㄹ_1_3" hidden="1">{#N/A,#N/A,FALSE,"단축1";#N/A,#N/A,FALSE,"단축2";#N/A,#N/A,FALSE,"단축3";#N/A,#N/A,FALSE,"장축";#N/A,#N/A,FALSE,"4WD"}</definedName>
    <definedName name="일이ㅏㄹ_2" localSheetId="26" hidden="1">{#N/A,#N/A,FALSE,"단축1";#N/A,#N/A,FALSE,"단축2";#N/A,#N/A,FALSE,"단축3";#N/A,#N/A,FALSE,"장축";#N/A,#N/A,FALSE,"4WD"}</definedName>
    <definedName name="일이ㅏㄹ_2" localSheetId="0" hidden="1">{#N/A,#N/A,FALSE,"단축1";#N/A,#N/A,FALSE,"단축2";#N/A,#N/A,FALSE,"단축3";#N/A,#N/A,FALSE,"장축";#N/A,#N/A,FALSE,"4WD"}</definedName>
    <definedName name="일이ㅏㄹ_2" hidden="1">{#N/A,#N/A,FALSE,"단축1";#N/A,#N/A,FALSE,"단축2";#N/A,#N/A,FALSE,"단축3";#N/A,#N/A,FALSE,"장축";#N/A,#N/A,FALSE,"4WD"}</definedName>
    <definedName name="일이ㅏㄹ_2_1" localSheetId="26" hidden="1">{#N/A,#N/A,FALSE,"단축1";#N/A,#N/A,FALSE,"단축2";#N/A,#N/A,FALSE,"단축3";#N/A,#N/A,FALSE,"장축";#N/A,#N/A,FALSE,"4WD"}</definedName>
    <definedName name="일이ㅏㄹ_2_1" localSheetId="0" hidden="1">{#N/A,#N/A,FALSE,"단축1";#N/A,#N/A,FALSE,"단축2";#N/A,#N/A,FALSE,"단축3";#N/A,#N/A,FALSE,"장축";#N/A,#N/A,FALSE,"4WD"}</definedName>
    <definedName name="일이ㅏㄹ_2_1" hidden="1">{#N/A,#N/A,FALSE,"단축1";#N/A,#N/A,FALSE,"단축2";#N/A,#N/A,FALSE,"단축3";#N/A,#N/A,FALSE,"장축";#N/A,#N/A,FALSE,"4WD"}</definedName>
    <definedName name="일이ㅏㄹ_2_2" localSheetId="26" hidden="1">{#N/A,#N/A,FALSE,"단축1";#N/A,#N/A,FALSE,"단축2";#N/A,#N/A,FALSE,"단축3";#N/A,#N/A,FALSE,"장축";#N/A,#N/A,FALSE,"4WD"}</definedName>
    <definedName name="일이ㅏㄹ_2_2" localSheetId="0" hidden="1">{#N/A,#N/A,FALSE,"단축1";#N/A,#N/A,FALSE,"단축2";#N/A,#N/A,FALSE,"단축3";#N/A,#N/A,FALSE,"장축";#N/A,#N/A,FALSE,"4WD"}</definedName>
    <definedName name="일이ㅏㄹ_2_2" hidden="1">{#N/A,#N/A,FALSE,"단축1";#N/A,#N/A,FALSE,"단축2";#N/A,#N/A,FALSE,"단축3";#N/A,#N/A,FALSE,"장축";#N/A,#N/A,FALSE,"4WD"}</definedName>
    <definedName name="일이ㅏㄹ_3" localSheetId="26" hidden="1">{#N/A,#N/A,FALSE,"단축1";#N/A,#N/A,FALSE,"단축2";#N/A,#N/A,FALSE,"단축3";#N/A,#N/A,FALSE,"장축";#N/A,#N/A,FALSE,"4WD"}</definedName>
    <definedName name="일이ㅏㄹ_3" localSheetId="0" hidden="1">{#N/A,#N/A,FALSE,"단축1";#N/A,#N/A,FALSE,"단축2";#N/A,#N/A,FALSE,"단축3";#N/A,#N/A,FALSE,"장축";#N/A,#N/A,FALSE,"4WD"}</definedName>
    <definedName name="일이ㅏㄹ_3" hidden="1">{#N/A,#N/A,FALSE,"단축1";#N/A,#N/A,FALSE,"단축2";#N/A,#N/A,FALSE,"단축3";#N/A,#N/A,FALSE,"장축";#N/A,#N/A,FALSE,"4WD"}</definedName>
    <definedName name="일이ㅏㄹ_4" localSheetId="26" hidden="1">{#N/A,#N/A,FALSE,"단축1";#N/A,#N/A,FALSE,"단축2";#N/A,#N/A,FALSE,"단축3";#N/A,#N/A,FALSE,"장축";#N/A,#N/A,FALSE,"4WD"}</definedName>
    <definedName name="일이ㅏㄹ_4" localSheetId="0" hidden="1">{#N/A,#N/A,FALSE,"단축1";#N/A,#N/A,FALSE,"단축2";#N/A,#N/A,FALSE,"단축3";#N/A,#N/A,FALSE,"장축";#N/A,#N/A,FALSE,"4WD"}</definedName>
    <definedName name="일이ㅏㄹ_4" hidden="1">{#N/A,#N/A,FALSE,"단축1";#N/A,#N/A,FALSE,"단축2";#N/A,#N/A,FALSE,"단축3";#N/A,#N/A,FALSE,"장축";#N/A,#N/A,FALSE,"4WD"}</definedName>
    <definedName name="일이ㅏㄹ_5" localSheetId="26" hidden="1">{#N/A,#N/A,FALSE,"단축1";#N/A,#N/A,FALSE,"단축2";#N/A,#N/A,FALSE,"단축3";#N/A,#N/A,FALSE,"장축";#N/A,#N/A,FALSE,"4WD"}</definedName>
    <definedName name="일이ㅏㄹ_5" localSheetId="0" hidden="1">{#N/A,#N/A,FALSE,"단축1";#N/A,#N/A,FALSE,"단축2";#N/A,#N/A,FALSE,"단축3";#N/A,#N/A,FALSE,"장축";#N/A,#N/A,FALSE,"4WD"}</definedName>
    <definedName name="일이ㅏㄹ_5" hidden="1">{#N/A,#N/A,FALSE,"단축1";#N/A,#N/A,FALSE,"단축2";#N/A,#N/A,FALSE,"단축3";#N/A,#N/A,FALSE,"장축";#N/A,#N/A,FALSE,"4WD"}</definedName>
    <definedName name="ㅈ고모" localSheetId="26" hidden="1">{#N/A,#N/A,FALSE,"단축1";#N/A,#N/A,FALSE,"단축2";#N/A,#N/A,FALSE,"단축3";#N/A,#N/A,FALSE,"장축";#N/A,#N/A,FALSE,"4WD"}</definedName>
    <definedName name="ㅈ고모" localSheetId="0" hidden="1">{#N/A,#N/A,FALSE,"단축1";#N/A,#N/A,FALSE,"단축2";#N/A,#N/A,FALSE,"단축3";#N/A,#N/A,FALSE,"장축";#N/A,#N/A,FALSE,"4WD"}</definedName>
    <definedName name="ㅈ고모" hidden="1">{#N/A,#N/A,FALSE,"단축1";#N/A,#N/A,FALSE,"단축2";#N/A,#N/A,FALSE,"단축3";#N/A,#N/A,FALSE,"장축";#N/A,#N/A,FALSE,"4WD"}</definedName>
    <definedName name="ㅈ고모_1" localSheetId="26" hidden="1">{#N/A,#N/A,FALSE,"단축1";#N/A,#N/A,FALSE,"단축2";#N/A,#N/A,FALSE,"단축3";#N/A,#N/A,FALSE,"장축";#N/A,#N/A,FALSE,"4WD"}</definedName>
    <definedName name="ㅈ고모_1" localSheetId="0" hidden="1">{#N/A,#N/A,FALSE,"단축1";#N/A,#N/A,FALSE,"단축2";#N/A,#N/A,FALSE,"단축3";#N/A,#N/A,FALSE,"장축";#N/A,#N/A,FALSE,"4WD"}</definedName>
    <definedName name="ㅈ고모_1" hidden="1">{#N/A,#N/A,FALSE,"단축1";#N/A,#N/A,FALSE,"단축2";#N/A,#N/A,FALSE,"단축3";#N/A,#N/A,FALSE,"장축";#N/A,#N/A,FALSE,"4WD"}</definedName>
    <definedName name="ㅈ고모_1_1" localSheetId="26" hidden="1">{#N/A,#N/A,FALSE,"단축1";#N/A,#N/A,FALSE,"단축2";#N/A,#N/A,FALSE,"단축3";#N/A,#N/A,FALSE,"장축";#N/A,#N/A,FALSE,"4WD"}</definedName>
    <definedName name="ㅈ고모_1_1" localSheetId="0" hidden="1">{#N/A,#N/A,FALSE,"단축1";#N/A,#N/A,FALSE,"단축2";#N/A,#N/A,FALSE,"단축3";#N/A,#N/A,FALSE,"장축";#N/A,#N/A,FALSE,"4WD"}</definedName>
    <definedName name="ㅈ고모_1_1" hidden="1">{#N/A,#N/A,FALSE,"단축1";#N/A,#N/A,FALSE,"단축2";#N/A,#N/A,FALSE,"단축3";#N/A,#N/A,FALSE,"장축";#N/A,#N/A,FALSE,"4WD"}</definedName>
    <definedName name="ㅈ고모_1_2" localSheetId="26" hidden="1">{#N/A,#N/A,FALSE,"단축1";#N/A,#N/A,FALSE,"단축2";#N/A,#N/A,FALSE,"단축3";#N/A,#N/A,FALSE,"장축";#N/A,#N/A,FALSE,"4WD"}</definedName>
    <definedName name="ㅈ고모_1_2" localSheetId="0" hidden="1">{#N/A,#N/A,FALSE,"단축1";#N/A,#N/A,FALSE,"단축2";#N/A,#N/A,FALSE,"단축3";#N/A,#N/A,FALSE,"장축";#N/A,#N/A,FALSE,"4WD"}</definedName>
    <definedName name="ㅈ고모_1_2" hidden="1">{#N/A,#N/A,FALSE,"단축1";#N/A,#N/A,FALSE,"단축2";#N/A,#N/A,FALSE,"단축3";#N/A,#N/A,FALSE,"장축";#N/A,#N/A,FALSE,"4WD"}</definedName>
    <definedName name="ㅈ고모_1_3" localSheetId="26" hidden="1">{#N/A,#N/A,FALSE,"단축1";#N/A,#N/A,FALSE,"단축2";#N/A,#N/A,FALSE,"단축3";#N/A,#N/A,FALSE,"장축";#N/A,#N/A,FALSE,"4WD"}</definedName>
    <definedName name="ㅈ고모_1_3" localSheetId="0" hidden="1">{#N/A,#N/A,FALSE,"단축1";#N/A,#N/A,FALSE,"단축2";#N/A,#N/A,FALSE,"단축3";#N/A,#N/A,FALSE,"장축";#N/A,#N/A,FALSE,"4WD"}</definedName>
    <definedName name="ㅈ고모_1_3" hidden="1">{#N/A,#N/A,FALSE,"단축1";#N/A,#N/A,FALSE,"단축2";#N/A,#N/A,FALSE,"단축3";#N/A,#N/A,FALSE,"장축";#N/A,#N/A,FALSE,"4WD"}</definedName>
    <definedName name="ㅈ고모_2" localSheetId="26" hidden="1">{#N/A,#N/A,FALSE,"단축1";#N/A,#N/A,FALSE,"단축2";#N/A,#N/A,FALSE,"단축3";#N/A,#N/A,FALSE,"장축";#N/A,#N/A,FALSE,"4WD"}</definedName>
    <definedName name="ㅈ고모_2" localSheetId="0" hidden="1">{#N/A,#N/A,FALSE,"단축1";#N/A,#N/A,FALSE,"단축2";#N/A,#N/A,FALSE,"단축3";#N/A,#N/A,FALSE,"장축";#N/A,#N/A,FALSE,"4WD"}</definedName>
    <definedName name="ㅈ고모_2" hidden="1">{#N/A,#N/A,FALSE,"단축1";#N/A,#N/A,FALSE,"단축2";#N/A,#N/A,FALSE,"단축3";#N/A,#N/A,FALSE,"장축";#N/A,#N/A,FALSE,"4WD"}</definedName>
    <definedName name="ㅈ고모_2_1" localSheetId="26" hidden="1">{#N/A,#N/A,FALSE,"단축1";#N/A,#N/A,FALSE,"단축2";#N/A,#N/A,FALSE,"단축3";#N/A,#N/A,FALSE,"장축";#N/A,#N/A,FALSE,"4WD"}</definedName>
    <definedName name="ㅈ고모_2_1" localSheetId="0" hidden="1">{#N/A,#N/A,FALSE,"단축1";#N/A,#N/A,FALSE,"단축2";#N/A,#N/A,FALSE,"단축3";#N/A,#N/A,FALSE,"장축";#N/A,#N/A,FALSE,"4WD"}</definedName>
    <definedName name="ㅈ고모_2_1" hidden="1">{#N/A,#N/A,FALSE,"단축1";#N/A,#N/A,FALSE,"단축2";#N/A,#N/A,FALSE,"단축3";#N/A,#N/A,FALSE,"장축";#N/A,#N/A,FALSE,"4WD"}</definedName>
    <definedName name="ㅈ고모_2_2" localSheetId="26" hidden="1">{#N/A,#N/A,FALSE,"단축1";#N/A,#N/A,FALSE,"단축2";#N/A,#N/A,FALSE,"단축3";#N/A,#N/A,FALSE,"장축";#N/A,#N/A,FALSE,"4WD"}</definedName>
    <definedName name="ㅈ고모_2_2" localSheetId="0" hidden="1">{#N/A,#N/A,FALSE,"단축1";#N/A,#N/A,FALSE,"단축2";#N/A,#N/A,FALSE,"단축3";#N/A,#N/A,FALSE,"장축";#N/A,#N/A,FALSE,"4WD"}</definedName>
    <definedName name="ㅈ고모_2_2" hidden="1">{#N/A,#N/A,FALSE,"단축1";#N/A,#N/A,FALSE,"단축2";#N/A,#N/A,FALSE,"단축3";#N/A,#N/A,FALSE,"장축";#N/A,#N/A,FALSE,"4WD"}</definedName>
    <definedName name="ㅈ고모_3" localSheetId="26" hidden="1">{#N/A,#N/A,FALSE,"단축1";#N/A,#N/A,FALSE,"단축2";#N/A,#N/A,FALSE,"단축3";#N/A,#N/A,FALSE,"장축";#N/A,#N/A,FALSE,"4WD"}</definedName>
    <definedName name="ㅈ고모_3" localSheetId="0" hidden="1">{#N/A,#N/A,FALSE,"단축1";#N/A,#N/A,FALSE,"단축2";#N/A,#N/A,FALSE,"단축3";#N/A,#N/A,FALSE,"장축";#N/A,#N/A,FALSE,"4WD"}</definedName>
    <definedName name="ㅈ고모_3" hidden="1">{#N/A,#N/A,FALSE,"단축1";#N/A,#N/A,FALSE,"단축2";#N/A,#N/A,FALSE,"단축3";#N/A,#N/A,FALSE,"장축";#N/A,#N/A,FALSE,"4WD"}</definedName>
    <definedName name="ㅈ고모_4" localSheetId="26" hidden="1">{#N/A,#N/A,FALSE,"단축1";#N/A,#N/A,FALSE,"단축2";#N/A,#N/A,FALSE,"단축3";#N/A,#N/A,FALSE,"장축";#N/A,#N/A,FALSE,"4WD"}</definedName>
    <definedName name="ㅈ고모_4" localSheetId="0" hidden="1">{#N/A,#N/A,FALSE,"단축1";#N/A,#N/A,FALSE,"단축2";#N/A,#N/A,FALSE,"단축3";#N/A,#N/A,FALSE,"장축";#N/A,#N/A,FALSE,"4WD"}</definedName>
    <definedName name="ㅈ고모_4" hidden="1">{#N/A,#N/A,FALSE,"단축1";#N/A,#N/A,FALSE,"단축2";#N/A,#N/A,FALSE,"단축3";#N/A,#N/A,FALSE,"장축";#N/A,#N/A,FALSE,"4WD"}</definedName>
    <definedName name="ㅈ고모_5" localSheetId="26" hidden="1">{#N/A,#N/A,FALSE,"단축1";#N/A,#N/A,FALSE,"단축2";#N/A,#N/A,FALSE,"단축3";#N/A,#N/A,FALSE,"장축";#N/A,#N/A,FALSE,"4WD"}</definedName>
    <definedName name="ㅈ고모_5" localSheetId="0" hidden="1">{#N/A,#N/A,FALSE,"단축1";#N/A,#N/A,FALSE,"단축2";#N/A,#N/A,FALSE,"단축3";#N/A,#N/A,FALSE,"장축";#N/A,#N/A,FALSE,"4WD"}</definedName>
    <definedName name="ㅈ고모_5" hidden="1">{#N/A,#N/A,FALSE,"단축1";#N/A,#N/A,FALSE,"단축2";#N/A,#N/A,FALSE,"단축3";#N/A,#N/A,FALSE,"장축";#N/A,#N/A,FALSE,"4WD"}</definedName>
    <definedName name="ㅈㄴㅇㄹㅊㅁ" localSheetId="26" hidden="1">{#N/A,#N/A,FALSE,"단축1";#N/A,#N/A,FALSE,"단축2";#N/A,#N/A,FALSE,"단축3";#N/A,#N/A,FALSE,"장축";#N/A,#N/A,FALSE,"4WD"}</definedName>
    <definedName name="ㅈㄴㅇㄹㅊㅁ" localSheetId="0" hidden="1">{#N/A,#N/A,FALSE,"단축1";#N/A,#N/A,FALSE,"단축2";#N/A,#N/A,FALSE,"단축3";#N/A,#N/A,FALSE,"장축";#N/A,#N/A,FALSE,"4WD"}</definedName>
    <definedName name="ㅈㄴㅇㄹㅊㅁ" hidden="1">{#N/A,#N/A,FALSE,"단축1";#N/A,#N/A,FALSE,"단축2";#N/A,#N/A,FALSE,"단축3";#N/A,#N/A,FALSE,"장축";#N/A,#N/A,FALSE,"4WD"}</definedName>
    <definedName name="ㅈㄴㅇㄹㅊㅁ_1" localSheetId="26" hidden="1">{#N/A,#N/A,FALSE,"단축1";#N/A,#N/A,FALSE,"단축2";#N/A,#N/A,FALSE,"단축3";#N/A,#N/A,FALSE,"장축";#N/A,#N/A,FALSE,"4WD"}</definedName>
    <definedName name="ㅈㄴㅇㄹㅊㅁ_1" localSheetId="0" hidden="1">{#N/A,#N/A,FALSE,"단축1";#N/A,#N/A,FALSE,"단축2";#N/A,#N/A,FALSE,"단축3";#N/A,#N/A,FALSE,"장축";#N/A,#N/A,FALSE,"4WD"}</definedName>
    <definedName name="ㅈㄴㅇㄹㅊㅁ_1" hidden="1">{#N/A,#N/A,FALSE,"단축1";#N/A,#N/A,FALSE,"단축2";#N/A,#N/A,FALSE,"단축3";#N/A,#N/A,FALSE,"장축";#N/A,#N/A,FALSE,"4WD"}</definedName>
    <definedName name="ㅈㄴㅇㄹㅊㅁ_1_1" localSheetId="26" hidden="1">{#N/A,#N/A,FALSE,"단축1";#N/A,#N/A,FALSE,"단축2";#N/A,#N/A,FALSE,"단축3";#N/A,#N/A,FALSE,"장축";#N/A,#N/A,FALSE,"4WD"}</definedName>
    <definedName name="ㅈㄴㅇㄹㅊㅁ_1_1" localSheetId="0" hidden="1">{#N/A,#N/A,FALSE,"단축1";#N/A,#N/A,FALSE,"단축2";#N/A,#N/A,FALSE,"단축3";#N/A,#N/A,FALSE,"장축";#N/A,#N/A,FALSE,"4WD"}</definedName>
    <definedName name="ㅈㄴㅇㄹㅊㅁ_1_1" hidden="1">{#N/A,#N/A,FALSE,"단축1";#N/A,#N/A,FALSE,"단축2";#N/A,#N/A,FALSE,"단축3";#N/A,#N/A,FALSE,"장축";#N/A,#N/A,FALSE,"4WD"}</definedName>
    <definedName name="ㅈㄴㅇㄹㅊㅁ_1_2" localSheetId="26" hidden="1">{#N/A,#N/A,FALSE,"단축1";#N/A,#N/A,FALSE,"단축2";#N/A,#N/A,FALSE,"단축3";#N/A,#N/A,FALSE,"장축";#N/A,#N/A,FALSE,"4WD"}</definedName>
    <definedName name="ㅈㄴㅇㄹㅊㅁ_1_2" localSheetId="0" hidden="1">{#N/A,#N/A,FALSE,"단축1";#N/A,#N/A,FALSE,"단축2";#N/A,#N/A,FALSE,"단축3";#N/A,#N/A,FALSE,"장축";#N/A,#N/A,FALSE,"4WD"}</definedName>
    <definedName name="ㅈㄴㅇㄹㅊㅁ_1_2" hidden="1">{#N/A,#N/A,FALSE,"단축1";#N/A,#N/A,FALSE,"단축2";#N/A,#N/A,FALSE,"단축3";#N/A,#N/A,FALSE,"장축";#N/A,#N/A,FALSE,"4WD"}</definedName>
    <definedName name="ㅈㄴㅇㄹㅊㅁ_1_3" localSheetId="26" hidden="1">{#N/A,#N/A,FALSE,"단축1";#N/A,#N/A,FALSE,"단축2";#N/A,#N/A,FALSE,"단축3";#N/A,#N/A,FALSE,"장축";#N/A,#N/A,FALSE,"4WD"}</definedName>
    <definedName name="ㅈㄴㅇㄹㅊㅁ_1_3" localSheetId="0" hidden="1">{#N/A,#N/A,FALSE,"단축1";#N/A,#N/A,FALSE,"단축2";#N/A,#N/A,FALSE,"단축3";#N/A,#N/A,FALSE,"장축";#N/A,#N/A,FALSE,"4WD"}</definedName>
    <definedName name="ㅈㄴㅇㄹㅊㅁ_1_3" hidden="1">{#N/A,#N/A,FALSE,"단축1";#N/A,#N/A,FALSE,"단축2";#N/A,#N/A,FALSE,"단축3";#N/A,#N/A,FALSE,"장축";#N/A,#N/A,FALSE,"4WD"}</definedName>
    <definedName name="ㅈㄴㅇㄹㅊㅁ_2" localSheetId="26" hidden="1">{#N/A,#N/A,FALSE,"단축1";#N/A,#N/A,FALSE,"단축2";#N/A,#N/A,FALSE,"단축3";#N/A,#N/A,FALSE,"장축";#N/A,#N/A,FALSE,"4WD"}</definedName>
    <definedName name="ㅈㄴㅇㄹㅊㅁ_2" localSheetId="0" hidden="1">{#N/A,#N/A,FALSE,"단축1";#N/A,#N/A,FALSE,"단축2";#N/A,#N/A,FALSE,"단축3";#N/A,#N/A,FALSE,"장축";#N/A,#N/A,FALSE,"4WD"}</definedName>
    <definedName name="ㅈㄴㅇㄹㅊㅁ_2" hidden="1">{#N/A,#N/A,FALSE,"단축1";#N/A,#N/A,FALSE,"단축2";#N/A,#N/A,FALSE,"단축3";#N/A,#N/A,FALSE,"장축";#N/A,#N/A,FALSE,"4WD"}</definedName>
    <definedName name="ㅈㄴㅇㄹㅊㅁ_2_1" localSheetId="26" hidden="1">{#N/A,#N/A,FALSE,"단축1";#N/A,#N/A,FALSE,"단축2";#N/A,#N/A,FALSE,"단축3";#N/A,#N/A,FALSE,"장축";#N/A,#N/A,FALSE,"4WD"}</definedName>
    <definedName name="ㅈㄴㅇㄹㅊㅁ_2_1" localSheetId="0" hidden="1">{#N/A,#N/A,FALSE,"단축1";#N/A,#N/A,FALSE,"단축2";#N/A,#N/A,FALSE,"단축3";#N/A,#N/A,FALSE,"장축";#N/A,#N/A,FALSE,"4WD"}</definedName>
    <definedName name="ㅈㄴㅇㄹㅊㅁ_2_1" hidden="1">{#N/A,#N/A,FALSE,"단축1";#N/A,#N/A,FALSE,"단축2";#N/A,#N/A,FALSE,"단축3";#N/A,#N/A,FALSE,"장축";#N/A,#N/A,FALSE,"4WD"}</definedName>
    <definedName name="ㅈㄴㅇㄹㅊㅁ_2_2" localSheetId="26" hidden="1">{#N/A,#N/A,FALSE,"단축1";#N/A,#N/A,FALSE,"단축2";#N/A,#N/A,FALSE,"단축3";#N/A,#N/A,FALSE,"장축";#N/A,#N/A,FALSE,"4WD"}</definedName>
    <definedName name="ㅈㄴㅇㄹㅊㅁ_2_2" localSheetId="0" hidden="1">{#N/A,#N/A,FALSE,"단축1";#N/A,#N/A,FALSE,"단축2";#N/A,#N/A,FALSE,"단축3";#N/A,#N/A,FALSE,"장축";#N/A,#N/A,FALSE,"4WD"}</definedName>
    <definedName name="ㅈㄴㅇㄹㅊㅁ_2_2" hidden="1">{#N/A,#N/A,FALSE,"단축1";#N/A,#N/A,FALSE,"단축2";#N/A,#N/A,FALSE,"단축3";#N/A,#N/A,FALSE,"장축";#N/A,#N/A,FALSE,"4WD"}</definedName>
    <definedName name="ㅈㄴㅇㄹㅊㅁ_3" localSheetId="26" hidden="1">{#N/A,#N/A,FALSE,"단축1";#N/A,#N/A,FALSE,"단축2";#N/A,#N/A,FALSE,"단축3";#N/A,#N/A,FALSE,"장축";#N/A,#N/A,FALSE,"4WD"}</definedName>
    <definedName name="ㅈㄴㅇㄹㅊㅁ_3" localSheetId="0" hidden="1">{#N/A,#N/A,FALSE,"단축1";#N/A,#N/A,FALSE,"단축2";#N/A,#N/A,FALSE,"단축3";#N/A,#N/A,FALSE,"장축";#N/A,#N/A,FALSE,"4WD"}</definedName>
    <definedName name="ㅈㄴㅇㄹㅊㅁ_3" hidden="1">{#N/A,#N/A,FALSE,"단축1";#N/A,#N/A,FALSE,"단축2";#N/A,#N/A,FALSE,"단축3";#N/A,#N/A,FALSE,"장축";#N/A,#N/A,FALSE,"4WD"}</definedName>
    <definedName name="ㅈㄴㅇㄹㅊㅁ_4" localSheetId="26" hidden="1">{#N/A,#N/A,FALSE,"단축1";#N/A,#N/A,FALSE,"단축2";#N/A,#N/A,FALSE,"단축3";#N/A,#N/A,FALSE,"장축";#N/A,#N/A,FALSE,"4WD"}</definedName>
    <definedName name="ㅈㄴㅇㄹㅊㅁ_4" localSheetId="0" hidden="1">{#N/A,#N/A,FALSE,"단축1";#N/A,#N/A,FALSE,"단축2";#N/A,#N/A,FALSE,"단축3";#N/A,#N/A,FALSE,"장축";#N/A,#N/A,FALSE,"4WD"}</definedName>
    <definedName name="ㅈㄴㅇㄹㅊㅁ_4" hidden="1">{#N/A,#N/A,FALSE,"단축1";#N/A,#N/A,FALSE,"단축2";#N/A,#N/A,FALSE,"단축3";#N/A,#N/A,FALSE,"장축";#N/A,#N/A,FALSE,"4WD"}</definedName>
    <definedName name="ㅈㄴㅇㄹㅊㅁ_5" localSheetId="26" hidden="1">{#N/A,#N/A,FALSE,"단축1";#N/A,#N/A,FALSE,"단축2";#N/A,#N/A,FALSE,"단축3";#N/A,#N/A,FALSE,"장축";#N/A,#N/A,FALSE,"4WD"}</definedName>
    <definedName name="ㅈㄴㅇㄹㅊㅁ_5" localSheetId="0" hidden="1">{#N/A,#N/A,FALSE,"단축1";#N/A,#N/A,FALSE,"단축2";#N/A,#N/A,FALSE,"단축3";#N/A,#N/A,FALSE,"장축";#N/A,#N/A,FALSE,"4WD"}</definedName>
    <definedName name="ㅈㄴㅇㄹㅊㅁ_5" hidden="1">{#N/A,#N/A,FALSE,"단축1";#N/A,#N/A,FALSE,"단축2";#N/A,#N/A,FALSE,"단축3";#N/A,#N/A,FALSE,"장축";#N/A,#N/A,FALSE,"4WD"}</definedName>
    <definedName name="ㅈㅈㅈ" localSheetId="26" hidden="1">{#N/A,#N/A,FALSE,"단축1";#N/A,#N/A,FALSE,"단축2";#N/A,#N/A,FALSE,"단축3";#N/A,#N/A,FALSE,"장축";#N/A,#N/A,FALSE,"4WD"}</definedName>
    <definedName name="ㅈㅈㅈ" localSheetId="0" hidden="1">{#N/A,#N/A,FALSE,"단축1";#N/A,#N/A,FALSE,"단축2";#N/A,#N/A,FALSE,"단축3";#N/A,#N/A,FALSE,"장축";#N/A,#N/A,FALSE,"4WD"}</definedName>
    <definedName name="ㅈㅈㅈ" hidden="1">{#N/A,#N/A,FALSE,"단축1";#N/A,#N/A,FALSE,"단축2";#N/A,#N/A,FALSE,"단축3";#N/A,#N/A,FALSE,"장축";#N/A,#N/A,FALSE,"4WD"}</definedName>
    <definedName name="ㅈㅈㅈ_1" localSheetId="26" hidden="1">{#N/A,#N/A,FALSE,"단축1";#N/A,#N/A,FALSE,"단축2";#N/A,#N/A,FALSE,"단축3";#N/A,#N/A,FALSE,"장축";#N/A,#N/A,FALSE,"4WD"}</definedName>
    <definedName name="ㅈㅈㅈ_1" localSheetId="0" hidden="1">{#N/A,#N/A,FALSE,"단축1";#N/A,#N/A,FALSE,"단축2";#N/A,#N/A,FALSE,"단축3";#N/A,#N/A,FALSE,"장축";#N/A,#N/A,FALSE,"4WD"}</definedName>
    <definedName name="ㅈㅈㅈ_1" hidden="1">{#N/A,#N/A,FALSE,"단축1";#N/A,#N/A,FALSE,"단축2";#N/A,#N/A,FALSE,"단축3";#N/A,#N/A,FALSE,"장축";#N/A,#N/A,FALSE,"4WD"}</definedName>
    <definedName name="ㅈㅈㅈ_1_1" localSheetId="26" hidden="1">{#N/A,#N/A,FALSE,"단축1";#N/A,#N/A,FALSE,"단축2";#N/A,#N/A,FALSE,"단축3";#N/A,#N/A,FALSE,"장축";#N/A,#N/A,FALSE,"4WD"}</definedName>
    <definedName name="ㅈㅈㅈ_1_1" localSheetId="0" hidden="1">{#N/A,#N/A,FALSE,"단축1";#N/A,#N/A,FALSE,"단축2";#N/A,#N/A,FALSE,"단축3";#N/A,#N/A,FALSE,"장축";#N/A,#N/A,FALSE,"4WD"}</definedName>
    <definedName name="ㅈㅈㅈ_1_1" hidden="1">{#N/A,#N/A,FALSE,"단축1";#N/A,#N/A,FALSE,"단축2";#N/A,#N/A,FALSE,"단축3";#N/A,#N/A,FALSE,"장축";#N/A,#N/A,FALSE,"4WD"}</definedName>
    <definedName name="ㅈㅈㅈ_1_2" localSheetId="26" hidden="1">{#N/A,#N/A,FALSE,"단축1";#N/A,#N/A,FALSE,"단축2";#N/A,#N/A,FALSE,"단축3";#N/A,#N/A,FALSE,"장축";#N/A,#N/A,FALSE,"4WD"}</definedName>
    <definedName name="ㅈㅈㅈ_1_2" localSheetId="0" hidden="1">{#N/A,#N/A,FALSE,"단축1";#N/A,#N/A,FALSE,"단축2";#N/A,#N/A,FALSE,"단축3";#N/A,#N/A,FALSE,"장축";#N/A,#N/A,FALSE,"4WD"}</definedName>
    <definedName name="ㅈㅈㅈ_1_2" hidden="1">{#N/A,#N/A,FALSE,"단축1";#N/A,#N/A,FALSE,"단축2";#N/A,#N/A,FALSE,"단축3";#N/A,#N/A,FALSE,"장축";#N/A,#N/A,FALSE,"4WD"}</definedName>
    <definedName name="ㅈㅈㅈ_1_3" localSheetId="26" hidden="1">{#N/A,#N/A,FALSE,"단축1";#N/A,#N/A,FALSE,"단축2";#N/A,#N/A,FALSE,"단축3";#N/A,#N/A,FALSE,"장축";#N/A,#N/A,FALSE,"4WD"}</definedName>
    <definedName name="ㅈㅈㅈ_1_3" localSheetId="0" hidden="1">{#N/A,#N/A,FALSE,"단축1";#N/A,#N/A,FALSE,"단축2";#N/A,#N/A,FALSE,"단축3";#N/A,#N/A,FALSE,"장축";#N/A,#N/A,FALSE,"4WD"}</definedName>
    <definedName name="ㅈㅈㅈ_1_3" hidden="1">{#N/A,#N/A,FALSE,"단축1";#N/A,#N/A,FALSE,"단축2";#N/A,#N/A,FALSE,"단축3";#N/A,#N/A,FALSE,"장축";#N/A,#N/A,FALSE,"4WD"}</definedName>
    <definedName name="ㅈㅈㅈ_2" localSheetId="26" hidden="1">{#N/A,#N/A,FALSE,"단축1";#N/A,#N/A,FALSE,"단축2";#N/A,#N/A,FALSE,"단축3";#N/A,#N/A,FALSE,"장축";#N/A,#N/A,FALSE,"4WD"}</definedName>
    <definedName name="ㅈㅈㅈ_2" localSheetId="0" hidden="1">{#N/A,#N/A,FALSE,"단축1";#N/A,#N/A,FALSE,"단축2";#N/A,#N/A,FALSE,"단축3";#N/A,#N/A,FALSE,"장축";#N/A,#N/A,FALSE,"4WD"}</definedName>
    <definedName name="ㅈㅈㅈ_2" hidden="1">{#N/A,#N/A,FALSE,"단축1";#N/A,#N/A,FALSE,"단축2";#N/A,#N/A,FALSE,"단축3";#N/A,#N/A,FALSE,"장축";#N/A,#N/A,FALSE,"4WD"}</definedName>
    <definedName name="ㅈㅈㅈ_2_1" localSheetId="26" hidden="1">{#N/A,#N/A,FALSE,"단축1";#N/A,#N/A,FALSE,"단축2";#N/A,#N/A,FALSE,"단축3";#N/A,#N/A,FALSE,"장축";#N/A,#N/A,FALSE,"4WD"}</definedName>
    <definedName name="ㅈㅈㅈ_2_1" localSheetId="0" hidden="1">{#N/A,#N/A,FALSE,"단축1";#N/A,#N/A,FALSE,"단축2";#N/A,#N/A,FALSE,"단축3";#N/A,#N/A,FALSE,"장축";#N/A,#N/A,FALSE,"4WD"}</definedName>
    <definedName name="ㅈㅈㅈ_2_1" hidden="1">{#N/A,#N/A,FALSE,"단축1";#N/A,#N/A,FALSE,"단축2";#N/A,#N/A,FALSE,"단축3";#N/A,#N/A,FALSE,"장축";#N/A,#N/A,FALSE,"4WD"}</definedName>
    <definedName name="ㅈㅈㅈ_2_2" localSheetId="26" hidden="1">{#N/A,#N/A,FALSE,"단축1";#N/A,#N/A,FALSE,"단축2";#N/A,#N/A,FALSE,"단축3";#N/A,#N/A,FALSE,"장축";#N/A,#N/A,FALSE,"4WD"}</definedName>
    <definedName name="ㅈㅈㅈ_2_2" localSheetId="0" hidden="1">{#N/A,#N/A,FALSE,"단축1";#N/A,#N/A,FALSE,"단축2";#N/A,#N/A,FALSE,"단축3";#N/A,#N/A,FALSE,"장축";#N/A,#N/A,FALSE,"4WD"}</definedName>
    <definedName name="ㅈㅈㅈ_2_2" hidden="1">{#N/A,#N/A,FALSE,"단축1";#N/A,#N/A,FALSE,"단축2";#N/A,#N/A,FALSE,"단축3";#N/A,#N/A,FALSE,"장축";#N/A,#N/A,FALSE,"4WD"}</definedName>
    <definedName name="ㅈㅈㅈ_3" localSheetId="26" hidden="1">{#N/A,#N/A,FALSE,"단축1";#N/A,#N/A,FALSE,"단축2";#N/A,#N/A,FALSE,"단축3";#N/A,#N/A,FALSE,"장축";#N/A,#N/A,FALSE,"4WD"}</definedName>
    <definedName name="ㅈㅈㅈ_3" localSheetId="0" hidden="1">{#N/A,#N/A,FALSE,"단축1";#N/A,#N/A,FALSE,"단축2";#N/A,#N/A,FALSE,"단축3";#N/A,#N/A,FALSE,"장축";#N/A,#N/A,FALSE,"4WD"}</definedName>
    <definedName name="ㅈㅈㅈ_3" hidden="1">{#N/A,#N/A,FALSE,"단축1";#N/A,#N/A,FALSE,"단축2";#N/A,#N/A,FALSE,"단축3";#N/A,#N/A,FALSE,"장축";#N/A,#N/A,FALSE,"4WD"}</definedName>
    <definedName name="ㅈㅈㅈ_4" localSheetId="26" hidden="1">{#N/A,#N/A,FALSE,"단축1";#N/A,#N/A,FALSE,"단축2";#N/A,#N/A,FALSE,"단축3";#N/A,#N/A,FALSE,"장축";#N/A,#N/A,FALSE,"4WD"}</definedName>
    <definedName name="ㅈㅈㅈ_4" localSheetId="0" hidden="1">{#N/A,#N/A,FALSE,"단축1";#N/A,#N/A,FALSE,"단축2";#N/A,#N/A,FALSE,"단축3";#N/A,#N/A,FALSE,"장축";#N/A,#N/A,FALSE,"4WD"}</definedName>
    <definedName name="ㅈㅈㅈ_4" hidden="1">{#N/A,#N/A,FALSE,"단축1";#N/A,#N/A,FALSE,"단축2";#N/A,#N/A,FALSE,"단축3";#N/A,#N/A,FALSE,"장축";#N/A,#N/A,FALSE,"4WD"}</definedName>
    <definedName name="ㅈㅈㅈ_5" localSheetId="26" hidden="1">{#N/A,#N/A,FALSE,"단축1";#N/A,#N/A,FALSE,"단축2";#N/A,#N/A,FALSE,"단축3";#N/A,#N/A,FALSE,"장축";#N/A,#N/A,FALSE,"4WD"}</definedName>
    <definedName name="ㅈㅈㅈ_5" localSheetId="0" hidden="1">{#N/A,#N/A,FALSE,"단축1";#N/A,#N/A,FALSE,"단축2";#N/A,#N/A,FALSE,"단축3";#N/A,#N/A,FALSE,"장축";#N/A,#N/A,FALSE,"4WD"}</definedName>
    <definedName name="ㅈㅈㅈ_5" hidden="1">{#N/A,#N/A,FALSE,"단축1";#N/A,#N/A,FALSE,"단축2";#N/A,#N/A,FALSE,"단축3";#N/A,#N/A,FALSE,"장축";#N/A,#N/A,FALSE,"4WD"}</definedName>
    <definedName name="ㅈㅈㅈㅈ" localSheetId="26" hidden="1">{#N/A,#N/A,FALSE,"단축1";#N/A,#N/A,FALSE,"단축2";#N/A,#N/A,FALSE,"단축3";#N/A,#N/A,FALSE,"장축";#N/A,#N/A,FALSE,"4WD"}</definedName>
    <definedName name="ㅈㅈㅈㅈ" localSheetId="0" hidden="1">{#N/A,#N/A,FALSE,"단축1";#N/A,#N/A,FALSE,"단축2";#N/A,#N/A,FALSE,"단축3";#N/A,#N/A,FALSE,"장축";#N/A,#N/A,FALSE,"4WD"}</definedName>
    <definedName name="ㅈㅈㅈㅈ" hidden="1">{#N/A,#N/A,FALSE,"단축1";#N/A,#N/A,FALSE,"단축2";#N/A,#N/A,FALSE,"단축3";#N/A,#N/A,FALSE,"장축";#N/A,#N/A,FALSE,"4WD"}</definedName>
    <definedName name="ㅈㅈㅈㅈ_1" localSheetId="26" hidden="1">{#N/A,#N/A,FALSE,"단축1";#N/A,#N/A,FALSE,"단축2";#N/A,#N/A,FALSE,"단축3";#N/A,#N/A,FALSE,"장축";#N/A,#N/A,FALSE,"4WD"}</definedName>
    <definedName name="ㅈㅈㅈㅈ_1" localSheetId="0" hidden="1">{#N/A,#N/A,FALSE,"단축1";#N/A,#N/A,FALSE,"단축2";#N/A,#N/A,FALSE,"단축3";#N/A,#N/A,FALSE,"장축";#N/A,#N/A,FALSE,"4WD"}</definedName>
    <definedName name="ㅈㅈㅈㅈ_1" hidden="1">{#N/A,#N/A,FALSE,"단축1";#N/A,#N/A,FALSE,"단축2";#N/A,#N/A,FALSE,"단축3";#N/A,#N/A,FALSE,"장축";#N/A,#N/A,FALSE,"4WD"}</definedName>
    <definedName name="ㅈㅈㅈㅈ_1_1" localSheetId="26" hidden="1">{#N/A,#N/A,FALSE,"단축1";#N/A,#N/A,FALSE,"단축2";#N/A,#N/A,FALSE,"단축3";#N/A,#N/A,FALSE,"장축";#N/A,#N/A,FALSE,"4WD"}</definedName>
    <definedName name="ㅈㅈㅈㅈ_1_1" localSheetId="0" hidden="1">{#N/A,#N/A,FALSE,"단축1";#N/A,#N/A,FALSE,"단축2";#N/A,#N/A,FALSE,"단축3";#N/A,#N/A,FALSE,"장축";#N/A,#N/A,FALSE,"4WD"}</definedName>
    <definedName name="ㅈㅈㅈㅈ_1_1" hidden="1">{#N/A,#N/A,FALSE,"단축1";#N/A,#N/A,FALSE,"단축2";#N/A,#N/A,FALSE,"단축3";#N/A,#N/A,FALSE,"장축";#N/A,#N/A,FALSE,"4WD"}</definedName>
    <definedName name="ㅈㅈㅈㅈ_1_2" localSheetId="26" hidden="1">{#N/A,#N/A,FALSE,"단축1";#N/A,#N/A,FALSE,"단축2";#N/A,#N/A,FALSE,"단축3";#N/A,#N/A,FALSE,"장축";#N/A,#N/A,FALSE,"4WD"}</definedName>
    <definedName name="ㅈㅈㅈㅈ_1_2" localSheetId="0" hidden="1">{#N/A,#N/A,FALSE,"단축1";#N/A,#N/A,FALSE,"단축2";#N/A,#N/A,FALSE,"단축3";#N/A,#N/A,FALSE,"장축";#N/A,#N/A,FALSE,"4WD"}</definedName>
    <definedName name="ㅈㅈㅈㅈ_1_2" hidden="1">{#N/A,#N/A,FALSE,"단축1";#N/A,#N/A,FALSE,"단축2";#N/A,#N/A,FALSE,"단축3";#N/A,#N/A,FALSE,"장축";#N/A,#N/A,FALSE,"4WD"}</definedName>
    <definedName name="ㅈㅈㅈㅈ_1_3" localSheetId="26" hidden="1">{#N/A,#N/A,FALSE,"단축1";#N/A,#N/A,FALSE,"단축2";#N/A,#N/A,FALSE,"단축3";#N/A,#N/A,FALSE,"장축";#N/A,#N/A,FALSE,"4WD"}</definedName>
    <definedName name="ㅈㅈㅈㅈ_1_3" localSheetId="0" hidden="1">{#N/A,#N/A,FALSE,"단축1";#N/A,#N/A,FALSE,"단축2";#N/A,#N/A,FALSE,"단축3";#N/A,#N/A,FALSE,"장축";#N/A,#N/A,FALSE,"4WD"}</definedName>
    <definedName name="ㅈㅈㅈㅈ_1_3" hidden="1">{#N/A,#N/A,FALSE,"단축1";#N/A,#N/A,FALSE,"단축2";#N/A,#N/A,FALSE,"단축3";#N/A,#N/A,FALSE,"장축";#N/A,#N/A,FALSE,"4WD"}</definedName>
    <definedName name="ㅈㅈㅈㅈ_2" localSheetId="26" hidden="1">{#N/A,#N/A,FALSE,"단축1";#N/A,#N/A,FALSE,"단축2";#N/A,#N/A,FALSE,"단축3";#N/A,#N/A,FALSE,"장축";#N/A,#N/A,FALSE,"4WD"}</definedName>
    <definedName name="ㅈㅈㅈㅈ_2" localSheetId="0" hidden="1">{#N/A,#N/A,FALSE,"단축1";#N/A,#N/A,FALSE,"단축2";#N/A,#N/A,FALSE,"단축3";#N/A,#N/A,FALSE,"장축";#N/A,#N/A,FALSE,"4WD"}</definedName>
    <definedName name="ㅈㅈㅈㅈ_2" hidden="1">{#N/A,#N/A,FALSE,"단축1";#N/A,#N/A,FALSE,"단축2";#N/A,#N/A,FALSE,"단축3";#N/A,#N/A,FALSE,"장축";#N/A,#N/A,FALSE,"4WD"}</definedName>
    <definedName name="ㅈㅈㅈㅈ_2_1" localSheetId="26" hidden="1">{#N/A,#N/A,FALSE,"단축1";#N/A,#N/A,FALSE,"단축2";#N/A,#N/A,FALSE,"단축3";#N/A,#N/A,FALSE,"장축";#N/A,#N/A,FALSE,"4WD"}</definedName>
    <definedName name="ㅈㅈㅈㅈ_2_1" localSheetId="0" hidden="1">{#N/A,#N/A,FALSE,"단축1";#N/A,#N/A,FALSE,"단축2";#N/A,#N/A,FALSE,"단축3";#N/A,#N/A,FALSE,"장축";#N/A,#N/A,FALSE,"4WD"}</definedName>
    <definedName name="ㅈㅈㅈㅈ_2_1" hidden="1">{#N/A,#N/A,FALSE,"단축1";#N/A,#N/A,FALSE,"단축2";#N/A,#N/A,FALSE,"단축3";#N/A,#N/A,FALSE,"장축";#N/A,#N/A,FALSE,"4WD"}</definedName>
    <definedName name="ㅈㅈㅈㅈ_2_2" localSheetId="26" hidden="1">{#N/A,#N/A,FALSE,"단축1";#N/A,#N/A,FALSE,"단축2";#N/A,#N/A,FALSE,"단축3";#N/A,#N/A,FALSE,"장축";#N/A,#N/A,FALSE,"4WD"}</definedName>
    <definedName name="ㅈㅈㅈㅈ_2_2" localSheetId="0" hidden="1">{#N/A,#N/A,FALSE,"단축1";#N/A,#N/A,FALSE,"단축2";#N/A,#N/A,FALSE,"단축3";#N/A,#N/A,FALSE,"장축";#N/A,#N/A,FALSE,"4WD"}</definedName>
    <definedName name="ㅈㅈㅈㅈ_2_2" hidden="1">{#N/A,#N/A,FALSE,"단축1";#N/A,#N/A,FALSE,"단축2";#N/A,#N/A,FALSE,"단축3";#N/A,#N/A,FALSE,"장축";#N/A,#N/A,FALSE,"4WD"}</definedName>
    <definedName name="ㅈㅈㅈㅈ_3" localSheetId="26" hidden="1">{#N/A,#N/A,FALSE,"단축1";#N/A,#N/A,FALSE,"단축2";#N/A,#N/A,FALSE,"단축3";#N/A,#N/A,FALSE,"장축";#N/A,#N/A,FALSE,"4WD"}</definedName>
    <definedName name="ㅈㅈㅈㅈ_3" localSheetId="0" hidden="1">{#N/A,#N/A,FALSE,"단축1";#N/A,#N/A,FALSE,"단축2";#N/A,#N/A,FALSE,"단축3";#N/A,#N/A,FALSE,"장축";#N/A,#N/A,FALSE,"4WD"}</definedName>
    <definedName name="ㅈㅈㅈㅈ_3" hidden="1">{#N/A,#N/A,FALSE,"단축1";#N/A,#N/A,FALSE,"단축2";#N/A,#N/A,FALSE,"단축3";#N/A,#N/A,FALSE,"장축";#N/A,#N/A,FALSE,"4WD"}</definedName>
    <definedName name="ㅈㅈㅈㅈ_4" localSheetId="26" hidden="1">{#N/A,#N/A,FALSE,"단축1";#N/A,#N/A,FALSE,"단축2";#N/A,#N/A,FALSE,"단축3";#N/A,#N/A,FALSE,"장축";#N/A,#N/A,FALSE,"4WD"}</definedName>
    <definedName name="ㅈㅈㅈㅈ_4" localSheetId="0" hidden="1">{#N/A,#N/A,FALSE,"단축1";#N/A,#N/A,FALSE,"단축2";#N/A,#N/A,FALSE,"단축3";#N/A,#N/A,FALSE,"장축";#N/A,#N/A,FALSE,"4WD"}</definedName>
    <definedName name="ㅈㅈㅈㅈ_4" hidden="1">{#N/A,#N/A,FALSE,"단축1";#N/A,#N/A,FALSE,"단축2";#N/A,#N/A,FALSE,"단축3";#N/A,#N/A,FALSE,"장축";#N/A,#N/A,FALSE,"4WD"}</definedName>
    <definedName name="ㅈㅈㅈㅈ_5" localSheetId="26" hidden="1">{#N/A,#N/A,FALSE,"단축1";#N/A,#N/A,FALSE,"단축2";#N/A,#N/A,FALSE,"단축3";#N/A,#N/A,FALSE,"장축";#N/A,#N/A,FALSE,"4WD"}</definedName>
    <definedName name="ㅈㅈㅈㅈ_5" localSheetId="0" hidden="1">{#N/A,#N/A,FALSE,"단축1";#N/A,#N/A,FALSE,"단축2";#N/A,#N/A,FALSE,"단축3";#N/A,#N/A,FALSE,"장축";#N/A,#N/A,FALSE,"4WD"}</definedName>
    <definedName name="ㅈㅈㅈㅈ_5" hidden="1">{#N/A,#N/A,FALSE,"단축1";#N/A,#N/A,FALSE,"단축2";#N/A,#N/A,FALSE,"단축3";#N/A,#N/A,FALSE,"장축";#N/A,#N/A,FALSE,"4WD"}</definedName>
    <definedName name="자료정리" localSheetId="26" hidden="1">{#N/A,#N/A,FALSE,"단축1";#N/A,#N/A,FALSE,"단축2";#N/A,#N/A,FALSE,"단축3";#N/A,#N/A,FALSE,"장축";#N/A,#N/A,FALSE,"4WD"}</definedName>
    <definedName name="자료정리" localSheetId="0" hidden="1">{#N/A,#N/A,FALSE,"단축1";#N/A,#N/A,FALSE,"단축2";#N/A,#N/A,FALSE,"단축3";#N/A,#N/A,FALSE,"장축";#N/A,#N/A,FALSE,"4WD"}</definedName>
    <definedName name="자료정리" hidden="1">{#N/A,#N/A,FALSE,"단축1";#N/A,#N/A,FALSE,"단축2";#N/A,#N/A,FALSE,"단축3";#N/A,#N/A,FALSE,"장축";#N/A,#N/A,FALSE,"4WD"}</definedName>
    <definedName name="자료정리_1" localSheetId="26" hidden="1">{#N/A,#N/A,FALSE,"단축1";#N/A,#N/A,FALSE,"단축2";#N/A,#N/A,FALSE,"단축3";#N/A,#N/A,FALSE,"장축";#N/A,#N/A,FALSE,"4WD"}</definedName>
    <definedName name="자료정리_1" localSheetId="0" hidden="1">{#N/A,#N/A,FALSE,"단축1";#N/A,#N/A,FALSE,"단축2";#N/A,#N/A,FALSE,"단축3";#N/A,#N/A,FALSE,"장축";#N/A,#N/A,FALSE,"4WD"}</definedName>
    <definedName name="자료정리_1" hidden="1">{#N/A,#N/A,FALSE,"단축1";#N/A,#N/A,FALSE,"단축2";#N/A,#N/A,FALSE,"단축3";#N/A,#N/A,FALSE,"장축";#N/A,#N/A,FALSE,"4WD"}</definedName>
    <definedName name="자료정리_1_1" localSheetId="26" hidden="1">{#N/A,#N/A,FALSE,"단축1";#N/A,#N/A,FALSE,"단축2";#N/A,#N/A,FALSE,"단축3";#N/A,#N/A,FALSE,"장축";#N/A,#N/A,FALSE,"4WD"}</definedName>
    <definedName name="자료정리_1_1" localSheetId="0" hidden="1">{#N/A,#N/A,FALSE,"단축1";#N/A,#N/A,FALSE,"단축2";#N/A,#N/A,FALSE,"단축3";#N/A,#N/A,FALSE,"장축";#N/A,#N/A,FALSE,"4WD"}</definedName>
    <definedName name="자료정리_1_1" hidden="1">{#N/A,#N/A,FALSE,"단축1";#N/A,#N/A,FALSE,"단축2";#N/A,#N/A,FALSE,"단축3";#N/A,#N/A,FALSE,"장축";#N/A,#N/A,FALSE,"4WD"}</definedName>
    <definedName name="자료정리_1_2" localSheetId="26" hidden="1">{#N/A,#N/A,FALSE,"단축1";#N/A,#N/A,FALSE,"단축2";#N/A,#N/A,FALSE,"단축3";#N/A,#N/A,FALSE,"장축";#N/A,#N/A,FALSE,"4WD"}</definedName>
    <definedName name="자료정리_1_2" localSheetId="0" hidden="1">{#N/A,#N/A,FALSE,"단축1";#N/A,#N/A,FALSE,"단축2";#N/A,#N/A,FALSE,"단축3";#N/A,#N/A,FALSE,"장축";#N/A,#N/A,FALSE,"4WD"}</definedName>
    <definedName name="자료정리_1_2" hidden="1">{#N/A,#N/A,FALSE,"단축1";#N/A,#N/A,FALSE,"단축2";#N/A,#N/A,FALSE,"단축3";#N/A,#N/A,FALSE,"장축";#N/A,#N/A,FALSE,"4WD"}</definedName>
    <definedName name="자료정리_1_3" localSheetId="26" hidden="1">{#N/A,#N/A,FALSE,"단축1";#N/A,#N/A,FALSE,"단축2";#N/A,#N/A,FALSE,"단축3";#N/A,#N/A,FALSE,"장축";#N/A,#N/A,FALSE,"4WD"}</definedName>
    <definedName name="자료정리_1_3" localSheetId="0" hidden="1">{#N/A,#N/A,FALSE,"단축1";#N/A,#N/A,FALSE,"단축2";#N/A,#N/A,FALSE,"단축3";#N/A,#N/A,FALSE,"장축";#N/A,#N/A,FALSE,"4WD"}</definedName>
    <definedName name="자료정리_1_3" hidden="1">{#N/A,#N/A,FALSE,"단축1";#N/A,#N/A,FALSE,"단축2";#N/A,#N/A,FALSE,"단축3";#N/A,#N/A,FALSE,"장축";#N/A,#N/A,FALSE,"4WD"}</definedName>
    <definedName name="자료정리_2" localSheetId="26" hidden="1">{#N/A,#N/A,FALSE,"단축1";#N/A,#N/A,FALSE,"단축2";#N/A,#N/A,FALSE,"단축3";#N/A,#N/A,FALSE,"장축";#N/A,#N/A,FALSE,"4WD"}</definedName>
    <definedName name="자료정리_2" localSheetId="0" hidden="1">{#N/A,#N/A,FALSE,"단축1";#N/A,#N/A,FALSE,"단축2";#N/A,#N/A,FALSE,"단축3";#N/A,#N/A,FALSE,"장축";#N/A,#N/A,FALSE,"4WD"}</definedName>
    <definedName name="자료정리_2" hidden="1">{#N/A,#N/A,FALSE,"단축1";#N/A,#N/A,FALSE,"단축2";#N/A,#N/A,FALSE,"단축3";#N/A,#N/A,FALSE,"장축";#N/A,#N/A,FALSE,"4WD"}</definedName>
    <definedName name="자료정리_2_1" localSheetId="26" hidden="1">{#N/A,#N/A,FALSE,"단축1";#N/A,#N/A,FALSE,"단축2";#N/A,#N/A,FALSE,"단축3";#N/A,#N/A,FALSE,"장축";#N/A,#N/A,FALSE,"4WD"}</definedName>
    <definedName name="자료정리_2_1" localSheetId="0" hidden="1">{#N/A,#N/A,FALSE,"단축1";#N/A,#N/A,FALSE,"단축2";#N/A,#N/A,FALSE,"단축3";#N/A,#N/A,FALSE,"장축";#N/A,#N/A,FALSE,"4WD"}</definedName>
    <definedName name="자료정리_2_1" hidden="1">{#N/A,#N/A,FALSE,"단축1";#N/A,#N/A,FALSE,"단축2";#N/A,#N/A,FALSE,"단축3";#N/A,#N/A,FALSE,"장축";#N/A,#N/A,FALSE,"4WD"}</definedName>
    <definedName name="자료정리_2_2" localSheetId="26" hidden="1">{#N/A,#N/A,FALSE,"단축1";#N/A,#N/A,FALSE,"단축2";#N/A,#N/A,FALSE,"단축3";#N/A,#N/A,FALSE,"장축";#N/A,#N/A,FALSE,"4WD"}</definedName>
    <definedName name="자료정리_2_2" localSheetId="0" hidden="1">{#N/A,#N/A,FALSE,"단축1";#N/A,#N/A,FALSE,"단축2";#N/A,#N/A,FALSE,"단축3";#N/A,#N/A,FALSE,"장축";#N/A,#N/A,FALSE,"4WD"}</definedName>
    <definedName name="자료정리_2_2" hidden="1">{#N/A,#N/A,FALSE,"단축1";#N/A,#N/A,FALSE,"단축2";#N/A,#N/A,FALSE,"단축3";#N/A,#N/A,FALSE,"장축";#N/A,#N/A,FALSE,"4WD"}</definedName>
    <definedName name="자료정리_3" localSheetId="26" hidden="1">{#N/A,#N/A,FALSE,"단축1";#N/A,#N/A,FALSE,"단축2";#N/A,#N/A,FALSE,"단축3";#N/A,#N/A,FALSE,"장축";#N/A,#N/A,FALSE,"4WD"}</definedName>
    <definedName name="자료정리_3" localSheetId="0" hidden="1">{#N/A,#N/A,FALSE,"단축1";#N/A,#N/A,FALSE,"단축2";#N/A,#N/A,FALSE,"단축3";#N/A,#N/A,FALSE,"장축";#N/A,#N/A,FALSE,"4WD"}</definedName>
    <definedName name="자료정리_3" hidden="1">{#N/A,#N/A,FALSE,"단축1";#N/A,#N/A,FALSE,"단축2";#N/A,#N/A,FALSE,"단축3";#N/A,#N/A,FALSE,"장축";#N/A,#N/A,FALSE,"4WD"}</definedName>
    <definedName name="자료정리_4" localSheetId="26" hidden="1">{#N/A,#N/A,FALSE,"단축1";#N/A,#N/A,FALSE,"단축2";#N/A,#N/A,FALSE,"단축3";#N/A,#N/A,FALSE,"장축";#N/A,#N/A,FALSE,"4WD"}</definedName>
    <definedName name="자료정리_4" localSheetId="0" hidden="1">{#N/A,#N/A,FALSE,"단축1";#N/A,#N/A,FALSE,"단축2";#N/A,#N/A,FALSE,"단축3";#N/A,#N/A,FALSE,"장축";#N/A,#N/A,FALSE,"4WD"}</definedName>
    <definedName name="자료정리_4" hidden="1">{#N/A,#N/A,FALSE,"단축1";#N/A,#N/A,FALSE,"단축2";#N/A,#N/A,FALSE,"단축3";#N/A,#N/A,FALSE,"장축";#N/A,#N/A,FALSE,"4WD"}</definedName>
    <definedName name="자료정리_5" localSheetId="26" hidden="1">{#N/A,#N/A,FALSE,"단축1";#N/A,#N/A,FALSE,"단축2";#N/A,#N/A,FALSE,"단축3";#N/A,#N/A,FALSE,"장축";#N/A,#N/A,FALSE,"4WD"}</definedName>
    <definedName name="자료정리_5" localSheetId="0" hidden="1">{#N/A,#N/A,FALSE,"단축1";#N/A,#N/A,FALSE,"단축2";#N/A,#N/A,FALSE,"단축3";#N/A,#N/A,FALSE,"장축";#N/A,#N/A,FALSE,"4WD"}</definedName>
    <definedName name="자료정리_5" hidden="1">{#N/A,#N/A,FALSE,"단축1";#N/A,#N/A,FALSE,"단축2";#N/A,#N/A,FALSE,"단축3";#N/A,#N/A,FALSE,"장축";#N/A,#N/A,FALSE,"4WD"}</definedName>
    <definedName name="전후" localSheetId="26" hidden="1">{#N/A,#N/A,FALSE,"단축1";#N/A,#N/A,FALSE,"단축2";#N/A,#N/A,FALSE,"단축3";#N/A,#N/A,FALSE,"장축";#N/A,#N/A,FALSE,"4WD"}</definedName>
    <definedName name="전후" localSheetId="0" hidden="1">{#N/A,#N/A,FALSE,"단축1";#N/A,#N/A,FALSE,"단축2";#N/A,#N/A,FALSE,"단축3";#N/A,#N/A,FALSE,"장축";#N/A,#N/A,FALSE,"4WD"}</definedName>
    <definedName name="전후" hidden="1">{#N/A,#N/A,FALSE,"단축1";#N/A,#N/A,FALSE,"단축2";#N/A,#N/A,FALSE,"단축3";#N/A,#N/A,FALSE,"장축";#N/A,#N/A,FALSE,"4WD"}</definedName>
    <definedName name="전후_1" localSheetId="26" hidden="1">{#N/A,#N/A,FALSE,"단축1";#N/A,#N/A,FALSE,"단축2";#N/A,#N/A,FALSE,"단축3";#N/A,#N/A,FALSE,"장축";#N/A,#N/A,FALSE,"4WD"}</definedName>
    <definedName name="전후_1" localSheetId="0" hidden="1">{#N/A,#N/A,FALSE,"단축1";#N/A,#N/A,FALSE,"단축2";#N/A,#N/A,FALSE,"단축3";#N/A,#N/A,FALSE,"장축";#N/A,#N/A,FALSE,"4WD"}</definedName>
    <definedName name="전후_1" hidden="1">{#N/A,#N/A,FALSE,"단축1";#N/A,#N/A,FALSE,"단축2";#N/A,#N/A,FALSE,"단축3";#N/A,#N/A,FALSE,"장축";#N/A,#N/A,FALSE,"4WD"}</definedName>
    <definedName name="전후_1_1" localSheetId="26" hidden="1">{#N/A,#N/A,FALSE,"단축1";#N/A,#N/A,FALSE,"단축2";#N/A,#N/A,FALSE,"단축3";#N/A,#N/A,FALSE,"장축";#N/A,#N/A,FALSE,"4WD"}</definedName>
    <definedName name="전후_1_1" localSheetId="0" hidden="1">{#N/A,#N/A,FALSE,"단축1";#N/A,#N/A,FALSE,"단축2";#N/A,#N/A,FALSE,"단축3";#N/A,#N/A,FALSE,"장축";#N/A,#N/A,FALSE,"4WD"}</definedName>
    <definedName name="전후_1_1" hidden="1">{#N/A,#N/A,FALSE,"단축1";#N/A,#N/A,FALSE,"단축2";#N/A,#N/A,FALSE,"단축3";#N/A,#N/A,FALSE,"장축";#N/A,#N/A,FALSE,"4WD"}</definedName>
    <definedName name="전후_1_2" localSheetId="26" hidden="1">{#N/A,#N/A,FALSE,"단축1";#N/A,#N/A,FALSE,"단축2";#N/A,#N/A,FALSE,"단축3";#N/A,#N/A,FALSE,"장축";#N/A,#N/A,FALSE,"4WD"}</definedName>
    <definedName name="전후_1_2" localSheetId="0" hidden="1">{#N/A,#N/A,FALSE,"단축1";#N/A,#N/A,FALSE,"단축2";#N/A,#N/A,FALSE,"단축3";#N/A,#N/A,FALSE,"장축";#N/A,#N/A,FALSE,"4WD"}</definedName>
    <definedName name="전후_1_2" hidden="1">{#N/A,#N/A,FALSE,"단축1";#N/A,#N/A,FALSE,"단축2";#N/A,#N/A,FALSE,"단축3";#N/A,#N/A,FALSE,"장축";#N/A,#N/A,FALSE,"4WD"}</definedName>
    <definedName name="전후_1_3" localSheetId="26" hidden="1">{#N/A,#N/A,FALSE,"단축1";#N/A,#N/A,FALSE,"단축2";#N/A,#N/A,FALSE,"단축3";#N/A,#N/A,FALSE,"장축";#N/A,#N/A,FALSE,"4WD"}</definedName>
    <definedName name="전후_1_3" localSheetId="0" hidden="1">{#N/A,#N/A,FALSE,"단축1";#N/A,#N/A,FALSE,"단축2";#N/A,#N/A,FALSE,"단축3";#N/A,#N/A,FALSE,"장축";#N/A,#N/A,FALSE,"4WD"}</definedName>
    <definedName name="전후_1_3" hidden="1">{#N/A,#N/A,FALSE,"단축1";#N/A,#N/A,FALSE,"단축2";#N/A,#N/A,FALSE,"단축3";#N/A,#N/A,FALSE,"장축";#N/A,#N/A,FALSE,"4WD"}</definedName>
    <definedName name="전후_2" localSheetId="26" hidden="1">{#N/A,#N/A,FALSE,"단축1";#N/A,#N/A,FALSE,"단축2";#N/A,#N/A,FALSE,"단축3";#N/A,#N/A,FALSE,"장축";#N/A,#N/A,FALSE,"4WD"}</definedName>
    <definedName name="전후_2" localSheetId="0" hidden="1">{#N/A,#N/A,FALSE,"단축1";#N/A,#N/A,FALSE,"단축2";#N/A,#N/A,FALSE,"단축3";#N/A,#N/A,FALSE,"장축";#N/A,#N/A,FALSE,"4WD"}</definedName>
    <definedName name="전후_2" hidden="1">{#N/A,#N/A,FALSE,"단축1";#N/A,#N/A,FALSE,"단축2";#N/A,#N/A,FALSE,"단축3";#N/A,#N/A,FALSE,"장축";#N/A,#N/A,FALSE,"4WD"}</definedName>
    <definedName name="전후_2_1" localSheetId="26" hidden="1">{#N/A,#N/A,FALSE,"단축1";#N/A,#N/A,FALSE,"단축2";#N/A,#N/A,FALSE,"단축3";#N/A,#N/A,FALSE,"장축";#N/A,#N/A,FALSE,"4WD"}</definedName>
    <definedName name="전후_2_1" localSheetId="0" hidden="1">{#N/A,#N/A,FALSE,"단축1";#N/A,#N/A,FALSE,"단축2";#N/A,#N/A,FALSE,"단축3";#N/A,#N/A,FALSE,"장축";#N/A,#N/A,FALSE,"4WD"}</definedName>
    <definedName name="전후_2_1" hidden="1">{#N/A,#N/A,FALSE,"단축1";#N/A,#N/A,FALSE,"단축2";#N/A,#N/A,FALSE,"단축3";#N/A,#N/A,FALSE,"장축";#N/A,#N/A,FALSE,"4WD"}</definedName>
    <definedName name="전후_2_2" localSheetId="26" hidden="1">{#N/A,#N/A,FALSE,"단축1";#N/A,#N/A,FALSE,"단축2";#N/A,#N/A,FALSE,"단축3";#N/A,#N/A,FALSE,"장축";#N/A,#N/A,FALSE,"4WD"}</definedName>
    <definedName name="전후_2_2" localSheetId="0" hidden="1">{#N/A,#N/A,FALSE,"단축1";#N/A,#N/A,FALSE,"단축2";#N/A,#N/A,FALSE,"단축3";#N/A,#N/A,FALSE,"장축";#N/A,#N/A,FALSE,"4WD"}</definedName>
    <definedName name="전후_2_2" hidden="1">{#N/A,#N/A,FALSE,"단축1";#N/A,#N/A,FALSE,"단축2";#N/A,#N/A,FALSE,"단축3";#N/A,#N/A,FALSE,"장축";#N/A,#N/A,FALSE,"4WD"}</definedName>
    <definedName name="전후_3" localSheetId="26" hidden="1">{#N/A,#N/A,FALSE,"단축1";#N/A,#N/A,FALSE,"단축2";#N/A,#N/A,FALSE,"단축3";#N/A,#N/A,FALSE,"장축";#N/A,#N/A,FALSE,"4WD"}</definedName>
    <definedName name="전후_3" localSheetId="0" hidden="1">{#N/A,#N/A,FALSE,"단축1";#N/A,#N/A,FALSE,"단축2";#N/A,#N/A,FALSE,"단축3";#N/A,#N/A,FALSE,"장축";#N/A,#N/A,FALSE,"4WD"}</definedName>
    <definedName name="전후_3" hidden="1">{#N/A,#N/A,FALSE,"단축1";#N/A,#N/A,FALSE,"단축2";#N/A,#N/A,FALSE,"단축3";#N/A,#N/A,FALSE,"장축";#N/A,#N/A,FALSE,"4WD"}</definedName>
    <definedName name="전후_4" localSheetId="26" hidden="1">{#N/A,#N/A,FALSE,"단축1";#N/A,#N/A,FALSE,"단축2";#N/A,#N/A,FALSE,"단축3";#N/A,#N/A,FALSE,"장축";#N/A,#N/A,FALSE,"4WD"}</definedName>
    <definedName name="전후_4" localSheetId="0" hidden="1">{#N/A,#N/A,FALSE,"단축1";#N/A,#N/A,FALSE,"단축2";#N/A,#N/A,FALSE,"단축3";#N/A,#N/A,FALSE,"장축";#N/A,#N/A,FALSE,"4WD"}</definedName>
    <definedName name="전후_4" hidden="1">{#N/A,#N/A,FALSE,"단축1";#N/A,#N/A,FALSE,"단축2";#N/A,#N/A,FALSE,"단축3";#N/A,#N/A,FALSE,"장축";#N/A,#N/A,FALSE,"4WD"}</definedName>
    <definedName name="전후_5" localSheetId="26" hidden="1">{#N/A,#N/A,FALSE,"단축1";#N/A,#N/A,FALSE,"단축2";#N/A,#N/A,FALSE,"단축3";#N/A,#N/A,FALSE,"장축";#N/A,#N/A,FALSE,"4WD"}</definedName>
    <definedName name="전후_5" localSheetId="0" hidden="1">{#N/A,#N/A,FALSE,"단축1";#N/A,#N/A,FALSE,"단축2";#N/A,#N/A,FALSE,"단축3";#N/A,#N/A,FALSE,"장축";#N/A,#N/A,FALSE,"4WD"}</definedName>
    <definedName name="전후_5" hidden="1">{#N/A,#N/A,FALSE,"단축1";#N/A,#N/A,FALSE,"단축2";#N/A,#N/A,FALSE,"단축3";#N/A,#N/A,FALSE,"장축";#N/A,#N/A,FALSE,"4WD"}</definedName>
    <definedName name="전후분석" localSheetId="26" hidden="1">{#N/A,#N/A,FALSE,"단축1";#N/A,#N/A,FALSE,"단축2";#N/A,#N/A,FALSE,"단축3";#N/A,#N/A,FALSE,"장축";#N/A,#N/A,FALSE,"4WD"}</definedName>
    <definedName name="전후분석" localSheetId="0" hidden="1">{#N/A,#N/A,FALSE,"단축1";#N/A,#N/A,FALSE,"단축2";#N/A,#N/A,FALSE,"단축3";#N/A,#N/A,FALSE,"장축";#N/A,#N/A,FALSE,"4WD"}</definedName>
    <definedName name="전후분석" hidden="1">{#N/A,#N/A,FALSE,"단축1";#N/A,#N/A,FALSE,"단축2";#N/A,#N/A,FALSE,"단축3";#N/A,#N/A,FALSE,"장축";#N/A,#N/A,FALSE,"4WD"}</definedName>
    <definedName name="전후분석_1" localSheetId="26" hidden="1">{#N/A,#N/A,FALSE,"단축1";#N/A,#N/A,FALSE,"단축2";#N/A,#N/A,FALSE,"단축3";#N/A,#N/A,FALSE,"장축";#N/A,#N/A,FALSE,"4WD"}</definedName>
    <definedName name="전후분석_1" localSheetId="0" hidden="1">{#N/A,#N/A,FALSE,"단축1";#N/A,#N/A,FALSE,"단축2";#N/A,#N/A,FALSE,"단축3";#N/A,#N/A,FALSE,"장축";#N/A,#N/A,FALSE,"4WD"}</definedName>
    <definedName name="전후분석_1" hidden="1">{#N/A,#N/A,FALSE,"단축1";#N/A,#N/A,FALSE,"단축2";#N/A,#N/A,FALSE,"단축3";#N/A,#N/A,FALSE,"장축";#N/A,#N/A,FALSE,"4WD"}</definedName>
    <definedName name="전후분석_1_1" localSheetId="26" hidden="1">{#N/A,#N/A,FALSE,"단축1";#N/A,#N/A,FALSE,"단축2";#N/A,#N/A,FALSE,"단축3";#N/A,#N/A,FALSE,"장축";#N/A,#N/A,FALSE,"4WD"}</definedName>
    <definedName name="전후분석_1_1" localSheetId="0" hidden="1">{#N/A,#N/A,FALSE,"단축1";#N/A,#N/A,FALSE,"단축2";#N/A,#N/A,FALSE,"단축3";#N/A,#N/A,FALSE,"장축";#N/A,#N/A,FALSE,"4WD"}</definedName>
    <definedName name="전후분석_1_1" hidden="1">{#N/A,#N/A,FALSE,"단축1";#N/A,#N/A,FALSE,"단축2";#N/A,#N/A,FALSE,"단축3";#N/A,#N/A,FALSE,"장축";#N/A,#N/A,FALSE,"4WD"}</definedName>
    <definedName name="전후분석_1_2" localSheetId="26" hidden="1">{#N/A,#N/A,FALSE,"단축1";#N/A,#N/A,FALSE,"단축2";#N/A,#N/A,FALSE,"단축3";#N/A,#N/A,FALSE,"장축";#N/A,#N/A,FALSE,"4WD"}</definedName>
    <definedName name="전후분석_1_2" localSheetId="0" hidden="1">{#N/A,#N/A,FALSE,"단축1";#N/A,#N/A,FALSE,"단축2";#N/A,#N/A,FALSE,"단축3";#N/A,#N/A,FALSE,"장축";#N/A,#N/A,FALSE,"4WD"}</definedName>
    <definedName name="전후분석_1_2" hidden="1">{#N/A,#N/A,FALSE,"단축1";#N/A,#N/A,FALSE,"단축2";#N/A,#N/A,FALSE,"단축3";#N/A,#N/A,FALSE,"장축";#N/A,#N/A,FALSE,"4WD"}</definedName>
    <definedName name="전후분석_1_3" localSheetId="26" hidden="1">{#N/A,#N/A,FALSE,"단축1";#N/A,#N/A,FALSE,"단축2";#N/A,#N/A,FALSE,"단축3";#N/A,#N/A,FALSE,"장축";#N/A,#N/A,FALSE,"4WD"}</definedName>
    <definedName name="전후분석_1_3" localSheetId="0" hidden="1">{#N/A,#N/A,FALSE,"단축1";#N/A,#N/A,FALSE,"단축2";#N/A,#N/A,FALSE,"단축3";#N/A,#N/A,FALSE,"장축";#N/A,#N/A,FALSE,"4WD"}</definedName>
    <definedName name="전후분석_1_3" hidden="1">{#N/A,#N/A,FALSE,"단축1";#N/A,#N/A,FALSE,"단축2";#N/A,#N/A,FALSE,"단축3";#N/A,#N/A,FALSE,"장축";#N/A,#N/A,FALSE,"4WD"}</definedName>
    <definedName name="전후분석_2" localSheetId="26" hidden="1">{#N/A,#N/A,FALSE,"단축1";#N/A,#N/A,FALSE,"단축2";#N/A,#N/A,FALSE,"단축3";#N/A,#N/A,FALSE,"장축";#N/A,#N/A,FALSE,"4WD"}</definedName>
    <definedName name="전후분석_2" localSheetId="0" hidden="1">{#N/A,#N/A,FALSE,"단축1";#N/A,#N/A,FALSE,"단축2";#N/A,#N/A,FALSE,"단축3";#N/A,#N/A,FALSE,"장축";#N/A,#N/A,FALSE,"4WD"}</definedName>
    <definedName name="전후분석_2" hidden="1">{#N/A,#N/A,FALSE,"단축1";#N/A,#N/A,FALSE,"단축2";#N/A,#N/A,FALSE,"단축3";#N/A,#N/A,FALSE,"장축";#N/A,#N/A,FALSE,"4WD"}</definedName>
    <definedName name="전후분석_2_1" localSheetId="26" hidden="1">{#N/A,#N/A,FALSE,"단축1";#N/A,#N/A,FALSE,"단축2";#N/A,#N/A,FALSE,"단축3";#N/A,#N/A,FALSE,"장축";#N/A,#N/A,FALSE,"4WD"}</definedName>
    <definedName name="전후분석_2_1" localSheetId="0" hidden="1">{#N/A,#N/A,FALSE,"단축1";#N/A,#N/A,FALSE,"단축2";#N/A,#N/A,FALSE,"단축3";#N/A,#N/A,FALSE,"장축";#N/A,#N/A,FALSE,"4WD"}</definedName>
    <definedName name="전후분석_2_1" hidden="1">{#N/A,#N/A,FALSE,"단축1";#N/A,#N/A,FALSE,"단축2";#N/A,#N/A,FALSE,"단축3";#N/A,#N/A,FALSE,"장축";#N/A,#N/A,FALSE,"4WD"}</definedName>
    <definedName name="전후분석_2_2" localSheetId="26" hidden="1">{#N/A,#N/A,FALSE,"단축1";#N/A,#N/A,FALSE,"단축2";#N/A,#N/A,FALSE,"단축3";#N/A,#N/A,FALSE,"장축";#N/A,#N/A,FALSE,"4WD"}</definedName>
    <definedName name="전후분석_2_2" localSheetId="0" hidden="1">{#N/A,#N/A,FALSE,"단축1";#N/A,#N/A,FALSE,"단축2";#N/A,#N/A,FALSE,"단축3";#N/A,#N/A,FALSE,"장축";#N/A,#N/A,FALSE,"4WD"}</definedName>
    <definedName name="전후분석_2_2" hidden="1">{#N/A,#N/A,FALSE,"단축1";#N/A,#N/A,FALSE,"단축2";#N/A,#N/A,FALSE,"단축3";#N/A,#N/A,FALSE,"장축";#N/A,#N/A,FALSE,"4WD"}</definedName>
    <definedName name="전후분석_3" localSheetId="26" hidden="1">{#N/A,#N/A,FALSE,"단축1";#N/A,#N/A,FALSE,"단축2";#N/A,#N/A,FALSE,"단축3";#N/A,#N/A,FALSE,"장축";#N/A,#N/A,FALSE,"4WD"}</definedName>
    <definedName name="전후분석_3" localSheetId="0" hidden="1">{#N/A,#N/A,FALSE,"단축1";#N/A,#N/A,FALSE,"단축2";#N/A,#N/A,FALSE,"단축3";#N/A,#N/A,FALSE,"장축";#N/A,#N/A,FALSE,"4WD"}</definedName>
    <definedName name="전후분석_3" hidden="1">{#N/A,#N/A,FALSE,"단축1";#N/A,#N/A,FALSE,"단축2";#N/A,#N/A,FALSE,"단축3";#N/A,#N/A,FALSE,"장축";#N/A,#N/A,FALSE,"4WD"}</definedName>
    <definedName name="전후분석_4" localSheetId="26" hidden="1">{#N/A,#N/A,FALSE,"단축1";#N/A,#N/A,FALSE,"단축2";#N/A,#N/A,FALSE,"단축3";#N/A,#N/A,FALSE,"장축";#N/A,#N/A,FALSE,"4WD"}</definedName>
    <definedName name="전후분석_4" localSheetId="0" hidden="1">{#N/A,#N/A,FALSE,"단축1";#N/A,#N/A,FALSE,"단축2";#N/A,#N/A,FALSE,"단축3";#N/A,#N/A,FALSE,"장축";#N/A,#N/A,FALSE,"4WD"}</definedName>
    <definedName name="전후분석_4" hidden="1">{#N/A,#N/A,FALSE,"단축1";#N/A,#N/A,FALSE,"단축2";#N/A,#N/A,FALSE,"단축3";#N/A,#N/A,FALSE,"장축";#N/A,#N/A,FALSE,"4WD"}</definedName>
    <definedName name="전후분석_5" localSheetId="26" hidden="1">{#N/A,#N/A,FALSE,"단축1";#N/A,#N/A,FALSE,"단축2";#N/A,#N/A,FALSE,"단축3";#N/A,#N/A,FALSE,"장축";#N/A,#N/A,FALSE,"4WD"}</definedName>
    <definedName name="전후분석_5" localSheetId="0" hidden="1">{#N/A,#N/A,FALSE,"단축1";#N/A,#N/A,FALSE,"단축2";#N/A,#N/A,FALSE,"단축3";#N/A,#N/A,FALSE,"장축";#N/A,#N/A,FALSE,"4WD"}</definedName>
    <definedName name="전후분석_5" hidden="1">{#N/A,#N/A,FALSE,"단축1";#N/A,#N/A,FALSE,"단축2";#N/A,#N/A,FALSE,"단축3";#N/A,#N/A,FALSE,"장축";#N/A,#N/A,FALSE,"4WD"}</definedName>
    <definedName name="전후분석을" localSheetId="26" hidden="1">{#N/A,#N/A,FALSE,"단축1";#N/A,#N/A,FALSE,"단축2";#N/A,#N/A,FALSE,"단축3";#N/A,#N/A,FALSE,"장축";#N/A,#N/A,FALSE,"4WD"}</definedName>
    <definedName name="전후분석을" localSheetId="0" hidden="1">{#N/A,#N/A,FALSE,"단축1";#N/A,#N/A,FALSE,"단축2";#N/A,#N/A,FALSE,"단축3";#N/A,#N/A,FALSE,"장축";#N/A,#N/A,FALSE,"4WD"}</definedName>
    <definedName name="전후분석을" hidden="1">{#N/A,#N/A,FALSE,"단축1";#N/A,#N/A,FALSE,"단축2";#N/A,#N/A,FALSE,"단축3";#N/A,#N/A,FALSE,"장축";#N/A,#N/A,FALSE,"4WD"}</definedName>
    <definedName name="전후분석을_1" localSheetId="26" hidden="1">{#N/A,#N/A,FALSE,"단축1";#N/A,#N/A,FALSE,"단축2";#N/A,#N/A,FALSE,"단축3";#N/A,#N/A,FALSE,"장축";#N/A,#N/A,FALSE,"4WD"}</definedName>
    <definedName name="전후분석을_1" localSheetId="0" hidden="1">{#N/A,#N/A,FALSE,"단축1";#N/A,#N/A,FALSE,"단축2";#N/A,#N/A,FALSE,"단축3";#N/A,#N/A,FALSE,"장축";#N/A,#N/A,FALSE,"4WD"}</definedName>
    <definedName name="전후분석을_1" hidden="1">{#N/A,#N/A,FALSE,"단축1";#N/A,#N/A,FALSE,"단축2";#N/A,#N/A,FALSE,"단축3";#N/A,#N/A,FALSE,"장축";#N/A,#N/A,FALSE,"4WD"}</definedName>
    <definedName name="전후분석을_1_1" localSheetId="26" hidden="1">{#N/A,#N/A,FALSE,"단축1";#N/A,#N/A,FALSE,"단축2";#N/A,#N/A,FALSE,"단축3";#N/A,#N/A,FALSE,"장축";#N/A,#N/A,FALSE,"4WD"}</definedName>
    <definedName name="전후분석을_1_1" localSheetId="0" hidden="1">{#N/A,#N/A,FALSE,"단축1";#N/A,#N/A,FALSE,"단축2";#N/A,#N/A,FALSE,"단축3";#N/A,#N/A,FALSE,"장축";#N/A,#N/A,FALSE,"4WD"}</definedName>
    <definedName name="전후분석을_1_1" hidden="1">{#N/A,#N/A,FALSE,"단축1";#N/A,#N/A,FALSE,"단축2";#N/A,#N/A,FALSE,"단축3";#N/A,#N/A,FALSE,"장축";#N/A,#N/A,FALSE,"4WD"}</definedName>
    <definedName name="전후분석을_1_2" localSheetId="26" hidden="1">{#N/A,#N/A,FALSE,"단축1";#N/A,#N/A,FALSE,"단축2";#N/A,#N/A,FALSE,"단축3";#N/A,#N/A,FALSE,"장축";#N/A,#N/A,FALSE,"4WD"}</definedName>
    <definedName name="전후분석을_1_2" localSheetId="0" hidden="1">{#N/A,#N/A,FALSE,"단축1";#N/A,#N/A,FALSE,"단축2";#N/A,#N/A,FALSE,"단축3";#N/A,#N/A,FALSE,"장축";#N/A,#N/A,FALSE,"4WD"}</definedName>
    <definedName name="전후분석을_1_2" hidden="1">{#N/A,#N/A,FALSE,"단축1";#N/A,#N/A,FALSE,"단축2";#N/A,#N/A,FALSE,"단축3";#N/A,#N/A,FALSE,"장축";#N/A,#N/A,FALSE,"4WD"}</definedName>
    <definedName name="전후분석을_1_3" localSheetId="26" hidden="1">{#N/A,#N/A,FALSE,"단축1";#N/A,#N/A,FALSE,"단축2";#N/A,#N/A,FALSE,"단축3";#N/A,#N/A,FALSE,"장축";#N/A,#N/A,FALSE,"4WD"}</definedName>
    <definedName name="전후분석을_1_3" localSheetId="0" hidden="1">{#N/A,#N/A,FALSE,"단축1";#N/A,#N/A,FALSE,"단축2";#N/A,#N/A,FALSE,"단축3";#N/A,#N/A,FALSE,"장축";#N/A,#N/A,FALSE,"4WD"}</definedName>
    <definedName name="전후분석을_1_3" hidden="1">{#N/A,#N/A,FALSE,"단축1";#N/A,#N/A,FALSE,"단축2";#N/A,#N/A,FALSE,"단축3";#N/A,#N/A,FALSE,"장축";#N/A,#N/A,FALSE,"4WD"}</definedName>
    <definedName name="전후분석을_2" localSheetId="26" hidden="1">{#N/A,#N/A,FALSE,"단축1";#N/A,#N/A,FALSE,"단축2";#N/A,#N/A,FALSE,"단축3";#N/A,#N/A,FALSE,"장축";#N/A,#N/A,FALSE,"4WD"}</definedName>
    <definedName name="전후분석을_2" localSheetId="0" hidden="1">{#N/A,#N/A,FALSE,"단축1";#N/A,#N/A,FALSE,"단축2";#N/A,#N/A,FALSE,"단축3";#N/A,#N/A,FALSE,"장축";#N/A,#N/A,FALSE,"4WD"}</definedName>
    <definedName name="전후분석을_2" hidden="1">{#N/A,#N/A,FALSE,"단축1";#N/A,#N/A,FALSE,"단축2";#N/A,#N/A,FALSE,"단축3";#N/A,#N/A,FALSE,"장축";#N/A,#N/A,FALSE,"4WD"}</definedName>
    <definedName name="전후분석을_2_1" localSheetId="26" hidden="1">{#N/A,#N/A,FALSE,"단축1";#N/A,#N/A,FALSE,"단축2";#N/A,#N/A,FALSE,"단축3";#N/A,#N/A,FALSE,"장축";#N/A,#N/A,FALSE,"4WD"}</definedName>
    <definedName name="전후분석을_2_1" localSheetId="0" hidden="1">{#N/A,#N/A,FALSE,"단축1";#N/A,#N/A,FALSE,"단축2";#N/A,#N/A,FALSE,"단축3";#N/A,#N/A,FALSE,"장축";#N/A,#N/A,FALSE,"4WD"}</definedName>
    <definedName name="전후분석을_2_1" hidden="1">{#N/A,#N/A,FALSE,"단축1";#N/A,#N/A,FALSE,"단축2";#N/A,#N/A,FALSE,"단축3";#N/A,#N/A,FALSE,"장축";#N/A,#N/A,FALSE,"4WD"}</definedName>
    <definedName name="전후분석을_2_2" localSheetId="26" hidden="1">{#N/A,#N/A,FALSE,"단축1";#N/A,#N/A,FALSE,"단축2";#N/A,#N/A,FALSE,"단축3";#N/A,#N/A,FALSE,"장축";#N/A,#N/A,FALSE,"4WD"}</definedName>
    <definedName name="전후분석을_2_2" localSheetId="0" hidden="1">{#N/A,#N/A,FALSE,"단축1";#N/A,#N/A,FALSE,"단축2";#N/A,#N/A,FALSE,"단축3";#N/A,#N/A,FALSE,"장축";#N/A,#N/A,FALSE,"4WD"}</definedName>
    <definedName name="전후분석을_2_2" hidden="1">{#N/A,#N/A,FALSE,"단축1";#N/A,#N/A,FALSE,"단축2";#N/A,#N/A,FALSE,"단축3";#N/A,#N/A,FALSE,"장축";#N/A,#N/A,FALSE,"4WD"}</definedName>
    <definedName name="전후분석을_3" localSheetId="26" hidden="1">{#N/A,#N/A,FALSE,"단축1";#N/A,#N/A,FALSE,"단축2";#N/A,#N/A,FALSE,"단축3";#N/A,#N/A,FALSE,"장축";#N/A,#N/A,FALSE,"4WD"}</definedName>
    <definedName name="전후분석을_3" localSheetId="0" hidden="1">{#N/A,#N/A,FALSE,"단축1";#N/A,#N/A,FALSE,"단축2";#N/A,#N/A,FALSE,"단축3";#N/A,#N/A,FALSE,"장축";#N/A,#N/A,FALSE,"4WD"}</definedName>
    <definedName name="전후분석을_3" hidden="1">{#N/A,#N/A,FALSE,"단축1";#N/A,#N/A,FALSE,"단축2";#N/A,#N/A,FALSE,"단축3";#N/A,#N/A,FALSE,"장축";#N/A,#N/A,FALSE,"4WD"}</definedName>
    <definedName name="전후분석을_4" localSheetId="26" hidden="1">{#N/A,#N/A,FALSE,"단축1";#N/A,#N/A,FALSE,"단축2";#N/A,#N/A,FALSE,"단축3";#N/A,#N/A,FALSE,"장축";#N/A,#N/A,FALSE,"4WD"}</definedName>
    <definedName name="전후분석을_4" localSheetId="0" hidden="1">{#N/A,#N/A,FALSE,"단축1";#N/A,#N/A,FALSE,"단축2";#N/A,#N/A,FALSE,"단축3";#N/A,#N/A,FALSE,"장축";#N/A,#N/A,FALSE,"4WD"}</definedName>
    <definedName name="전후분석을_4" hidden="1">{#N/A,#N/A,FALSE,"단축1";#N/A,#N/A,FALSE,"단축2";#N/A,#N/A,FALSE,"단축3";#N/A,#N/A,FALSE,"장축";#N/A,#N/A,FALSE,"4WD"}</definedName>
    <definedName name="전후분석을_5" localSheetId="26" hidden="1">{#N/A,#N/A,FALSE,"단축1";#N/A,#N/A,FALSE,"단축2";#N/A,#N/A,FALSE,"단축3";#N/A,#N/A,FALSE,"장축";#N/A,#N/A,FALSE,"4WD"}</definedName>
    <definedName name="전후분석을_5" localSheetId="0" hidden="1">{#N/A,#N/A,FALSE,"단축1";#N/A,#N/A,FALSE,"단축2";#N/A,#N/A,FALSE,"단축3";#N/A,#N/A,FALSE,"장축";#N/A,#N/A,FALSE,"4WD"}</definedName>
    <definedName name="전후분석을_5" hidden="1">{#N/A,#N/A,FALSE,"단축1";#N/A,#N/A,FALSE,"단축2";#N/A,#N/A,FALSE,"단축3";#N/A,#N/A,FALSE,"장축";#N/A,#N/A,FALSE,"4WD"}</definedName>
    <definedName name="젖" localSheetId="26" hidden="1">{#N/A,#N/A,FALSE,"단축1";#N/A,#N/A,FALSE,"단축2";#N/A,#N/A,FALSE,"단축3";#N/A,#N/A,FALSE,"장축";#N/A,#N/A,FALSE,"4WD"}</definedName>
    <definedName name="젖" localSheetId="0" hidden="1">{#N/A,#N/A,FALSE,"단축1";#N/A,#N/A,FALSE,"단축2";#N/A,#N/A,FALSE,"단축3";#N/A,#N/A,FALSE,"장축";#N/A,#N/A,FALSE,"4WD"}</definedName>
    <definedName name="젖" hidden="1">{#N/A,#N/A,FALSE,"단축1";#N/A,#N/A,FALSE,"단축2";#N/A,#N/A,FALSE,"단축3";#N/A,#N/A,FALSE,"장축";#N/A,#N/A,FALSE,"4WD"}</definedName>
    <definedName name="젖_1" localSheetId="26" hidden="1">{#N/A,#N/A,FALSE,"단축1";#N/A,#N/A,FALSE,"단축2";#N/A,#N/A,FALSE,"단축3";#N/A,#N/A,FALSE,"장축";#N/A,#N/A,FALSE,"4WD"}</definedName>
    <definedName name="젖_1" localSheetId="0" hidden="1">{#N/A,#N/A,FALSE,"단축1";#N/A,#N/A,FALSE,"단축2";#N/A,#N/A,FALSE,"단축3";#N/A,#N/A,FALSE,"장축";#N/A,#N/A,FALSE,"4WD"}</definedName>
    <definedName name="젖_1" hidden="1">{#N/A,#N/A,FALSE,"단축1";#N/A,#N/A,FALSE,"단축2";#N/A,#N/A,FALSE,"단축3";#N/A,#N/A,FALSE,"장축";#N/A,#N/A,FALSE,"4WD"}</definedName>
    <definedName name="젖_1_1" localSheetId="26" hidden="1">{#N/A,#N/A,FALSE,"단축1";#N/A,#N/A,FALSE,"단축2";#N/A,#N/A,FALSE,"단축3";#N/A,#N/A,FALSE,"장축";#N/A,#N/A,FALSE,"4WD"}</definedName>
    <definedName name="젖_1_1" localSheetId="0" hidden="1">{#N/A,#N/A,FALSE,"단축1";#N/A,#N/A,FALSE,"단축2";#N/A,#N/A,FALSE,"단축3";#N/A,#N/A,FALSE,"장축";#N/A,#N/A,FALSE,"4WD"}</definedName>
    <definedName name="젖_1_1" hidden="1">{#N/A,#N/A,FALSE,"단축1";#N/A,#N/A,FALSE,"단축2";#N/A,#N/A,FALSE,"단축3";#N/A,#N/A,FALSE,"장축";#N/A,#N/A,FALSE,"4WD"}</definedName>
    <definedName name="젖_1_2" localSheetId="26" hidden="1">{#N/A,#N/A,FALSE,"단축1";#N/A,#N/A,FALSE,"단축2";#N/A,#N/A,FALSE,"단축3";#N/A,#N/A,FALSE,"장축";#N/A,#N/A,FALSE,"4WD"}</definedName>
    <definedName name="젖_1_2" localSheetId="0" hidden="1">{#N/A,#N/A,FALSE,"단축1";#N/A,#N/A,FALSE,"단축2";#N/A,#N/A,FALSE,"단축3";#N/A,#N/A,FALSE,"장축";#N/A,#N/A,FALSE,"4WD"}</definedName>
    <definedName name="젖_1_2" hidden="1">{#N/A,#N/A,FALSE,"단축1";#N/A,#N/A,FALSE,"단축2";#N/A,#N/A,FALSE,"단축3";#N/A,#N/A,FALSE,"장축";#N/A,#N/A,FALSE,"4WD"}</definedName>
    <definedName name="젖_1_3" localSheetId="26" hidden="1">{#N/A,#N/A,FALSE,"단축1";#N/A,#N/A,FALSE,"단축2";#N/A,#N/A,FALSE,"단축3";#N/A,#N/A,FALSE,"장축";#N/A,#N/A,FALSE,"4WD"}</definedName>
    <definedName name="젖_1_3" localSheetId="0" hidden="1">{#N/A,#N/A,FALSE,"단축1";#N/A,#N/A,FALSE,"단축2";#N/A,#N/A,FALSE,"단축3";#N/A,#N/A,FALSE,"장축";#N/A,#N/A,FALSE,"4WD"}</definedName>
    <definedName name="젖_1_3" hidden="1">{#N/A,#N/A,FALSE,"단축1";#N/A,#N/A,FALSE,"단축2";#N/A,#N/A,FALSE,"단축3";#N/A,#N/A,FALSE,"장축";#N/A,#N/A,FALSE,"4WD"}</definedName>
    <definedName name="젖_2" localSheetId="26" hidden="1">{#N/A,#N/A,FALSE,"단축1";#N/A,#N/A,FALSE,"단축2";#N/A,#N/A,FALSE,"단축3";#N/A,#N/A,FALSE,"장축";#N/A,#N/A,FALSE,"4WD"}</definedName>
    <definedName name="젖_2" localSheetId="0" hidden="1">{#N/A,#N/A,FALSE,"단축1";#N/A,#N/A,FALSE,"단축2";#N/A,#N/A,FALSE,"단축3";#N/A,#N/A,FALSE,"장축";#N/A,#N/A,FALSE,"4WD"}</definedName>
    <definedName name="젖_2" hidden="1">{#N/A,#N/A,FALSE,"단축1";#N/A,#N/A,FALSE,"단축2";#N/A,#N/A,FALSE,"단축3";#N/A,#N/A,FALSE,"장축";#N/A,#N/A,FALSE,"4WD"}</definedName>
    <definedName name="젖_2_1" localSheetId="26" hidden="1">{#N/A,#N/A,FALSE,"단축1";#N/A,#N/A,FALSE,"단축2";#N/A,#N/A,FALSE,"단축3";#N/A,#N/A,FALSE,"장축";#N/A,#N/A,FALSE,"4WD"}</definedName>
    <definedName name="젖_2_1" localSheetId="0" hidden="1">{#N/A,#N/A,FALSE,"단축1";#N/A,#N/A,FALSE,"단축2";#N/A,#N/A,FALSE,"단축3";#N/A,#N/A,FALSE,"장축";#N/A,#N/A,FALSE,"4WD"}</definedName>
    <definedName name="젖_2_1" hidden="1">{#N/A,#N/A,FALSE,"단축1";#N/A,#N/A,FALSE,"단축2";#N/A,#N/A,FALSE,"단축3";#N/A,#N/A,FALSE,"장축";#N/A,#N/A,FALSE,"4WD"}</definedName>
    <definedName name="젖_2_2" localSheetId="26" hidden="1">{#N/A,#N/A,FALSE,"단축1";#N/A,#N/A,FALSE,"단축2";#N/A,#N/A,FALSE,"단축3";#N/A,#N/A,FALSE,"장축";#N/A,#N/A,FALSE,"4WD"}</definedName>
    <definedName name="젖_2_2" localSheetId="0" hidden="1">{#N/A,#N/A,FALSE,"단축1";#N/A,#N/A,FALSE,"단축2";#N/A,#N/A,FALSE,"단축3";#N/A,#N/A,FALSE,"장축";#N/A,#N/A,FALSE,"4WD"}</definedName>
    <definedName name="젖_2_2" hidden="1">{#N/A,#N/A,FALSE,"단축1";#N/A,#N/A,FALSE,"단축2";#N/A,#N/A,FALSE,"단축3";#N/A,#N/A,FALSE,"장축";#N/A,#N/A,FALSE,"4WD"}</definedName>
    <definedName name="젖_3" localSheetId="26" hidden="1">{#N/A,#N/A,FALSE,"단축1";#N/A,#N/A,FALSE,"단축2";#N/A,#N/A,FALSE,"단축3";#N/A,#N/A,FALSE,"장축";#N/A,#N/A,FALSE,"4WD"}</definedName>
    <definedName name="젖_3" localSheetId="0" hidden="1">{#N/A,#N/A,FALSE,"단축1";#N/A,#N/A,FALSE,"단축2";#N/A,#N/A,FALSE,"단축3";#N/A,#N/A,FALSE,"장축";#N/A,#N/A,FALSE,"4WD"}</definedName>
    <definedName name="젖_3" hidden="1">{#N/A,#N/A,FALSE,"단축1";#N/A,#N/A,FALSE,"단축2";#N/A,#N/A,FALSE,"단축3";#N/A,#N/A,FALSE,"장축";#N/A,#N/A,FALSE,"4WD"}</definedName>
    <definedName name="젖_4" localSheetId="26" hidden="1">{#N/A,#N/A,FALSE,"단축1";#N/A,#N/A,FALSE,"단축2";#N/A,#N/A,FALSE,"단축3";#N/A,#N/A,FALSE,"장축";#N/A,#N/A,FALSE,"4WD"}</definedName>
    <definedName name="젖_4" localSheetId="0" hidden="1">{#N/A,#N/A,FALSE,"단축1";#N/A,#N/A,FALSE,"단축2";#N/A,#N/A,FALSE,"단축3";#N/A,#N/A,FALSE,"장축";#N/A,#N/A,FALSE,"4WD"}</definedName>
    <definedName name="젖_4" hidden="1">{#N/A,#N/A,FALSE,"단축1";#N/A,#N/A,FALSE,"단축2";#N/A,#N/A,FALSE,"단축3";#N/A,#N/A,FALSE,"장축";#N/A,#N/A,FALSE,"4WD"}</definedName>
    <definedName name="젖_5" localSheetId="26" hidden="1">{#N/A,#N/A,FALSE,"단축1";#N/A,#N/A,FALSE,"단축2";#N/A,#N/A,FALSE,"단축3";#N/A,#N/A,FALSE,"장축";#N/A,#N/A,FALSE,"4WD"}</definedName>
    <definedName name="젖_5" localSheetId="0" hidden="1">{#N/A,#N/A,FALSE,"단축1";#N/A,#N/A,FALSE,"단축2";#N/A,#N/A,FALSE,"단축3";#N/A,#N/A,FALSE,"장축";#N/A,#N/A,FALSE,"4WD"}</definedName>
    <definedName name="젖_5" hidden="1">{#N/A,#N/A,FALSE,"단축1";#N/A,#N/A,FALSE,"단축2";#N/A,#N/A,FALSE,"단축3";#N/A,#N/A,FALSE,"장축";#N/A,#N/A,FALSE,"4WD"}</definedName>
    <definedName name="제작현황" localSheetId="26" hidden="1">{#N/A,#N/A,FALSE,"단축1";#N/A,#N/A,FALSE,"단축2";#N/A,#N/A,FALSE,"단축3";#N/A,#N/A,FALSE,"장축";#N/A,#N/A,FALSE,"4WD"}</definedName>
    <definedName name="제작현황" localSheetId="0" hidden="1">{#N/A,#N/A,FALSE,"단축1";#N/A,#N/A,FALSE,"단축2";#N/A,#N/A,FALSE,"단축3";#N/A,#N/A,FALSE,"장축";#N/A,#N/A,FALSE,"4WD"}</definedName>
    <definedName name="제작현황" hidden="1">{#N/A,#N/A,FALSE,"단축1";#N/A,#N/A,FALSE,"단축2";#N/A,#N/A,FALSE,"단축3";#N/A,#N/A,FALSE,"장축";#N/A,#N/A,FALSE,"4WD"}</definedName>
    <definedName name="제작현황_1" localSheetId="26" hidden="1">{#N/A,#N/A,FALSE,"단축1";#N/A,#N/A,FALSE,"단축2";#N/A,#N/A,FALSE,"단축3";#N/A,#N/A,FALSE,"장축";#N/A,#N/A,FALSE,"4WD"}</definedName>
    <definedName name="제작현황_1" localSheetId="0" hidden="1">{#N/A,#N/A,FALSE,"단축1";#N/A,#N/A,FALSE,"단축2";#N/A,#N/A,FALSE,"단축3";#N/A,#N/A,FALSE,"장축";#N/A,#N/A,FALSE,"4WD"}</definedName>
    <definedName name="제작현황_1" hidden="1">{#N/A,#N/A,FALSE,"단축1";#N/A,#N/A,FALSE,"단축2";#N/A,#N/A,FALSE,"단축3";#N/A,#N/A,FALSE,"장축";#N/A,#N/A,FALSE,"4WD"}</definedName>
    <definedName name="제작현황_1_1" localSheetId="26" hidden="1">{#N/A,#N/A,FALSE,"단축1";#N/A,#N/A,FALSE,"단축2";#N/A,#N/A,FALSE,"단축3";#N/A,#N/A,FALSE,"장축";#N/A,#N/A,FALSE,"4WD"}</definedName>
    <definedName name="제작현황_1_1" localSheetId="0" hidden="1">{#N/A,#N/A,FALSE,"단축1";#N/A,#N/A,FALSE,"단축2";#N/A,#N/A,FALSE,"단축3";#N/A,#N/A,FALSE,"장축";#N/A,#N/A,FALSE,"4WD"}</definedName>
    <definedName name="제작현황_1_1" hidden="1">{#N/A,#N/A,FALSE,"단축1";#N/A,#N/A,FALSE,"단축2";#N/A,#N/A,FALSE,"단축3";#N/A,#N/A,FALSE,"장축";#N/A,#N/A,FALSE,"4WD"}</definedName>
    <definedName name="제작현황_1_2" localSheetId="26" hidden="1">{#N/A,#N/A,FALSE,"단축1";#N/A,#N/A,FALSE,"단축2";#N/A,#N/A,FALSE,"단축3";#N/A,#N/A,FALSE,"장축";#N/A,#N/A,FALSE,"4WD"}</definedName>
    <definedName name="제작현황_1_2" localSheetId="0" hidden="1">{#N/A,#N/A,FALSE,"단축1";#N/A,#N/A,FALSE,"단축2";#N/A,#N/A,FALSE,"단축3";#N/A,#N/A,FALSE,"장축";#N/A,#N/A,FALSE,"4WD"}</definedName>
    <definedName name="제작현황_1_2" hidden="1">{#N/A,#N/A,FALSE,"단축1";#N/A,#N/A,FALSE,"단축2";#N/A,#N/A,FALSE,"단축3";#N/A,#N/A,FALSE,"장축";#N/A,#N/A,FALSE,"4WD"}</definedName>
    <definedName name="제작현황_1_3" localSheetId="26" hidden="1">{#N/A,#N/A,FALSE,"단축1";#N/A,#N/A,FALSE,"단축2";#N/A,#N/A,FALSE,"단축3";#N/A,#N/A,FALSE,"장축";#N/A,#N/A,FALSE,"4WD"}</definedName>
    <definedName name="제작현황_1_3" localSheetId="0" hidden="1">{#N/A,#N/A,FALSE,"단축1";#N/A,#N/A,FALSE,"단축2";#N/A,#N/A,FALSE,"단축3";#N/A,#N/A,FALSE,"장축";#N/A,#N/A,FALSE,"4WD"}</definedName>
    <definedName name="제작현황_1_3" hidden="1">{#N/A,#N/A,FALSE,"단축1";#N/A,#N/A,FALSE,"단축2";#N/A,#N/A,FALSE,"단축3";#N/A,#N/A,FALSE,"장축";#N/A,#N/A,FALSE,"4WD"}</definedName>
    <definedName name="제작현황_2" localSheetId="26" hidden="1">{#N/A,#N/A,FALSE,"단축1";#N/A,#N/A,FALSE,"단축2";#N/A,#N/A,FALSE,"단축3";#N/A,#N/A,FALSE,"장축";#N/A,#N/A,FALSE,"4WD"}</definedName>
    <definedName name="제작현황_2" localSheetId="0" hidden="1">{#N/A,#N/A,FALSE,"단축1";#N/A,#N/A,FALSE,"단축2";#N/A,#N/A,FALSE,"단축3";#N/A,#N/A,FALSE,"장축";#N/A,#N/A,FALSE,"4WD"}</definedName>
    <definedName name="제작현황_2" hidden="1">{#N/A,#N/A,FALSE,"단축1";#N/A,#N/A,FALSE,"단축2";#N/A,#N/A,FALSE,"단축3";#N/A,#N/A,FALSE,"장축";#N/A,#N/A,FALSE,"4WD"}</definedName>
    <definedName name="제작현황_2_1" localSheetId="26" hidden="1">{#N/A,#N/A,FALSE,"단축1";#N/A,#N/A,FALSE,"단축2";#N/A,#N/A,FALSE,"단축3";#N/A,#N/A,FALSE,"장축";#N/A,#N/A,FALSE,"4WD"}</definedName>
    <definedName name="제작현황_2_1" localSheetId="0" hidden="1">{#N/A,#N/A,FALSE,"단축1";#N/A,#N/A,FALSE,"단축2";#N/A,#N/A,FALSE,"단축3";#N/A,#N/A,FALSE,"장축";#N/A,#N/A,FALSE,"4WD"}</definedName>
    <definedName name="제작현황_2_1" hidden="1">{#N/A,#N/A,FALSE,"단축1";#N/A,#N/A,FALSE,"단축2";#N/A,#N/A,FALSE,"단축3";#N/A,#N/A,FALSE,"장축";#N/A,#N/A,FALSE,"4WD"}</definedName>
    <definedName name="제작현황_2_2" localSheetId="26" hidden="1">{#N/A,#N/A,FALSE,"단축1";#N/A,#N/A,FALSE,"단축2";#N/A,#N/A,FALSE,"단축3";#N/A,#N/A,FALSE,"장축";#N/A,#N/A,FALSE,"4WD"}</definedName>
    <definedName name="제작현황_2_2" localSheetId="0" hidden="1">{#N/A,#N/A,FALSE,"단축1";#N/A,#N/A,FALSE,"단축2";#N/A,#N/A,FALSE,"단축3";#N/A,#N/A,FALSE,"장축";#N/A,#N/A,FALSE,"4WD"}</definedName>
    <definedName name="제작현황_2_2" hidden="1">{#N/A,#N/A,FALSE,"단축1";#N/A,#N/A,FALSE,"단축2";#N/A,#N/A,FALSE,"단축3";#N/A,#N/A,FALSE,"장축";#N/A,#N/A,FALSE,"4WD"}</definedName>
    <definedName name="제작현황_3" localSheetId="26" hidden="1">{#N/A,#N/A,FALSE,"단축1";#N/A,#N/A,FALSE,"단축2";#N/A,#N/A,FALSE,"단축3";#N/A,#N/A,FALSE,"장축";#N/A,#N/A,FALSE,"4WD"}</definedName>
    <definedName name="제작현황_3" localSheetId="0" hidden="1">{#N/A,#N/A,FALSE,"단축1";#N/A,#N/A,FALSE,"단축2";#N/A,#N/A,FALSE,"단축3";#N/A,#N/A,FALSE,"장축";#N/A,#N/A,FALSE,"4WD"}</definedName>
    <definedName name="제작현황_3" hidden="1">{#N/A,#N/A,FALSE,"단축1";#N/A,#N/A,FALSE,"단축2";#N/A,#N/A,FALSE,"단축3";#N/A,#N/A,FALSE,"장축";#N/A,#N/A,FALSE,"4WD"}</definedName>
    <definedName name="제작현황_4" localSheetId="26" hidden="1">{#N/A,#N/A,FALSE,"단축1";#N/A,#N/A,FALSE,"단축2";#N/A,#N/A,FALSE,"단축3";#N/A,#N/A,FALSE,"장축";#N/A,#N/A,FALSE,"4WD"}</definedName>
    <definedName name="제작현황_4" localSheetId="0" hidden="1">{#N/A,#N/A,FALSE,"단축1";#N/A,#N/A,FALSE,"단축2";#N/A,#N/A,FALSE,"단축3";#N/A,#N/A,FALSE,"장축";#N/A,#N/A,FALSE,"4WD"}</definedName>
    <definedName name="제작현황_4" hidden="1">{#N/A,#N/A,FALSE,"단축1";#N/A,#N/A,FALSE,"단축2";#N/A,#N/A,FALSE,"단축3";#N/A,#N/A,FALSE,"장축";#N/A,#N/A,FALSE,"4WD"}</definedName>
    <definedName name="제작현황_5" localSheetId="26" hidden="1">{#N/A,#N/A,FALSE,"단축1";#N/A,#N/A,FALSE,"단축2";#N/A,#N/A,FALSE,"단축3";#N/A,#N/A,FALSE,"장축";#N/A,#N/A,FALSE,"4WD"}</definedName>
    <definedName name="제작현황_5" localSheetId="0" hidden="1">{#N/A,#N/A,FALSE,"단축1";#N/A,#N/A,FALSE,"단축2";#N/A,#N/A,FALSE,"단축3";#N/A,#N/A,FALSE,"장축";#N/A,#N/A,FALSE,"4WD"}</definedName>
    <definedName name="제작현황_5" hidden="1">{#N/A,#N/A,FALSE,"단축1";#N/A,#N/A,FALSE,"단축2";#N/A,#N/A,FALSE,"단축3";#N/A,#N/A,FALSE,"장축";#N/A,#N/A,FALSE,"4WD"}</definedName>
    <definedName name="주요제원" localSheetId="26" hidden="1">{#N/A,#N/A,FALSE,"단축1";#N/A,#N/A,FALSE,"단축2";#N/A,#N/A,FALSE,"단축3";#N/A,#N/A,FALSE,"장축";#N/A,#N/A,FALSE,"4WD"}</definedName>
    <definedName name="주요제원" localSheetId="0" hidden="1">{#N/A,#N/A,FALSE,"단축1";#N/A,#N/A,FALSE,"단축2";#N/A,#N/A,FALSE,"단축3";#N/A,#N/A,FALSE,"장축";#N/A,#N/A,FALSE,"4WD"}</definedName>
    <definedName name="주요제원" hidden="1">{#N/A,#N/A,FALSE,"단축1";#N/A,#N/A,FALSE,"단축2";#N/A,#N/A,FALSE,"단축3";#N/A,#N/A,FALSE,"장축";#N/A,#N/A,FALSE,"4WD"}</definedName>
    <definedName name="주요제원_1" localSheetId="26" hidden="1">{#N/A,#N/A,FALSE,"단축1";#N/A,#N/A,FALSE,"단축2";#N/A,#N/A,FALSE,"단축3";#N/A,#N/A,FALSE,"장축";#N/A,#N/A,FALSE,"4WD"}</definedName>
    <definedName name="주요제원_1" localSheetId="0" hidden="1">{#N/A,#N/A,FALSE,"단축1";#N/A,#N/A,FALSE,"단축2";#N/A,#N/A,FALSE,"단축3";#N/A,#N/A,FALSE,"장축";#N/A,#N/A,FALSE,"4WD"}</definedName>
    <definedName name="주요제원_1" hidden="1">{#N/A,#N/A,FALSE,"단축1";#N/A,#N/A,FALSE,"단축2";#N/A,#N/A,FALSE,"단축3";#N/A,#N/A,FALSE,"장축";#N/A,#N/A,FALSE,"4WD"}</definedName>
    <definedName name="주요제원_1_1" localSheetId="26" hidden="1">{#N/A,#N/A,FALSE,"단축1";#N/A,#N/A,FALSE,"단축2";#N/A,#N/A,FALSE,"단축3";#N/A,#N/A,FALSE,"장축";#N/A,#N/A,FALSE,"4WD"}</definedName>
    <definedName name="주요제원_1_1" localSheetId="0" hidden="1">{#N/A,#N/A,FALSE,"단축1";#N/A,#N/A,FALSE,"단축2";#N/A,#N/A,FALSE,"단축3";#N/A,#N/A,FALSE,"장축";#N/A,#N/A,FALSE,"4WD"}</definedName>
    <definedName name="주요제원_1_1" hidden="1">{#N/A,#N/A,FALSE,"단축1";#N/A,#N/A,FALSE,"단축2";#N/A,#N/A,FALSE,"단축3";#N/A,#N/A,FALSE,"장축";#N/A,#N/A,FALSE,"4WD"}</definedName>
    <definedName name="주요제원_1_2" localSheetId="26" hidden="1">{#N/A,#N/A,FALSE,"단축1";#N/A,#N/A,FALSE,"단축2";#N/A,#N/A,FALSE,"단축3";#N/A,#N/A,FALSE,"장축";#N/A,#N/A,FALSE,"4WD"}</definedName>
    <definedName name="주요제원_1_2" localSheetId="0" hidden="1">{#N/A,#N/A,FALSE,"단축1";#N/A,#N/A,FALSE,"단축2";#N/A,#N/A,FALSE,"단축3";#N/A,#N/A,FALSE,"장축";#N/A,#N/A,FALSE,"4WD"}</definedName>
    <definedName name="주요제원_1_2" hidden="1">{#N/A,#N/A,FALSE,"단축1";#N/A,#N/A,FALSE,"단축2";#N/A,#N/A,FALSE,"단축3";#N/A,#N/A,FALSE,"장축";#N/A,#N/A,FALSE,"4WD"}</definedName>
    <definedName name="주요제원_1_3" localSheetId="26" hidden="1">{#N/A,#N/A,FALSE,"단축1";#N/A,#N/A,FALSE,"단축2";#N/A,#N/A,FALSE,"단축3";#N/A,#N/A,FALSE,"장축";#N/A,#N/A,FALSE,"4WD"}</definedName>
    <definedName name="주요제원_1_3" localSheetId="0" hidden="1">{#N/A,#N/A,FALSE,"단축1";#N/A,#N/A,FALSE,"단축2";#N/A,#N/A,FALSE,"단축3";#N/A,#N/A,FALSE,"장축";#N/A,#N/A,FALSE,"4WD"}</definedName>
    <definedName name="주요제원_1_3" hidden="1">{#N/A,#N/A,FALSE,"단축1";#N/A,#N/A,FALSE,"단축2";#N/A,#N/A,FALSE,"단축3";#N/A,#N/A,FALSE,"장축";#N/A,#N/A,FALSE,"4WD"}</definedName>
    <definedName name="주요제원_2" localSheetId="26" hidden="1">{#N/A,#N/A,FALSE,"단축1";#N/A,#N/A,FALSE,"단축2";#N/A,#N/A,FALSE,"단축3";#N/A,#N/A,FALSE,"장축";#N/A,#N/A,FALSE,"4WD"}</definedName>
    <definedName name="주요제원_2" localSheetId="0" hidden="1">{#N/A,#N/A,FALSE,"단축1";#N/A,#N/A,FALSE,"단축2";#N/A,#N/A,FALSE,"단축3";#N/A,#N/A,FALSE,"장축";#N/A,#N/A,FALSE,"4WD"}</definedName>
    <definedName name="주요제원_2" hidden="1">{#N/A,#N/A,FALSE,"단축1";#N/A,#N/A,FALSE,"단축2";#N/A,#N/A,FALSE,"단축3";#N/A,#N/A,FALSE,"장축";#N/A,#N/A,FALSE,"4WD"}</definedName>
    <definedName name="주요제원_2_1" localSheetId="26" hidden="1">{#N/A,#N/A,FALSE,"단축1";#N/A,#N/A,FALSE,"단축2";#N/A,#N/A,FALSE,"단축3";#N/A,#N/A,FALSE,"장축";#N/A,#N/A,FALSE,"4WD"}</definedName>
    <definedName name="주요제원_2_1" localSheetId="0" hidden="1">{#N/A,#N/A,FALSE,"단축1";#N/A,#N/A,FALSE,"단축2";#N/A,#N/A,FALSE,"단축3";#N/A,#N/A,FALSE,"장축";#N/A,#N/A,FALSE,"4WD"}</definedName>
    <definedName name="주요제원_2_1" hidden="1">{#N/A,#N/A,FALSE,"단축1";#N/A,#N/A,FALSE,"단축2";#N/A,#N/A,FALSE,"단축3";#N/A,#N/A,FALSE,"장축";#N/A,#N/A,FALSE,"4WD"}</definedName>
    <definedName name="주요제원_2_2" localSheetId="26" hidden="1">{#N/A,#N/A,FALSE,"단축1";#N/A,#N/A,FALSE,"단축2";#N/A,#N/A,FALSE,"단축3";#N/A,#N/A,FALSE,"장축";#N/A,#N/A,FALSE,"4WD"}</definedName>
    <definedName name="주요제원_2_2" localSheetId="0" hidden="1">{#N/A,#N/A,FALSE,"단축1";#N/A,#N/A,FALSE,"단축2";#N/A,#N/A,FALSE,"단축3";#N/A,#N/A,FALSE,"장축";#N/A,#N/A,FALSE,"4WD"}</definedName>
    <definedName name="주요제원_2_2" hidden="1">{#N/A,#N/A,FALSE,"단축1";#N/A,#N/A,FALSE,"단축2";#N/A,#N/A,FALSE,"단축3";#N/A,#N/A,FALSE,"장축";#N/A,#N/A,FALSE,"4WD"}</definedName>
    <definedName name="주요제원_3" localSheetId="26" hidden="1">{#N/A,#N/A,FALSE,"단축1";#N/A,#N/A,FALSE,"단축2";#N/A,#N/A,FALSE,"단축3";#N/A,#N/A,FALSE,"장축";#N/A,#N/A,FALSE,"4WD"}</definedName>
    <definedName name="주요제원_3" localSheetId="0" hidden="1">{#N/A,#N/A,FALSE,"단축1";#N/A,#N/A,FALSE,"단축2";#N/A,#N/A,FALSE,"단축3";#N/A,#N/A,FALSE,"장축";#N/A,#N/A,FALSE,"4WD"}</definedName>
    <definedName name="주요제원_3" hidden="1">{#N/A,#N/A,FALSE,"단축1";#N/A,#N/A,FALSE,"단축2";#N/A,#N/A,FALSE,"단축3";#N/A,#N/A,FALSE,"장축";#N/A,#N/A,FALSE,"4WD"}</definedName>
    <definedName name="주요제원_4" localSheetId="26" hidden="1">{#N/A,#N/A,FALSE,"단축1";#N/A,#N/A,FALSE,"단축2";#N/A,#N/A,FALSE,"단축3";#N/A,#N/A,FALSE,"장축";#N/A,#N/A,FALSE,"4WD"}</definedName>
    <definedName name="주요제원_4" localSheetId="0" hidden="1">{#N/A,#N/A,FALSE,"단축1";#N/A,#N/A,FALSE,"단축2";#N/A,#N/A,FALSE,"단축3";#N/A,#N/A,FALSE,"장축";#N/A,#N/A,FALSE,"4WD"}</definedName>
    <definedName name="주요제원_4" hidden="1">{#N/A,#N/A,FALSE,"단축1";#N/A,#N/A,FALSE,"단축2";#N/A,#N/A,FALSE,"단축3";#N/A,#N/A,FALSE,"장축";#N/A,#N/A,FALSE,"4WD"}</definedName>
    <definedName name="주요제원_5" localSheetId="26" hidden="1">{#N/A,#N/A,FALSE,"단축1";#N/A,#N/A,FALSE,"단축2";#N/A,#N/A,FALSE,"단축3";#N/A,#N/A,FALSE,"장축";#N/A,#N/A,FALSE,"4WD"}</definedName>
    <definedName name="주요제원_5" localSheetId="0" hidden="1">{#N/A,#N/A,FALSE,"단축1";#N/A,#N/A,FALSE,"단축2";#N/A,#N/A,FALSE,"단축3";#N/A,#N/A,FALSE,"장축";#N/A,#N/A,FALSE,"4WD"}</definedName>
    <definedName name="주요제원_5" hidden="1">{#N/A,#N/A,FALSE,"단축1";#N/A,#N/A,FALSE,"단축2";#N/A,#N/A,FALSE,"단축3";#N/A,#N/A,FALSE,"장축";#N/A,#N/A,FALSE,"4WD"}</definedName>
    <definedName name="중앙" localSheetId="26" hidden="1">{#N/A,#N/A,FALSE,"단축1";#N/A,#N/A,FALSE,"단축2";#N/A,#N/A,FALSE,"단축3";#N/A,#N/A,FALSE,"장축";#N/A,#N/A,FALSE,"4WD"}</definedName>
    <definedName name="중앙" localSheetId="0" hidden="1">{#N/A,#N/A,FALSE,"단축1";#N/A,#N/A,FALSE,"단축2";#N/A,#N/A,FALSE,"단축3";#N/A,#N/A,FALSE,"장축";#N/A,#N/A,FALSE,"4WD"}</definedName>
    <definedName name="중앙" hidden="1">{#N/A,#N/A,FALSE,"단축1";#N/A,#N/A,FALSE,"단축2";#N/A,#N/A,FALSE,"단축3";#N/A,#N/A,FALSE,"장축";#N/A,#N/A,FALSE,"4WD"}</definedName>
    <definedName name="중앙_1" localSheetId="26" hidden="1">{#N/A,#N/A,FALSE,"단축1";#N/A,#N/A,FALSE,"단축2";#N/A,#N/A,FALSE,"단축3";#N/A,#N/A,FALSE,"장축";#N/A,#N/A,FALSE,"4WD"}</definedName>
    <definedName name="중앙_1" localSheetId="0" hidden="1">{#N/A,#N/A,FALSE,"단축1";#N/A,#N/A,FALSE,"단축2";#N/A,#N/A,FALSE,"단축3";#N/A,#N/A,FALSE,"장축";#N/A,#N/A,FALSE,"4WD"}</definedName>
    <definedName name="중앙_1" hidden="1">{#N/A,#N/A,FALSE,"단축1";#N/A,#N/A,FALSE,"단축2";#N/A,#N/A,FALSE,"단축3";#N/A,#N/A,FALSE,"장축";#N/A,#N/A,FALSE,"4WD"}</definedName>
    <definedName name="중앙_1_1" localSheetId="26" hidden="1">{#N/A,#N/A,FALSE,"단축1";#N/A,#N/A,FALSE,"단축2";#N/A,#N/A,FALSE,"단축3";#N/A,#N/A,FALSE,"장축";#N/A,#N/A,FALSE,"4WD"}</definedName>
    <definedName name="중앙_1_1" localSheetId="0" hidden="1">{#N/A,#N/A,FALSE,"단축1";#N/A,#N/A,FALSE,"단축2";#N/A,#N/A,FALSE,"단축3";#N/A,#N/A,FALSE,"장축";#N/A,#N/A,FALSE,"4WD"}</definedName>
    <definedName name="중앙_1_1" hidden="1">{#N/A,#N/A,FALSE,"단축1";#N/A,#N/A,FALSE,"단축2";#N/A,#N/A,FALSE,"단축3";#N/A,#N/A,FALSE,"장축";#N/A,#N/A,FALSE,"4WD"}</definedName>
    <definedName name="중앙_1_2" localSheetId="26" hidden="1">{#N/A,#N/A,FALSE,"단축1";#N/A,#N/A,FALSE,"단축2";#N/A,#N/A,FALSE,"단축3";#N/A,#N/A,FALSE,"장축";#N/A,#N/A,FALSE,"4WD"}</definedName>
    <definedName name="중앙_1_2" localSheetId="0" hidden="1">{#N/A,#N/A,FALSE,"단축1";#N/A,#N/A,FALSE,"단축2";#N/A,#N/A,FALSE,"단축3";#N/A,#N/A,FALSE,"장축";#N/A,#N/A,FALSE,"4WD"}</definedName>
    <definedName name="중앙_1_2" hidden="1">{#N/A,#N/A,FALSE,"단축1";#N/A,#N/A,FALSE,"단축2";#N/A,#N/A,FALSE,"단축3";#N/A,#N/A,FALSE,"장축";#N/A,#N/A,FALSE,"4WD"}</definedName>
    <definedName name="중앙_1_3" localSheetId="26" hidden="1">{#N/A,#N/A,FALSE,"단축1";#N/A,#N/A,FALSE,"단축2";#N/A,#N/A,FALSE,"단축3";#N/A,#N/A,FALSE,"장축";#N/A,#N/A,FALSE,"4WD"}</definedName>
    <definedName name="중앙_1_3" localSheetId="0" hidden="1">{#N/A,#N/A,FALSE,"단축1";#N/A,#N/A,FALSE,"단축2";#N/A,#N/A,FALSE,"단축3";#N/A,#N/A,FALSE,"장축";#N/A,#N/A,FALSE,"4WD"}</definedName>
    <definedName name="중앙_1_3" hidden="1">{#N/A,#N/A,FALSE,"단축1";#N/A,#N/A,FALSE,"단축2";#N/A,#N/A,FALSE,"단축3";#N/A,#N/A,FALSE,"장축";#N/A,#N/A,FALSE,"4WD"}</definedName>
    <definedName name="중앙_2" localSheetId="26" hidden="1">{#N/A,#N/A,FALSE,"단축1";#N/A,#N/A,FALSE,"단축2";#N/A,#N/A,FALSE,"단축3";#N/A,#N/A,FALSE,"장축";#N/A,#N/A,FALSE,"4WD"}</definedName>
    <definedName name="중앙_2" localSheetId="0" hidden="1">{#N/A,#N/A,FALSE,"단축1";#N/A,#N/A,FALSE,"단축2";#N/A,#N/A,FALSE,"단축3";#N/A,#N/A,FALSE,"장축";#N/A,#N/A,FALSE,"4WD"}</definedName>
    <definedName name="중앙_2" hidden="1">{#N/A,#N/A,FALSE,"단축1";#N/A,#N/A,FALSE,"단축2";#N/A,#N/A,FALSE,"단축3";#N/A,#N/A,FALSE,"장축";#N/A,#N/A,FALSE,"4WD"}</definedName>
    <definedName name="중앙_2_1" localSheetId="26" hidden="1">{#N/A,#N/A,FALSE,"단축1";#N/A,#N/A,FALSE,"단축2";#N/A,#N/A,FALSE,"단축3";#N/A,#N/A,FALSE,"장축";#N/A,#N/A,FALSE,"4WD"}</definedName>
    <definedName name="중앙_2_1" localSheetId="0" hidden="1">{#N/A,#N/A,FALSE,"단축1";#N/A,#N/A,FALSE,"단축2";#N/A,#N/A,FALSE,"단축3";#N/A,#N/A,FALSE,"장축";#N/A,#N/A,FALSE,"4WD"}</definedName>
    <definedName name="중앙_2_1" hidden="1">{#N/A,#N/A,FALSE,"단축1";#N/A,#N/A,FALSE,"단축2";#N/A,#N/A,FALSE,"단축3";#N/A,#N/A,FALSE,"장축";#N/A,#N/A,FALSE,"4WD"}</definedName>
    <definedName name="중앙_2_2" localSheetId="26" hidden="1">{#N/A,#N/A,FALSE,"단축1";#N/A,#N/A,FALSE,"단축2";#N/A,#N/A,FALSE,"단축3";#N/A,#N/A,FALSE,"장축";#N/A,#N/A,FALSE,"4WD"}</definedName>
    <definedName name="중앙_2_2" localSheetId="0" hidden="1">{#N/A,#N/A,FALSE,"단축1";#N/A,#N/A,FALSE,"단축2";#N/A,#N/A,FALSE,"단축3";#N/A,#N/A,FALSE,"장축";#N/A,#N/A,FALSE,"4WD"}</definedName>
    <definedName name="중앙_2_2" hidden="1">{#N/A,#N/A,FALSE,"단축1";#N/A,#N/A,FALSE,"단축2";#N/A,#N/A,FALSE,"단축3";#N/A,#N/A,FALSE,"장축";#N/A,#N/A,FALSE,"4WD"}</definedName>
    <definedName name="중앙_3" localSheetId="26" hidden="1">{#N/A,#N/A,FALSE,"단축1";#N/A,#N/A,FALSE,"단축2";#N/A,#N/A,FALSE,"단축3";#N/A,#N/A,FALSE,"장축";#N/A,#N/A,FALSE,"4WD"}</definedName>
    <definedName name="중앙_3" localSheetId="0" hidden="1">{#N/A,#N/A,FALSE,"단축1";#N/A,#N/A,FALSE,"단축2";#N/A,#N/A,FALSE,"단축3";#N/A,#N/A,FALSE,"장축";#N/A,#N/A,FALSE,"4WD"}</definedName>
    <definedName name="중앙_3" hidden="1">{#N/A,#N/A,FALSE,"단축1";#N/A,#N/A,FALSE,"단축2";#N/A,#N/A,FALSE,"단축3";#N/A,#N/A,FALSE,"장축";#N/A,#N/A,FALSE,"4WD"}</definedName>
    <definedName name="중앙_4" localSheetId="26" hidden="1">{#N/A,#N/A,FALSE,"단축1";#N/A,#N/A,FALSE,"단축2";#N/A,#N/A,FALSE,"단축3";#N/A,#N/A,FALSE,"장축";#N/A,#N/A,FALSE,"4WD"}</definedName>
    <definedName name="중앙_4" localSheetId="0" hidden="1">{#N/A,#N/A,FALSE,"단축1";#N/A,#N/A,FALSE,"단축2";#N/A,#N/A,FALSE,"단축3";#N/A,#N/A,FALSE,"장축";#N/A,#N/A,FALSE,"4WD"}</definedName>
    <definedName name="중앙_4" hidden="1">{#N/A,#N/A,FALSE,"단축1";#N/A,#N/A,FALSE,"단축2";#N/A,#N/A,FALSE,"단축3";#N/A,#N/A,FALSE,"장축";#N/A,#N/A,FALSE,"4WD"}</definedName>
    <definedName name="중앙_5" localSheetId="26" hidden="1">{#N/A,#N/A,FALSE,"단축1";#N/A,#N/A,FALSE,"단축2";#N/A,#N/A,FALSE,"단축3";#N/A,#N/A,FALSE,"장축";#N/A,#N/A,FALSE,"4WD"}</definedName>
    <definedName name="중앙_5" localSheetId="0" hidden="1">{#N/A,#N/A,FALSE,"단축1";#N/A,#N/A,FALSE,"단축2";#N/A,#N/A,FALSE,"단축3";#N/A,#N/A,FALSE,"장축";#N/A,#N/A,FALSE,"4WD"}</definedName>
    <definedName name="중앙_5" hidden="1">{#N/A,#N/A,FALSE,"단축1";#N/A,#N/A,FALSE,"단축2";#N/A,#N/A,FALSE,"단축3";#N/A,#N/A,FALSE,"장축";#N/A,#N/A,FALSE,"4WD"}</definedName>
    <definedName name="진출의사보유" localSheetId="26" hidden="1">{#N/A,#N/A,FALSE,"단축1";#N/A,#N/A,FALSE,"단축2";#N/A,#N/A,FALSE,"단축3";#N/A,#N/A,FALSE,"장축";#N/A,#N/A,FALSE,"4WD"}</definedName>
    <definedName name="진출의사보유" localSheetId="0" hidden="1">{#N/A,#N/A,FALSE,"단축1";#N/A,#N/A,FALSE,"단축2";#N/A,#N/A,FALSE,"단축3";#N/A,#N/A,FALSE,"장축";#N/A,#N/A,FALSE,"4WD"}</definedName>
    <definedName name="진출의사보유" hidden="1">{#N/A,#N/A,FALSE,"단축1";#N/A,#N/A,FALSE,"단축2";#N/A,#N/A,FALSE,"단축3";#N/A,#N/A,FALSE,"장축";#N/A,#N/A,FALSE,"4WD"}</definedName>
    <definedName name="진출의사보유_1" localSheetId="26" hidden="1">{#N/A,#N/A,FALSE,"단축1";#N/A,#N/A,FALSE,"단축2";#N/A,#N/A,FALSE,"단축3";#N/A,#N/A,FALSE,"장축";#N/A,#N/A,FALSE,"4WD"}</definedName>
    <definedName name="진출의사보유_1" localSheetId="0" hidden="1">{#N/A,#N/A,FALSE,"단축1";#N/A,#N/A,FALSE,"단축2";#N/A,#N/A,FALSE,"단축3";#N/A,#N/A,FALSE,"장축";#N/A,#N/A,FALSE,"4WD"}</definedName>
    <definedName name="진출의사보유_1" hidden="1">{#N/A,#N/A,FALSE,"단축1";#N/A,#N/A,FALSE,"단축2";#N/A,#N/A,FALSE,"단축3";#N/A,#N/A,FALSE,"장축";#N/A,#N/A,FALSE,"4WD"}</definedName>
    <definedName name="진출의사보유_1_1" localSheetId="26" hidden="1">{#N/A,#N/A,FALSE,"단축1";#N/A,#N/A,FALSE,"단축2";#N/A,#N/A,FALSE,"단축3";#N/A,#N/A,FALSE,"장축";#N/A,#N/A,FALSE,"4WD"}</definedName>
    <definedName name="진출의사보유_1_1" localSheetId="0" hidden="1">{#N/A,#N/A,FALSE,"단축1";#N/A,#N/A,FALSE,"단축2";#N/A,#N/A,FALSE,"단축3";#N/A,#N/A,FALSE,"장축";#N/A,#N/A,FALSE,"4WD"}</definedName>
    <definedName name="진출의사보유_1_1" hidden="1">{#N/A,#N/A,FALSE,"단축1";#N/A,#N/A,FALSE,"단축2";#N/A,#N/A,FALSE,"단축3";#N/A,#N/A,FALSE,"장축";#N/A,#N/A,FALSE,"4WD"}</definedName>
    <definedName name="진출의사보유_1_2" localSheetId="26" hidden="1">{#N/A,#N/A,FALSE,"단축1";#N/A,#N/A,FALSE,"단축2";#N/A,#N/A,FALSE,"단축3";#N/A,#N/A,FALSE,"장축";#N/A,#N/A,FALSE,"4WD"}</definedName>
    <definedName name="진출의사보유_1_2" localSheetId="0" hidden="1">{#N/A,#N/A,FALSE,"단축1";#N/A,#N/A,FALSE,"단축2";#N/A,#N/A,FALSE,"단축3";#N/A,#N/A,FALSE,"장축";#N/A,#N/A,FALSE,"4WD"}</definedName>
    <definedName name="진출의사보유_1_2" hidden="1">{#N/A,#N/A,FALSE,"단축1";#N/A,#N/A,FALSE,"단축2";#N/A,#N/A,FALSE,"단축3";#N/A,#N/A,FALSE,"장축";#N/A,#N/A,FALSE,"4WD"}</definedName>
    <definedName name="진출의사보유_1_3" localSheetId="26" hidden="1">{#N/A,#N/A,FALSE,"단축1";#N/A,#N/A,FALSE,"단축2";#N/A,#N/A,FALSE,"단축3";#N/A,#N/A,FALSE,"장축";#N/A,#N/A,FALSE,"4WD"}</definedName>
    <definedName name="진출의사보유_1_3" localSheetId="0" hidden="1">{#N/A,#N/A,FALSE,"단축1";#N/A,#N/A,FALSE,"단축2";#N/A,#N/A,FALSE,"단축3";#N/A,#N/A,FALSE,"장축";#N/A,#N/A,FALSE,"4WD"}</definedName>
    <definedName name="진출의사보유_1_3" hidden="1">{#N/A,#N/A,FALSE,"단축1";#N/A,#N/A,FALSE,"단축2";#N/A,#N/A,FALSE,"단축3";#N/A,#N/A,FALSE,"장축";#N/A,#N/A,FALSE,"4WD"}</definedName>
    <definedName name="진출의사보유_2" localSheetId="26" hidden="1">{#N/A,#N/A,FALSE,"단축1";#N/A,#N/A,FALSE,"단축2";#N/A,#N/A,FALSE,"단축3";#N/A,#N/A,FALSE,"장축";#N/A,#N/A,FALSE,"4WD"}</definedName>
    <definedName name="진출의사보유_2" localSheetId="0" hidden="1">{#N/A,#N/A,FALSE,"단축1";#N/A,#N/A,FALSE,"단축2";#N/A,#N/A,FALSE,"단축3";#N/A,#N/A,FALSE,"장축";#N/A,#N/A,FALSE,"4WD"}</definedName>
    <definedName name="진출의사보유_2" hidden="1">{#N/A,#N/A,FALSE,"단축1";#N/A,#N/A,FALSE,"단축2";#N/A,#N/A,FALSE,"단축3";#N/A,#N/A,FALSE,"장축";#N/A,#N/A,FALSE,"4WD"}</definedName>
    <definedName name="진출의사보유_2_1" localSheetId="26" hidden="1">{#N/A,#N/A,FALSE,"단축1";#N/A,#N/A,FALSE,"단축2";#N/A,#N/A,FALSE,"단축3";#N/A,#N/A,FALSE,"장축";#N/A,#N/A,FALSE,"4WD"}</definedName>
    <definedName name="진출의사보유_2_1" localSheetId="0" hidden="1">{#N/A,#N/A,FALSE,"단축1";#N/A,#N/A,FALSE,"단축2";#N/A,#N/A,FALSE,"단축3";#N/A,#N/A,FALSE,"장축";#N/A,#N/A,FALSE,"4WD"}</definedName>
    <definedName name="진출의사보유_2_1" hidden="1">{#N/A,#N/A,FALSE,"단축1";#N/A,#N/A,FALSE,"단축2";#N/A,#N/A,FALSE,"단축3";#N/A,#N/A,FALSE,"장축";#N/A,#N/A,FALSE,"4WD"}</definedName>
    <definedName name="진출의사보유_2_2" localSheetId="26" hidden="1">{#N/A,#N/A,FALSE,"단축1";#N/A,#N/A,FALSE,"단축2";#N/A,#N/A,FALSE,"단축3";#N/A,#N/A,FALSE,"장축";#N/A,#N/A,FALSE,"4WD"}</definedName>
    <definedName name="진출의사보유_2_2" localSheetId="0" hidden="1">{#N/A,#N/A,FALSE,"단축1";#N/A,#N/A,FALSE,"단축2";#N/A,#N/A,FALSE,"단축3";#N/A,#N/A,FALSE,"장축";#N/A,#N/A,FALSE,"4WD"}</definedName>
    <definedName name="진출의사보유_2_2" hidden="1">{#N/A,#N/A,FALSE,"단축1";#N/A,#N/A,FALSE,"단축2";#N/A,#N/A,FALSE,"단축3";#N/A,#N/A,FALSE,"장축";#N/A,#N/A,FALSE,"4WD"}</definedName>
    <definedName name="진출의사보유_3" localSheetId="26" hidden="1">{#N/A,#N/A,FALSE,"단축1";#N/A,#N/A,FALSE,"단축2";#N/A,#N/A,FALSE,"단축3";#N/A,#N/A,FALSE,"장축";#N/A,#N/A,FALSE,"4WD"}</definedName>
    <definedName name="진출의사보유_3" localSheetId="0" hidden="1">{#N/A,#N/A,FALSE,"단축1";#N/A,#N/A,FALSE,"단축2";#N/A,#N/A,FALSE,"단축3";#N/A,#N/A,FALSE,"장축";#N/A,#N/A,FALSE,"4WD"}</definedName>
    <definedName name="진출의사보유_3" hidden="1">{#N/A,#N/A,FALSE,"단축1";#N/A,#N/A,FALSE,"단축2";#N/A,#N/A,FALSE,"단축3";#N/A,#N/A,FALSE,"장축";#N/A,#N/A,FALSE,"4WD"}</definedName>
    <definedName name="진출의사보유_4" localSheetId="26" hidden="1">{#N/A,#N/A,FALSE,"단축1";#N/A,#N/A,FALSE,"단축2";#N/A,#N/A,FALSE,"단축3";#N/A,#N/A,FALSE,"장축";#N/A,#N/A,FALSE,"4WD"}</definedName>
    <definedName name="진출의사보유_4" localSheetId="0" hidden="1">{#N/A,#N/A,FALSE,"단축1";#N/A,#N/A,FALSE,"단축2";#N/A,#N/A,FALSE,"단축3";#N/A,#N/A,FALSE,"장축";#N/A,#N/A,FALSE,"4WD"}</definedName>
    <definedName name="진출의사보유_4" hidden="1">{#N/A,#N/A,FALSE,"단축1";#N/A,#N/A,FALSE,"단축2";#N/A,#N/A,FALSE,"단축3";#N/A,#N/A,FALSE,"장축";#N/A,#N/A,FALSE,"4WD"}</definedName>
    <definedName name="진출의사보유_5" localSheetId="26" hidden="1">{#N/A,#N/A,FALSE,"단축1";#N/A,#N/A,FALSE,"단축2";#N/A,#N/A,FALSE,"단축3";#N/A,#N/A,FALSE,"장축";#N/A,#N/A,FALSE,"4WD"}</definedName>
    <definedName name="진출의사보유_5" localSheetId="0" hidden="1">{#N/A,#N/A,FALSE,"단축1";#N/A,#N/A,FALSE,"단축2";#N/A,#N/A,FALSE,"단축3";#N/A,#N/A,FALSE,"장축";#N/A,#N/A,FALSE,"4WD"}</definedName>
    <definedName name="진출의사보유_5" hidden="1">{#N/A,#N/A,FALSE,"단축1";#N/A,#N/A,FALSE,"단축2";#N/A,#N/A,FALSE,"단축3";#N/A,#N/A,FALSE,"장축";#N/A,#N/A,FALSE,"4WD"}</definedName>
    <definedName name="ㅊㅊ" localSheetId="26" hidden="1">{#N/A,#N/A,FALSE,"단축1";#N/A,#N/A,FALSE,"단축2";#N/A,#N/A,FALSE,"단축3";#N/A,#N/A,FALSE,"장축";#N/A,#N/A,FALSE,"4WD"}</definedName>
    <definedName name="ㅊㅊ" localSheetId="0" hidden="1">{#N/A,#N/A,FALSE,"단축1";#N/A,#N/A,FALSE,"단축2";#N/A,#N/A,FALSE,"단축3";#N/A,#N/A,FALSE,"장축";#N/A,#N/A,FALSE,"4WD"}</definedName>
    <definedName name="ㅊㅊ" hidden="1">{#N/A,#N/A,FALSE,"단축1";#N/A,#N/A,FALSE,"단축2";#N/A,#N/A,FALSE,"단축3";#N/A,#N/A,FALSE,"장축";#N/A,#N/A,FALSE,"4WD"}</definedName>
    <definedName name="ㅊㅊ_1" localSheetId="26" hidden="1">{#N/A,#N/A,FALSE,"단축1";#N/A,#N/A,FALSE,"단축2";#N/A,#N/A,FALSE,"단축3";#N/A,#N/A,FALSE,"장축";#N/A,#N/A,FALSE,"4WD"}</definedName>
    <definedName name="ㅊㅊ_1" localSheetId="0" hidden="1">{#N/A,#N/A,FALSE,"단축1";#N/A,#N/A,FALSE,"단축2";#N/A,#N/A,FALSE,"단축3";#N/A,#N/A,FALSE,"장축";#N/A,#N/A,FALSE,"4WD"}</definedName>
    <definedName name="ㅊㅊ_1" hidden="1">{#N/A,#N/A,FALSE,"단축1";#N/A,#N/A,FALSE,"단축2";#N/A,#N/A,FALSE,"단축3";#N/A,#N/A,FALSE,"장축";#N/A,#N/A,FALSE,"4WD"}</definedName>
    <definedName name="ㅊㅊ_1_1" localSheetId="26" hidden="1">{#N/A,#N/A,FALSE,"단축1";#N/A,#N/A,FALSE,"단축2";#N/A,#N/A,FALSE,"단축3";#N/A,#N/A,FALSE,"장축";#N/A,#N/A,FALSE,"4WD"}</definedName>
    <definedName name="ㅊㅊ_1_1" localSheetId="0" hidden="1">{#N/A,#N/A,FALSE,"단축1";#N/A,#N/A,FALSE,"단축2";#N/A,#N/A,FALSE,"단축3";#N/A,#N/A,FALSE,"장축";#N/A,#N/A,FALSE,"4WD"}</definedName>
    <definedName name="ㅊㅊ_1_1" hidden="1">{#N/A,#N/A,FALSE,"단축1";#N/A,#N/A,FALSE,"단축2";#N/A,#N/A,FALSE,"단축3";#N/A,#N/A,FALSE,"장축";#N/A,#N/A,FALSE,"4WD"}</definedName>
    <definedName name="ㅊㅊ_1_2" localSheetId="26" hidden="1">{#N/A,#N/A,FALSE,"단축1";#N/A,#N/A,FALSE,"단축2";#N/A,#N/A,FALSE,"단축3";#N/A,#N/A,FALSE,"장축";#N/A,#N/A,FALSE,"4WD"}</definedName>
    <definedName name="ㅊㅊ_1_2" localSheetId="0" hidden="1">{#N/A,#N/A,FALSE,"단축1";#N/A,#N/A,FALSE,"단축2";#N/A,#N/A,FALSE,"단축3";#N/A,#N/A,FALSE,"장축";#N/A,#N/A,FALSE,"4WD"}</definedName>
    <definedName name="ㅊㅊ_1_2" hidden="1">{#N/A,#N/A,FALSE,"단축1";#N/A,#N/A,FALSE,"단축2";#N/A,#N/A,FALSE,"단축3";#N/A,#N/A,FALSE,"장축";#N/A,#N/A,FALSE,"4WD"}</definedName>
    <definedName name="ㅊㅊ_1_3" localSheetId="26" hidden="1">{#N/A,#N/A,FALSE,"단축1";#N/A,#N/A,FALSE,"단축2";#N/A,#N/A,FALSE,"단축3";#N/A,#N/A,FALSE,"장축";#N/A,#N/A,FALSE,"4WD"}</definedName>
    <definedName name="ㅊㅊ_1_3" localSheetId="0" hidden="1">{#N/A,#N/A,FALSE,"단축1";#N/A,#N/A,FALSE,"단축2";#N/A,#N/A,FALSE,"단축3";#N/A,#N/A,FALSE,"장축";#N/A,#N/A,FALSE,"4WD"}</definedName>
    <definedName name="ㅊㅊ_1_3" hidden="1">{#N/A,#N/A,FALSE,"단축1";#N/A,#N/A,FALSE,"단축2";#N/A,#N/A,FALSE,"단축3";#N/A,#N/A,FALSE,"장축";#N/A,#N/A,FALSE,"4WD"}</definedName>
    <definedName name="ㅊㅊ_2" localSheetId="26" hidden="1">{#N/A,#N/A,FALSE,"단축1";#N/A,#N/A,FALSE,"단축2";#N/A,#N/A,FALSE,"단축3";#N/A,#N/A,FALSE,"장축";#N/A,#N/A,FALSE,"4WD"}</definedName>
    <definedName name="ㅊㅊ_2" localSheetId="0" hidden="1">{#N/A,#N/A,FALSE,"단축1";#N/A,#N/A,FALSE,"단축2";#N/A,#N/A,FALSE,"단축3";#N/A,#N/A,FALSE,"장축";#N/A,#N/A,FALSE,"4WD"}</definedName>
    <definedName name="ㅊㅊ_2" hidden="1">{#N/A,#N/A,FALSE,"단축1";#N/A,#N/A,FALSE,"단축2";#N/A,#N/A,FALSE,"단축3";#N/A,#N/A,FALSE,"장축";#N/A,#N/A,FALSE,"4WD"}</definedName>
    <definedName name="ㅊㅊ_2_1" localSheetId="26" hidden="1">{#N/A,#N/A,FALSE,"단축1";#N/A,#N/A,FALSE,"단축2";#N/A,#N/A,FALSE,"단축3";#N/A,#N/A,FALSE,"장축";#N/A,#N/A,FALSE,"4WD"}</definedName>
    <definedName name="ㅊㅊ_2_1" localSheetId="0" hidden="1">{#N/A,#N/A,FALSE,"단축1";#N/A,#N/A,FALSE,"단축2";#N/A,#N/A,FALSE,"단축3";#N/A,#N/A,FALSE,"장축";#N/A,#N/A,FALSE,"4WD"}</definedName>
    <definedName name="ㅊㅊ_2_1" hidden="1">{#N/A,#N/A,FALSE,"단축1";#N/A,#N/A,FALSE,"단축2";#N/A,#N/A,FALSE,"단축3";#N/A,#N/A,FALSE,"장축";#N/A,#N/A,FALSE,"4WD"}</definedName>
    <definedName name="ㅊㅊ_2_2" localSheetId="26" hidden="1">{#N/A,#N/A,FALSE,"단축1";#N/A,#N/A,FALSE,"단축2";#N/A,#N/A,FALSE,"단축3";#N/A,#N/A,FALSE,"장축";#N/A,#N/A,FALSE,"4WD"}</definedName>
    <definedName name="ㅊㅊ_2_2" localSheetId="0" hidden="1">{#N/A,#N/A,FALSE,"단축1";#N/A,#N/A,FALSE,"단축2";#N/A,#N/A,FALSE,"단축3";#N/A,#N/A,FALSE,"장축";#N/A,#N/A,FALSE,"4WD"}</definedName>
    <definedName name="ㅊㅊ_2_2" hidden="1">{#N/A,#N/A,FALSE,"단축1";#N/A,#N/A,FALSE,"단축2";#N/A,#N/A,FALSE,"단축3";#N/A,#N/A,FALSE,"장축";#N/A,#N/A,FALSE,"4WD"}</definedName>
    <definedName name="ㅊㅊ_3" localSheetId="26" hidden="1">{#N/A,#N/A,FALSE,"단축1";#N/A,#N/A,FALSE,"단축2";#N/A,#N/A,FALSE,"단축3";#N/A,#N/A,FALSE,"장축";#N/A,#N/A,FALSE,"4WD"}</definedName>
    <definedName name="ㅊㅊ_3" localSheetId="0" hidden="1">{#N/A,#N/A,FALSE,"단축1";#N/A,#N/A,FALSE,"단축2";#N/A,#N/A,FALSE,"단축3";#N/A,#N/A,FALSE,"장축";#N/A,#N/A,FALSE,"4WD"}</definedName>
    <definedName name="ㅊㅊ_3" hidden="1">{#N/A,#N/A,FALSE,"단축1";#N/A,#N/A,FALSE,"단축2";#N/A,#N/A,FALSE,"단축3";#N/A,#N/A,FALSE,"장축";#N/A,#N/A,FALSE,"4WD"}</definedName>
    <definedName name="ㅊㅊ_4" localSheetId="26" hidden="1">{#N/A,#N/A,FALSE,"단축1";#N/A,#N/A,FALSE,"단축2";#N/A,#N/A,FALSE,"단축3";#N/A,#N/A,FALSE,"장축";#N/A,#N/A,FALSE,"4WD"}</definedName>
    <definedName name="ㅊㅊ_4" localSheetId="0" hidden="1">{#N/A,#N/A,FALSE,"단축1";#N/A,#N/A,FALSE,"단축2";#N/A,#N/A,FALSE,"단축3";#N/A,#N/A,FALSE,"장축";#N/A,#N/A,FALSE,"4WD"}</definedName>
    <definedName name="ㅊㅊ_4" hidden="1">{#N/A,#N/A,FALSE,"단축1";#N/A,#N/A,FALSE,"단축2";#N/A,#N/A,FALSE,"단축3";#N/A,#N/A,FALSE,"장축";#N/A,#N/A,FALSE,"4WD"}</definedName>
    <definedName name="ㅊㅊ_5" localSheetId="26" hidden="1">{#N/A,#N/A,FALSE,"단축1";#N/A,#N/A,FALSE,"단축2";#N/A,#N/A,FALSE,"단축3";#N/A,#N/A,FALSE,"장축";#N/A,#N/A,FALSE,"4WD"}</definedName>
    <definedName name="ㅊㅊ_5" localSheetId="0" hidden="1">{#N/A,#N/A,FALSE,"단축1";#N/A,#N/A,FALSE,"단축2";#N/A,#N/A,FALSE,"단축3";#N/A,#N/A,FALSE,"장축";#N/A,#N/A,FALSE,"4WD"}</definedName>
    <definedName name="ㅊㅊ_5" hidden="1">{#N/A,#N/A,FALSE,"단축1";#N/A,#N/A,FALSE,"단축2";#N/A,#N/A,FALSE,"단축3";#N/A,#N/A,FALSE,"장축";#N/A,#N/A,FALSE,"4WD"}</definedName>
    <definedName name="ㅊㅊㅊ" localSheetId="26" hidden="1">{#N/A,#N/A,FALSE,"단축1";#N/A,#N/A,FALSE,"단축2";#N/A,#N/A,FALSE,"단축3";#N/A,#N/A,FALSE,"장축";#N/A,#N/A,FALSE,"4WD"}</definedName>
    <definedName name="ㅊㅊㅊ" localSheetId="0" hidden="1">{#N/A,#N/A,FALSE,"단축1";#N/A,#N/A,FALSE,"단축2";#N/A,#N/A,FALSE,"단축3";#N/A,#N/A,FALSE,"장축";#N/A,#N/A,FALSE,"4WD"}</definedName>
    <definedName name="ㅊㅊㅊ" hidden="1">{#N/A,#N/A,FALSE,"단축1";#N/A,#N/A,FALSE,"단축2";#N/A,#N/A,FALSE,"단축3";#N/A,#N/A,FALSE,"장축";#N/A,#N/A,FALSE,"4WD"}</definedName>
    <definedName name="ㅊㅊㅊ_1" localSheetId="26" hidden="1">{#N/A,#N/A,FALSE,"단축1";#N/A,#N/A,FALSE,"단축2";#N/A,#N/A,FALSE,"단축3";#N/A,#N/A,FALSE,"장축";#N/A,#N/A,FALSE,"4WD"}</definedName>
    <definedName name="ㅊㅊㅊ_1" localSheetId="0" hidden="1">{#N/A,#N/A,FALSE,"단축1";#N/A,#N/A,FALSE,"단축2";#N/A,#N/A,FALSE,"단축3";#N/A,#N/A,FALSE,"장축";#N/A,#N/A,FALSE,"4WD"}</definedName>
    <definedName name="ㅊㅊㅊ_1" hidden="1">{#N/A,#N/A,FALSE,"단축1";#N/A,#N/A,FALSE,"단축2";#N/A,#N/A,FALSE,"단축3";#N/A,#N/A,FALSE,"장축";#N/A,#N/A,FALSE,"4WD"}</definedName>
    <definedName name="ㅊㅊㅊ_1_1" localSheetId="26" hidden="1">{#N/A,#N/A,FALSE,"단축1";#N/A,#N/A,FALSE,"단축2";#N/A,#N/A,FALSE,"단축3";#N/A,#N/A,FALSE,"장축";#N/A,#N/A,FALSE,"4WD"}</definedName>
    <definedName name="ㅊㅊㅊ_1_1" localSheetId="0" hidden="1">{#N/A,#N/A,FALSE,"단축1";#N/A,#N/A,FALSE,"단축2";#N/A,#N/A,FALSE,"단축3";#N/A,#N/A,FALSE,"장축";#N/A,#N/A,FALSE,"4WD"}</definedName>
    <definedName name="ㅊㅊㅊ_1_1" hidden="1">{#N/A,#N/A,FALSE,"단축1";#N/A,#N/A,FALSE,"단축2";#N/A,#N/A,FALSE,"단축3";#N/A,#N/A,FALSE,"장축";#N/A,#N/A,FALSE,"4WD"}</definedName>
    <definedName name="ㅊㅊㅊ_1_2" localSheetId="26" hidden="1">{#N/A,#N/A,FALSE,"단축1";#N/A,#N/A,FALSE,"단축2";#N/A,#N/A,FALSE,"단축3";#N/A,#N/A,FALSE,"장축";#N/A,#N/A,FALSE,"4WD"}</definedName>
    <definedName name="ㅊㅊㅊ_1_2" localSheetId="0" hidden="1">{#N/A,#N/A,FALSE,"단축1";#N/A,#N/A,FALSE,"단축2";#N/A,#N/A,FALSE,"단축3";#N/A,#N/A,FALSE,"장축";#N/A,#N/A,FALSE,"4WD"}</definedName>
    <definedName name="ㅊㅊㅊ_1_2" hidden="1">{#N/A,#N/A,FALSE,"단축1";#N/A,#N/A,FALSE,"단축2";#N/A,#N/A,FALSE,"단축3";#N/A,#N/A,FALSE,"장축";#N/A,#N/A,FALSE,"4WD"}</definedName>
    <definedName name="ㅊㅊㅊ_1_3" localSheetId="26" hidden="1">{#N/A,#N/A,FALSE,"단축1";#N/A,#N/A,FALSE,"단축2";#N/A,#N/A,FALSE,"단축3";#N/A,#N/A,FALSE,"장축";#N/A,#N/A,FALSE,"4WD"}</definedName>
    <definedName name="ㅊㅊㅊ_1_3" localSheetId="0" hidden="1">{#N/A,#N/A,FALSE,"단축1";#N/A,#N/A,FALSE,"단축2";#N/A,#N/A,FALSE,"단축3";#N/A,#N/A,FALSE,"장축";#N/A,#N/A,FALSE,"4WD"}</definedName>
    <definedName name="ㅊㅊㅊ_1_3" hidden="1">{#N/A,#N/A,FALSE,"단축1";#N/A,#N/A,FALSE,"단축2";#N/A,#N/A,FALSE,"단축3";#N/A,#N/A,FALSE,"장축";#N/A,#N/A,FALSE,"4WD"}</definedName>
    <definedName name="ㅊㅊㅊ_2" localSheetId="26" hidden="1">{#N/A,#N/A,FALSE,"단축1";#N/A,#N/A,FALSE,"단축2";#N/A,#N/A,FALSE,"단축3";#N/A,#N/A,FALSE,"장축";#N/A,#N/A,FALSE,"4WD"}</definedName>
    <definedName name="ㅊㅊㅊ_2" localSheetId="0" hidden="1">{#N/A,#N/A,FALSE,"단축1";#N/A,#N/A,FALSE,"단축2";#N/A,#N/A,FALSE,"단축3";#N/A,#N/A,FALSE,"장축";#N/A,#N/A,FALSE,"4WD"}</definedName>
    <definedName name="ㅊㅊㅊ_2" hidden="1">{#N/A,#N/A,FALSE,"단축1";#N/A,#N/A,FALSE,"단축2";#N/A,#N/A,FALSE,"단축3";#N/A,#N/A,FALSE,"장축";#N/A,#N/A,FALSE,"4WD"}</definedName>
    <definedName name="ㅊㅊㅊ_2_1" localSheetId="26" hidden="1">{#N/A,#N/A,FALSE,"단축1";#N/A,#N/A,FALSE,"단축2";#N/A,#N/A,FALSE,"단축3";#N/A,#N/A,FALSE,"장축";#N/A,#N/A,FALSE,"4WD"}</definedName>
    <definedName name="ㅊㅊㅊ_2_1" localSheetId="0" hidden="1">{#N/A,#N/A,FALSE,"단축1";#N/A,#N/A,FALSE,"단축2";#N/A,#N/A,FALSE,"단축3";#N/A,#N/A,FALSE,"장축";#N/A,#N/A,FALSE,"4WD"}</definedName>
    <definedName name="ㅊㅊㅊ_2_1" hidden="1">{#N/A,#N/A,FALSE,"단축1";#N/A,#N/A,FALSE,"단축2";#N/A,#N/A,FALSE,"단축3";#N/A,#N/A,FALSE,"장축";#N/A,#N/A,FALSE,"4WD"}</definedName>
    <definedName name="ㅊㅊㅊ_2_2" localSheetId="26" hidden="1">{#N/A,#N/A,FALSE,"단축1";#N/A,#N/A,FALSE,"단축2";#N/A,#N/A,FALSE,"단축3";#N/A,#N/A,FALSE,"장축";#N/A,#N/A,FALSE,"4WD"}</definedName>
    <definedName name="ㅊㅊㅊ_2_2" localSheetId="0" hidden="1">{#N/A,#N/A,FALSE,"단축1";#N/A,#N/A,FALSE,"단축2";#N/A,#N/A,FALSE,"단축3";#N/A,#N/A,FALSE,"장축";#N/A,#N/A,FALSE,"4WD"}</definedName>
    <definedName name="ㅊㅊㅊ_2_2" hidden="1">{#N/A,#N/A,FALSE,"단축1";#N/A,#N/A,FALSE,"단축2";#N/A,#N/A,FALSE,"단축3";#N/A,#N/A,FALSE,"장축";#N/A,#N/A,FALSE,"4WD"}</definedName>
    <definedName name="ㅊㅊㅊ_3" localSheetId="26" hidden="1">{#N/A,#N/A,FALSE,"단축1";#N/A,#N/A,FALSE,"단축2";#N/A,#N/A,FALSE,"단축3";#N/A,#N/A,FALSE,"장축";#N/A,#N/A,FALSE,"4WD"}</definedName>
    <definedName name="ㅊㅊㅊ_3" localSheetId="0" hidden="1">{#N/A,#N/A,FALSE,"단축1";#N/A,#N/A,FALSE,"단축2";#N/A,#N/A,FALSE,"단축3";#N/A,#N/A,FALSE,"장축";#N/A,#N/A,FALSE,"4WD"}</definedName>
    <definedName name="ㅊㅊㅊ_3" hidden="1">{#N/A,#N/A,FALSE,"단축1";#N/A,#N/A,FALSE,"단축2";#N/A,#N/A,FALSE,"단축3";#N/A,#N/A,FALSE,"장축";#N/A,#N/A,FALSE,"4WD"}</definedName>
    <definedName name="ㅊㅊㅊ_4" localSheetId="26" hidden="1">{#N/A,#N/A,FALSE,"단축1";#N/A,#N/A,FALSE,"단축2";#N/A,#N/A,FALSE,"단축3";#N/A,#N/A,FALSE,"장축";#N/A,#N/A,FALSE,"4WD"}</definedName>
    <definedName name="ㅊㅊㅊ_4" localSheetId="0" hidden="1">{#N/A,#N/A,FALSE,"단축1";#N/A,#N/A,FALSE,"단축2";#N/A,#N/A,FALSE,"단축3";#N/A,#N/A,FALSE,"장축";#N/A,#N/A,FALSE,"4WD"}</definedName>
    <definedName name="ㅊㅊㅊ_4" hidden="1">{#N/A,#N/A,FALSE,"단축1";#N/A,#N/A,FALSE,"단축2";#N/A,#N/A,FALSE,"단축3";#N/A,#N/A,FALSE,"장축";#N/A,#N/A,FALSE,"4WD"}</definedName>
    <definedName name="ㅊㅊㅊ_5" localSheetId="26" hidden="1">{#N/A,#N/A,FALSE,"단축1";#N/A,#N/A,FALSE,"단축2";#N/A,#N/A,FALSE,"단축3";#N/A,#N/A,FALSE,"장축";#N/A,#N/A,FALSE,"4WD"}</definedName>
    <definedName name="ㅊㅊㅊ_5" localSheetId="0" hidden="1">{#N/A,#N/A,FALSE,"단축1";#N/A,#N/A,FALSE,"단축2";#N/A,#N/A,FALSE,"단축3";#N/A,#N/A,FALSE,"장축";#N/A,#N/A,FALSE,"4WD"}</definedName>
    <definedName name="ㅊㅊㅊ_5" hidden="1">{#N/A,#N/A,FALSE,"단축1";#N/A,#N/A,FALSE,"단축2";#N/A,#N/A,FALSE,"단축3";#N/A,#N/A,FALSE,"장축";#N/A,#N/A,FALSE,"4WD"}</definedName>
    <definedName name="차체1" localSheetId="26" hidden="1">{#N/A,#N/A,FALSE,"단축1";#N/A,#N/A,FALSE,"단축2";#N/A,#N/A,FALSE,"단축3";#N/A,#N/A,FALSE,"장축";#N/A,#N/A,FALSE,"4WD"}</definedName>
    <definedName name="차체1" localSheetId="0" hidden="1">{#N/A,#N/A,FALSE,"단축1";#N/A,#N/A,FALSE,"단축2";#N/A,#N/A,FALSE,"단축3";#N/A,#N/A,FALSE,"장축";#N/A,#N/A,FALSE,"4WD"}</definedName>
    <definedName name="차체1" hidden="1">{#N/A,#N/A,FALSE,"단축1";#N/A,#N/A,FALSE,"단축2";#N/A,#N/A,FALSE,"단축3";#N/A,#N/A,FALSE,"장축";#N/A,#N/A,FALSE,"4WD"}</definedName>
    <definedName name="차체1_1" localSheetId="26" hidden="1">{#N/A,#N/A,FALSE,"단축1";#N/A,#N/A,FALSE,"단축2";#N/A,#N/A,FALSE,"단축3";#N/A,#N/A,FALSE,"장축";#N/A,#N/A,FALSE,"4WD"}</definedName>
    <definedName name="차체1_1" localSheetId="0" hidden="1">{#N/A,#N/A,FALSE,"단축1";#N/A,#N/A,FALSE,"단축2";#N/A,#N/A,FALSE,"단축3";#N/A,#N/A,FALSE,"장축";#N/A,#N/A,FALSE,"4WD"}</definedName>
    <definedName name="차체1_1" hidden="1">{#N/A,#N/A,FALSE,"단축1";#N/A,#N/A,FALSE,"단축2";#N/A,#N/A,FALSE,"단축3";#N/A,#N/A,FALSE,"장축";#N/A,#N/A,FALSE,"4WD"}</definedName>
    <definedName name="차체1_1_1" localSheetId="26" hidden="1">{#N/A,#N/A,FALSE,"단축1";#N/A,#N/A,FALSE,"단축2";#N/A,#N/A,FALSE,"단축3";#N/A,#N/A,FALSE,"장축";#N/A,#N/A,FALSE,"4WD"}</definedName>
    <definedName name="차체1_1_1" localSheetId="0" hidden="1">{#N/A,#N/A,FALSE,"단축1";#N/A,#N/A,FALSE,"단축2";#N/A,#N/A,FALSE,"단축3";#N/A,#N/A,FALSE,"장축";#N/A,#N/A,FALSE,"4WD"}</definedName>
    <definedName name="차체1_1_1" hidden="1">{#N/A,#N/A,FALSE,"단축1";#N/A,#N/A,FALSE,"단축2";#N/A,#N/A,FALSE,"단축3";#N/A,#N/A,FALSE,"장축";#N/A,#N/A,FALSE,"4WD"}</definedName>
    <definedName name="차체1_1_2" localSheetId="26" hidden="1">{#N/A,#N/A,FALSE,"단축1";#N/A,#N/A,FALSE,"단축2";#N/A,#N/A,FALSE,"단축3";#N/A,#N/A,FALSE,"장축";#N/A,#N/A,FALSE,"4WD"}</definedName>
    <definedName name="차체1_1_2" localSheetId="0" hidden="1">{#N/A,#N/A,FALSE,"단축1";#N/A,#N/A,FALSE,"단축2";#N/A,#N/A,FALSE,"단축3";#N/A,#N/A,FALSE,"장축";#N/A,#N/A,FALSE,"4WD"}</definedName>
    <definedName name="차체1_1_2" hidden="1">{#N/A,#N/A,FALSE,"단축1";#N/A,#N/A,FALSE,"단축2";#N/A,#N/A,FALSE,"단축3";#N/A,#N/A,FALSE,"장축";#N/A,#N/A,FALSE,"4WD"}</definedName>
    <definedName name="차체1_1_3" localSheetId="26" hidden="1">{#N/A,#N/A,FALSE,"단축1";#N/A,#N/A,FALSE,"단축2";#N/A,#N/A,FALSE,"단축3";#N/A,#N/A,FALSE,"장축";#N/A,#N/A,FALSE,"4WD"}</definedName>
    <definedName name="차체1_1_3" localSheetId="0" hidden="1">{#N/A,#N/A,FALSE,"단축1";#N/A,#N/A,FALSE,"단축2";#N/A,#N/A,FALSE,"단축3";#N/A,#N/A,FALSE,"장축";#N/A,#N/A,FALSE,"4WD"}</definedName>
    <definedName name="차체1_1_3" hidden="1">{#N/A,#N/A,FALSE,"단축1";#N/A,#N/A,FALSE,"단축2";#N/A,#N/A,FALSE,"단축3";#N/A,#N/A,FALSE,"장축";#N/A,#N/A,FALSE,"4WD"}</definedName>
    <definedName name="차체1_2" localSheetId="26" hidden="1">{#N/A,#N/A,FALSE,"단축1";#N/A,#N/A,FALSE,"단축2";#N/A,#N/A,FALSE,"단축3";#N/A,#N/A,FALSE,"장축";#N/A,#N/A,FALSE,"4WD"}</definedName>
    <definedName name="차체1_2" localSheetId="0" hidden="1">{#N/A,#N/A,FALSE,"단축1";#N/A,#N/A,FALSE,"단축2";#N/A,#N/A,FALSE,"단축3";#N/A,#N/A,FALSE,"장축";#N/A,#N/A,FALSE,"4WD"}</definedName>
    <definedName name="차체1_2" hidden="1">{#N/A,#N/A,FALSE,"단축1";#N/A,#N/A,FALSE,"단축2";#N/A,#N/A,FALSE,"단축3";#N/A,#N/A,FALSE,"장축";#N/A,#N/A,FALSE,"4WD"}</definedName>
    <definedName name="차체1_2_1" localSheetId="26" hidden="1">{#N/A,#N/A,FALSE,"단축1";#N/A,#N/A,FALSE,"단축2";#N/A,#N/A,FALSE,"단축3";#N/A,#N/A,FALSE,"장축";#N/A,#N/A,FALSE,"4WD"}</definedName>
    <definedName name="차체1_2_1" localSheetId="0" hidden="1">{#N/A,#N/A,FALSE,"단축1";#N/A,#N/A,FALSE,"단축2";#N/A,#N/A,FALSE,"단축3";#N/A,#N/A,FALSE,"장축";#N/A,#N/A,FALSE,"4WD"}</definedName>
    <definedName name="차체1_2_1" hidden="1">{#N/A,#N/A,FALSE,"단축1";#N/A,#N/A,FALSE,"단축2";#N/A,#N/A,FALSE,"단축3";#N/A,#N/A,FALSE,"장축";#N/A,#N/A,FALSE,"4WD"}</definedName>
    <definedName name="차체1_2_2" localSheetId="26" hidden="1">{#N/A,#N/A,FALSE,"단축1";#N/A,#N/A,FALSE,"단축2";#N/A,#N/A,FALSE,"단축3";#N/A,#N/A,FALSE,"장축";#N/A,#N/A,FALSE,"4WD"}</definedName>
    <definedName name="차체1_2_2" localSheetId="0" hidden="1">{#N/A,#N/A,FALSE,"단축1";#N/A,#N/A,FALSE,"단축2";#N/A,#N/A,FALSE,"단축3";#N/A,#N/A,FALSE,"장축";#N/A,#N/A,FALSE,"4WD"}</definedName>
    <definedName name="차체1_2_2" hidden="1">{#N/A,#N/A,FALSE,"단축1";#N/A,#N/A,FALSE,"단축2";#N/A,#N/A,FALSE,"단축3";#N/A,#N/A,FALSE,"장축";#N/A,#N/A,FALSE,"4WD"}</definedName>
    <definedName name="차체1_3" localSheetId="26" hidden="1">{#N/A,#N/A,FALSE,"단축1";#N/A,#N/A,FALSE,"단축2";#N/A,#N/A,FALSE,"단축3";#N/A,#N/A,FALSE,"장축";#N/A,#N/A,FALSE,"4WD"}</definedName>
    <definedName name="차체1_3" localSheetId="0" hidden="1">{#N/A,#N/A,FALSE,"단축1";#N/A,#N/A,FALSE,"단축2";#N/A,#N/A,FALSE,"단축3";#N/A,#N/A,FALSE,"장축";#N/A,#N/A,FALSE,"4WD"}</definedName>
    <definedName name="차체1_3" hidden="1">{#N/A,#N/A,FALSE,"단축1";#N/A,#N/A,FALSE,"단축2";#N/A,#N/A,FALSE,"단축3";#N/A,#N/A,FALSE,"장축";#N/A,#N/A,FALSE,"4WD"}</definedName>
    <definedName name="차체1_4" localSheetId="26" hidden="1">{#N/A,#N/A,FALSE,"단축1";#N/A,#N/A,FALSE,"단축2";#N/A,#N/A,FALSE,"단축3";#N/A,#N/A,FALSE,"장축";#N/A,#N/A,FALSE,"4WD"}</definedName>
    <definedName name="차체1_4" localSheetId="0" hidden="1">{#N/A,#N/A,FALSE,"단축1";#N/A,#N/A,FALSE,"단축2";#N/A,#N/A,FALSE,"단축3";#N/A,#N/A,FALSE,"장축";#N/A,#N/A,FALSE,"4WD"}</definedName>
    <definedName name="차체1_4" hidden="1">{#N/A,#N/A,FALSE,"단축1";#N/A,#N/A,FALSE,"단축2";#N/A,#N/A,FALSE,"단축3";#N/A,#N/A,FALSE,"장축";#N/A,#N/A,FALSE,"4WD"}</definedName>
    <definedName name="차체1_5" localSheetId="26" hidden="1">{#N/A,#N/A,FALSE,"단축1";#N/A,#N/A,FALSE,"단축2";#N/A,#N/A,FALSE,"단축3";#N/A,#N/A,FALSE,"장축";#N/A,#N/A,FALSE,"4WD"}</definedName>
    <definedName name="차체1_5" localSheetId="0" hidden="1">{#N/A,#N/A,FALSE,"단축1";#N/A,#N/A,FALSE,"단축2";#N/A,#N/A,FALSE,"단축3";#N/A,#N/A,FALSE,"장축";#N/A,#N/A,FALSE,"4WD"}</definedName>
    <definedName name="차체1_5" hidden="1">{#N/A,#N/A,FALSE,"단축1";#N/A,#N/A,FALSE,"단축2";#N/A,#N/A,FALSE,"단축3";#N/A,#N/A,FALSE,"장축";#N/A,#N/A,FALSE,"4WD"}</definedName>
    <definedName name="첨" localSheetId="26" hidden="1">{#N/A,#N/A,FALSE,"단축1";#N/A,#N/A,FALSE,"단축2";#N/A,#N/A,FALSE,"단축3";#N/A,#N/A,FALSE,"장축";#N/A,#N/A,FALSE,"4WD"}</definedName>
    <definedName name="첨" localSheetId="0" hidden="1">{#N/A,#N/A,FALSE,"단축1";#N/A,#N/A,FALSE,"단축2";#N/A,#N/A,FALSE,"단축3";#N/A,#N/A,FALSE,"장축";#N/A,#N/A,FALSE,"4WD"}</definedName>
    <definedName name="첨" hidden="1">{#N/A,#N/A,FALSE,"단축1";#N/A,#N/A,FALSE,"단축2";#N/A,#N/A,FALSE,"단축3";#N/A,#N/A,FALSE,"장축";#N/A,#N/A,FALSE,"4WD"}</definedName>
    <definedName name="첨_1" localSheetId="26" hidden="1">{#N/A,#N/A,FALSE,"단축1";#N/A,#N/A,FALSE,"단축2";#N/A,#N/A,FALSE,"단축3";#N/A,#N/A,FALSE,"장축";#N/A,#N/A,FALSE,"4WD"}</definedName>
    <definedName name="첨_1" localSheetId="0" hidden="1">{#N/A,#N/A,FALSE,"단축1";#N/A,#N/A,FALSE,"단축2";#N/A,#N/A,FALSE,"단축3";#N/A,#N/A,FALSE,"장축";#N/A,#N/A,FALSE,"4WD"}</definedName>
    <definedName name="첨_1" hidden="1">{#N/A,#N/A,FALSE,"단축1";#N/A,#N/A,FALSE,"단축2";#N/A,#N/A,FALSE,"단축3";#N/A,#N/A,FALSE,"장축";#N/A,#N/A,FALSE,"4WD"}</definedName>
    <definedName name="첨_1_1" localSheetId="26" hidden="1">{#N/A,#N/A,FALSE,"단축1";#N/A,#N/A,FALSE,"단축2";#N/A,#N/A,FALSE,"단축3";#N/A,#N/A,FALSE,"장축";#N/A,#N/A,FALSE,"4WD"}</definedName>
    <definedName name="첨_1_1" localSheetId="0" hidden="1">{#N/A,#N/A,FALSE,"단축1";#N/A,#N/A,FALSE,"단축2";#N/A,#N/A,FALSE,"단축3";#N/A,#N/A,FALSE,"장축";#N/A,#N/A,FALSE,"4WD"}</definedName>
    <definedName name="첨_1_1" hidden="1">{#N/A,#N/A,FALSE,"단축1";#N/A,#N/A,FALSE,"단축2";#N/A,#N/A,FALSE,"단축3";#N/A,#N/A,FALSE,"장축";#N/A,#N/A,FALSE,"4WD"}</definedName>
    <definedName name="첨_1_2" localSheetId="26" hidden="1">{#N/A,#N/A,FALSE,"단축1";#N/A,#N/A,FALSE,"단축2";#N/A,#N/A,FALSE,"단축3";#N/A,#N/A,FALSE,"장축";#N/A,#N/A,FALSE,"4WD"}</definedName>
    <definedName name="첨_1_2" localSheetId="0" hidden="1">{#N/A,#N/A,FALSE,"단축1";#N/A,#N/A,FALSE,"단축2";#N/A,#N/A,FALSE,"단축3";#N/A,#N/A,FALSE,"장축";#N/A,#N/A,FALSE,"4WD"}</definedName>
    <definedName name="첨_1_2" hidden="1">{#N/A,#N/A,FALSE,"단축1";#N/A,#N/A,FALSE,"단축2";#N/A,#N/A,FALSE,"단축3";#N/A,#N/A,FALSE,"장축";#N/A,#N/A,FALSE,"4WD"}</definedName>
    <definedName name="첨_1_3" localSheetId="26" hidden="1">{#N/A,#N/A,FALSE,"단축1";#N/A,#N/A,FALSE,"단축2";#N/A,#N/A,FALSE,"단축3";#N/A,#N/A,FALSE,"장축";#N/A,#N/A,FALSE,"4WD"}</definedName>
    <definedName name="첨_1_3" localSheetId="0" hidden="1">{#N/A,#N/A,FALSE,"단축1";#N/A,#N/A,FALSE,"단축2";#N/A,#N/A,FALSE,"단축3";#N/A,#N/A,FALSE,"장축";#N/A,#N/A,FALSE,"4WD"}</definedName>
    <definedName name="첨_1_3" hidden="1">{#N/A,#N/A,FALSE,"단축1";#N/A,#N/A,FALSE,"단축2";#N/A,#N/A,FALSE,"단축3";#N/A,#N/A,FALSE,"장축";#N/A,#N/A,FALSE,"4WD"}</definedName>
    <definedName name="첨_2" localSheetId="26" hidden="1">{#N/A,#N/A,FALSE,"단축1";#N/A,#N/A,FALSE,"단축2";#N/A,#N/A,FALSE,"단축3";#N/A,#N/A,FALSE,"장축";#N/A,#N/A,FALSE,"4WD"}</definedName>
    <definedName name="첨_2" localSheetId="0" hidden="1">{#N/A,#N/A,FALSE,"단축1";#N/A,#N/A,FALSE,"단축2";#N/A,#N/A,FALSE,"단축3";#N/A,#N/A,FALSE,"장축";#N/A,#N/A,FALSE,"4WD"}</definedName>
    <definedName name="첨_2" hidden="1">{#N/A,#N/A,FALSE,"단축1";#N/A,#N/A,FALSE,"단축2";#N/A,#N/A,FALSE,"단축3";#N/A,#N/A,FALSE,"장축";#N/A,#N/A,FALSE,"4WD"}</definedName>
    <definedName name="첨_2_1" localSheetId="26" hidden="1">{#N/A,#N/A,FALSE,"단축1";#N/A,#N/A,FALSE,"단축2";#N/A,#N/A,FALSE,"단축3";#N/A,#N/A,FALSE,"장축";#N/A,#N/A,FALSE,"4WD"}</definedName>
    <definedName name="첨_2_1" localSheetId="0" hidden="1">{#N/A,#N/A,FALSE,"단축1";#N/A,#N/A,FALSE,"단축2";#N/A,#N/A,FALSE,"단축3";#N/A,#N/A,FALSE,"장축";#N/A,#N/A,FALSE,"4WD"}</definedName>
    <definedName name="첨_2_1" hidden="1">{#N/A,#N/A,FALSE,"단축1";#N/A,#N/A,FALSE,"단축2";#N/A,#N/A,FALSE,"단축3";#N/A,#N/A,FALSE,"장축";#N/A,#N/A,FALSE,"4WD"}</definedName>
    <definedName name="첨_2_2" localSheetId="26" hidden="1">{#N/A,#N/A,FALSE,"단축1";#N/A,#N/A,FALSE,"단축2";#N/A,#N/A,FALSE,"단축3";#N/A,#N/A,FALSE,"장축";#N/A,#N/A,FALSE,"4WD"}</definedName>
    <definedName name="첨_2_2" localSheetId="0" hidden="1">{#N/A,#N/A,FALSE,"단축1";#N/A,#N/A,FALSE,"단축2";#N/A,#N/A,FALSE,"단축3";#N/A,#N/A,FALSE,"장축";#N/A,#N/A,FALSE,"4WD"}</definedName>
    <definedName name="첨_2_2" hidden="1">{#N/A,#N/A,FALSE,"단축1";#N/A,#N/A,FALSE,"단축2";#N/A,#N/A,FALSE,"단축3";#N/A,#N/A,FALSE,"장축";#N/A,#N/A,FALSE,"4WD"}</definedName>
    <definedName name="첨_3" localSheetId="26" hidden="1">{#N/A,#N/A,FALSE,"단축1";#N/A,#N/A,FALSE,"단축2";#N/A,#N/A,FALSE,"단축3";#N/A,#N/A,FALSE,"장축";#N/A,#N/A,FALSE,"4WD"}</definedName>
    <definedName name="첨_3" localSheetId="0" hidden="1">{#N/A,#N/A,FALSE,"단축1";#N/A,#N/A,FALSE,"단축2";#N/A,#N/A,FALSE,"단축3";#N/A,#N/A,FALSE,"장축";#N/A,#N/A,FALSE,"4WD"}</definedName>
    <definedName name="첨_3" hidden="1">{#N/A,#N/A,FALSE,"단축1";#N/A,#N/A,FALSE,"단축2";#N/A,#N/A,FALSE,"단축3";#N/A,#N/A,FALSE,"장축";#N/A,#N/A,FALSE,"4WD"}</definedName>
    <definedName name="첨_4" localSheetId="26" hidden="1">{#N/A,#N/A,FALSE,"단축1";#N/A,#N/A,FALSE,"단축2";#N/A,#N/A,FALSE,"단축3";#N/A,#N/A,FALSE,"장축";#N/A,#N/A,FALSE,"4WD"}</definedName>
    <definedName name="첨_4" localSheetId="0" hidden="1">{#N/A,#N/A,FALSE,"단축1";#N/A,#N/A,FALSE,"단축2";#N/A,#N/A,FALSE,"단축3";#N/A,#N/A,FALSE,"장축";#N/A,#N/A,FALSE,"4WD"}</definedName>
    <definedName name="첨_4" hidden="1">{#N/A,#N/A,FALSE,"단축1";#N/A,#N/A,FALSE,"단축2";#N/A,#N/A,FALSE,"단축3";#N/A,#N/A,FALSE,"장축";#N/A,#N/A,FALSE,"4WD"}</definedName>
    <definedName name="첨_5" localSheetId="26" hidden="1">{#N/A,#N/A,FALSE,"단축1";#N/A,#N/A,FALSE,"단축2";#N/A,#N/A,FALSE,"단축3";#N/A,#N/A,FALSE,"장축";#N/A,#N/A,FALSE,"4WD"}</definedName>
    <definedName name="첨_5" localSheetId="0" hidden="1">{#N/A,#N/A,FALSE,"단축1";#N/A,#N/A,FALSE,"단축2";#N/A,#N/A,FALSE,"단축3";#N/A,#N/A,FALSE,"장축";#N/A,#N/A,FALSE,"4WD"}</definedName>
    <definedName name="첨_5" hidden="1">{#N/A,#N/A,FALSE,"단축1";#N/A,#N/A,FALSE,"단축2";#N/A,#N/A,FALSE,"단축3";#N/A,#N/A,FALSE,"장축";#N/A,#N/A,FALSE,"4WD"}</definedName>
    <definedName name="키프코" localSheetId="26" hidden="1">{#N/A,#N/A,FALSE,"을지 (4)";#N/A,#N/A,FALSE,"을지 (5)";#N/A,#N/A,FALSE,"을지 (6)"}</definedName>
    <definedName name="키프코" localSheetId="0" hidden="1">{#N/A,#N/A,FALSE,"을지 (4)";#N/A,#N/A,FALSE,"을지 (5)";#N/A,#N/A,FALSE,"을지 (6)"}</definedName>
    <definedName name="키프코" hidden="1">{#N/A,#N/A,FALSE,"을지 (4)";#N/A,#N/A,FALSE,"을지 (5)";#N/A,#N/A,FALSE,"을지 (6)"}</definedName>
    <definedName name="키프코_1" localSheetId="26" hidden="1">{#N/A,#N/A,FALSE,"을지 (4)";#N/A,#N/A,FALSE,"을지 (5)";#N/A,#N/A,FALSE,"을지 (6)"}</definedName>
    <definedName name="키프코_1" localSheetId="0" hidden="1">{#N/A,#N/A,FALSE,"을지 (4)";#N/A,#N/A,FALSE,"을지 (5)";#N/A,#N/A,FALSE,"을지 (6)"}</definedName>
    <definedName name="키프코_1" hidden="1">{#N/A,#N/A,FALSE,"을지 (4)";#N/A,#N/A,FALSE,"을지 (5)";#N/A,#N/A,FALSE,"을지 (6)"}</definedName>
    <definedName name="키프코_1_1" localSheetId="26" hidden="1">{#N/A,#N/A,FALSE,"을지 (4)";#N/A,#N/A,FALSE,"을지 (5)";#N/A,#N/A,FALSE,"을지 (6)"}</definedName>
    <definedName name="키프코_1_1" localSheetId="0" hidden="1">{#N/A,#N/A,FALSE,"을지 (4)";#N/A,#N/A,FALSE,"을지 (5)";#N/A,#N/A,FALSE,"을지 (6)"}</definedName>
    <definedName name="키프코_1_1" hidden="1">{#N/A,#N/A,FALSE,"을지 (4)";#N/A,#N/A,FALSE,"을지 (5)";#N/A,#N/A,FALSE,"을지 (6)"}</definedName>
    <definedName name="키프코_1_2" localSheetId="26" hidden="1">{#N/A,#N/A,FALSE,"을지 (4)";#N/A,#N/A,FALSE,"을지 (5)";#N/A,#N/A,FALSE,"을지 (6)"}</definedName>
    <definedName name="키프코_1_2" localSheetId="0" hidden="1">{#N/A,#N/A,FALSE,"을지 (4)";#N/A,#N/A,FALSE,"을지 (5)";#N/A,#N/A,FALSE,"을지 (6)"}</definedName>
    <definedName name="키프코_1_2" hidden="1">{#N/A,#N/A,FALSE,"을지 (4)";#N/A,#N/A,FALSE,"을지 (5)";#N/A,#N/A,FALSE,"을지 (6)"}</definedName>
    <definedName name="키프코_1_3" localSheetId="26" hidden="1">{#N/A,#N/A,FALSE,"을지 (4)";#N/A,#N/A,FALSE,"을지 (5)";#N/A,#N/A,FALSE,"을지 (6)"}</definedName>
    <definedName name="키프코_1_3" localSheetId="0" hidden="1">{#N/A,#N/A,FALSE,"을지 (4)";#N/A,#N/A,FALSE,"을지 (5)";#N/A,#N/A,FALSE,"을지 (6)"}</definedName>
    <definedName name="키프코_1_3" hidden="1">{#N/A,#N/A,FALSE,"을지 (4)";#N/A,#N/A,FALSE,"을지 (5)";#N/A,#N/A,FALSE,"을지 (6)"}</definedName>
    <definedName name="키프코_2" localSheetId="26" hidden="1">{#N/A,#N/A,FALSE,"을지 (4)";#N/A,#N/A,FALSE,"을지 (5)";#N/A,#N/A,FALSE,"을지 (6)"}</definedName>
    <definedName name="키프코_2" localSheetId="0" hidden="1">{#N/A,#N/A,FALSE,"을지 (4)";#N/A,#N/A,FALSE,"을지 (5)";#N/A,#N/A,FALSE,"을지 (6)"}</definedName>
    <definedName name="키프코_2" hidden="1">{#N/A,#N/A,FALSE,"을지 (4)";#N/A,#N/A,FALSE,"을지 (5)";#N/A,#N/A,FALSE,"을지 (6)"}</definedName>
    <definedName name="키프코_2_1" localSheetId="26" hidden="1">{#N/A,#N/A,FALSE,"을지 (4)";#N/A,#N/A,FALSE,"을지 (5)";#N/A,#N/A,FALSE,"을지 (6)"}</definedName>
    <definedName name="키프코_2_1" localSheetId="0" hidden="1">{#N/A,#N/A,FALSE,"을지 (4)";#N/A,#N/A,FALSE,"을지 (5)";#N/A,#N/A,FALSE,"을지 (6)"}</definedName>
    <definedName name="키프코_2_1" hidden="1">{#N/A,#N/A,FALSE,"을지 (4)";#N/A,#N/A,FALSE,"을지 (5)";#N/A,#N/A,FALSE,"을지 (6)"}</definedName>
    <definedName name="키프코_2_2" localSheetId="26" hidden="1">{#N/A,#N/A,FALSE,"을지 (4)";#N/A,#N/A,FALSE,"을지 (5)";#N/A,#N/A,FALSE,"을지 (6)"}</definedName>
    <definedName name="키프코_2_2" localSheetId="0" hidden="1">{#N/A,#N/A,FALSE,"을지 (4)";#N/A,#N/A,FALSE,"을지 (5)";#N/A,#N/A,FALSE,"을지 (6)"}</definedName>
    <definedName name="키프코_2_2" hidden="1">{#N/A,#N/A,FALSE,"을지 (4)";#N/A,#N/A,FALSE,"을지 (5)";#N/A,#N/A,FALSE,"을지 (6)"}</definedName>
    <definedName name="키프코_3" localSheetId="26" hidden="1">{#N/A,#N/A,FALSE,"을지 (4)";#N/A,#N/A,FALSE,"을지 (5)";#N/A,#N/A,FALSE,"을지 (6)"}</definedName>
    <definedName name="키프코_3" localSheetId="0" hidden="1">{#N/A,#N/A,FALSE,"을지 (4)";#N/A,#N/A,FALSE,"을지 (5)";#N/A,#N/A,FALSE,"을지 (6)"}</definedName>
    <definedName name="키프코_3" hidden="1">{#N/A,#N/A,FALSE,"을지 (4)";#N/A,#N/A,FALSE,"을지 (5)";#N/A,#N/A,FALSE,"을지 (6)"}</definedName>
    <definedName name="키프코_4" localSheetId="26" hidden="1">{#N/A,#N/A,FALSE,"을지 (4)";#N/A,#N/A,FALSE,"을지 (5)";#N/A,#N/A,FALSE,"을지 (6)"}</definedName>
    <definedName name="키프코_4" localSheetId="0" hidden="1">{#N/A,#N/A,FALSE,"을지 (4)";#N/A,#N/A,FALSE,"을지 (5)";#N/A,#N/A,FALSE,"을지 (6)"}</definedName>
    <definedName name="키프코_4" hidden="1">{#N/A,#N/A,FALSE,"을지 (4)";#N/A,#N/A,FALSE,"을지 (5)";#N/A,#N/A,FALSE,"을지 (6)"}</definedName>
    <definedName name="키프코_5" localSheetId="26" hidden="1">{#N/A,#N/A,FALSE,"을지 (4)";#N/A,#N/A,FALSE,"을지 (5)";#N/A,#N/A,FALSE,"을지 (6)"}</definedName>
    <definedName name="키프코_5" localSheetId="0" hidden="1">{#N/A,#N/A,FALSE,"을지 (4)";#N/A,#N/A,FALSE,"을지 (5)";#N/A,#N/A,FALSE,"을지 (6)"}</definedName>
    <definedName name="키프코_5" hidden="1">{#N/A,#N/A,FALSE,"을지 (4)";#N/A,#N/A,FALSE,"을지 (5)";#N/A,#N/A,FALSE,"을지 (6)"}</definedName>
    <definedName name="ㅌㅊ" localSheetId="26" hidden="1">{#N/A,#N/A,FALSE,"단축1";#N/A,#N/A,FALSE,"단축2";#N/A,#N/A,FALSE,"단축3";#N/A,#N/A,FALSE,"장축";#N/A,#N/A,FALSE,"4WD"}</definedName>
    <definedName name="ㅌㅊ" localSheetId="0" hidden="1">{#N/A,#N/A,FALSE,"단축1";#N/A,#N/A,FALSE,"단축2";#N/A,#N/A,FALSE,"단축3";#N/A,#N/A,FALSE,"장축";#N/A,#N/A,FALSE,"4WD"}</definedName>
    <definedName name="ㅌㅊ" hidden="1">{#N/A,#N/A,FALSE,"단축1";#N/A,#N/A,FALSE,"단축2";#N/A,#N/A,FALSE,"단축3";#N/A,#N/A,FALSE,"장축";#N/A,#N/A,FALSE,"4WD"}</definedName>
    <definedName name="ㅌㅊ_1" localSheetId="26" hidden="1">{#N/A,#N/A,FALSE,"단축1";#N/A,#N/A,FALSE,"단축2";#N/A,#N/A,FALSE,"단축3";#N/A,#N/A,FALSE,"장축";#N/A,#N/A,FALSE,"4WD"}</definedName>
    <definedName name="ㅌㅊ_1" localSheetId="0" hidden="1">{#N/A,#N/A,FALSE,"단축1";#N/A,#N/A,FALSE,"단축2";#N/A,#N/A,FALSE,"단축3";#N/A,#N/A,FALSE,"장축";#N/A,#N/A,FALSE,"4WD"}</definedName>
    <definedName name="ㅌㅊ_1" hidden="1">{#N/A,#N/A,FALSE,"단축1";#N/A,#N/A,FALSE,"단축2";#N/A,#N/A,FALSE,"단축3";#N/A,#N/A,FALSE,"장축";#N/A,#N/A,FALSE,"4WD"}</definedName>
    <definedName name="ㅌㅊ_1_1" localSheetId="26" hidden="1">{#N/A,#N/A,FALSE,"단축1";#N/A,#N/A,FALSE,"단축2";#N/A,#N/A,FALSE,"단축3";#N/A,#N/A,FALSE,"장축";#N/A,#N/A,FALSE,"4WD"}</definedName>
    <definedName name="ㅌㅊ_1_1" localSheetId="0" hidden="1">{#N/A,#N/A,FALSE,"단축1";#N/A,#N/A,FALSE,"단축2";#N/A,#N/A,FALSE,"단축3";#N/A,#N/A,FALSE,"장축";#N/A,#N/A,FALSE,"4WD"}</definedName>
    <definedName name="ㅌㅊ_1_1" hidden="1">{#N/A,#N/A,FALSE,"단축1";#N/A,#N/A,FALSE,"단축2";#N/A,#N/A,FALSE,"단축3";#N/A,#N/A,FALSE,"장축";#N/A,#N/A,FALSE,"4WD"}</definedName>
    <definedName name="ㅌㅊ_1_2" localSheetId="26" hidden="1">{#N/A,#N/A,FALSE,"단축1";#N/A,#N/A,FALSE,"단축2";#N/A,#N/A,FALSE,"단축3";#N/A,#N/A,FALSE,"장축";#N/A,#N/A,FALSE,"4WD"}</definedName>
    <definedName name="ㅌㅊ_1_2" localSheetId="0" hidden="1">{#N/A,#N/A,FALSE,"단축1";#N/A,#N/A,FALSE,"단축2";#N/A,#N/A,FALSE,"단축3";#N/A,#N/A,FALSE,"장축";#N/A,#N/A,FALSE,"4WD"}</definedName>
    <definedName name="ㅌㅊ_1_2" hidden="1">{#N/A,#N/A,FALSE,"단축1";#N/A,#N/A,FALSE,"단축2";#N/A,#N/A,FALSE,"단축3";#N/A,#N/A,FALSE,"장축";#N/A,#N/A,FALSE,"4WD"}</definedName>
    <definedName name="ㅌㅊ_1_3" localSheetId="26" hidden="1">{#N/A,#N/A,FALSE,"단축1";#N/A,#N/A,FALSE,"단축2";#N/A,#N/A,FALSE,"단축3";#N/A,#N/A,FALSE,"장축";#N/A,#N/A,FALSE,"4WD"}</definedName>
    <definedName name="ㅌㅊ_1_3" localSheetId="0" hidden="1">{#N/A,#N/A,FALSE,"단축1";#N/A,#N/A,FALSE,"단축2";#N/A,#N/A,FALSE,"단축3";#N/A,#N/A,FALSE,"장축";#N/A,#N/A,FALSE,"4WD"}</definedName>
    <definedName name="ㅌㅊ_1_3" hidden="1">{#N/A,#N/A,FALSE,"단축1";#N/A,#N/A,FALSE,"단축2";#N/A,#N/A,FALSE,"단축3";#N/A,#N/A,FALSE,"장축";#N/A,#N/A,FALSE,"4WD"}</definedName>
    <definedName name="ㅌㅊ_2" localSheetId="26" hidden="1">{#N/A,#N/A,FALSE,"단축1";#N/A,#N/A,FALSE,"단축2";#N/A,#N/A,FALSE,"단축3";#N/A,#N/A,FALSE,"장축";#N/A,#N/A,FALSE,"4WD"}</definedName>
    <definedName name="ㅌㅊ_2" localSheetId="0" hidden="1">{#N/A,#N/A,FALSE,"단축1";#N/A,#N/A,FALSE,"단축2";#N/A,#N/A,FALSE,"단축3";#N/A,#N/A,FALSE,"장축";#N/A,#N/A,FALSE,"4WD"}</definedName>
    <definedName name="ㅌㅊ_2" hidden="1">{#N/A,#N/A,FALSE,"단축1";#N/A,#N/A,FALSE,"단축2";#N/A,#N/A,FALSE,"단축3";#N/A,#N/A,FALSE,"장축";#N/A,#N/A,FALSE,"4WD"}</definedName>
    <definedName name="ㅌㅊ_2_1" localSheetId="26" hidden="1">{#N/A,#N/A,FALSE,"단축1";#N/A,#N/A,FALSE,"단축2";#N/A,#N/A,FALSE,"단축3";#N/A,#N/A,FALSE,"장축";#N/A,#N/A,FALSE,"4WD"}</definedName>
    <definedName name="ㅌㅊ_2_1" localSheetId="0" hidden="1">{#N/A,#N/A,FALSE,"단축1";#N/A,#N/A,FALSE,"단축2";#N/A,#N/A,FALSE,"단축3";#N/A,#N/A,FALSE,"장축";#N/A,#N/A,FALSE,"4WD"}</definedName>
    <definedName name="ㅌㅊ_2_1" hidden="1">{#N/A,#N/A,FALSE,"단축1";#N/A,#N/A,FALSE,"단축2";#N/A,#N/A,FALSE,"단축3";#N/A,#N/A,FALSE,"장축";#N/A,#N/A,FALSE,"4WD"}</definedName>
    <definedName name="ㅌㅊ_2_2" localSheetId="26" hidden="1">{#N/A,#N/A,FALSE,"단축1";#N/A,#N/A,FALSE,"단축2";#N/A,#N/A,FALSE,"단축3";#N/A,#N/A,FALSE,"장축";#N/A,#N/A,FALSE,"4WD"}</definedName>
    <definedName name="ㅌㅊ_2_2" localSheetId="0" hidden="1">{#N/A,#N/A,FALSE,"단축1";#N/A,#N/A,FALSE,"단축2";#N/A,#N/A,FALSE,"단축3";#N/A,#N/A,FALSE,"장축";#N/A,#N/A,FALSE,"4WD"}</definedName>
    <definedName name="ㅌㅊ_2_2" hidden="1">{#N/A,#N/A,FALSE,"단축1";#N/A,#N/A,FALSE,"단축2";#N/A,#N/A,FALSE,"단축3";#N/A,#N/A,FALSE,"장축";#N/A,#N/A,FALSE,"4WD"}</definedName>
    <definedName name="ㅌㅊ_3" localSheetId="26" hidden="1">{#N/A,#N/A,FALSE,"단축1";#N/A,#N/A,FALSE,"단축2";#N/A,#N/A,FALSE,"단축3";#N/A,#N/A,FALSE,"장축";#N/A,#N/A,FALSE,"4WD"}</definedName>
    <definedName name="ㅌㅊ_3" localSheetId="0" hidden="1">{#N/A,#N/A,FALSE,"단축1";#N/A,#N/A,FALSE,"단축2";#N/A,#N/A,FALSE,"단축3";#N/A,#N/A,FALSE,"장축";#N/A,#N/A,FALSE,"4WD"}</definedName>
    <definedName name="ㅌㅊ_3" hidden="1">{#N/A,#N/A,FALSE,"단축1";#N/A,#N/A,FALSE,"단축2";#N/A,#N/A,FALSE,"단축3";#N/A,#N/A,FALSE,"장축";#N/A,#N/A,FALSE,"4WD"}</definedName>
    <definedName name="ㅌㅊ_4" localSheetId="26" hidden="1">{#N/A,#N/A,FALSE,"단축1";#N/A,#N/A,FALSE,"단축2";#N/A,#N/A,FALSE,"단축3";#N/A,#N/A,FALSE,"장축";#N/A,#N/A,FALSE,"4WD"}</definedName>
    <definedName name="ㅌㅊ_4" localSheetId="0" hidden="1">{#N/A,#N/A,FALSE,"단축1";#N/A,#N/A,FALSE,"단축2";#N/A,#N/A,FALSE,"단축3";#N/A,#N/A,FALSE,"장축";#N/A,#N/A,FALSE,"4WD"}</definedName>
    <definedName name="ㅌㅊ_4" hidden="1">{#N/A,#N/A,FALSE,"단축1";#N/A,#N/A,FALSE,"단축2";#N/A,#N/A,FALSE,"단축3";#N/A,#N/A,FALSE,"장축";#N/A,#N/A,FALSE,"4WD"}</definedName>
    <definedName name="ㅌㅊ_5" localSheetId="26" hidden="1">{#N/A,#N/A,FALSE,"단축1";#N/A,#N/A,FALSE,"단축2";#N/A,#N/A,FALSE,"단축3";#N/A,#N/A,FALSE,"장축";#N/A,#N/A,FALSE,"4WD"}</definedName>
    <definedName name="ㅌㅊ_5" localSheetId="0" hidden="1">{#N/A,#N/A,FALSE,"단축1";#N/A,#N/A,FALSE,"단축2";#N/A,#N/A,FALSE,"단축3";#N/A,#N/A,FALSE,"장축";#N/A,#N/A,FALSE,"4WD"}</definedName>
    <definedName name="ㅌㅊ_5" hidden="1">{#N/A,#N/A,FALSE,"단축1";#N/A,#N/A,FALSE,"단축2";#N/A,#N/A,FALSE,"단축3";#N/A,#N/A,FALSE,"장축";#N/A,#N/A,FALSE,"4WD"}</definedName>
    <definedName name="투자비000" localSheetId="26" hidden="1">{#N/A,#N/A,FALSE,"단축1";#N/A,#N/A,FALSE,"단축2";#N/A,#N/A,FALSE,"단축3";#N/A,#N/A,FALSE,"장축";#N/A,#N/A,FALSE,"4WD"}</definedName>
    <definedName name="투자비000" localSheetId="0" hidden="1">{#N/A,#N/A,FALSE,"단축1";#N/A,#N/A,FALSE,"단축2";#N/A,#N/A,FALSE,"단축3";#N/A,#N/A,FALSE,"장축";#N/A,#N/A,FALSE,"4WD"}</definedName>
    <definedName name="투자비000" hidden="1">{#N/A,#N/A,FALSE,"단축1";#N/A,#N/A,FALSE,"단축2";#N/A,#N/A,FALSE,"단축3";#N/A,#N/A,FALSE,"장축";#N/A,#N/A,FALSE,"4WD"}</definedName>
    <definedName name="투자비000_1" localSheetId="26" hidden="1">{#N/A,#N/A,FALSE,"단축1";#N/A,#N/A,FALSE,"단축2";#N/A,#N/A,FALSE,"단축3";#N/A,#N/A,FALSE,"장축";#N/A,#N/A,FALSE,"4WD"}</definedName>
    <definedName name="투자비000_1" localSheetId="0" hidden="1">{#N/A,#N/A,FALSE,"단축1";#N/A,#N/A,FALSE,"단축2";#N/A,#N/A,FALSE,"단축3";#N/A,#N/A,FALSE,"장축";#N/A,#N/A,FALSE,"4WD"}</definedName>
    <definedName name="투자비000_1" hidden="1">{#N/A,#N/A,FALSE,"단축1";#N/A,#N/A,FALSE,"단축2";#N/A,#N/A,FALSE,"단축3";#N/A,#N/A,FALSE,"장축";#N/A,#N/A,FALSE,"4WD"}</definedName>
    <definedName name="투자비000_1_1" localSheetId="26" hidden="1">{#N/A,#N/A,FALSE,"단축1";#N/A,#N/A,FALSE,"단축2";#N/A,#N/A,FALSE,"단축3";#N/A,#N/A,FALSE,"장축";#N/A,#N/A,FALSE,"4WD"}</definedName>
    <definedName name="투자비000_1_1" localSheetId="0" hidden="1">{#N/A,#N/A,FALSE,"단축1";#N/A,#N/A,FALSE,"단축2";#N/A,#N/A,FALSE,"단축3";#N/A,#N/A,FALSE,"장축";#N/A,#N/A,FALSE,"4WD"}</definedName>
    <definedName name="투자비000_1_1" hidden="1">{#N/A,#N/A,FALSE,"단축1";#N/A,#N/A,FALSE,"단축2";#N/A,#N/A,FALSE,"단축3";#N/A,#N/A,FALSE,"장축";#N/A,#N/A,FALSE,"4WD"}</definedName>
    <definedName name="투자비000_1_2" localSheetId="26" hidden="1">{#N/A,#N/A,FALSE,"단축1";#N/A,#N/A,FALSE,"단축2";#N/A,#N/A,FALSE,"단축3";#N/A,#N/A,FALSE,"장축";#N/A,#N/A,FALSE,"4WD"}</definedName>
    <definedName name="투자비000_1_2" localSheetId="0" hidden="1">{#N/A,#N/A,FALSE,"단축1";#N/A,#N/A,FALSE,"단축2";#N/A,#N/A,FALSE,"단축3";#N/A,#N/A,FALSE,"장축";#N/A,#N/A,FALSE,"4WD"}</definedName>
    <definedName name="투자비000_1_2" hidden="1">{#N/A,#N/A,FALSE,"단축1";#N/A,#N/A,FALSE,"단축2";#N/A,#N/A,FALSE,"단축3";#N/A,#N/A,FALSE,"장축";#N/A,#N/A,FALSE,"4WD"}</definedName>
    <definedName name="투자비000_1_3" localSheetId="26" hidden="1">{#N/A,#N/A,FALSE,"단축1";#N/A,#N/A,FALSE,"단축2";#N/A,#N/A,FALSE,"단축3";#N/A,#N/A,FALSE,"장축";#N/A,#N/A,FALSE,"4WD"}</definedName>
    <definedName name="투자비000_1_3" localSheetId="0" hidden="1">{#N/A,#N/A,FALSE,"단축1";#N/A,#N/A,FALSE,"단축2";#N/A,#N/A,FALSE,"단축3";#N/A,#N/A,FALSE,"장축";#N/A,#N/A,FALSE,"4WD"}</definedName>
    <definedName name="투자비000_1_3" hidden="1">{#N/A,#N/A,FALSE,"단축1";#N/A,#N/A,FALSE,"단축2";#N/A,#N/A,FALSE,"단축3";#N/A,#N/A,FALSE,"장축";#N/A,#N/A,FALSE,"4WD"}</definedName>
    <definedName name="투자비000_2" localSheetId="26" hidden="1">{#N/A,#N/A,FALSE,"단축1";#N/A,#N/A,FALSE,"단축2";#N/A,#N/A,FALSE,"단축3";#N/A,#N/A,FALSE,"장축";#N/A,#N/A,FALSE,"4WD"}</definedName>
    <definedName name="투자비000_2" localSheetId="0" hidden="1">{#N/A,#N/A,FALSE,"단축1";#N/A,#N/A,FALSE,"단축2";#N/A,#N/A,FALSE,"단축3";#N/A,#N/A,FALSE,"장축";#N/A,#N/A,FALSE,"4WD"}</definedName>
    <definedName name="투자비000_2" hidden="1">{#N/A,#N/A,FALSE,"단축1";#N/A,#N/A,FALSE,"단축2";#N/A,#N/A,FALSE,"단축3";#N/A,#N/A,FALSE,"장축";#N/A,#N/A,FALSE,"4WD"}</definedName>
    <definedName name="투자비000_2_1" localSheetId="26" hidden="1">{#N/A,#N/A,FALSE,"단축1";#N/A,#N/A,FALSE,"단축2";#N/A,#N/A,FALSE,"단축3";#N/A,#N/A,FALSE,"장축";#N/A,#N/A,FALSE,"4WD"}</definedName>
    <definedName name="투자비000_2_1" localSheetId="0" hidden="1">{#N/A,#N/A,FALSE,"단축1";#N/A,#N/A,FALSE,"단축2";#N/A,#N/A,FALSE,"단축3";#N/A,#N/A,FALSE,"장축";#N/A,#N/A,FALSE,"4WD"}</definedName>
    <definedName name="투자비000_2_1" hidden="1">{#N/A,#N/A,FALSE,"단축1";#N/A,#N/A,FALSE,"단축2";#N/A,#N/A,FALSE,"단축3";#N/A,#N/A,FALSE,"장축";#N/A,#N/A,FALSE,"4WD"}</definedName>
    <definedName name="투자비000_2_2" localSheetId="26" hidden="1">{#N/A,#N/A,FALSE,"단축1";#N/A,#N/A,FALSE,"단축2";#N/A,#N/A,FALSE,"단축3";#N/A,#N/A,FALSE,"장축";#N/A,#N/A,FALSE,"4WD"}</definedName>
    <definedName name="투자비000_2_2" localSheetId="0" hidden="1">{#N/A,#N/A,FALSE,"단축1";#N/A,#N/A,FALSE,"단축2";#N/A,#N/A,FALSE,"단축3";#N/A,#N/A,FALSE,"장축";#N/A,#N/A,FALSE,"4WD"}</definedName>
    <definedName name="투자비000_2_2" hidden="1">{#N/A,#N/A,FALSE,"단축1";#N/A,#N/A,FALSE,"단축2";#N/A,#N/A,FALSE,"단축3";#N/A,#N/A,FALSE,"장축";#N/A,#N/A,FALSE,"4WD"}</definedName>
    <definedName name="투자비000_3" localSheetId="26" hidden="1">{#N/A,#N/A,FALSE,"단축1";#N/A,#N/A,FALSE,"단축2";#N/A,#N/A,FALSE,"단축3";#N/A,#N/A,FALSE,"장축";#N/A,#N/A,FALSE,"4WD"}</definedName>
    <definedName name="투자비000_3" localSheetId="0" hidden="1">{#N/A,#N/A,FALSE,"단축1";#N/A,#N/A,FALSE,"단축2";#N/A,#N/A,FALSE,"단축3";#N/A,#N/A,FALSE,"장축";#N/A,#N/A,FALSE,"4WD"}</definedName>
    <definedName name="투자비000_3" hidden="1">{#N/A,#N/A,FALSE,"단축1";#N/A,#N/A,FALSE,"단축2";#N/A,#N/A,FALSE,"단축3";#N/A,#N/A,FALSE,"장축";#N/A,#N/A,FALSE,"4WD"}</definedName>
    <definedName name="투자비000_4" localSheetId="26" hidden="1">{#N/A,#N/A,FALSE,"단축1";#N/A,#N/A,FALSE,"단축2";#N/A,#N/A,FALSE,"단축3";#N/A,#N/A,FALSE,"장축";#N/A,#N/A,FALSE,"4WD"}</definedName>
    <definedName name="투자비000_4" localSheetId="0" hidden="1">{#N/A,#N/A,FALSE,"단축1";#N/A,#N/A,FALSE,"단축2";#N/A,#N/A,FALSE,"단축3";#N/A,#N/A,FALSE,"장축";#N/A,#N/A,FALSE,"4WD"}</definedName>
    <definedName name="투자비000_4" hidden="1">{#N/A,#N/A,FALSE,"단축1";#N/A,#N/A,FALSE,"단축2";#N/A,#N/A,FALSE,"단축3";#N/A,#N/A,FALSE,"장축";#N/A,#N/A,FALSE,"4WD"}</definedName>
    <definedName name="투자비000_5" localSheetId="26" hidden="1">{#N/A,#N/A,FALSE,"단축1";#N/A,#N/A,FALSE,"단축2";#N/A,#N/A,FALSE,"단축3";#N/A,#N/A,FALSE,"장축";#N/A,#N/A,FALSE,"4WD"}</definedName>
    <definedName name="투자비000_5" localSheetId="0" hidden="1">{#N/A,#N/A,FALSE,"단축1";#N/A,#N/A,FALSE,"단축2";#N/A,#N/A,FALSE,"단축3";#N/A,#N/A,FALSE,"장축";#N/A,#N/A,FALSE,"4WD"}</definedName>
    <definedName name="투자비000_5" hidden="1">{#N/A,#N/A,FALSE,"단축1";#N/A,#N/A,FALSE,"단축2";#N/A,#N/A,FALSE,"단축3";#N/A,#N/A,FALSE,"장축";#N/A,#N/A,FALSE,"4WD"}</definedName>
    <definedName name="표준화실적99" localSheetId="26" hidden="1">{#N/A,#N/A,FALSE,"단축1";#N/A,#N/A,FALSE,"단축2";#N/A,#N/A,FALSE,"단축3";#N/A,#N/A,FALSE,"장축";#N/A,#N/A,FALSE,"4WD"}</definedName>
    <definedName name="표준화실적99" localSheetId="0" hidden="1">{#N/A,#N/A,FALSE,"단축1";#N/A,#N/A,FALSE,"단축2";#N/A,#N/A,FALSE,"단축3";#N/A,#N/A,FALSE,"장축";#N/A,#N/A,FALSE,"4WD"}</definedName>
    <definedName name="표준화실적99" hidden="1">{#N/A,#N/A,FALSE,"단축1";#N/A,#N/A,FALSE,"단축2";#N/A,#N/A,FALSE,"단축3";#N/A,#N/A,FALSE,"장축";#N/A,#N/A,FALSE,"4WD"}</definedName>
    <definedName name="표준화실적99_1" localSheetId="26" hidden="1">{#N/A,#N/A,FALSE,"단축1";#N/A,#N/A,FALSE,"단축2";#N/A,#N/A,FALSE,"단축3";#N/A,#N/A,FALSE,"장축";#N/A,#N/A,FALSE,"4WD"}</definedName>
    <definedName name="표준화실적99_1" localSheetId="0" hidden="1">{#N/A,#N/A,FALSE,"단축1";#N/A,#N/A,FALSE,"단축2";#N/A,#N/A,FALSE,"단축3";#N/A,#N/A,FALSE,"장축";#N/A,#N/A,FALSE,"4WD"}</definedName>
    <definedName name="표준화실적99_1" hidden="1">{#N/A,#N/A,FALSE,"단축1";#N/A,#N/A,FALSE,"단축2";#N/A,#N/A,FALSE,"단축3";#N/A,#N/A,FALSE,"장축";#N/A,#N/A,FALSE,"4WD"}</definedName>
    <definedName name="표준화실적99_1_1" localSheetId="26" hidden="1">{#N/A,#N/A,FALSE,"단축1";#N/A,#N/A,FALSE,"단축2";#N/A,#N/A,FALSE,"단축3";#N/A,#N/A,FALSE,"장축";#N/A,#N/A,FALSE,"4WD"}</definedName>
    <definedName name="표준화실적99_1_1" localSheetId="0" hidden="1">{#N/A,#N/A,FALSE,"단축1";#N/A,#N/A,FALSE,"단축2";#N/A,#N/A,FALSE,"단축3";#N/A,#N/A,FALSE,"장축";#N/A,#N/A,FALSE,"4WD"}</definedName>
    <definedName name="표준화실적99_1_1" hidden="1">{#N/A,#N/A,FALSE,"단축1";#N/A,#N/A,FALSE,"단축2";#N/A,#N/A,FALSE,"단축3";#N/A,#N/A,FALSE,"장축";#N/A,#N/A,FALSE,"4WD"}</definedName>
    <definedName name="표준화실적99_1_2" localSheetId="26" hidden="1">{#N/A,#N/A,FALSE,"단축1";#N/A,#N/A,FALSE,"단축2";#N/A,#N/A,FALSE,"단축3";#N/A,#N/A,FALSE,"장축";#N/A,#N/A,FALSE,"4WD"}</definedName>
    <definedName name="표준화실적99_1_2" localSheetId="0" hidden="1">{#N/A,#N/A,FALSE,"단축1";#N/A,#N/A,FALSE,"단축2";#N/A,#N/A,FALSE,"단축3";#N/A,#N/A,FALSE,"장축";#N/A,#N/A,FALSE,"4WD"}</definedName>
    <definedName name="표준화실적99_1_2" hidden="1">{#N/A,#N/A,FALSE,"단축1";#N/A,#N/A,FALSE,"단축2";#N/A,#N/A,FALSE,"단축3";#N/A,#N/A,FALSE,"장축";#N/A,#N/A,FALSE,"4WD"}</definedName>
    <definedName name="표준화실적99_1_3" localSheetId="26" hidden="1">{#N/A,#N/A,FALSE,"단축1";#N/A,#N/A,FALSE,"단축2";#N/A,#N/A,FALSE,"단축3";#N/A,#N/A,FALSE,"장축";#N/A,#N/A,FALSE,"4WD"}</definedName>
    <definedName name="표준화실적99_1_3" localSheetId="0" hidden="1">{#N/A,#N/A,FALSE,"단축1";#N/A,#N/A,FALSE,"단축2";#N/A,#N/A,FALSE,"단축3";#N/A,#N/A,FALSE,"장축";#N/A,#N/A,FALSE,"4WD"}</definedName>
    <definedName name="표준화실적99_1_3" hidden="1">{#N/A,#N/A,FALSE,"단축1";#N/A,#N/A,FALSE,"단축2";#N/A,#N/A,FALSE,"단축3";#N/A,#N/A,FALSE,"장축";#N/A,#N/A,FALSE,"4WD"}</definedName>
    <definedName name="표준화실적99_2" localSheetId="26" hidden="1">{#N/A,#N/A,FALSE,"단축1";#N/A,#N/A,FALSE,"단축2";#N/A,#N/A,FALSE,"단축3";#N/A,#N/A,FALSE,"장축";#N/A,#N/A,FALSE,"4WD"}</definedName>
    <definedName name="표준화실적99_2" localSheetId="0" hidden="1">{#N/A,#N/A,FALSE,"단축1";#N/A,#N/A,FALSE,"단축2";#N/A,#N/A,FALSE,"단축3";#N/A,#N/A,FALSE,"장축";#N/A,#N/A,FALSE,"4WD"}</definedName>
    <definedName name="표준화실적99_2" hidden="1">{#N/A,#N/A,FALSE,"단축1";#N/A,#N/A,FALSE,"단축2";#N/A,#N/A,FALSE,"단축3";#N/A,#N/A,FALSE,"장축";#N/A,#N/A,FALSE,"4WD"}</definedName>
    <definedName name="표준화실적99_2_1" localSheetId="26" hidden="1">{#N/A,#N/A,FALSE,"단축1";#N/A,#N/A,FALSE,"단축2";#N/A,#N/A,FALSE,"단축3";#N/A,#N/A,FALSE,"장축";#N/A,#N/A,FALSE,"4WD"}</definedName>
    <definedName name="표준화실적99_2_1" localSheetId="0" hidden="1">{#N/A,#N/A,FALSE,"단축1";#N/A,#N/A,FALSE,"단축2";#N/A,#N/A,FALSE,"단축3";#N/A,#N/A,FALSE,"장축";#N/A,#N/A,FALSE,"4WD"}</definedName>
    <definedName name="표준화실적99_2_1" hidden="1">{#N/A,#N/A,FALSE,"단축1";#N/A,#N/A,FALSE,"단축2";#N/A,#N/A,FALSE,"단축3";#N/A,#N/A,FALSE,"장축";#N/A,#N/A,FALSE,"4WD"}</definedName>
    <definedName name="표준화실적99_2_2" localSheetId="26" hidden="1">{#N/A,#N/A,FALSE,"단축1";#N/A,#N/A,FALSE,"단축2";#N/A,#N/A,FALSE,"단축3";#N/A,#N/A,FALSE,"장축";#N/A,#N/A,FALSE,"4WD"}</definedName>
    <definedName name="표준화실적99_2_2" localSheetId="0" hidden="1">{#N/A,#N/A,FALSE,"단축1";#N/A,#N/A,FALSE,"단축2";#N/A,#N/A,FALSE,"단축3";#N/A,#N/A,FALSE,"장축";#N/A,#N/A,FALSE,"4WD"}</definedName>
    <definedName name="표준화실적99_2_2" hidden="1">{#N/A,#N/A,FALSE,"단축1";#N/A,#N/A,FALSE,"단축2";#N/A,#N/A,FALSE,"단축3";#N/A,#N/A,FALSE,"장축";#N/A,#N/A,FALSE,"4WD"}</definedName>
    <definedName name="표준화실적99_3" localSheetId="26" hidden="1">{#N/A,#N/A,FALSE,"단축1";#N/A,#N/A,FALSE,"단축2";#N/A,#N/A,FALSE,"단축3";#N/A,#N/A,FALSE,"장축";#N/A,#N/A,FALSE,"4WD"}</definedName>
    <definedName name="표준화실적99_3" localSheetId="0" hidden="1">{#N/A,#N/A,FALSE,"단축1";#N/A,#N/A,FALSE,"단축2";#N/A,#N/A,FALSE,"단축3";#N/A,#N/A,FALSE,"장축";#N/A,#N/A,FALSE,"4WD"}</definedName>
    <definedName name="표준화실적99_3" hidden="1">{#N/A,#N/A,FALSE,"단축1";#N/A,#N/A,FALSE,"단축2";#N/A,#N/A,FALSE,"단축3";#N/A,#N/A,FALSE,"장축";#N/A,#N/A,FALSE,"4WD"}</definedName>
    <definedName name="표준화실적99_4" localSheetId="26" hidden="1">{#N/A,#N/A,FALSE,"단축1";#N/A,#N/A,FALSE,"단축2";#N/A,#N/A,FALSE,"단축3";#N/A,#N/A,FALSE,"장축";#N/A,#N/A,FALSE,"4WD"}</definedName>
    <definedName name="표준화실적99_4" localSheetId="0" hidden="1">{#N/A,#N/A,FALSE,"단축1";#N/A,#N/A,FALSE,"단축2";#N/A,#N/A,FALSE,"단축3";#N/A,#N/A,FALSE,"장축";#N/A,#N/A,FALSE,"4WD"}</definedName>
    <definedName name="표준화실적99_4" hidden="1">{#N/A,#N/A,FALSE,"단축1";#N/A,#N/A,FALSE,"단축2";#N/A,#N/A,FALSE,"단축3";#N/A,#N/A,FALSE,"장축";#N/A,#N/A,FALSE,"4WD"}</definedName>
    <definedName name="표준화실적99_5" localSheetId="26" hidden="1">{#N/A,#N/A,FALSE,"단축1";#N/A,#N/A,FALSE,"단축2";#N/A,#N/A,FALSE,"단축3";#N/A,#N/A,FALSE,"장축";#N/A,#N/A,FALSE,"4WD"}</definedName>
    <definedName name="표준화실적99_5" localSheetId="0" hidden="1">{#N/A,#N/A,FALSE,"단축1";#N/A,#N/A,FALSE,"단축2";#N/A,#N/A,FALSE,"단축3";#N/A,#N/A,FALSE,"장축";#N/A,#N/A,FALSE,"4WD"}</definedName>
    <definedName name="표준화실적99_5" hidden="1">{#N/A,#N/A,FALSE,"단축1";#N/A,#N/A,FALSE,"단축2";#N/A,#N/A,FALSE,"단축3";#N/A,#N/A,FALSE,"장축";#N/A,#N/A,FALSE,"4WD"}</definedName>
    <definedName name="표지" localSheetId="26" hidden="1">{#N/A,#N/A,FALSE,"단축1";#N/A,#N/A,FALSE,"단축2";#N/A,#N/A,FALSE,"단축3";#N/A,#N/A,FALSE,"장축";#N/A,#N/A,FALSE,"4WD"}</definedName>
    <definedName name="표지" localSheetId="0" hidden="1">{#N/A,#N/A,FALSE,"단축1";#N/A,#N/A,FALSE,"단축2";#N/A,#N/A,FALSE,"단축3";#N/A,#N/A,FALSE,"장축";#N/A,#N/A,FALSE,"4WD"}</definedName>
    <definedName name="표지" hidden="1">{#N/A,#N/A,FALSE,"단축1";#N/A,#N/A,FALSE,"단축2";#N/A,#N/A,FALSE,"단축3";#N/A,#N/A,FALSE,"장축";#N/A,#N/A,FALSE,"4WD"}</definedName>
    <definedName name="표지_1" localSheetId="26" hidden="1">{#N/A,#N/A,FALSE,"단축1";#N/A,#N/A,FALSE,"단축2";#N/A,#N/A,FALSE,"단축3";#N/A,#N/A,FALSE,"장축";#N/A,#N/A,FALSE,"4WD"}</definedName>
    <definedName name="표지_1" localSheetId="0" hidden="1">{#N/A,#N/A,FALSE,"단축1";#N/A,#N/A,FALSE,"단축2";#N/A,#N/A,FALSE,"단축3";#N/A,#N/A,FALSE,"장축";#N/A,#N/A,FALSE,"4WD"}</definedName>
    <definedName name="표지_1" hidden="1">{#N/A,#N/A,FALSE,"단축1";#N/A,#N/A,FALSE,"단축2";#N/A,#N/A,FALSE,"단축3";#N/A,#N/A,FALSE,"장축";#N/A,#N/A,FALSE,"4WD"}</definedName>
    <definedName name="표지_1_1" localSheetId="26" hidden="1">{#N/A,#N/A,FALSE,"단축1";#N/A,#N/A,FALSE,"단축2";#N/A,#N/A,FALSE,"단축3";#N/A,#N/A,FALSE,"장축";#N/A,#N/A,FALSE,"4WD"}</definedName>
    <definedName name="표지_1_1" localSheetId="0" hidden="1">{#N/A,#N/A,FALSE,"단축1";#N/A,#N/A,FALSE,"단축2";#N/A,#N/A,FALSE,"단축3";#N/A,#N/A,FALSE,"장축";#N/A,#N/A,FALSE,"4WD"}</definedName>
    <definedName name="표지_1_1" hidden="1">{#N/A,#N/A,FALSE,"단축1";#N/A,#N/A,FALSE,"단축2";#N/A,#N/A,FALSE,"단축3";#N/A,#N/A,FALSE,"장축";#N/A,#N/A,FALSE,"4WD"}</definedName>
    <definedName name="표지_1_2" localSheetId="26" hidden="1">{#N/A,#N/A,FALSE,"단축1";#N/A,#N/A,FALSE,"단축2";#N/A,#N/A,FALSE,"단축3";#N/A,#N/A,FALSE,"장축";#N/A,#N/A,FALSE,"4WD"}</definedName>
    <definedName name="표지_1_2" localSheetId="0" hidden="1">{#N/A,#N/A,FALSE,"단축1";#N/A,#N/A,FALSE,"단축2";#N/A,#N/A,FALSE,"단축3";#N/A,#N/A,FALSE,"장축";#N/A,#N/A,FALSE,"4WD"}</definedName>
    <definedName name="표지_1_2" hidden="1">{#N/A,#N/A,FALSE,"단축1";#N/A,#N/A,FALSE,"단축2";#N/A,#N/A,FALSE,"단축3";#N/A,#N/A,FALSE,"장축";#N/A,#N/A,FALSE,"4WD"}</definedName>
    <definedName name="표지_1_3" localSheetId="26" hidden="1">{#N/A,#N/A,FALSE,"단축1";#N/A,#N/A,FALSE,"단축2";#N/A,#N/A,FALSE,"단축3";#N/A,#N/A,FALSE,"장축";#N/A,#N/A,FALSE,"4WD"}</definedName>
    <definedName name="표지_1_3" localSheetId="0" hidden="1">{#N/A,#N/A,FALSE,"단축1";#N/A,#N/A,FALSE,"단축2";#N/A,#N/A,FALSE,"단축3";#N/A,#N/A,FALSE,"장축";#N/A,#N/A,FALSE,"4WD"}</definedName>
    <definedName name="표지_1_3" hidden="1">{#N/A,#N/A,FALSE,"단축1";#N/A,#N/A,FALSE,"단축2";#N/A,#N/A,FALSE,"단축3";#N/A,#N/A,FALSE,"장축";#N/A,#N/A,FALSE,"4WD"}</definedName>
    <definedName name="표지_2" localSheetId="26" hidden="1">{#N/A,#N/A,FALSE,"단축1";#N/A,#N/A,FALSE,"단축2";#N/A,#N/A,FALSE,"단축3";#N/A,#N/A,FALSE,"장축";#N/A,#N/A,FALSE,"4WD"}</definedName>
    <definedName name="표지_2" localSheetId="0" hidden="1">{#N/A,#N/A,FALSE,"단축1";#N/A,#N/A,FALSE,"단축2";#N/A,#N/A,FALSE,"단축3";#N/A,#N/A,FALSE,"장축";#N/A,#N/A,FALSE,"4WD"}</definedName>
    <definedName name="표지_2" hidden="1">{#N/A,#N/A,FALSE,"단축1";#N/A,#N/A,FALSE,"단축2";#N/A,#N/A,FALSE,"단축3";#N/A,#N/A,FALSE,"장축";#N/A,#N/A,FALSE,"4WD"}</definedName>
    <definedName name="표지_2_1" localSheetId="26" hidden="1">{#N/A,#N/A,FALSE,"단축1";#N/A,#N/A,FALSE,"단축2";#N/A,#N/A,FALSE,"단축3";#N/A,#N/A,FALSE,"장축";#N/A,#N/A,FALSE,"4WD"}</definedName>
    <definedName name="표지_2_1" localSheetId="0" hidden="1">{#N/A,#N/A,FALSE,"단축1";#N/A,#N/A,FALSE,"단축2";#N/A,#N/A,FALSE,"단축3";#N/A,#N/A,FALSE,"장축";#N/A,#N/A,FALSE,"4WD"}</definedName>
    <definedName name="표지_2_1" hidden="1">{#N/A,#N/A,FALSE,"단축1";#N/A,#N/A,FALSE,"단축2";#N/A,#N/A,FALSE,"단축3";#N/A,#N/A,FALSE,"장축";#N/A,#N/A,FALSE,"4WD"}</definedName>
    <definedName name="표지_2_2" localSheetId="26" hidden="1">{#N/A,#N/A,FALSE,"단축1";#N/A,#N/A,FALSE,"단축2";#N/A,#N/A,FALSE,"단축3";#N/A,#N/A,FALSE,"장축";#N/A,#N/A,FALSE,"4WD"}</definedName>
    <definedName name="표지_2_2" localSheetId="0" hidden="1">{#N/A,#N/A,FALSE,"단축1";#N/A,#N/A,FALSE,"단축2";#N/A,#N/A,FALSE,"단축3";#N/A,#N/A,FALSE,"장축";#N/A,#N/A,FALSE,"4WD"}</definedName>
    <definedName name="표지_2_2" hidden="1">{#N/A,#N/A,FALSE,"단축1";#N/A,#N/A,FALSE,"단축2";#N/A,#N/A,FALSE,"단축3";#N/A,#N/A,FALSE,"장축";#N/A,#N/A,FALSE,"4WD"}</definedName>
    <definedName name="표지_3" localSheetId="26" hidden="1">{#N/A,#N/A,FALSE,"단축1";#N/A,#N/A,FALSE,"단축2";#N/A,#N/A,FALSE,"단축3";#N/A,#N/A,FALSE,"장축";#N/A,#N/A,FALSE,"4WD"}</definedName>
    <definedName name="표지_3" localSheetId="0" hidden="1">{#N/A,#N/A,FALSE,"단축1";#N/A,#N/A,FALSE,"단축2";#N/A,#N/A,FALSE,"단축3";#N/A,#N/A,FALSE,"장축";#N/A,#N/A,FALSE,"4WD"}</definedName>
    <definedName name="표지_3" hidden="1">{#N/A,#N/A,FALSE,"단축1";#N/A,#N/A,FALSE,"단축2";#N/A,#N/A,FALSE,"단축3";#N/A,#N/A,FALSE,"장축";#N/A,#N/A,FALSE,"4WD"}</definedName>
    <definedName name="표지_4" localSheetId="26" hidden="1">{#N/A,#N/A,FALSE,"단축1";#N/A,#N/A,FALSE,"단축2";#N/A,#N/A,FALSE,"단축3";#N/A,#N/A,FALSE,"장축";#N/A,#N/A,FALSE,"4WD"}</definedName>
    <definedName name="표지_4" localSheetId="0" hidden="1">{#N/A,#N/A,FALSE,"단축1";#N/A,#N/A,FALSE,"단축2";#N/A,#N/A,FALSE,"단축3";#N/A,#N/A,FALSE,"장축";#N/A,#N/A,FALSE,"4WD"}</definedName>
    <definedName name="표지_4" hidden="1">{#N/A,#N/A,FALSE,"단축1";#N/A,#N/A,FALSE,"단축2";#N/A,#N/A,FALSE,"단축3";#N/A,#N/A,FALSE,"장축";#N/A,#N/A,FALSE,"4WD"}</definedName>
    <definedName name="표지_5" localSheetId="26" hidden="1">{#N/A,#N/A,FALSE,"단축1";#N/A,#N/A,FALSE,"단축2";#N/A,#N/A,FALSE,"단축3";#N/A,#N/A,FALSE,"장축";#N/A,#N/A,FALSE,"4WD"}</definedName>
    <definedName name="표지_5" localSheetId="0" hidden="1">{#N/A,#N/A,FALSE,"단축1";#N/A,#N/A,FALSE,"단축2";#N/A,#N/A,FALSE,"단축3";#N/A,#N/A,FALSE,"장축";#N/A,#N/A,FALSE,"4WD"}</definedName>
    <definedName name="표지_5" hidden="1">{#N/A,#N/A,FALSE,"단축1";#N/A,#N/A,FALSE,"단축2";#N/A,#N/A,FALSE,"단축3";#N/A,#N/A,FALSE,"장축";#N/A,#N/A,FALSE,"4WD"}</definedName>
    <definedName name="프레스" localSheetId="26" hidden="1">{#N/A,#N/A,FALSE,"단축1";#N/A,#N/A,FALSE,"단축2";#N/A,#N/A,FALSE,"단축3";#N/A,#N/A,FALSE,"장축";#N/A,#N/A,FALSE,"4WD"}</definedName>
    <definedName name="프레스" localSheetId="0" hidden="1">{#N/A,#N/A,FALSE,"단축1";#N/A,#N/A,FALSE,"단축2";#N/A,#N/A,FALSE,"단축3";#N/A,#N/A,FALSE,"장축";#N/A,#N/A,FALSE,"4WD"}</definedName>
    <definedName name="프레스" hidden="1">{#N/A,#N/A,FALSE,"단축1";#N/A,#N/A,FALSE,"단축2";#N/A,#N/A,FALSE,"단축3";#N/A,#N/A,FALSE,"장축";#N/A,#N/A,FALSE,"4WD"}</definedName>
    <definedName name="프레스_1" localSheetId="26" hidden="1">{#N/A,#N/A,FALSE,"단축1";#N/A,#N/A,FALSE,"단축2";#N/A,#N/A,FALSE,"단축3";#N/A,#N/A,FALSE,"장축";#N/A,#N/A,FALSE,"4WD"}</definedName>
    <definedName name="프레스_1" localSheetId="0" hidden="1">{#N/A,#N/A,FALSE,"단축1";#N/A,#N/A,FALSE,"단축2";#N/A,#N/A,FALSE,"단축3";#N/A,#N/A,FALSE,"장축";#N/A,#N/A,FALSE,"4WD"}</definedName>
    <definedName name="프레스_1" hidden="1">{#N/A,#N/A,FALSE,"단축1";#N/A,#N/A,FALSE,"단축2";#N/A,#N/A,FALSE,"단축3";#N/A,#N/A,FALSE,"장축";#N/A,#N/A,FALSE,"4WD"}</definedName>
    <definedName name="프레스_1_1" localSheetId="26" hidden="1">{#N/A,#N/A,FALSE,"단축1";#N/A,#N/A,FALSE,"단축2";#N/A,#N/A,FALSE,"단축3";#N/A,#N/A,FALSE,"장축";#N/A,#N/A,FALSE,"4WD"}</definedName>
    <definedName name="프레스_1_1" localSheetId="0" hidden="1">{#N/A,#N/A,FALSE,"단축1";#N/A,#N/A,FALSE,"단축2";#N/A,#N/A,FALSE,"단축3";#N/A,#N/A,FALSE,"장축";#N/A,#N/A,FALSE,"4WD"}</definedName>
    <definedName name="프레스_1_1" hidden="1">{#N/A,#N/A,FALSE,"단축1";#N/A,#N/A,FALSE,"단축2";#N/A,#N/A,FALSE,"단축3";#N/A,#N/A,FALSE,"장축";#N/A,#N/A,FALSE,"4WD"}</definedName>
    <definedName name="프레스_1_2" localSheetId="26" hidden="1">{#N/A,#N/A,FALSE,"단축1";#N/A,#N/A,FALSE,"단축2";#N/A,#N/A,FALSE,"단축3";#N/A,#N/A,FALSE,"장축";#N/A,#N/A,FALSE,"4WD"}</definedName>
    <definedName name="프레스_1_2" localSheetId="0" hidden="1">{#N/A,#N/A,FALSE,"단축1";#N/A,#N/A,FALSE,"단축2";#N/A,#N/A,FALSE,"단축3";#N/A,#N/A,FALSE,"장축";#N/A,#N/A,FALSE,"4WD"}</definedName>
    <definedName name="프레스_1_2" hidden="1">{#N/A,#N/A,FALSE,"단축1";#N/A,#N/A,FALSE,"단축2";#N/A,#N/A,FALSE,"단축3";#N/A,#N/A,FALSE,"장축";#N/A,#N/A,FALSE,"4WD"}</definedName>
    <definedName name="프레스_1_3" localSheetId="26" hidden="1">{#N/A,#N/A,FALSE,"단축1";#N/A,#N/A,FALSE,"단축2";#N/A,#N/A,FALSE,"단축3";#N/A,#N/A,FALSE,"장축";#N/A,#N/A,FALSE,"4WD"}</definedName>
    <definedName name="프레스_1_3" localSheetId="0" hidden="1">{#N/A,#N/A,FALSE,"단축1";#N/A,#N/A,FALSE,"단축2";#N/A,#N/A,FALSE,"단축3";#N/A,#N/A,FALSE,"장축";#N/A,#N/A,FALSE,"4WD"}</definedName>
    <definedName name="프레스_1_3" hidden="1">{#N/A,#N/A,FALSE,"단축1";#N/A,#N/A,FALSE,"단축2";#N/A,#N/A,FALSE,"단축3";#N/A,#N/A,FALSE,"장축";#N/A,#N/A,FALSE,"4WD"}</definedName>
    <definedName name="프레스_2" localSheetId="26" hidden="1">{#N/A,#N/A,FALSE,"단축1";#N/A,#N/A,FALSE,"단축2";#N/A,#N/A,FALSE,"단축3";#N/A,#N/A,FALSE,"장축";#N/A,#N/A,FALSE,"4WD"}</definedName>
    <definedName name="프레스_2" localSheetId="0" hidden="1">{#N/A,#N/A,FALSE,"단축1";#N/A,#N/A,FALSE,"단축2";#N/A,#N/A,FALSE,"단축3";#N/A,#N/A,FALSE,"장축";#N/A,#N/A,FALSE,"4WD"}</definedName>
    <definedName name="프레스_2" hidden="1">{#N/A,#N/A,FALSE,"단축1";#N/A,#N/A,FALSE,"단축2";#N/A,#N/A,FALSE,"단축3";#N/A,#N/A,FALSE,"장축";#N/A,#N/A,FALSE,"4WD"}</definedName>
    <definedName name="프레스_2_1" localSheetId="26" hidden="1">{#N/A,#N/A,FALSE,"단축1";#N/A,#N/A,FALSE,"단축2";#N/A,#N/A,FALSE,"단축3";#N/A,#N/A,FALSE,"장축";#N/A,#N/A,FALSE,"4WD"}</definedName>
    <definedName name="프레스_2_1" localSheetId="0" hidden="1">{#N/A,#N/A,FALSE,"단축1";#N/A,#N/A,FALSE,"단축2";#N/A,#N/A,FALSE,"단축3";#N/A,#N/A,FALSE,"장축";#N/A,#N/A,FALSE,"4WD"}</definedName>
    <definedName name="프레스_2_1" hidden="1">{#N/A,#N/A,FALSE,"단축1";#N/A,#N/A,FALSE,"단축2";#N/A,#N/A,FALSE,"단축3";#N/A,#N/A,FALSE,"장축";#N/A,#N/A,FALSE,"4WD"}</definedName>
    <definedName name="프레스_2_2" localSheetId="26" hidden="1">{#N/A,#N/A,FALSE,"단축1";#N/A,#N/A,FALSE,"단축2";#N/A,#N/A,FALSE,"단축3";#N/A,#N/A,FALSE,"장축";#N/A,#N/A,FALSE,"4WD"}</definedName>
    <definedName name="프레스_2_2" localSheetId="0" hidden="1">{#N/A,#N/A,FALSE,"단축1";#N/A,#N/A,FALSE,"단축2";#N/A,#N/A,FALSE,"단축3";#N/A,#N/A,FALSE,"장축";#N/A,#N/A,FALSE,"4WD"}</definedName>
    <definedName name="프레스_2_2" hidden="1">{#N/A,#N/A,FALSE,"단축1";#N/A,#N/A,FALSE,"단축2";#N/A,#N/A,FALSE,"단축3";#N/A,#N/A,FALSE,"장축";#N/A,#N/A,FALSE,"4WD"}</definedName>
    <definedName name="프레스_3" localSheetId="26" hidden="1">{#N/A,#N/A,FALSE,"단축1";#N/A,#N/A,FALSE,"단축2";#N/A,#N/A,FALSE,"단축3";#N/A,#N/A,FALSE,"장축";#N/A,#N/A,FALSE,"4WD"}</definedName>
    <definedName name="프레스_3" localSheetId="0" hidden="1">{#N/A,#N/A,FALSE,"단축1";#N/A,#N/A,FALSE,"단축2";#N/A,#N/A,FALSE,"단축3";#N/A,#N/A,FALSE,"장축";#N/A,#N/A,FALSE,"4WD"}</definedName>
    <definedName name="프레스_3" hidden="1">{#N/A,#N/A,FALSE,"단축1";#N/A,#N/A,FALSE,"단축2";#N/A,#N/A,FALSE,"단축3";#N/A,#N/A,FALSE,"장축";#N/A,#N/A,FALSE,"4WD"}</definedName>
    <definedName name="프레스_4" localSheetId="26" hidden="1">{#N/A,#N/A,FALSE,"단축1";#N/A,#N/A,FALSE,"단축2";#N/A,#N/A,FALSE,"단축3";#N/A,#N/A,FALSE,"장축";#N/A,#N/A,FALSE,"4WD"}</definedName>
    <definedName name="프레스_4" localSheetId="0" hidden="1">{#N/A,#N/A,FALSE,"단축1";#N/A,#N/A,FALSE,"단축2";#N/A,#N/A,FALSE,"단축3";#N/A,#N/A,FALSE,"장축";#N/A,#N/A,FALSE,"4WD"}</definedName>
    <definedName name="프레스_4" hidden="1">{#N/A,#N/A,FALSE,"단축1";#N/A,#N/A,FALSE,"단축2";#N/A,#N/A,FALSE,"단축3";#N/A,#N/A,FALSE,"장축";#N/A,#N/A,FALSE,"4WD"}</definedName>
    <definedName name="프레스_5" localSheetId="26" hidden="1">{#N/A,#N/A,FALSE,"단축1";#N/A,#N/A,FALSE,"단축2";#N/A,#N/A,FALSE,"단축3";#N/A,#N/A,FALSE,"장축";#N/A,#N/A,FALSE,"4WD"}</definedName>
    <definedName name="프레스_5" localSheetId="0" hidden="1">{#N/A,#N/A,FALSE,"단축1";#N/A,#N/A,FALSE,"단축2";#N/A,#N/A,FALSE,"단축3";#N/A,#N/A,FALSE,"장축";#N/A,#N/A,FALSE,"4WD"}</definedName>
    <definedName name="프레스_5" hidden="1">{#N/A,#N/A,FALSE,"단축1";#N/A,#N/A,FALSE,"단축2";#N/A,#N/A,FALSE,"단축3";#N/A,#N/A,FALSE,"장축";#N/A,#N/A,FALSE,"4WD"}</definedName>
    <definedName name="ㅎㄴ" localSheetId="26" hidden="1">{#N/A,#N/A,FALSE,"단축1";#N/A,#N/A,FALSE,"단축2";#N/A,#N/A,FALSE,"단축3";#N/A,#N/A,FALSE,"장축";#N/A,#N/A,FALSE,"4WD"}</definedName>
    <definedName name="ㅎㄴ" localSheetId="0" hidden="1">{#N/A,#N/A,FALSE,"단축1";#N/A,#N/A,FALSE,"단축2";#N/A,#N/A,FALSE,"단축3";#N/A,#N/A,FALSE,"장축";#N/A,#N/A,FALSE,"4WD"}</definedName>
    <definedName name="ㅎㄴ" hidden="1">{#N/A,#N/A,FALSE,"단축1";#N/A,#N/A,FALSE,"단축2";#N/A,#N/A,FALSE,"단축3";#N/A,#N/A,FALSE,"장축";#N/A,#N/A,FALSE,"4WD"}</definedName>
    <definedName name="ㅎㄴ_1" localSheetId="26" hidden="1">{#N/A,#N/A,FALSE,"단축1";#N/A,#N/A,FALSE,"단축2";#N/A,#N/A,FALSE,"단축3";#N/A,#N/A,FALSE,"장축";#N/A,#N/A,FALSE,"4WD"}</definedName>
    <definedName name="ㅎㄴ_1" localSheetId="0" hidden="1">{#N/A,#N/A,FALSE,"단축1";#N/A,#N/A,FALSE,"단축2";#N/A,#N/A,FALSE,"단축3";#N/A,#N/A,FALSE,"장축";#N/A,#N/A,FALSE,"4WD"}</definedName>
    <definedName name="ㅎㄴ_1" hidden="1">{#N/A,#N/A,FALSE,"단축1";#N/A,#N/A,FALSE,"단축2";#N/A,#N/A,FALSE,"단축3";#N/A,#N/A,FALSE,"장축";#N/A,#N/A,FALSE,"4WD"}</definedName>
    <definedName name="ㅎㄴ_1_1" localSheetId="26" hidden="1">{#N/A,#N/A,FALSE,"단축1";#N/A,#N/A,FALSE,"단축2";#N/A,#N/A,FALSE,"단축3";#N/A,#N/A,FALSE,"장축";#N/A,#N/A,FALSE,"4WD"}</definedName>
    <definedName name="ㅎㄴ_1_1" localSheetId="0" hidden="1">{#N/A,#N/A,FALSE,"단축1";#N/A,#N/A,FALSE,"단축2";#N/A,#N/A,FALSE,"단축3";#N/A,#N/A,FALSE,"장축";#N/A,#N/A,FALSE,"4WD"}</definedName>
    <definedName name="ㅎㄴ_1_1" hidden="1">{#N/A,#N/A,FALSE,"단축1";#N/A,#N/A,FALSE,"단축2";#N/A,#N/A,FALSE,"단축3";#N/A,#N/A,FALSE,"장축";#N/A,#N/A,FALSE,"4WD"}</definedName>
    <definedName name="ㅎㄴ_1_2" localSheetId="26" hidden="1">{#N/A,#N/A,FALSE,"단축1";#N/A,#N/A,FALSE,"단축2";#N/A,#N/A,FALSE,"단축3";#N/A,#N/A,FALSE,"장축";#N/A,#N/A,FALSE,"4WD"}</definedName>
    <definedName name="ㅎㄴ_1_2" localSheetId="0" hidden="1">{#N/A,#N/A,FALSE,"단축1";#N/A,#N/A,FALSE,"단축2";#N/A,#N/A,FALSE,"단축3";#N/A,#N/A,FALSE,"장축";#N/A,#N/A,FALSE,"4WD"}</definedName>
    <definedName name="ㅎㄴ_1_2" hidden="1">{#N/A,#N/A,FALSE,"단축1";#N/A,#N/A,FALSE,"단축2";#N/A,#N/A,FALSE,"단축3";#N/A,#N/A,FALSE,"장축";#N/A,#N/A,FALSE,"4WD"}</definedName>
    <definedName name="ㅎㄴ_1_3" localSheetId="26" hidden="1">{#N/A,#N/A,FALSE,"단축1";#N/A,#N/A,FALSE,"단축2";#N/A,#N/A,FALSE,"단축3";#N/A,#N/A,FALSE,"장축";#N/A,#N/A,FALSE,"4WD"}</definedName>
    <definedName name="ㅎㄴ_1_3" localSheetId="0" hidden="1">{#N/A,#N/A,FALSE,"단축1";#N/A,#N/A,FALSE,"단축2";#N/A,#N/A,FALSE,"단축3";#N/A,#N/A,FALSE,"장축";#N/A,#N/A,FALSE,"4WD"}</definedName>
    <definedName name="ㅎㄴ_1_3" hidden="1">{#N/A,#N/A,FALSE,"단축1";#N/A,#N/A,FALSE,"단축2";#N/A,#N/A,FALSE,"단축3";#N/A,#N/A,FALSE,"장축";#N/A,#N/A,FALSE,"4WD"}</definedName>
    <definedName name="ㅎㄴ_2" localSheetId="26" hidden="1">{#N/A,#N/A,FALSE,"단축1";#N/A,#N/A,FALSE,"단축2";#N/A,#N/A,FALSE,"단축3";#N/A,#N/A,FALSE,"장축";#N/A,#N/A,FALSE,"4WD"}</definedName>
    <definedName name="ㅎㄴ_2" localSheetId="0" hidden="1">{#N/A,#N/A,FALSE,"단축1";#N/A,#N/A,FALSE,"단축2";#N/A,#N/A,FALSE,"단축3";#N/A,#N/A,FALSE,"장축";#N/A,#N/A,FALSE,"4WD"}</definedName>
    <definedName name="ㅎㄴ_2" hidden="1">{#N/A,#N/A,FALSE,"단축1";#N/A,#N/A,FALSE,"단축2";#N/A,#N/A,FALSE,"단축3";#N/A,#N/A,FALSE,"장축";#N/A,#N/A,FALSE,"4WD"}</definedName>
    <definedName name="ㅎㄴ_2_1" localSheetId="26" hidden="1">{#N/A,#N/A,FALSE,"단축1";#N/A,#N/A,FALSE,"단축2";#N/A,#N/A,FALSE,"단축3";#N/A,#N/A,FALSE,"장축";#N/A,#N/A,FALSE,"4WD"}</definedName>
    <definedName name="ㅎㄴ_2_1" localSheetId="0" hidden="1">{#N/A,#N/A,FALSE,"단축1";#N/A,#N/A,FALSE,"단축2";#N/A,#N/A,FALSE,"단축3";#N/A,#N/A,FALSE,"장축";#N/A,#N/A,FALSE,"4WD"}</definedName>
    <definedName name="ㅎㄴ_2_1" hidden="1">{#N/A,#N/A,FALSE,"단축1";#N/A,#N/A,FALSE,"단축2";#N/A,#N/A,FALSE,"단축3";#N/A,#N/A,FALSE,"장축";#N/A,#N/A,FALSE,"4WD"}</definedName>
    <definedName name="ㅎㄴ_2_2" localSheetId="26" hidden="1">{#N/A,#N/A,FALSE,"단축1";#N/A,#N/A,FALSE,"단축2";#N/A,#N/A,FALSE,"단축3";#N/A,#N/A,FALSE,"장축";#N/A,#N/A,FALSE,"4WD"}</definedName>
    <definedName name="ㅎㄴ_2_2" localSheetId="0" hidden="1">{#N/A,#N/A,FALSE,"단축1";#N/A,#N/A,FALSE,"단축2";#N/A,#N/A,FALSE,"단축3";#N/A,#N/A,FALSE,"장축";#N/A,#N/A,FALSE,"4WD"}</definedName>
    <definedName name="ㅎㄴ_2_2" hidden="1">{#N/A,#N/A,FALSE,"단축1";#N/A,#N/A,FALSE,"단축2";#N/A,#N/A,FALSE,"단축3";#N/A,#N/A,FALSE,"장축";#N/A,#N/A,FALSE,"4WD"}</definedName>
    <definedName name="ㅎㄴ_3" localSheetId="26" hidden="1">{#N/A,#N/A,FALSE,"단축1";#N/A,#N/A,FALSE,"단축2";#N/A,#N/A,FALSE,"단축3";#N/A,#N/A,FALSE,"장축";#N/A,#N/A,FALSE,"4WD"}</definedName>
    <definedName name="ㅎㄴ_3" localSheetId="0" hidden="1">{#N/A,#N/A,FALSE,"단축1";#N/A,#N/A,FALSE,"단축2";#N/A,#N/A,FALSE,"단축3";#N/A,#N/A,FALSE,"장축";#N/A,#N/A,FALSE,"4WD"}</definedName>
    <definedName name="ㅎㄴ_3" hidden="1">{#N/A,#N/A,FALSE,"단축1";#N/A,#N/A,FALSE,"단축2";#N/A,#N/A,FALSE,"단축3";#N/A,#N/A,FALSE,"장축";#N/A,#N/A,FALSE,"4WD"}</definedName>
    <definedName name="ㅎㄴ_4" localSheetId="26" hidden="1">{#N/A,#N/A,FALSE,"단축1";#N/A,#N/A,FALSE,"단축2";#N/A,#N/A,FALSE,"단축3";#N/A,#N/A,FALSE,"장축";#N/A,#N/A,FALSE,"4WD"}</definedName>
    <definedName name="ㅎㄴ_4" localSheetId="0" hidden="1">{#N/A,#N/A,FALSE,"단축1";#N/A,#N/A,FALSE,"단축2";#N/A,#N/A,FALSE,"단축3";#N/A,#N/A,FALSE,"장축";#N/A,#N/A,FALSE,"4WD"}</definedName>
    <definedName name="ㅎㄴ_4" hidden="1">{#N/A,#N/A,FALSE,"단축1";#N/A,#N/A,FALSE,"단축2";#N/A,#N/A,FALSE,"단축3";#N/A,#N/A,FALSE,"장축";#N/A,#N/A,FALSE,"4WD"}</definedName>
    <definedName name="ㅎㄴ_5" localSheetId="26" hidden="1">{#N/A,#N/A,FALSE,"단축1";#N/A,#N/A,FALSE,"단축2";#N/A,#N/A,FALSE,"단축3";#N/A,#N/A,FALSE,"장축";#N/A,#N/A,FALSE,"4WD"}</definedName>
    <definedName name="ㅎㄴ_5" localSheetId="0" hidden="1">{#N/A,#N/A,FALSE,"단축1";#N/A,#N/A,FALSE,"단축2";#N/A,#N/A,FALSE,"단축3";#N/A,#N/A,FALSE,"장축";#N/A,#N/A,FALSE,"4WD"}</definedName>
    <definedName name="ㅎㄴ_5" hidden="1">{#N/A,#N/A,FALSE,"단축1";#N/A,#N/A,FALSE,"단축2";#N/A,#N/A,FALSE,"단축3";#N/A,#N/A,FALSE,"장축";#N/A,#N/A,FALSE,"4WD"}</definedName>
    <definedName name="향후계획1" localSheetId="26" hidden="1">{#N/A,#N/A,FALSE,"단축1";#N/A,#N/A,FALSE,"단축2";#N/A,#N/A,FALSE,"단축3";#N/A,#N/A,FALSE,"장축";#N/A,#N/A,FALSE,"4WD"}</definedName>
    <definedName name="향후계획1" localSheetId="0" hidden="1">{#N/A,#N/A,FALSE,"단축1";#N/A,#N/A,FALSE,"단축2";#N/A,#N/A,FALSE,"단축3";#N/A,#N/A,FALSE,"장축";#N/A,#N/A,FALSE,"4WD"}</definedName>
    <definedName name="향후계획1" hidden="1">{#N/A,#N/A,FALSE,"단축1";#N/A,#N/A,FALSE,"단축2";#N/A,#N/A,FALSE,"단축3";#N/A,#N/A,FALSE,"장축";#N/A,#N/A,FALSE,"4WD"}</definedName>
    <definedName name="향후계획1_1" localSheetId="26" hidden="1">{#N/A,#N/A,FALSE,"단축1";#N/A,#N/A,FALSE,"단축2";#N/A,#N/A,FALSE,"단축3";#N/A,#N/A,FALSE,"장축";#N/A,#N/A,FALSE,"4WD"}</definedName>
    <definedName name="향후계획1_1" localSheetId="0" hidden="1">{#N/A,#N/A,FALSE,"단축1";#N/A,#N/A,FALSE,"단축2";#N/A,#N/A,FALSE,"단축3";#N/A,#N/A,FALSE,"장축";#N/A,#N/A,FALSE,"4WD"}</definedName>
    <definedName name="향후계획1_1" hidden="1">{#N/A,#N/A,FALSE,"단축1";#N/A,#N/A,FALSE,"단축2";#N/A,#N/A,FALSE,"단축3";#N/A,#N/A,FALSE,"장축";#N/A,#N/A,FALSE,"4WD"}</definedName>
    <definedName name="향후계획1_1_1" localSheetId="26" hidden="1">{#N/A,#N/A,FALSE,"단축1";#N/A,#N/A,FALSE,"단축2";#N/A,#N/A,FALSE,"단축3";#N/A,#N/A,FALSE,"장축";#N/A,#N/A,FALSE,"4WD"}</definedName>
    <definedName name="향후계획1_1_1" localSheetId="0" hidden="1">{#N/A,#N/A,FALSE,"단축1";#N/A,#N/A,FALSE,"단축2";#N/A,#N/A,FALSE,"단축3";#N/A,#N/A,FALSE,"장축";#N/A,#N/A,FALSE,"4WD"}</definedName>
    <definedName name="향후계획1_1_1" hidden="1">{#N/A,#N/A,FALSE,"단축1";#N/A,#N/A,FALSE,"단축2";#N/A,#N/A,FALSE,"단축3";#N/A,#N/A,FALSE,"장축";#N/A,#N/A,FALSE,"4WD"}</definedName>
    <definedName name="향후계획1_1_2" localSheetId="26" hidden="1">{#N/A,#N/A,FALSE,"단축1";#N/A,#N/A,FALSE,"단축2";#N/A,#N/A,FALSE,"단축3";#N/A,#N/A,FALSE,"장축";#N/A,#N/A,FALSE,"4WD"}</definedName>
    <definedName name="향후계획1_1_2" localSheetId="0" hidden="1">{#N/A,#N/A,FALSE,"단축1";#N/A,#N/A,FALSE,"단축2";#N/A,#N/A,FALSE,"단축3";#N/A,#N/A,FALSE,"장축";#N/A,#N/A,FALSE,"4WD"}</definedName>
    <definedName name="향후계획1_1_2" hidden="1">{#N/A,#N/A,FALSE,"단축1";#N/A,#N/A,FALSE,"단축2";#N/A,#N/A,FALSE,"단축3";#N/A,#N/A,FALSE,"장축";#N/A,#N/A,FALSE,"4WD"}</definedName>
    <definedName name="향후계획1_1_3" localSheetId="26" hidden="1">{#N/A,#N/A,FALSE,"단축1";#N/A,#N/A,FALSE,"단축2";#N/A,#N/A,FALSE,"단축3";#N/A,#N/A,FALSE,"장축";#N/A,#N/A,FALSE,"4WD"}</definedName>
    <definedName name="향후계획1_1_3" localSheetId="0" hidden="1">{#N/A,#N/A,FALSE,"단축1";#N/A,#N/A,FALSE,"단축2";#N/A,#N/A,FALSE,"단축3";#N/A,#N/A,FALSE,"장축";#N/A,#N/A,FALSE,"4WD"}</definedName>
    <definedName name="향후계획1_1_3" hidden="1">{#N/A,#N/A,FALSE,"단축1";#N/A,#N/A,FALSE,"단축2";#N/A,#N/A,FALSE,"단축3";#N/A,#N/A,FALSE,"장축";#N/A,#N/A,FALSE,"4WD"}</definedName>
    <definedName name="향후계획1_2" localSheetId="26" hidden="1">{#N/A,#N/A,FALSE,"단축1";#N/A,#N/A,FALSE,"단축2";#N/A,#N/A,FALSE,"단축3";#N/A,#N/A,FALSE,"장축";#N/A,#N/A,FALSE,"4WD"}</definedName>
    <definedName name="향후계획1_2" localSheetId="0" hidden="1">{#N/A,#N/A,FALSE,"단축1";#N/A,#N/A,FALSE,"단축2";#N/A,#N/A,FALSE,"단축3";#N/A,#N/A,FALSE,"장축";#N/A,#N/A,FALSE,"4WD"}</definedName>
    <definedName name="향후계획1_2" hidden="1">{#N/A,#N/A,FALSE,"단축1";#N/A,#N/A,FALSE,"단축2";#N/A,#N/A,FALSE,"단축3";#N/A,#N/A,FALSE,"장축";#N/A,#N/A,FALSE,"4WD"}</definedName>
    <definedName name="향후계획1_2_1" localSheetId="26" hidden="1">{#N/A,#N/A,FALSE,"단축1";#N/A,#N/A,FALSE,"단축2";#N/A,#N/A,FALSE,"단축3";#N/A,#N/A,FALSE,"장축";#N/A,#N/A,FALSE,"4WD"}</definedName>
    <definedName name="향후계획1_2_1" localSheetId="0" hidden="1">{#N/A,#N/A,FALSE,"단축1";#N/A,#N/A,FALSE,"단축2";#N/A,#N/A,FALSE,"단축3";#N/A,#N/A,FALSE,"장축";#N/A,#N/A,FALSE,"4WD"}</definedName>
    <definedName name="향후계획1_2_1" hidden="1">{#N/A,#N/A,FALSE,"단축1";#N/A,#N/A,FALSE,"단축2";#N/A,#N/A,FALSE,"단축3";#N/A,#N/A,FALSE,"장축";#N/A,#N/A,FALSE,"4WD"}</definedName>
    <definedName name="향후계획1_2_2" localSheetId="26" hidden="1">{#N/A,#N/A,FALSE,"단축1";#N/A,#N/A,FALSE,"단축2";#N/A,#N/A,FALSE,"단축3";#N/A,#N/A,FALSE,"장축";#N/A,#N/A,FALSE,"4WD"}</definedName>
    <definedName name="향후계획1_2_2" localSheetId="0" hidden="1">{#N/A,#N/A,FALSE,"단축1";#N/A,#N/A,FALSE,"단축2";#N/A,#N/A,FALSE,"단축3";#N/A,#N/A,FALSE,"장축";#N/A,#N/A,FALSE,"4WD"}</definedName>
    <definedName name="향후계획1_2_2" hidden="1">{#N/A,#N/A,FALSE,"단축1";#N/A,#N/A,FALSE,"단축2";#N/A,#N/A,FALSE,"단축3";#N/A,#N/A,FALSE,"장축";#N/A,#N/A,FALSE,"4WD"}</definedName>
    <definedName name="향후계획1_3" localSheetId="26" hidden="1">{#N/A,#N/A,FALSE,"단축1";#N/A,#N/A,FALSE,"단축2";#N/A,#N/A,FALSE,"단축3";#N/A,#N/A,FALSE,"장축";#N/A,#N/A,FALSE,"4WD"}</definedName>
    <definedName name="향후계획1_3" localSheetId="0" hidden="1">{#N/A,#N/A,FALSE,"단축1";#N/A,#N/A,FALSE,"단축2";#N/A,#N/A,FALSE,"단축3";#N/A,#N/A,FALSE,"장축";#N/A,#N/A,FALSE,"4WD"}</definedName>
    <definedName name="향후계획1_3" hidden="1">{#N/A,#N/A,FALSE,"단축1";#N/A,#N/A,FALSE,"단축2";#N/A,#N/A,FALSE,"단축3";#N/A,#N/A,FALSE,"장축";#N/A,#N/A,FALSE,"4WD"}</definedName>
    <definedName name="향후계획1_4" localSheetId="26" hidden="1">{#N/A,#N/A,FALSE,"단축1";#N/A,#N/A,FALSE,"단축2";#N/A,#N/A,FALSE,"단축3";#N/A,#N/A,FALSE,"장축";#N/A,#N/A,FALSE,"4WD"}</definedName>
    <definedName name="향후계획1_4" localSheetId="0" hidden="1">{#N/A,#N/A,FALSE,"단축1";#N/A,#N/A,FALSE,"단축2";#N/A,#N/A,FALSE,"단축3";#N/A,#N/A,FALSE,"장축";#N/A,#N/A,FALSE,"4WD"}</definedName>
    <definedName name="향후계획1_4" hidden="1">{#N/A,#N/A,FALSE,"단축1";#N/A,#N/A,FALSE,"단축2";#N/A,#N/A,FALSE,"단축3";#N/A,#N/A,FALSE,"장축";#N/A,#N/A,FALSE,"4WD"}</definedName>
    <definedName name="향후계획1_5" localSheetId="26" hidden="1">{#N/A,#N/A,FALSE,"단축1";#N/A,#N/A,FALSE,"단축2";#N/A,#N/A,FALSE,"단축3";#N/A,#N/A,FALSE,"장축";#N/A,#N/A,FALSE,"4WD"}</definedName>
    <definedName name="향후계획1_5" localSheetId="0" hidden="1">{#N/A,#N/A,FALSE,"단축1";#N/A,#N/A,FALSE,"단축2";#N/A,#N/A,FALSE,"단축3";#N/A,#N/A,FALSE,"장축";#N/A,#N/A,FALSE,"4WD"}</definedName>
    <definedName name="향후계획1_5" hidden="1">{#N/A,#N/A,FALSE,"단축1";#N/A,#N/A,FALSE,"단축2";#N/A,#N/A,FALSE,"단축3";#N/A,#N/A,FALSE,"장축";#N/A,#N/A,FALSE,"4WD"}</definedName>
    <definedName name="ㅏㅏㅏ" localSheetId="26" hidden="1">{#N/A,#N/A,FALSE,"단축1";#N/A,#N/A,FALSE,"단축2";#N/A,#N/A,FALSE,"단축3";#N/A,#N/A,FALSE,"장축";#N/A,#N/A,FALSE,"4WD"}</definedName>
    <definedName name="ㅏㅏㅏ" localSheetId="0" hidden="1">{#N/A,#N/A,FALSE,"단축1";#N/A,#N/A,FALSE,"단축2";#N/A,#N/A,FALSE,"단축3";#N/A,#N/A,FALSE,"장축";#N/A,#N/A,FALSE,"4WD"}</definedName>
    <definedName name="ㅏㅏㅏ" hidden="1">{#N/A,#N/A,FALSE,"단축1";#N/A,#N/A,FALSE,"단축2";#N/A,#N/A,FALSE,"단축3";#N/A,#N/A,FALSE,"장축";#N/A,#N/A,FALSE,"4WD"}</definedName>
    <definedName name="ㅏㅏㅏ_1" localSheetId="26" hidden="1">{#N/A,#N/A,FALSE,"단축1";#N/A,#N/A,FALSE,"단축2";#N/A,#N/A,FALSE,"단축3";#N/A,#N/A,FALSE,"장축";#N/A,#N/A,FALSE,"4WD"}</definedName>
    <definedName name="ㅏㅏㅏ_1" localSheetId="0" hidden="1">{#N/A,#N/A,FALSE,"단축1";#N/A,#N/A,FALSE,"단축2";#N/A,#N/A,FALSE,"단축3";#N/A,#N/A,FALSE,"장축";#N/A,#N/A,FALSE,"4WD"}</definedName>
    <definedName name="ㅏㅏㅏ_1" hidden="1">{#N/A,#N/A,FALSE,"단축1";#N/A,#N/A,FALSE,"단축2";#N/A,#N/A,FALSE,"단축3";#N/A,#N/A,FALSE,"장축";#N/A,#N/A,FALSE,"4WD"}</definedName>
    <definedName name="ㅏㅏㅏ_1_1" localSheetId="26" hidden="1">{#N/A,#N/A,FALSE,"단축1";#N/A,#N/A,FALSE,"단축2";#N/A,#N/A,FALSE,"단축3";#N/A,#N/A,FALSE,"장축";#N/A,#N/A,FALSE,"4WD"}</definedName>
    <definedName name="ㅏㅏㅏ_1_1" localSheetId="0" hidden="1">{#N/A,#N/A,FALSE,"단축1";#N/A,#N/A,FALSE,"단축2";#N/A,#N/A,FALSE,"단축3";#N/A,#N/A,FALSE,"장축";#N/A,#N/A,FALSE,"4WD"}</definedName>
    <definedName name="ㅏㅏㅏ_1_1" hidden="1">{#N/A,#N/A,FALSE,"단축1";#N/A,#N/A,FALSE,"단축2";#N/A,#N/A,FALSE,"단축3";#N/A,#N/A,FALSE,"장축";#N/A,#N/A,FALSE,"4WD"}</definedName>
    <definedName name="ㅏㅏㅏ_1_2" localSheetId="26" hidden="1">{#N/A,#N/A,FALSE,"단축1";#N/A,#N/A,FALSE,"단축2";#N/A,#N/A,FALSE,"단축3";#N/A,#N/A,FALSE,"장축";#N/A,#N/A,FALSE,"4WD"}</definedName>
    <definedName name="ㅏㅏㅏ_1_2" localSheetId="0" hidden="1">{#N/A,#N/A,FALSE,"단축1";#N/A,#N/A,FALSE,"단축2";#N/A,#N/A,FALSE,"단축3";#N/A,#N/A,FALSE,"장축";#N/A,#N/A,FALSE,"4WD"}</definedName>
    <definedName name="ㅏㅏㅏ_1_2" hidden="1">{#N/A,#N/A,FALSE,"단축1";#N/A,#N/A,FALSE,"단축2";#N/A,#N/A,FALSE,"단축3";#N/A,#N/A,FALSE,"장축";#N/A,#N/A,FALSE,"4WD"}</definedName>
    <definedName name="ㅏㅏㅏ_1_3" localSheetId="26" hidden="1">{#N/A,#N/A,FALSE,"단축1";#N/A,#N/A,FALSE,"단축2";#N/A,#N/A,FALSE,"단축3";#N/A,#N/A,FALSE,"장축";#N/A,#N/A,FALSE,"4WD"}</definedName>
    <definedName name="ㅏㅏㅏ_1_3" localSheetId="0" hidden="1">{#N/A,#N/A,FALSE,"단축1";#N/A,#N/A,FALSE,"단축2";#N/A,#N/A,FALSE,"단축3";#N/A,#N/A,FALSE,"장축";#N/A,#N/A,FALSE,"4WD"}</definedName>
    <definedName name="ㅏㅏㅏ_1_3" hidden="1">{#N/A,#N/A,FALSE,"단축1";#N/A,#N/A,FALSE,"단축2";#N/A,#N/A,FALSE,"단축3";#N/A,#N/A,FALSE,"장축";#N/A,#N/A,FALSE,"4WD"}</definedName>
    <definedName name="ㅏㅏㅏ_2" localSheetId="26" hidden="1">{#N/A,#N/A,FALSE,"단축1";#N/A,#N/A,FALSE,"단축2";#N/A,#N/A,FALSE,"단축3";#N/A,#N/A,FALSE,"장축";#N/A,#N/A,FALSE,"4WD"}</definedName>
    <definedName name="ㅏㅏㅏ_2" localSheetId="0" hidden="1">{#N/A,#N/A,FALSE,"단축1";#N/A,#N/A,FALSE,"단축2";#N/A,#N/A,FALSE,"단축3";#N/A,#N/A,FALSE,"장축";#N/A,#N/A,FALSE,"4WD"}</definedName>
    <definedName name="ㅏㅏㅏ_2" hidden="1">{#N/A,#N/A,FALSE,"단축1";#N/A,#N/A,FALSE,"단축2";#N/A,#N/A,FALSE,"단축3";#N/A,#N/A,FALSE,"장축";#N/A,#N/A,FALSE,"4WD"}</definedName>
    <definedName name="ㅏㅏㅏ_2_1" localSheetId="26" hidden="1">{#N/A,#N/A,FALSE,"단축1";#N/A,#N/A,FALSE,"단축2";#N/A,#N/A,FALSE,"단축3";#N/A,#N/A,FALSE,"장축";#N/A,#N/A,FALSE,"4WD"}</definedName>
    <definedName name="ㅏㅏㅏ_2_1" localSheetId="0" hidden="1">{#N/A,#N/A,FALSE,"단축1";#N/A,#N/A,FALSE,"단축2";#N/A,#N/A,FALSE,"단축3";#N/A,#N/A,FALSE,"장축";#N/A,#N/A,FALSE,"4WD"}</definedName>
    <definedName name="ㅏㅏㅏ_2_1" hidden="1">{#N/A,#N/A,FALSE,"단축1";#N/A,#N/A,FALSE,"단축2";#N/A,#N/A,FALSE,"단축3";#N/A,#N/A,FALSE,"장축";#N/A,#N/A,FALSE,"4WD"}</definedName>
    <definedName name="ㅏㅏㅏ_2_2" localSheetId="26" hidden="1">{#N/A,#N/A,FALSE,"단축1";#N/A,#N/A,FALSE,"단축2";#N/A,#N/A,FALSE,"단축3";#N/A,#N/A,FALSE,"장축";#N/A,#N/A,FALSE,"4WD"}</definedName>
    <definedName name="ㅏㅏㅏ_2_2" localSheetId="0" hidden="1">{#N/A,#N/A,FALSE,"단축1";#N/A,#N/A,FALSE,"단축2";#N/A,#N/A,FALSE,"단축3";#N/A,#N/A,FALSE,"장축";#N/A,#N/A,FALSE,"4WD"}</definedName>
    <definedName name="ㅏㅏㅏ_2_2" hidden="1">{#N/A,#N/A,FALSE,"단축1";#N/A,#N/A,FALSE,"단축2";#N/A,#N/A,FALSE,"단축3";#N/A,#N/A,FALSE,"장축";#N/A,#N/A,FALSE,"4WD"}</definedName>
    <definedName name="ㅏㅏㅏ_3" localSheetId="26" hidden="1">{#N/A,#N/A,FALSE,"단축1";#N/A,#N/A,FALSE,"단축2";#N/A,#N/A,FALSE,"단축3";#N/A,#N/A,FALSE,"장축";#N/A,#N/A,FALSE,"4WD"}</definedName>
    <definedName name="ㅏㅏㅏ_3" localSheetId="0" hidden="1">{#N/A,#N/A,FALSE,"단축1";#N/A,#N/A,FALSE,"단축2";#N/A,#N/A,FALSE,"단축3";#N/A,#N/A,FALSE,"장축";#N/A,#N/A,FALSE,"4WD"}</definedName>
    <definedName name="ㅏㅏㅏ_3" hidden="1">{#N/A,#N/A,FALSE,"단축1";#N/A,#N/A,FALSE,"단축2";#N/A,#N/A,FALSE,"단축3";#N/A,#N/A,FALSE,"장축";#N/A,#N/A,FALSE,"4WD"}</definedName>
    <definedName name="ㅏㅏㅏ_4" localSheetId="26" hidden="1">{#N/A,#N/A,FALSE,"단축1";#N/A,#N/A,FALSE,"단축2";#N/A,#N/A,FALSE,"단축3";#N/A,#N/A,FALSE,"장축";#N/A,#N/A,FALSE,"4WD"}</definedName>
    <definedName name="ㅏㅏㅏ_4" localSheetId="0" hidden="1">{#N/A,#N/A,FALSE,"단축1";#N/A,#N/A,FALSE,"단축2";#N/A,#N/A,FALSE,"단축3";#N/A,#N/A,FALSE,"장축";#N/A,#N/A,FALSE,"4WD"}</definedName>
    <definedName name="ㅏㅏㅏ_4" hidden="1">{#N/A,#N/A,FALSE,"단축1";#N/A,#N/A,FALSE,"단축2";#N/A,#N/A,FALSE,"단축3";#N/A,#N/A,FALSE,"장축";#N/A,#N/A,FALSE,"4WD"}</definedName>
    <definedName name="ㅏㅏㅏ_5" localSheetId="26" hidden="1">{#N/A,#N/A,FALSE,"단축1";#N/A,#N/A,FALSE,"단축2";#N/A,#N/A,FALSE,"단축3";#N/A,#N/A,FALSE,"장축";#N/A,#N/A,FALSE,"4WD"}</definedName>
    <definedName name="ㅏㅏㅏ_5" localSheetId="0" hidden="1">{#N/A,#N/A,FALSE,"단축1";#N/A,#N/A,FALSE,"단축2";#N/A,#N/A,FALSE,"단축3";#N/A,#N/A,FALSE,"장축";#N/A,#N/A,FALSE,"4WD"}</definedName>
    <definedName name="ㅏㅏㅏ_5" hidden="1">{#N/A,#N/A,FALSE,"단축1";#N/A,#N/A,FALSE,"단축2";#N/A,#N/A,FALSE,"단축3";#N/A,#N/A,FALSE,"장축";#N/A,#N/A,FALSE,"4WD"}</definedName>
    <definedName name="ㅓㅏㅣㅕㅑㅔ" localSheetId="26" hidden="1">{#N/A,#N/A,FALSE,"단축1";#N/A,#N/A,FALSE,"단축2";#N/A,#N/A,FALSE,"단축3";#N/A,#N/A,FALSE,"장축";#N/A,#N/A,FALSE,"4WD"}</definedName>
    <definedName name="ㅓㅏㅣㅕㅑㅔ" localSheetId="0" hidden="1">{#N/A,#N/A,FALSE,"단축1";#N/A,#N/A,FALSE,"단축2";#N/A,#N/A,FALSE,"단축3";#N/A,#N/A,FALSE,"장축";#N/A,#N/A,FALSE,"4WD"}</definedName>
    <definedName name="ㅓㅏㅣㅕㅑㅔ" hidden="1">{#N/A,#N/A,FALSE,"단축1";#N/A,#N/A,FALSE,"단축2";#N/A,#N/A,FALSE,"단축3";#N/A,#N/A,FALSE,"장축";#N/A,#N/A,FALSE,"4WD"}</definedName>
    <definedName name="ㅓㅏㅣㅕㅑㅔ_1" localSheetId="26" hidden="1">{#N/A,#N/A,FALSE,"단축1";#N/A,#N/A,FALSE,"단축2";#N/A,#N/A,FALSE,"단축3";#N/A,#N/A,FALSE,"장축";#N/A,#N/A,FALSE,"4WD"}</definedName>
    <definedName name="ㅓㅏㅣㅕㅑㅔ_1" localSheetId="0" hidden="1">{#N/A,#N/A,FALSE,"단축1";#N/A,#N/A,FALSE,"단축2";#N/A,#N/A,FALSE,"단축3";#N/A,#N/A,FALSE,"장축";#N/A,#N/A,FALSE,"4WD"}</definedName>
    <definedName name="ㅓㅏㅣㅕㅑㅔ_1" hidden="1">{#N/A,#N/A,FALSE,"단축1";#N/A,#N/A,FALSE,"단축2";#N/A,#N/A,FALSE,"단축3";#N/A,#N/A,FALSE,"장축";#N/A,#N/A,FALSE,"4WD"}</definedName>
    <definedName name="ㅓㅏㅣㅕㅑㅔ_1_1" localSheetId="26" hidden="1">{#N/A,#N/A,FALSE,"단축1";#N/A,#N/A,FALSE,"단축2";#N/A,#N/A,FALSE,"단축3";#N/A,#N/A,FALSE,"장축";#N/A,#N/A,FALSE,"4WD"}</definedName>
    <definedName name="ㅓㅏㅣㅕㅑㅔ_1_1" localSheetId="0" hidden="1">{#N/A,#N/A,FALSE,"단축1";#N/A,#N/A,FALSE,"단축2";#N/A,#N/A,FALSE,"단축3";#N/A,#N/A,FALSE,"장축";#N/A,#N/A,FALSE,"4WD"}</definedName>
    <definedName name="ㅓㅏㅣㅕㅑㅔ_1_1" hidden="1">{#N/A,#N/A,FALSE,"단축1";#N/A,#N/A,FALSE,"단축2";#N/A,#N/A,FALSE,"단축3";#N/A,#N/A,FALSE,"장축";#N/A,#N/A,FALSE,"4WD"}</definedName>
    <definedName name="ㅓㅏㅣㅕㅑㅔ_1_2" localSheetId="26" hidden="1">{#N/A,#N/A,FALSE,"단축1";#N/A,#N/A,FALSE,"단축2";#N/A,#N/A,FALSE,"단축3";#N/A,#N/A,FALSE,"장축";#N/A,#N/A,FALSE,"4WD"}</definedName>
    <definedName name="ㅓㅏㅣㅕㅑㅔ_1_2" localSheetId="0" hidden="1">{#N/A,#N/A,FALSE,"단축1";#N/A,#N/A,FALSE,"단축2";#N/A,#N/A,FALSE,"단축3";#N/A,#N/A,FALSE,"장축";#N/A,#N/A,FALSE,"4WD"}</definedName>
    <definedName name="ㅓㅏㅣㅕㅑㅔ_1_2" hidden="1">{#N/A,#N/A,FALSE,"단축1";#N/A,#N/A,FALSE,"단축2";#N/A,#N/A,FALSE,"단축3";#N/A,#N/A,FALSE,"장축";#N/A,#N/A,FALSE,"4WD"}</definedName>
    <definedName name="ㅓㅏㅣㅕㅑㅔ_1_3" localSheetId="26" hidden="1">{#N/A,#N/A,FALSE,"단축1";#N/A,#N/A,FALSE,"단축2";#N/A,#N/A,FALSE,"단축3";#N/A,#N/A,FALSE,"장축";#N/A,#N/A,FALSE,"4WD"}</definedName>
    <definedName name="ㅓㅏㅣㅕㅑㅔ_1_3" localSheetId="0" hidden="1">{#N/A,#N/A,FALSE,"단축1";#N/A,#N/A,FALSE,"단축2";#N/A,#N/A,FALSE,"단축3";#N/A,#N/A,FALSE,"장축";#N/A,#N/A,FALSE,"4WD"}</definedName>
    <definedName name="ㅓㅏㅣㅕㅑㅔ_1_3" hidden="1">{#N/A,#N/A,FALSE,"단축1";#N/A,#N/A,FALSE,"단축2";#N/A,#N/A,FALSE,"단축3";#N/A,#N/A,FALSE,"장축";#N/A,#N/A,FALSE,"4WD"}</definedName>
    <definedName name="ㅓㅏㅣㅕㅑㅔ_2" localSheetId="26" hidden="1">{#N/A,#N/A,FALSE,"단축1";#N/A,#N/A,FALSE,"단축2";#N/A,#N/A,FALSE,"단축3";#N/A,#N/A,FALSE,"장축";#N/A,#N/A,FALSE,"4WD"}</definedName>
    <definedName name="ㅓㅏㅣㅕㅑㅔ_2" localSheetId="0" hidden="1">{#N/A,#N/A,FALSE,"단축1";#N/A,#N/A,FALSE,"단축2";#N/A,#N/A,FALSE,"단축3";#N/A,#N/A,FALSE,"장축";#N/A,#N/A,FALSE,"4WD"}</definedName>
    <definedName name="ㅓㅏㅣㅕㅑㅔ_2" hidden="1">{#N/A,#N/A,FALSE,"단축1";#N/A,#N/A,FALSE,"단축2";#N/A,#N/A,FALSE,"단축3";#N/A,#N/A,FALSE,"장축";#N/A,#N/A,FALSE,"4WD"}</definedName>
    <definedName name="ㅓㅏㅣㅕㅑㅔ_2_1" localSheetId="26" hidden="1">{#N/A,#N/A,FALSE,"단축1";#N/A,#N/A,FALSE,"단축2";#N/A,#N/A,FALSE,"단축3";#N/A,#N/A,FALSE,"장축";#N/A,#N/A,FALSE,"4WD"}</definedName>
    <definedName name="ㅓㅏㅣㅕㅑㅔ_2_1" localSheetId="0" hidden="1">{#N/A,#N/A,FALSE,"단축1";#N/A,#N/A,FALSE,"단축2";#N/A,#N/A,FALSE,"단축3";#N/A,#N/A,FALSE,"장축";#N/A,#N/A,FALSE,"4WD"}</definedName>
    <definedName name="ㅓㅏㅣㅕㅑㅔ_2_1" hidden="1">{#N/A,#N/A,FALSE,"단축1";#N/A,#N/A,FALSE,"단축2";#N/A,#N/A,FALSE,"단축3";#N/A,#N/A,FALSE,"장축";#N/A,#N/A,FALSE,"4WD"}</definedName>
    <definedName name="ㅓㅏㅣㅕㅑㅔ_2_2" localSheetId="26" hidden="1">{#N/A,#N/A,FALSE,"단축1";#N/A,#N/A,FALSE,"단축2";#N/A,#N/A,FALSE,"단축3";#N/A,#N/A,FALSE,"장축";#N/A,#N/A,FALSE,"4WD"}</definedName>
    <definedName name="ㅓㅏㅣㅕㅑㅔ_2_2" localSheetId="0" hidden="1">{#N/A,#N/A,FALSE,"단축1";#N/A,#N/A,FALSE,"단축2";#N/A,#N/A,FALSE,"단축3";#N/A,#N/A,FALSE,"장축";#N/A,#N/A,FALSE,"4WD"}</definedName>
    <definedName name="ㅓㅏㅣㅕㅑㅔ_2_2" hidden="1">{#N/A,#N/A,FALSE,"단축1";#N/A,#N/A,FALSE,"단축2";#N/A,#N/A,FALSE,"단축3";#N/A,#N/A,FALSE,"장축";#N/A,#N/A,FALSE,"4WD"}</definedName>
    <definedName name="ㅓㅏㅣㅕㅑㅔ_3" localSheetId="26" hidden="1">{#N/A,#N/A,FALSE,"단축1";#N/A,#N/A,FALSE,"단축2";#N/A,#N/A,FALSE,"단축3";#N/A,#N/A,FALSE,"장축";#N/A,#N/A,FALSE,"4WD"}</definedName>
    <definedName name="ㅓㅏㅣㅕㅑㅔ_3" localSheetId="0" hidden="1">{#N/A,#N/A,FALSE,"단축1";#N/A,#N/A,FALSE,"단축2";#N/A,#N/A,FALSE,"단축3";#N/A,#N/A,FALSE,"장축";#N/A,#N/A,FALSE,"4WD"}</definedName>
    <definedName name="ㅓㅏㅣㅕㅑㅔ_3" hidden="1">{#N/A,#N/A,FALSE,"단축1";#N/A,#N/A,FALSE,"단축2";#N/A,#N/A,FALSE,"단축3";#N/A,#N/A,FALSE,"장축";#N/A,#N/A,FALSE,"4WD"}</definedName>
    <definedName name="ㅓㅏㅣㅕㅑㅔ_4" localSheetId="26" hidden="1">{#N/A,#N/A,FALSE,"단축1";#N/A,#N/A,FALSE,"단축2";#N/A,#N/A,FALSE,"단축3";#N/A,#N/A,FALSE,"장축";#N/A,#N/A,FALSE,"4WD"}</definedName>
    <definedName name="ㅓㅏㅣㅕㅑㅔ_4" localSheetId="0" hidden="1">{#N/A,#N/A,FALSE,"단축1";#N/A,#N/A,FALSE,"단축2";#N/A,#N/A,FALSE,"단축3";#N/A,#N/A,FALSE,"장축";#N/A,#N/A,FALSE,"4WD"}</definedName>
    <definedName name="ㅓㅏㅣㅕㅑㅔ_4" hidden="1">{#N/A,#N/A,FALSE,"단축1";#N/A,#N/A,FALSE,"단축2";#N/A,#N/A,FALSE,"단축3";#N/A,#N/A,FALSE,"장축";#N/A,#N/A,FALSE,"4WD"}</definedName>
    <definedName name="ㅓㅏㅣㅕㅑㅔ_5" localSheetId="26" hidden="1">{#N/A,#N/A,FALSE,"단축1";#N/A,#N/A,FALSE,"단축2";#N/A,#N/A,FALSE,"단축3";#N/A,#N/A,FALSE,"장축";#N/A,#N/A,FALSE,"4WD"}</definedName>
    <definedName name="ㅓㅏㅣㅕㅑㅔ_5" localSheetId="0" hidden="1">{#N/A,#N/A,FALSE,"단축1";#N/A,#N/A,FALSE,"단축2";#N/A,#N/A,FALSE,"단축3";#N/A,#N/A,FALSE,"장축";#N/A,#N/A,FALSE,"4WD"}</definedName>
    <definedName name="ㅓㅏㅣㅕㅑㅔ_5" hidden="1">{#N/A,#N/A,FALSE,"단축1";#N/A,#N/A,FALSE,"단축2";#N/A,#N/A,FALSE,"단축3";#N/A,#N/A,FALSE,"장축";#N/A,#N/A,FALSE,"4WD"}</definedName>
    <definedName name="ㅔㅔㅔ" localSheetId="26" hidden="1">{#N/A,#N/A,FALSE,"단축1";#N/A,#N/A,FALSE,"단축2";#N/A,#N/A,FALSE,"단축3";#N/A,#N/A,FALSE,"장축";#N/A,#N/A,FALSE,"4WD"}</definedName>
    <definedName name="ㅔㅔㅔ" localSheetId="0" hidden="1">{#N/A,#N/A,FALSE,"단축1";#N/A,#N/A,FALSE,"단축2";#N/A,#N/A,FALSE,"단축3";#N/A,#N/A,FALSE,"장축";#N/A,#N/A,FALSE,"4WD"}</definedName>
    <definedName name="ㅔㅔㅔ" hidden="1">{#N/A,#N/A,FALSE,"단축1";#N/A,#N/A,FALSE,"단축2";#N/A,#N/A,FALSE,"단축3";#N/A,#N/A,FALSE,"장축";#N/A,#N/A,FALSE,"4WD"}</definedName>
    <definedName name="ㅔㅔㅔ_1" localSheetId="26" hidden="1">{#N/A,#N/A,FALSE,"단축1";#N/A,#N/A,FALSE,"단축2";#N/A,#N/A,FALSE,"단축3";#N/A,#N/A,FALSE,"장축";#N/A,#N/A,FALSE,"4WD"}</definedName>
    <definedName name="ㅔㅔㅔ_1" localSheetId="0" hidden="1">{#N/A,#N/A,FALSE,"단축1";#N/A,#N/A,FALSE,"단축2";#N/A,#N/A,FALSE,"단축3";#N/A,#N/A,FALSE,"장축";#N/A,#N/A,FALSE,"4WD"}</definedName>
    <definedName name="ㅔㅔㅔ_1" hidden="1">{#N/A,#N/A,FALSE,"단축1";#N/A,#N/A,FALSE,"단축2";#N/A,#N/A,FALSE,"단축3";#N/A,#N/A,FALSE,"장축";#N/A,#N/A,FALSE,"4WD"}</definedName>
    <definedName name="ㅔㅔㅔ_1_1" localSheetId="26" hidden="1">{#N/A,#N/A,FALSE,"단축1";#N/A,#N/A,FALSE,"단축2";#N/A,#N/A,FALSE,"단축3";#N/A,#N/A,FALSE,"장축";#N/A,#N/A,FALSE,"4WD"}</definedName>
    <definedName name="ㅔㅔㅔ_1_1" localSheetId="0" hidden="1">{#N/A,#N/A,FALSE,"단축1";#N/A,#N/A,FALSE,"단축2";#N/A,#N/A,FALSE,"단축3";#N/A,#N/A,FALSE,"장축";#N/A,#N/A,FALSE,"4WD"}</definedName>
    <definedName name="ㅔㅔㅔ_1_1" hidden="1">{#N/A,#N/A,FALSE,"단축1";#N/A,#N/A,FALSE,"단축2";#N/A,#N/A,FALSE,"단축3";#N/A,#N/A,FALSE,"장축";#N/A,#N/A,FALSE,"4WD"}</definedName>
    <definedName name="ㅔㅔㅔ_1_2" localSheetId="26" hidden="1">{#N/A,#N/A,FALSE,"단축1";#N/A,#N/A,FALSE,"단축2";#N/A,#N/A,FALSE,"단축3";#N/A,#N/A,FALSE,"장축";#N/A,#N/A,FALSE,"4WD"}</definedName>
    <definedName name="ㅔㅔㅔ_1_2" localSheetId="0" hidden="1">{#N/A,#N/A,FALSE,"단축1";#N/A,#N/A,FALSE,"단축2";#N/A,#N/A,FALSE,"단축3";#N/A,#N/A,FALSE,"장축";#N/A,#N/A,FALSE,"4WD"}</definedName>
    <definedName name="ㅔㅔㅔ_1_2" hidden="1">{#N/A,#N/A,FALSE,"단축1";#N/A,#N/A,FALSE,"단축2";#N/A,#N/A,FALSE,"단축3";#N/A,#N/A,FALSE,"장축";#N/A,#N/A,FALSE,"4WD"}</definedName>
    <definedName name="ㅔㅔㅔ_1_3" localSheetId="26" hidden="1">{#N/A,#N/A,FALSE,"단축1";#N/A,#N/A,FALSE,"단축2";#N/A,#N/A,FALSE,"단축3";#N/A,#N/A,FALSE,"장축";#N/A,#N/A,FALSE,"4WD"}</definedName>
    <definedName name="ㅔㅔㅔ_1_3" localSheetId="0" hidden="1">{#N/A,#N/A,FALSE,"단축1";#N/A,#N/A,FALSE,"단축2";#N/A,#N/A,FALSE,"단축3";#N/A,#N/A,FALSE,"장축";#N/A,#N/A,FALSE,"4WD"}</definedName>
    <definedName name="ㅔㅔㅔ_1_3" hidden="1">{#N/A,#N/A,FALSE,"단축1";#N/A,#N/A,FALSE,"단축2";#N/A,#N/A,FALSE,"단축3";#N/A,#N/A,FALSE,"장축";#N/A,#N/A,FALSE,"4WD"}</definedName>
    <definedName name="ㅔㅔㅔ_2" localSheetId="26" hidden="1">{#N/A,#N/A,FALSE,"단축1";#N/A,#N/A,FALSE,"단축2";#N/A,#N/A,FALSE,"단축3";#N/A,#N/A,FALSE,"장축";#N/A,#N/A,FALSE,"4WD"}</definedName>
    <definedName name="ㅔㅔㅔ_2" localSheetId="0" hidden="1">{#N/A,#N/A,FALSE,"단축1";#N/A,#N/A,FALSE,"단축2";#N/A,#N/A,FALSE,"단축3";#N/A,#N/A,FALSE,"장축";#N/A,#N/A,FALSE,"4WD"}</definedName>
    <definedName name="ㅔㅔㅔ_2" hidden="1">{#N/A,#N/A,FALSE,"단축1";#N/A,#N/A,FALSE,"단축2";#N/A,#N/A,FALSE,"단축3";#N/A,#N/A,FALSE,"장축";#N/A,#N/A,FALSE,"4WD"}</definedName>
    <definedName name="ㅔㅔㅔ_2_1" localSheetId="26" hidden="1">{#N/A,#N/A,FALSE,"단축1";#N/A,#N/A,FALSE,"단축2";#N/A,#N/A,FALSE,"단축3";#N/A,#N/A,FALSE,"장축";#N/A,#N/A,FALSE,"4WD"}</definedName>
    <definedName name="ㅔㅔㅔ_2_1" localSheetId="0" hidden="1">{#N/A,#N/A,FALSE,"단축1";#N/A,#N/A,FALSE,"단축2";#N/A,#N/A,FALSE,"단축3";#N/A,#N/A,FALSE,"장축";#N/A,#N/A,FALSE,"4WD"}</definedName>
    <definedName name="ㅔㅔㅔ_2_1" hidden="1">{#N/A,#N/A,FALSE,"단축1";#N/A,#N/A,FALSE,"단축2";#N/A,#N/A,FALSE,"단축3";#N/A,#N/A,FALSE,"장축";#N/A,#N/A,FALSE,"4WD"}</definedName>
    <definedName name="ㅔㅔㅔ_2_2" localSheetId="26" hidden="1">{#N/A,#N/A,FALSE,"단축1";#N/A,#N/A,FALSE,"단축2";#N/A,#N/A,FALSE,"단축3";#N/A,#N/A,FALSE,"장축";#N/A,#N/A,FALSE,"4WD"}</definedName>
    <definedName name="ㅔㅔㅔ_2_2" localSheetId="0" hidden="1">{#N/A,#N/A,FALSE,"단축1";#N/A,#N/A,FALSE,"단축2";#N/A,#N/A,FALSE,"단축3";#N/A,#N/A,FALSE,"장축";#N/A,#N/A,FALSE,"4WD"}</definedName>
    <definedName name="ㅔㅔㅔ_2_2" hidden="1">{#N/A,#N/A,FALSE,"단축1";#N/A,#N/A,FALSE,"단축2";#N/A,#N/A,FALSE,"단축3";#N/A,#N/A,FALSE,"장축";#N/A,#N/A,FALSE,"4WD"}</definedName>
    <definedName name="ㅔㅔㅔ_3" localSheetId="26" hidden="1">{#N/A,#N/A,FALSE,"단축1";#N/A,#N/A,FALSE,"단축2";#N/A,#N/A,FALSE,"단축3";#N/A,#N/A,FALSE,"장축";#N/A,#N/A,FALSE,"4WD"}</definedName>
    <definedName name="ㅔㅔㅔ_3" localSheetId="0" hidden="1">{#N/A,#N/A,FALSE,"단축1";#N/A,#N/A,FALSE,"단축2";#N/A,#N/A,FALSE,"단축3";#N/A,#N/A,FALSE,"장축";#N/A,#N/A,FALSE,"4WD"}</definedName>
    <definedName name="ㅔㅔㅔ_3" hidden="1">{#N/A,#N/A,FALSE,"단축1";#N/A,#N/A,FALSE,"단축2";#N/A,#N/A,FALSE,"단축3";#N/A,#N/A,FALSE,"장축";#N/A,#N/A,FALSE,"4WD"}</definedName>
    <definedName name="ㅔㅔㅔ_4" localSheetId="26" hidden="1">{#N/A,#N/A,FALSE,"단축1";#N/A,#N/A,FALSE,"단축2";#N/A,#N/A,FALSE,"단축3";#N/A,#N/A,FALSE,"장축";#N/A,#N/A,FALSE,"4WD"}</definedName>
    <definedName name="ㅔㅔㅔ_4" localSheetId="0" hidden="1">{#N/A,#N/A,FALSE,"단축1";#N/A,#N/A,FALSE,"단축2";#N/A,#N/A,FALSE,"단축3";#N/A,#N/A,FALSE,"장축";#N/A,#N/A,FALSE,"4WD"}</definedName>
    <definedName name="ㅔㅔㅔ_4" hidden="1">{#N/A,#N/A,FALSE,"단축1";#N/A,#N/A,FALSE,"단축2";#N/A,#N/A,FALSE,"단축3";#N/A,#N/A,FALSE,"장축";#N/A,#N/A,FALSE,"4WD"}</definedName>
    <definedName name="ㅔㅔㅔ_5" localSheetId="26" hidden="1">{#N/A,#N/A,FALSE,"단축1";#N/A,#N/A,FALSE,"단축2";#N/A,#N/A,FALSE,"단축3";#N/A,#N/A,FALSE,"장축";#N/A,#N/A,FALSE,"4WD"}</definedName>
    <definedName name="ㅔㅔㅔ_5" localSheetId="0" hidden="1">{#N/A,#N/A,FALSE,"단축1";#N/A,#N/A,FALSE,"단축2";#N/A,#N/A,FALSE,"단축3";#N/A,#N/A,FALSE,"장축";#N/A,#N/A,FALSE,"4WD"}</definedName>
    <definedName name="ㅔㅔㅔ_5" hidden="1">{#N/A,#N/A,FALSE,"단축1";#N/A,#N/A,FALSE,"단축2";#N/A,#N/A,FALSE,"단축3";#N/A,#N/A,FALSE,"장축";#N/A,#N/A,FALSE,"4WD"}</definedName>
    <definedName name="ㅕㅕ" localSheetId="26" hidden="1">{#N/A,#N/A,FALSE,"단축1";#N/A,#N/A,FALSE,"단축2";#N/A,#N/A,FALSE,"단축3";#N/A,#N/A,FALSE,"장축";#N/A,#N/A,FALSE,"4WD"}</definedName>
    <definedName name="ㅕㅕ" localSheetId="0" hidden="1">{#N/A,#N/A,FALSE,"단축1";#N/A,#N/A,FALSE,"단축2";#N/A,#N/A,FALSE,"단축3";#N/A,#N/A,FALSE,"장축";#N/A,#N/A,FALSE,"4WD"}</definedName>
    <definedName name="ㅕㅕ" hidden="1">{#N/A,#N/A,FALSE,"단축1";#N/A,#N/A,FALSE,"단축2";#N/A,#N/A,FALSE,"단축3";#N/A,#N/A,FALSE,"장축";#N/A,#N/A,FALSE,"4WD"}</definedName>
    <definedName name="ㅕㅕ_1" localSheetId="26" hidden="1">{#N/A,#N/A,FALSE,"단축1";#N/A,#N/A,FALSE,"단축2";#N/A,#N/A,FALSE,"단축3";#N/A,#N/A,FALSE,"장축";#N/A,#N/A,FALSE,"4WD"}</definedName>
    <definedName name="ㅕㅕ_1" localSheetId="0" hidden="1">{#N/A,#N/A,FALSE,"단축1";#N/A,#N/A,FALSE,"단축2";#N/A,#N/A,FALSE,"단축3";#N/A,#N/A,FALSE,"장축";#N/A,#N/A,FALSE,"4WD"}</definedName>
    <definedName name="ㅕㅕ_1" hidden="1">{#N/A,#N/A,FALSE,"단축1";#N/A,#N/A,FALSE,"단축2";#N/A,#N/A,FALSE,"단축3";#N/A,#N/A,FALSE,"장축";#N/A,#N/A,FALSE,"4WD"}</definedName>
    <definedName name="ㅕㅕ_1_1" localSheetId="26" hidden="1">{#N/A,#N/A,FALSE,"단축1";#N/A,#N/A,FALSE,"단축2";#N/A,#N/A,FALSE,"단축3";#N/A,#N/A,FALSE,"장축";#N/A,#N/A,FALSE,"4WD"}</definedName>
    <definedName name="ㅕㅕ_1_1" localSheetId="0" hidden="1">{#N/A,#N/A,FALSE,"단축1";#N/A,#N/A,FALSE,"단축2";#N/A,#N/A,FALSE,"단축3";#N/A,#N/A,FALSE,"장축";#N/A,#N/A,FALSE,"4WD"}</definedName>
    <definedName name="ㅕㅕ_1_1" hidden="1">{#N/A,#N/A,FALSE,"단축1";#N/A,#N/A,FALSE,"단축2";#N/A,#N/A,FALSE,"단축3";#N/A,#N/A,FALSE,"장축";#N/A,#N/A,FALSE,"4WD"}</definedName>
    <definedName name="ㅕㅕ_1_2" localSheetId="26" hidden="1">{#N/A,#N/A,FALSE,"단축1";#N/A,#N/A,FALSE,"단축2";#N/A,#N/A,FALSE,"단축3";#N/A,#N/A,FALSE,"장축";#N/A,#N/A,FALSE,"4WD"}</definedName>
    <definedName name="ㅕㅕ_1_2" localSheetId="0" hidden="1">{#N/A,#N/A,FALSE,"단축1";#N/A,#N/A,FALSE,"단축2";#N/A,#N/A,FALSE,"단축3";#N/A,#N/A,FALSE,"장축";#N/A,#N/A,FALSE,"4WD"}</definedName>
    <definedName name="ㅕㅕ_1_2" hidden="1">{#N/A,#N/A,FALSE,"단축1";#N/A,#N/A,FALSE,"단축2";#N/A,#N/A,FALSE,"단축3";#N/A,#N/A,FALSE,"장축";#N/A,#N/A,FALSE,"4WD"}</definedName>
    <definedName name="ㅕㅕ_1_3" localSheetId="26" hidden="1">{#N/A,#N/A,FALSE,"단축1";#N/A,#N/A,FALSE,"단축2";#N/A,#N/A,FALSE,"단축3";#N/A,#N/A,FALSE,"장축";#N/A,#N/A,FALSE,"4WD"}</definedName>
    <definedName name="ㅕㅕ_1_3" localSheetId="0" hidden="1">{#N/A,#N/A,FALSE,"단축1";#N/A,#N/A,FALSE,"단축2";#N/A,#N/A,FALSE,"단축3";#N/A,#N/A,FALSE,"장축";#N/A,#N/A,FALSE,"4WD"}</definedName>
    <definedName name="ㅕㅕ_1_3" hidden="1">{#N/A,#N/A,FALSE,"단축1";#N/A,#N/A,FALSE,"단축2";#N/A,#N/A,FALSE,"단축3";#N/A,#N/A,FALSE,"장축";#N/A,#N/A,FALSE,"4WD"}</definedName>
    <definedName name="ㅕㅕ_2" localSheetId="26" hidden="1">{#N/A,#N/A,FALSE,"단축1";#N/A,#N/A,FALSE,"단축2";#N/A,#N/A,FALSE,"단축3";#N/A,#N/A,FALSE,"장축";#N/A,#N/A,FALSE,"4WD"}</definedName>
    <definedName name="ㅕㅕ_2" localSheetId="0" hidden="1">{#N/A,#N/A,FALSE,"단축1";#N/A,#N/A,FALSE,"단축2";#N/A,#N/A,FALSE,"단축3";#N/A,#N/A,FALSE,"장축";#N/A,#N/A,FALSE,"4WD"}</definedName>
    <definedName name="ㅕㅕ_2" hidden="1">{#N/A,#N/A,FALSE,"단축1";#N/A,#N/A,FALSE,"단축2";#N/A,#N/A,FALSE,"단축3";#N/A,#N/A,FALSE,"장축";#N/A,#N/A,FALSE,"4WD"}</definedName>
    <definedName name="ㅕㅕ_2_1" localSheetId="26" hidden="1">{#N/A,#N/A,FALSE,"단축1";#N/A,#N/A,FALSE,"단축2";#N/A,#N/A,FALSE,"단축3";#N/A,#N/A,FALSE,"장축";#N/A,#N/A,FALSE,"4WD"}</definedName>
    <definedName name="ㅕㅕ_2_1" localSheetId="0" hidden="1">{#N/A,#N/A,FALSE,"단축1";#N/A,#N/A,FALSE,"단축2";#N/A,#N/A,FALSE,"단축3";#N/A,#N/A,FALSE,"장축";#N/A,#N/A,FALSE,"4WD"}</definedName>
    <definedName name="ㅕㅕ_2_1" hidden="1">{#N/A,#N/A,FALSE,"단축1";#N/A,#N/A,FALSE,"단축2";#N/A,#N/A,FALSE,"단축3";#N/A,#N/A,FALSE,"장축";#N/A,#N/A,FALSE,"4WD"}</definedName>
    <definedName name="ㅕㅕ_2_2" localSheetId="26" hidden="1">{#N/A,#N/A,FALSE,"단축1";#N/A,#N/A,FALSE,"단축2";#N/A,#N/A,FALSE,"단축3";#N/A,#N/A,FALSE,"장축";#N/A,#N/A,FALSE,"4WD"}</definedName>
    <definedName name="ㅕㅕ_2_2" localSheetId="0" hidden="1">{#N/A,#N/A,FALSE,"단축1";#N/A,#N/A,FALSE,"단축2";#N/A,#N/A,FALSE,"단축3";#N/A,#N/A,FALSE,"장축";#N/A,#N/A,FALSE,"4WD"}</definedName>
    <definedName name="ㅕㅕ_2_2" hidden="1">{#N/A,#N/A,FALSE,"단축1";#N/A,#N/A,FALSE,"단축2";#N/A,#N/A,FALSE,"단축3";#N/A,#N/A,FALSE,"장축";#N/A,#N/A,FALSE,"4WD"}</definedName>
    <definedName name="ㅕㅕ_3" localSheetId="26" hidden="1">{#N/A,#N/A,FALSE,"단축1";#N/A,#N/A,FALSE,"단축2";#N/A,#N/A,FALSE,"단축3";#N/A,#N/A,FALSE,"장축";#N/A,#N/A,FALSE,"4WD"}</definedName>
    <definedName name="ㅕㅕ_3" localSheetId="0" hidden="1">{#N/A,#N/A,FALSE,"단축1";#N/A,#N/A,FALSE,"단축2";#N/A,#N/A,FALSE,"단축3";#N/A,#N/A,FALSE,"장축";#N/A,#N/A,FALSE,"4WD"}</definedName>
    <definedName name="ㅕㅕ_3" hidden="1">{#N/A,#N/A,FALSE,"단축1";#N/A,#N/A,FALSE,"단축2";#N/A,#N/A,FALSE,"단축3";#N/A,#N/A,FALSE,"장축";#N/A,#N/A,FALSE,"4WD"}</definedName>
    <definedName name="ㅕㅕ_4" localSheetId="26" hidden="1">{#N/A,#N/A,FALSE,"단축1";#N/A,#N/A,FALSE,"단축2";#N/A,#N/A,FALSE,"단축3";#N/A,#N/A,FALSE,"장축";#N/A,#N/A,FALSE,"4WD"}</definedName>
    <definedName name="ㅕㅕ_4" localSheetId="0" hidden="1">{#N/A,#N/A,FALSE,"단축1";#N/A,#N/A,FALSE,"단축2";#N/A,#N/A,FALSE,"단축3";#N/A,#N/A,FALSE,"장축";#N/A,#N/A,FALSE,"4WD"}</definedName>
    <definedName name="ㅕㅕ_4" hidden="1">{#N/A,#N/A,FALSE,"단축1";#N/A,#N/A,FALSE,"단축2";#N/A,#N/A,FALSE,"단축3";#N/A,#N/A,FALSE,"장축";#N/A,#N/A,FALSE,"4WD"}</definedName>
    <definedName name="ㅕㅕ_5" localSheetId="26" hidden="1">{#N/A,#N/A,FALSE,"단축1";#N/A,#N/A,FALSE,"단축2";#N/A,#N/A,FALSE,"단축3";#N/A,#N/A,FALSE,"장축";#N/A,#N/A,FALSE,"4WD"}</definedName>
    <definedName name="ㅕㅕ_5" localSheetId="0" hidden="1">{#N/A,#N/A,FALSE,"단축1";#N/A,#N/A,FALSE,"단축2";#N/A,#N/A,FALSE,"단축3";#N/A,#N/A,FALSE,"장축";#N/A,#N/A,FALSE,"4WD"}</definedName>
    <definedName name="ㅕㅕ_5" hidden="1">{#N/A,#N/A,FALSE,"단축1";#N/A,#N/A,FALSE,"단축2";#N/A,#N/A,FALSE,"단축3";#N/A,#N/A,FALSE,"장축";#N/A,#N/A,FALSE,"4WD"}</definedName>
    <definedName name="ㅕㅕㅕ" localSheetId="26" hidden="1">{#N/A,#N/A,FALSE,"단축1";#N/A,#N/A,FALSE,"단축2";#N/A,#N/A,FALSE,"단축3";#N/A,#N/A,FALSE,"장축";#N/A,#N/A,FALSE,"4WD"}</definedName>
    <definedName name="ㅕㅕㅕ" localSheetId="0" hidden="1">{#N/A,#N/A,FALSE,"단축1";#N/A,#N/A,FALSE,"단축2";#N/A,#N/A,FALSE,"단축3";#N/A,#N/A,FALSE,"장축";#N/A,#N/A,FALSE,"4WD"}</definedName>
    <definedName name="ㅕㅕㅕ" hidden="1">{#N/A,#N/A,FALSE,"단축1";#N/A,#N/A,FALSE,"단축2";#N/A,#N/A,FALSE,"단축3";#N/A,#N/A,FALSE,"장축";#N/A,#N/A,FALSE,"4WD"}</definedName>
    <definedName name="ㅕㅕㅕ_1" localSheetId="26" hidden="1">{#N/A,#N/A,FALSE,"단축1";#N/A,#N/A,FALSE,"단축2";#N/A,#N/A,FALSE,"단축3";#N/A,#N/A,FALSE,"장축";#N/A,#N/A,FALSE,"4WD"}</definedName>
    <definedName name="ㅕㅕㅕ_1" localSheetId="0" hidden="1">{#N/A,#N/A,FALSE,"단축1";#N/A,#N/A,FALSE,"단축2";#N/A,#N/A,FALSE,"단축3";#N/A,#N/A,FALSE,"장축";#N/A,#N/A,FALSE,"4WD"}</definedName>
    <definedName name="ㅕㅕㅕ_1" hidden="1">{#N/A,#N/A,FALSE,"단축1";#N/A,#N/A,FALSE,"단축2";#N/A,#N/A,FALSE,"단축3";#N/A,#N/A,FALSE,"장축";#N/A,#N/A,FALSE,"4WD"}</definedName>
    <definedName name="ㅕㅕㅕ_1_1" localSheetId="26" hidden="1">{#N/A,#N/A,FALSE,"단축1";#N/A,#N/A,FALSE,"단축2";#N/A,#N/A,FALSE,"단축3";#N/A,#N/A,FALSE,"장축";#N/A,#N/A,FALSE,"4WD"}</definedName>
    <definedName name="ㅕㅕㅕ_1_1" localSheetId="0" hidden="1">{#N/A,#N/A,FALSE,"단축1";#N/A,#N/A,FALSE,"단축2";#N/A,#N/A,FALSE,"단축3";#N/A,#N/A,FALSE,"장축";#N/A,#N/A,FALSE,"4WD"}</definedName>
    <definedName name="ㅕㅕㅕ_1_1" hidden="1">{#N/A,#N/A,FALSE,"단축1";#N/A,#N/A,FALSE,"단축2";#N/A,#N/A,FALSE,"단축3";#N/A,#N/A,FALSE,"장축";#N/A,#N/A,FALSE,"4WD"}</definedName>
    <definedName name="ㅕㅕㅕ_1_2" localSheetId="26" hidden="1">{#N/A,#N/A,FALSE,"단축1";#N/A,#N/A,FALSE,"단축2";#N/A,#N/A,FALSE,"단축3";#N/A,#N/A,FALSE,"장축";#N/A,#N/A,FALSE,"4WD"}</definedName>
    <definedName name="ㅕㅕㅕ_1_2" localSheetId="0" hidden="1">{#N/A,#N/A,FALSE,"단축1";#N/A,#N/A,FALSE,"단축2";#N/A,#N/A,FALSE,"단축3";#N/A,#N/A,FALSE,"장축";#N/A,#N/A,FALSE,"4WD"}</definedName>
    <definedName name="ㅕㅕㅕ_1_2" hidden="1">{#N/A,#N/A,FALSE,"단축1";#N/A,#N/A,FALSE,"단축2";#N/A,#N/A,FALSE,"단축3";#N/A,#N/A,FALSE,"장축";#N/A,#N/A,FALSE,"4WD"}</definedName>
    <definedName name="ㅕㅕㅕ_1_3" localSheetId="26" hidden="1">{#N/A,#N/A,FALSE,"단축1";#N/A,#N/A,FALSE,"단축2";#N/A,#N/A,FALSE,"단축3";#N/A,#N/A,FALSE,"장축";#N/A,#N/A,FALSE,"4WD"}</definedName>
    <definedName name="ㅕㅕㅕ_1_3" localSheetId="0" hidden="1">{#N/A,#N/A,FALSE,"단축1";#N/A,#N/A,FALSE,"단축2";#N/A,#N/A,FALSE,"단축3";#N/A,#N/A,FALSE,"장축";#N/A,#N/A,FALSE,"4WD"}</definedName>
    <definedName name="ㅕㅕㅕ_1_3" hidden="1">{#N/A,#N/A,FALSE,"단축1";#N/A,#N/A,FALSE,"단축2";#N/A,#N/A,FALSE,"단축3";#N/A,#N/A,FALSE,"장축";#N/A,#N/A,FALSE,"4WD"}</definedName>
    <definedName name="ㅕㅕㅕ_2" localSheetId="26" hidden="1">{#N/A,#N/A,FALSE,"단축1";#N/A,#N/A,FALSE,"단축2";#N/A,#N/A,FALSE,"단축3";#N/A,#N/A,FALSE,"장축";#N/A,#N/A,FALSE,"4WD"}</definedName>
    <definedName name="ㅕㅕㅕ_2" localSheetId="0" hidden="1">{#N/A,#N/A,FALSE,"단축1";#N/A,#N/A,FALSE,"단축2";#N/A,#N/A,FALSE,"단축3";#N/A,#N/A,FALSE,"장축";#N/A,#N/A,FALSE,"4WD"}</definedName>
    <definedName name="ㅕㅕㅕ_2" hidden="1">{#N/A,#N/A,FALSE,"단축1";#N/A,#N/A,FALSE,"단축2";#N/A,#N/A,FALSE,"단축3";#N/A,#N/A,FALSE,"장축";#N/A,#N/A,FALSE,"4WD"}</definedName>
    <definedName name="ㅕㅕㅕ_2_1" localSheetId="26" hidden="1">{#N/A,#N/A,FALSE,"단축1";#N/A,#N/A,FALSE,"단축2";#N/A,#N/A,FALSE,"단축3";#N/A,#N/A,FALSE,"장축";#N/A,#N/A,FALSE,"4WD"}</definedName>
    <definedName name="ㅕㅕㅕ_2_1" localSheetId="0" hidden="1">{#N/A,#N/A,FALSE,"단축1";#N/A,#N/A,FALSE,"단축2";#N/A,#N/A,FALSE,"단축3";#N/A,#N/A,FALSE,"장축";#N/A,#N/A,FALSE,"4WD"}</definedName>
    <definedName name="ㅕㅕㅕ_2_1" hidden="1">{#N/A,#N/A,FALSE,"단축1";#N/A,#N/A,FALSE,"단축2";#N/A,#N/A,FALSE,"단축3";#N/A,#N/A,FALSE,"장축";#N/A,#N/A,FALSE,"4WD"}</definedName>
    <definedName name="ㅕㅕㅕ_2_2" localSheetId="26" hidden="1">{#N/A,#N/A,FALSE,"단축1";#N/A,#N/A,FALSE,"단축2";#N/A,#N/A,FALSE,"단축3";#N/A,#N/A,FALSE,"장축";#N/A,#N/A,FALSE,"4WD"}</definedName>
    <definedName name="ㅕㅕㅕ_2_2" localSheetId="0" hidden="1">{#N/A,#N/A,FALSE,"단축1";#N/A,#N/A,FALSE,"단축2";#N/A,#N/A,FALSE,"단축3";#N/A,#N/A,FALSE,"장축";#N/A,#N/A,FALSE,"4WD"}</definedName>
    <definedName name="ㅕㅕㅕ_2_2" hidden="1">{#N/A,#N/A,FALSE,"단축1";#N/A,#N/A,FALSE,"단축2";#N/A,#N/A,FALSE,"단축3";#N/A,#N/A,FALSE,"장축";#N/A,#N/A,FALSE,"4WD"}</definedName>
    <definedName name="ㅕㅕㅕ_3" localSheetId="26" hidden="1">{#N/A,#N/A,FALSE,"단축1";#N/A,#N/A,FALSE,"단축2";#N/A,#N/A,FALSE,"단축3";#N/A,#N/A,FALSE,"장축";#N/A,#N/A,FALSE,"4WD"}</definedName>
    <definedName name="ㅕㅕㅕ_3" localSheetId="0" hidden="1">{#N/A,#N/A,FALSE,"단축1";#N/A,#N/A,FALSE,"단축2";#N/A,#N/A,FALSE,"단축3";#N/A,#N/A,FALSE,"장축";#N/A,#N/A,FALSE,"4WD"}</definedName>
    <definedName name="ㅕㅕㅕ_3" hidden="1">{#N/A,#N/A,FALSE,"단축1";#N/A,#N/A,FALSE,"단축2";#N/A,#N/A,FALSE,"단축3";#N/A,#N/A,FALSE,"장축";#N/A,#N/A,FALSE,"4WD"}</definedName>
    <definedName name="ㅕㅕㅕ_4" localSheetId="26" hidden="1">{#N/A,#N/A,FALSE,"단축1";#N/A,#N/A,FALSE,"단축2";#N/A,#N/A,FALSE,"단축3";#N/A,#N/A,FALSE,"장축";#N/A,#N/A,FALSE,"4WD"}</definedName>
    <definedName name="ㅕㅕㅕ_4" localSheetId="0" hidden="1">{#N/A,#N/A,FALSE,"단축1";#N/A,#N/A,FALSE,"단축2";#N/A,#N/A,FALSE,"단축3";#N/A,#N/A,FALSE,"장축";#N/A,#N/A,FALSE,"4WD"}</definedName>
    <definedName name="ㅕㅕㅕ_4" hidden="1">{#N/A,#N/A,FALSE,"단축1";#N/A,#N/A,FALSE,"단축2";#N/A,#N/A,FALSE,"단축3";#N/A,#N/A,FALSE,"장축";#N/A,#N/A,FALSE,"4WD"}</definedName>
    <definedName name="ㅕㅕㅕ_5" localSheetId="26" hidden="1">{#N/A,#N/A,FALSE,"단축1";#N/A,#N/A,FALSE,"단축2";#N/A,#N/A,FALSE,"단축3";#N/A,#N/A,FALSE,"장축";#N/A,#N/A,FALSE,"4WD"}</definedName>
    <definedName name="ㅕㅕㅕ_5" localSheetId="0" hidden="1">{#N/A,#N/A,FALSE,"단축1";#N/A,#N/A,FALSE,"단축2";#N/A,#N/A,FALSE,"단축3";#N/A,#N/A,FALSE,"장축";#N/A,#N/A,FALSE,"4WD"}</definedName>
    <definedName name="ㅕㅕㅕ_5" hidden="1">{#N/A,#N/A,FALSE,"단축1";#N/A,#N/A,FALSE,"단축2";#N/A,#N/A,FALSE,"단축3";#N/A,#N/A,FALSE,"장축";#N/A,#N/A,FALSE,"4WD"}</definedName>
    <definedName name="ㅗ돟ㄷ" localSheetId="26" hidden="1">{#N/A,#N/A,FALSE,"단축1";#N/A,#N/A,FALSE,"단축2";#N/A,#N/A,FALSE,"단축3";#N/A,#N/A,FALSE,"장축";#N/A,#N/A,FALSE,"4WD"}</definedName>
    <definedName name="ㅗ돟ㄷ" localSheetId="0" hidden="1">{#N/A,#N/A,FALSE,"단축1";#N/A,#N/A,FALSE,"단축2";#N/A,#N/A,FALSE,"단축3";#N/A,#N/A,FALSE,"장축";#N/A,#N/A,FALSE,"4WD"}</definedName>
    <definedName name="ㅗ돟ㄷ" hidden="1">{#N/A,#N/A,FALSE,"단축1";#N/A,#N/A,FALSE,"단축2";#N/A,#N/A,FALSE,"단축3";#N/A,#N/A,FALSE,"장축";#N/A,#N/A,FALSE,"4WD"}</definedName>
    <definedName name="ㅗ돟ㄷ_1" localSheetId="26" hidden="1">{#N/A,#N/A,FALSE,"단축1";#N/A,#N/A,FALSE,"단축2";#N/A,#N/A,FALSE,"단축3";#N/A,#N/A,FALSE,"장축";#N/A,#N/A,FALSE,"4WD"}</definedName>
    <definedName name="ㅗ돟ㄷ_1" localSheetId="0" hidden="1">{#N/A,#N/A,FALSE,"단축1";#N/A,#N/A,FALSE,"단축2";#N/A,#N/A,FALSE,"단축3";#N/A,#N/A,FALSE,"장축";#N/A,#N/A,FALSE,"4WD"}</definedName>
    <definedName name="ㅗ돟ㄷ_1" hidden="1">{#N/A,#N/A,FALSE,"단축1";#N/A,#N/A,FALSE,"단축2";#N/A,#N/A,FALSE,"단축3";#N/A,#N/A,FALSE,"장축";#N/A,#N/A,FALSE,"4WD"}</definedName>
    <definedName name="ㅗ돟ㄷ_1_1" localSheetId="26" hidden="1">{#N/A,#N/A,FALSE,"단축1";#N/A,#N/A,FALSE,"단축2";#N/A,#N/A,FALSE,"단축3";#N/A,#N/A,FALSE,"장축";#N/A,#N/A,FALSE,"4WD"}</definedName>
    <definedName name="ㅗ돟ㄷ_1_1" localSheetId="0" hidden="1">{#N/A,#N/A,FALSE,"단축1";#N/A,#N/A,FALSE,"단축2";#N/A,#N/A,FALSE,"단축3";#N/A,#N/A,FALSE,"장축";#N/A,#N/A,FALSE,"4WD"}</definedName>
    <definedName name="ㅗ돟ㄷ_1_1" hidden="1">{#N/A,#N/A,FALSE,"단축1";#N/A,#N/A,FALSE,"단축2";#N/A,#N/A,FALSE,"단축3";#N/A,#N/A,FALSE,"장축";#N/A,#N/A,FALSE,"4WD"}</definedName>
    <definedName name="ㅗ돟ㄷ_1_2" localSheetId="26" hidden="1">{#N/A,#N/A,FALSE,"단축1";#N/A,#N/A,FALSE,"단축2";#N/A,#N/A,FALSE,"단축3";#N/A,#N/A,FALSE,"장축";#N/A,#N/A,FALSE,"4WD"}</definedName>
    <definedName name="ㅗ돟ㄷ_1_2" localSheetId="0" hidden="1">{#N/A,#N/A,FALSE,"단축1";#N/A,#N/A,FALSE,"단축2";#N/A,#N/A,FALSE,"단축3";#N/A,#N/A,FALSE,"장축";#N/A,#N/A,FALSE,"4WD"}</definedName>
    <definedName name="ㅗ돟ㄷ_1_2" hidden="1">{#N/A,#N/A,FALSE,"단축1";#N/A,#N/A,FALSE,"단축2";#N/A,#N/A,FALSE,"단축3";#N/A,#N/A,FALSE,"장축";#N/A,#N/A,FALSE,"4WD"}</definedName>
    <definedName name="ㅗ돟ㄷ_1_3" localSheetId="26" hidden="1">{#N/A,#N/A,FALSE,"단축1";#N/A,#N/A,FALSE,"단축2";#N/A,#N/A,FALSE,"단축3";#N/A,#N/A,FALSE,"장축";#N/A,#N/A,FALSE,"4WD"}</definedName>
    <definedName name="ㅗ돟ㄷ_1_3" localSheetId="0" hidden="1">{#N/A,#N/A,FALSE,"단축1";#N/A,#N/A,FALSE,"단축2";#N/A,#N/A,FALSE,"단축3";#N/A,#N/A,FALSE,"장축";#N/A,#N/A,FALSE,"4WD"}</definedName>
    <definedName name="ㅗ돟ㄷ_1_3" hidden="1">{#N/A,#N/A,FALSE,"단축1";#N/A,#N/A,FALSE,"단축2";#N/A,#N/A,FALSE,"단축3";#N/A,#N/A,FALSE,"장축";#N/A,#N/A,FALSE,"4WD"}</definedName>
    <definedName name="ㅗ돟ㄷ_2" localSheetId="26" hidden="1">{#N/A,#N/A,FALSE,"단축1";#N/A,#N/A,FALSE,"단축2";#N/A,#N/A,FALSE,"단축3";#N/A,#N/A,FALSE,"장축";#N/A,#N/A,FALSE,"4WD"}</definedName>
    <definedName name="ㅗ돟ㄷ_2" localSheetId="0" hidden="1">{#N/A,#N/A,FALSE,"단축1";#N/A,#N/A,FALSE,"단축2";#N/A,#N/A,FALSE,"단축3";#N/A,#N/A,FALSE,"장축";#N/A,#N/A,FALSE,"4WD"}</definedName>
    <definedName name="ㅗ돟ㄷ_2" hidden="1">{#N/A,#N/A,FALSE,"단축1";#N/A,#N/A,FALSE,"단축2";#N/A,#N/A,FALSE,"단축3";#N/A,#N/A,FALSE,"장축";#N/A,#N/A,FALSE,"4WD"}</definedName>
    <definedName name="ㅗ돟ㄷ_2_1" localSheetId="26" hidden="1">{#N/A,#N/A,FALSE,"단축1";#N/A,#N/A,FALSE,"단축2";#N/A,#N/A,FALSE,"단축3";#N/A,#N/A,FALSE,"장축";#N/A,#N/A,FALSE,"4WD"}</definedName>
    <definedName name="ㅗ돟ㄷ_2_1" localSheetId="0" hidden="1">{#N/A,#N/A,FALSE,"단축1";#N/A,#N/A,FALSE,"단축2";#N/A,#N/A,FALSE,"단축3";#N/A,#N/A,FALSE,"장축";#N/A,#N/A,FALSE,"4WD"}</definedName>
    <definedName name="ㅗ돟ㄷ_2_1" hidden="1">{#N/A,#N/A,FALSE,"단축1";#N/A,#N/A,FALSE,"단축2";#N/A,#N/A,FALSE,"단축3";#N/A,#N/A,FALSE,"장축";#N/A,#N/A,FALSE,"4WD"}</definedName>
    <definedName name="ㅗ돟ㄷ_2_2" localSheetId="26" hidden="1">{#N/A,#N/A,FALSE,"단축1";#N/A,#N/A,FALSE,"단축2";#N/A,#N/A,FALSE,"단축3";#N/A,#N/A,FALSE,"장축";#N/A,#N/A,FALSE,"4WD"}</definedName>
    <definedName name="ㅗ돟ㄷ_2_2" localSheetId="0" hidden="1">{#N/A,#N/A,FALSE,"단축1";#N/A,#N/A,FALSE,"단축2";#N/A,#N/A,FALSE,"단축3";#N/A,#N/A,FALSE,"장축";#N/A,#N/A,FALSE,"4WD"}</definedName>
    <definedName name="ㅗ돟ㄷ_2_2" hidden="1">{#N/A,#N/A,FALSE,"단축1";#N/A,#N/A,FALSE,"단축2";#N/A,#N/A,FALSE,"단축3";#N/A,#N/A,FALSE,"장축";#N/A,#N/A,FALSE,"4WD"}</definedName>
    <definedName name="ㅗ돟ㄷ_3" localSheetId="26" hidden="1">{#N/A,#N/A,FALSE,"단축1";#N/A,#N/A,FALSE,"단축2";#N/A,#N/A,FALSE,"단축3";#N/A,#N/A,FALSE,"장축";#N/A,#N/A,FALSE,"4WD"}</definedName>
    <definedName name="ㅗ돟ㄷ_3" localSheetId="0" hidden="1">{#N/A,#N/A,FALSE,"단축1";#N/A,#N/A,FALSE,"단축2";#N/A,#N/A,FALSE,"단축3";#N/A,#N/A,FALSE,"장축";#N/A,#N/A,FALSE,"4WD"}</definedName>
    <definedName name="ㅗ돟ㄷ_3" hidden="1">{#N/A,#N/A,FALSE,"단축1";#N/A,#N/A,FALSE,"단축2";#N/A,#N/A,FALSE,"단축3";#N/A,#N/A,FALSE,"장축";#N/A,#N/A,FALSE,"4WD"}</definedName>
    <definedName name="ㅗ돟ㄷ_4" localSheetId="26" hidden="1">{#N/A,#N/A,FALSE,"단축1";#N/A,#N/A,FALSE,"단축2";#N/A,#N/A,FALSE,"단축3";#N/A,#N/A,FALSE,"장축";#N/A,#N/A,FALSE,"4WD"}</definedName>
    <definedName name="ㅗ돟ㄷ_4" localSheetId="0" hidden="1">{#N/A,#N/A,FALSE,"단축1";#N/A,#N/A,FALSE,"단축2";#N/A,#N/A,FALSE,"단축3";#N/A,#N/A,FALSE,"장축";#N/A,#N/A,FALSE,"4WD"}</definedName>
    <definedName name="ㅗ돟ㄷ_4" hidden="1">{#N/A,#N/A,FALSE,"단축1";#N/A,#N/A,FALSE,"단축2";#N/A,#N/A,FALSE,"단축3";#N/A,#N/A,FALSE,"장축";#N/A,#N/A,FALSE,"4WD"}</definedName>
    <definedName name="ㅗ돟ㄷ_5" localSheetId="26" hidden="1">{#N/A,#N/A,FALSE,"단축1";#N/A,#N/A,FALSE,"단축2";#N/A,#N/A,FALSE,"단축3";#N/A,#N/A,FALSE,"장축";#N/A,#N/A,FALSE,"4WD"}</definedName>
    <definedName name="ㅗ돟ㄷ_5" localSheetId="0" hidden="1">{#N/A,#N/A,FALSE,"단축1";#N/A,#N/A,FALSE,"단축2";#N/A,#N/A,FALSE,"단축3";#N/A,#N/A,FALSE,"장축";#N/A,#N/A,FALSE,"4WD"}</definedName>
    <definedName name="ㅗ돟ㄷ_5" hidden="1">{#N/A,#N/A,FALSE,"단축1";#N/A,#N/A,FALSE,"단축2";#N/A,#N/A,FALSE,"단축3";#N/A,#N/A,FALSE,"장축";#N/A,#N/A,FALSE,"4WD"}</definedName>
    <definedName name="ㅗㅁㅈ몸조" localSheetId="26" hidden="1">{#N/A,#N/A,FALSE,"단축1";#N/A,#N/A,FALSE,"단축2";#N/A,#N/A,FALSE,"단축3";#N/A,#N/A,FALSE,"장축";#N/A,#N/A,FALSE,"4WD"}</definedName>
    <definedName name="ㅗㅁㅈ몸조" localSheetId="0" hidden="1">{#N/A,#N/A,FALSE,"단축1";#N/A,#N/A,FALSE,"단축2";#N/A,#N/A,FALSE,"단축3";#N/A,#N/A,FALSE,"장축";#N/A,#N/A,FALSE,"4WD"}</definedName>
    <definedName name="ㅗㅁㅈ몸조" hidden="1">{#N/A,#N/A,FALSE,"단축1";#N/A,#N/A,FALSE,"단축2";#N/A,#N/A,FALSE,"단축3";#N/A,#N/A,FALSE,"장축";#N/A,#N/A,FALSE,"4WD"}</definedName>
    <definedName name="ㅗㅁㅈ몸조_1" localSheetId="26" hidden="1">{#N/A,#N/A,FALSE,"단축1";#N/A,#N/A,FALSE,"단축2";#N/A,#N/A,FALSE,"단축3";#N/A,#N/A,FALSE,"장축";#N/A,#N/A,FALSE,"4WD"}</definedName>
    <definedName name="ㅗㅁㅈ몸조_1" localSheetId="0" hidden="1">{#N/A,#N/A,FALSE,"단축1";#N/A,#N/A,FALSE,"단축2";#N/A,#N/A,FALSE,"단축3";#N/A,#N/A,FALSE,"장축";#N/A,#N/A,FALSE,"4WD"}</definedName>
    <definedName name="ㅗㅁㅈ몸조_1" hidden="1">{#N/A,#N/A,FALSE,"단축1";#N/A,#N/A,FALSE,"단축2";#N/A,#N/A,FALSE,"단축3";#N/A,#N/A,FALSE,"장축";#N/A,#N/A,FALSE,"4WD"}</definedName>
    <definedName name="ㅗㅁㅈ몸조_1_1" localSheetId="26" hidden="1">{#N/A,#N/A,FALSE,"단축1";#N/A,#N/A,FALSE,"단축2";#N/A,#N/A,FALSE,"단축3";#N/A,#N/A,FALSE,"장축";#N/A,#N/A,FALSE,"4WD"}</definedName>
    <definedName name="ㅗㅁㅈ몸조_1_1" localSheetId="0" hidden="1">{#N/A,#N/A,FALSE,"단축1";#N/A,#N/A,FALSE,"단축2";#N/A,#N/A,FALSE,"단축3";#N/A,#N/A,FALSE,"장축";#N/A,#N/A,FALSE,"4WD"}</definedName>
    <definedName name="ㅗㅁㅈ몸조_1_1" hidden="1">{#N/A,#N/A,FALSE,"단축1";#N/A,#N/A,FALSE,"단축2";#N/A,#N/A,FALSE,"단축3";#N/A,#N/A,FALSE,"장축";#N/A,#N/A,FALSE,"4WD"}</definedName>
    <definedName name="ㅗㅁㅈ몸조_1_2" localSheetId="26" hidden="1">{#N/A,#N/A,FALSE,"단축1";#N/A,#N/A,FALSE,"단축2";#N/A,#N/A,FALSE,"단축3";#N/A,#N/A,FALSE,"장축";#N/A,#N/A,FALSE,"4WD"}</definedName>
    <definedName name="ㅗㅁㅈ몸조_1_2" localSheetId="0" hidden="1">{#N/A,#N/A,FALSE,"단축1";#N/A,#N/A,FALSE,"단축2";#N/A,#N/A,FALSE,"단축3";#N/A,#N/A,FALSE,"장축";#N/A,#N/A,FALSE,"4WD"}</definedName>
    <definedName name="ㅗㅁㅈ몸조_1_2" hidden="1">{#N/A,#N/A,FALSE,"단축1";#N/A,#N/A,FALSE,"단축2";#N/A,#N/A,FALSE,"단축3";#N/A,#N/A,FALSE,"장축";#N/A,#N/A,FALSE,"4WD"}</definedName>
    <definedName name="ㅗㅁㅈ몸조_1_3" localSheetId="26" hidden="1">{#N/A,#N/A,FALSE,"단축1";#N/A,#N/A,FALSE,"단축2";#N/A,#N/A,FALSE,"단축3";#N/A,#N/A,FALSE,"장축";#N/A,#N/A,FALSE,"4WD"}</definedName>
    <definedName name="ㅗㅁㅈ몸조_1_3" localSheetId="0" hidden="1">{#N/A,#N/A,FALSE,"단축1";#N/A,#N/A,FALSE,"단축2";#N/A,#N/A,FALSE,"단축3";#N/A,#N/A,FALSE,"장축";#N/A,#N/A,FALSE,"4WD"}</definedName>
    <definedName name="ㅗㅁㅈ몸조_1_3" hidden="1">{#N/A,#N/A,FALSE,"단축1";#N/A,#N/A,FALSE,"단축2";#N/A,#N/A,FALSE,"단축3";#N/A,#N/A,FALSE,"장축";#N/A,#N/A,FALSE,"4WD"}</definedName>
    <definedName name="ㅗㅁㅈ몸조_2" localSheetId="26" hidden="1">{#N/A,#N/A,FALSE,"단축1";#N/A,#N/A,FALSE,"단축2";#N/A,#N/A,FALSE,"단축3";#N/A,#N/A,FALSE,"장축";#N/A,#N/A,FALSE,"4WD"}</definedName>
    <definedName name="ㅗㅁㅈ몸조_2" localSheetId="0" hidden="1">{#N/A,#N/A,FALSE,"단축1";#N/A,#N/A,FALSE,"단축2";#N/A,#N/A,FALSE,"단축3";#N/A,#N/A,FALSE,"장축";#N/A,#N/A,FALSE,"4WD"}</definedName>
    <definedName name="ㅗㅁㅈ몸조_2" hidden="1">{#N/A,#N/A,FALSE,"단축1";#N/A,#N/A,FALSE,"단축2";#N/A,#N/A,FALSE,"단축3";#N/A,#N/A,FALSE,"장축";#N/A,#N/A,FALSE,"4WD"}</definedName>
    <definedName name="ㅗㅁㅈ몸조_2_1" localSheetId="26" hidden="1">{#N/A,#N/A,FALSE,"단축1";#N/A,#N/A,FALSE,"단축2";#N/A,#N/A,FALSE,"단축3";#N/A,#N/A,FALSE,"장축";#N/A,#N/A,FALSE,"4WD"}</definedName>
    <definedName name="ㅗㅁㅈ몸조_2_1" localSheetId="0" hidden="1">{#N/A,#N/A,FALSE,"단축1";#N/A,#N/A,FALSE,"단축2";#N/A,#N/A,FALSE,"단축3";#N/A,#N/A,FALSE,"장축";#N/A,#N/A,FALSE,"4WD"}</definedName>
    <definedName name="ㅗㅁㅈ몸조_2_1" hidden="1">{#N/A,#N/A,FALSE,"단축1";#N/A,#N/A,FALSE,"단축2";#N/A,#N/A,FALSE,"단축3";#N/A,#N/A,FALSE,"장축";#N/A,#N/A,FALSE,"4WD"}</definedName>
    <definedName name="ㅗㅁㅈ몸조_2_2" localSheetId="26" hidden="1">{#N/A,#N/A,FALSE,"단축1";#N/A,#N/A,FALSE,"단축2";#N/A,#N/A,FALSE,"단축3";#N/A,#N/A,FALSE,"장축";#N/A,#N/A,FALSE,"4WD"}</definedName>
    <definedName name="ㅗㅁㅈ몸조_2_2" localSheetId="0" hidden="1">{#N/A,#N/A,FALSE,"단축1";#N/A,#N/A,FALSE,"단축2";#N/A,#N/A,FALSE,"단축3";#N/A,#N/A,FALSE,"장축";#N/A,#N/A,FALSE,"4WD"}</definedName>
    <definedName name="ㅗㅁㅈ몸조_2_2" hidden="1">{#N/A,#N/A,FALSE,"단축1";#N/A,#N/A,FALSE,"단축2";#N/A,#N/A,FALSE,"단축3";#N/A,#N/A,FALSE,"장축";#N/A,#N/A,FALSE,"4WD"}</definedName>
    <definedName name="ㅗㅁㅈ몸조_3" localSheetId="26" hidden="1">{#N/A,#N/A,FALSE,"단축1";#N/A,#N/A,FALSE,"단축2";#N/A,#N/A,FALSE,"단축3";#N/A,#N/A,FALSE,"장축";#N/A,#N/A,FALSE,"4WD"}</definedName>
    <definedName name="ㅗㅁㅈ몸조_3" localSheetId="0" hidden="1">{#N/A,#N/A,FALSE,"단축1";#N/A,#N/A,FALSE,"단축2";#N/A,#N/A,FALSE,"단축3";#N/A,#N/A,FALSE,"장축";#N/A,#N/A,FALSE,"4WD"}</definedName>
    <definedName name="ㅗㅁㅈ몸조_3" hidden="1">{#N/A,#N/A,FALSE,"단축1";#N/A,#N/A,FALSE,"단축2";#N/A,#N/A,FALSE,"단축3";#N/A,#N/A,FALSE,"장축";#N/A,#N/A,FALSE,"4WD"}</definedName>
    <definedName name="ㅗㅁㅈ몸조_4" localSheetId="26" hidden="1">{#N/A,#N/A,FALSE,"단축1";#N/A,#N/A,FALSE,"단축2";#N/A,#N/A,FALSE,"단축3";#N/A,#N/A,FALSE,"장축";#N/A,#N/A,FALSE,"4WD"}</definedName>
    <definedName name="ㅗㅁㅈ몸조_4" localSheetId="0" hidden="1">{#N/A,#N/A,FALSE,"단축1";#N/A,#N/A,FALSE,"단축2";#N/A,#N/A,FALSE,"단축3";#N/A,#N/A,FALSE,"장축";#N/A,#N/A,FALSE,"4WD"}</definedName>
    <definedName name="ㅗㅁㅈ몸조_4" hidden="1">{#N/A,#N/A,FALSE,"단축1";#N/A,#N/A,FALSE,"단축2";#N/A,#N/A,FALSE,"단축3";#N/A,#N/A,FALSE,"장축";#N/A,#N/A,FALSE,"4WD"}</definedName>
    <definedName name="ㅗㅁㅈ몸조_5" localSheetId="26" hidden="1">{#N/A,#N/A,FALSE,"단축1";#N/A,#N/A,FALSE,"단축2";#N/A,#N/A,FALSE,"단축3";#N/A,#N/A,FALSE,"장축";#N/A,#N/A,FALSE,"4WD"}</definedName>
    <definedName name="ㅗㅁㅈ몸조_5" localSheetId="0" hidden="1">{#N/A,#N/A,FALSE,"단축1";#N/A,#N/A,FALSE,"단축2";#N/A,#N/A,FALSE,"단축3";#N/A,#N/A,FALSE,"장축";#N/A,#N/A,FALSE,"4WD"}</definedName>
    <definedName name="ㅗㅁㅈ몸조_5" hidden="1">{#N/A,#N/A,FALSE,"단축1";#N/A,#N/A,FALSE,"단축2";#N/A,#N/A,FALSE,"단축3";#N/A,#N/A,FALSE,"장축";#N/A,#N/A,FALSE,"4WD"}</definedName>
    <definedName name="ㅗㅓㅏㅣ" localSheetId="26" hidden="1">{#N/A,#N/A,FALSE,"단축1";#N/A,#N/A,FALSE,"단축2";#N/A,#N/A,FALSE,"단축3";#N/A,#N/A,FALSE,"장축";#N/A,#N/A,FALSE,"4WD"}</definedName>
    <definedName name="ㅗㅓㅏㅣ" localSheetId="0" hidden="1">{#N/A,#N/A,FALSE,"단축1";#N/A,#N/A,FALSE,"단축2";#N/A,#N/A,FALSE,"단축3";#N/A,#N/A,FALSE,"장축";#N/A,#N/A,FALSE,"4WD"}</definedName>
    <definedName name="ㅗㅓㅏㅣ" hidden="1">{#N/A,#N/A,FALSE,"단축1";#N/A,#N/A,FALSE,"단축2";#N/A,#N/A,FALSE,"단축3";#N/A,#N/A,FALSE,"장축";#N/A,#N/A,FALSE,"4WD"}</definedName>
    <definedName name="ㅗㅓㅏㅣ_1" localSheetId="26" hidden="1">{#N/A,#N/A,FALSE,"단축1";#N/A,#N/A,FALSE,"단축2";#N/A,#N/A,FALSE,"단축3";#N/A,#N/A,FALSE,"장축";#N/A,#N/A,FALSE,"4WD"}</definedName>
    <definedName name="ㅗㅓㅏㅣ_1" localSheetId="0" hidden="1">{#N/A,#N/A,FALSE,"단축1";#N/A,#N/A,FALSE,"단축2";#N/A,#N/A,FALSE,"단축3";#N/A,#N/A,FALSE,"장축";#N/A,#N/A,FALSE,"4WD"}</definedName>
    <definedName name="ㅗㅓㅏㅣ_1" hidden="1">{#N/A,#N/A,FALSE,"단축1";#N/A,#N/A,FALSE,"단축2";#N/A,#N/A,FALSE,"단축3";#N/A,#N/A,FALSE,"장축";#N/A,#N/A,FALSE,"4WD"}</definedName>
    <definedName name="ㅗㅓㅏㅣ_1_1" localSheetId="26" hidden="1">{#N/A,#N/A,FALSE,"단축1";#N/A,#N/A,FALSE,"단축2";#N/A,#N/A,FALSE,"단축3";#N/A,#N/A,FALSE,"장축";#N/A,#N/A,FALSE,"4WD"}</definedName>
    <definedName name="ㅗㅓㅏㅣ_1_1" localSheetId="0" hidden="1">{#N/A,#N/A,FALSE,"단축1";#N/A,#N/A,FALSE,"단축2";#N/A,#N/A,FALSE,"단축3";#N/A,#N/A,FALSE,"장축";#N/A,#N/A,FALSE,"4WD"}</definedName>
    <definedName name="ㅗㅓㅏㅣ_1_1" hidden="1">{#N/A,#N/A,FALSE,"단축1";#N/A,#N/A,FALSE,"단축2";#N/A,#N/A,FALSE,"단축3";#N/A,#N/A,FALSE,"장축";#N/A,#N/A,FALSE,"4WD"}</definedName>
    <definedName name="ㅗㅓㅏㅣ_1_2" localSheetId="26" hidden="1">{#N/A,#N/A,FALSE,"단축1";#N/A,#N/A,FALSE,"단축2";#N/A,#N/A,FALSE,"단축3";#N/A,#N/A,FALSE,"장축";#N/A,#N/A,FALSE,"4WD"}</definedName>
    <definedName name="ㅗㅓㅏㅣ_1_2" localSheetId="0" hidden="1">{#N/A,#N/A,FALSE,"단축1";#N/A,#N/A,FALSE,"단축2";#N/A,#N/A,FALSE,"단축3";#N/A,#N/A,FALSE,"장축";#N/A,#N/A,FALSE,"4WD"}</definedName>
    <definedName name="ㅗㅓㅏㅣ_1_2" hidden="1">{#N/A,#N/A,FALSE,"단축1";#N/A,#N/A,FALSE,"단축2";#N/A,#N/A,FALSE,"단축3";#N/A,#N/A,FALSE,"장축";#N/A,#N/A,FALSE,"4WD"}</definedName>
    <definedName name="ㅗㅓㅏㅣ_1_3" localSheetId="26" hidden="1">{#N/A,#N/A,FALSE,"단축1";#N/A,#N/A,FALSE,"단축2";#N/A,#N/A,FALSE,"단축3";#N/A,#N/A,FALSE,"장축";#N/A,#N/A,FALSE,"4WD"}</definedName>
    <definedName name="ㅗㅓㅏㅣ_1_3" localSheetId="0" hidden="1">{#N/A,#N/A,FALSE,"단축1";#N/A,#N/A,FALSE,"단축2";#N/A,#N/A,FALSE,"단축3";#N/A,#N/A,FALSE,"장축";#N/A,#N/A,FALSE,"4WD"}</definedName>
    <definedName name="ㅗㅓㅏㅣ_1_3" hidden="1">{#N/A,#N/A,FALSE,"단축1";#N/A,#N/A,FALSE,"단축2";#N/A,#N/A,FALSE,"단축3";#N/A,#N/A,FALSE,"장축";#N/A,#N/A,FALSE,"4WD"}</definedName>
    <definedName name="ㅗㅓㅏㅣ_2" localSheetId="26" hidden="1">{#N/A,#N/A,FALSE,"단축1";#N/A,#N/A,FALSE,"단축2";#N/A,#N/A,FALSE,"단축3";#N/A,#N/A,FALSE,"장축";#N/A,#N/A,FALSE,"4WD"}</definedName>
    <definedName name="ㅗㅓㅏㅣ_2" localSheetId="0" hidden="1">{#N/A,#N/A,FALSE,"단축1";#N/A,#N/A,FALSE,"단축2";#N/A,#N/A,FALSE,"단축3";#N/A,#N/A,FALSE,"장축";#N/A,#N/A,FALSE,"4WD"}</definedName>
    <definedName name="ㅗㅓㅏㅣ_2" hidden="1">{#N/A,#N/A,FALSE,"단축1";#N/A,#N/A,FALSE,"단축2";#N/A,#N/A,FALSE,"단축3";#N/A,#N/A,FALSE,"장축";#N/A,#N/A,FALSE,"4WD"}</definedName>
    <definedName name="ㅗㅓㅏㅣ_2_1" localSheetId="26" hidden="1">{#N/A,#N/A,FALSE,"단축1";#N/A,#N/A,FALSE,"단축2";#N/A,#N/A,FALSE,"단축3";#N/A,#N/A,FALSE,"장축";#N/A,#N/A,FALSE,"4WD"}</definedName>
    <definedName name="ㅗㅓㅏㅣ_2_1" localSheetId="0" hidden="1">{#N/A,#N/A,FALSE,"단축1";#N/A,#N/A,FALSE,"단축2";#N/A,#N/A,FALSE,"단축3";#N/A,#N/A,FALSE,"장축";#N/A,#N/A,FALSE,"4WD"}</definedName>
    <definedName name="ㅗㅓㅏㅣ_2_1" hidden="1">{#N/A,#N/A,FALSE,"단축1";#N/A,#N/A,FALSE,"단축2";#N/A,#N/A,FALSE,"단축3";#N/A,#N/A,FALSE,"장축";#N/A,#N/A,FALSE,"4WD"}</definedName>
    <definedName name="ㅗㅓㅏㅣ_2_2" localSheetId="26" hidden="1">{#N/A,#N/A,FALSE,"단축1";#N/A,#N/A,FALSE,"단축2";#N/A,#N/A,FALSE,"단축3";#N/A,#N/A,FALSE,"장축";#N/A,#N/A,FALSE,"4WD"}</definedName>
    <definedName name="ㅗㅓㅏㅣ_2_2" localSheetId="0" hidden="1">{#N/A,#N/A,FALSE,"단축1";#N/A,#N/A,FALSE,"단축2";#N/A,#N/A,FALSE,"단축3";#N/A,#N/A,FALSE,"장축";#N/A,#N/A,FALSE,"4WD"}</definedName>
    <definedName name="ㅗㅓㅏㅣ_2_2" hidden="1">{#N/A,#N/A,FALSE,"단축1";#N/A,#N/A,FALSE,"단축2";#N/A,#N/A,FALSE,"단축3";#N/A,#N/A,FALSE,"장축";#N/A,#N/A,FALSE,"4WD"}</definedName>
    <definedName name="ㅗㅓㅏㅣ_3" localSheetId="26" hidden="1">{#N/A,#N/A,FALSE,"단축1";#N/A,#N/A,FALSE,"단축2";#N/A,#N/A,FALSE,"단축3";#N/A,#N/A,FALSE,"장축";#N/A,#N/A,FALSE,"4WD"}</definedName>
    <definedName name="ㅗㅓㅏㅣ_3" localSheetId="0" hidden="1">{#N/A,#N/A,FALSE,"단축1";#N/A,#N/A,FALSE,"단축2";#N/A,#N/A,FALSE,"단축3";#N/A,#N/A,FALSE,"장축";#N/A,#N/A,FALSE,"4WD"}</definedName>
    <definedName name="ㅗㅓㅏㅣ_3" hidden="1">{#N/A,#N/A,FALSE,"단축1";#N/A,#N/A,FALSE,"단축2";#N/A,#N/A,FALSE,"단축3";#N/A,#N/A,FALSE,"장축";#N/A,#N/A,FALSE,"4WD"}</definedName>
    <definedName name="ㅗㅓㅏㅣ_4" localSheetId="26" hidden="1">{#N/A,#N/A,FALSE,"단축1";#N/A,#N/A,FALSE,"단축2";#N/A,#N/A,FALSE,"단축3";#N/A,#N/A,FALSE,"장축";#N/A,#N/A,FALSE,"4WD"}</definedName>
    <definedName name="ㅗㅓㅏㅣ_4" localSheetId="0" hidden="1">{#N/A,#N/A,FALSE,"단축1";#N/A,#N/A,FALSE,"단축2";#N/A,#N/A,FALSE,"단축3";#N/A,#N/A,FALSE,"장축";#N/A,#N/A,FALSE,"4WD"}</definedName>
    <definedName name="ㅗㅓㅏㅣ_4" hidden="1">{#N/A,#N/A,FALSE,"단축1";#N/A,#N/A,FALSE,"단축2";#N/A,#N/A,FALSE,"단축3";#N/A,#N/A,FALSE,"장축";#N/A,#N/A,FALSE,"4WD"}</definedName>
    <definedName name="ㅗㅓㅏㅣ_5" localSheetId="26" hidden="1">{#N/A,#N/A,FALSE,"단축1";#N/A,#N/A,FALSE,"단축2";#N/A,#N/A,FALSE,"단축3";#N/A,#N/A,FALSE,"장축";#N/A,#N/A,FALSE,"4WD"}</definedName>
    <definedName name="ㅗㅓㅏㅣ_5" localSheetId="0" hidden="1">{#N/A,#N/A,FALSE,"단축1";#N/A,#N/A,FALSE,"단축2";#N/A,#N/A,FALSE,"단축3";#N/A,#N/A,FALSE,"장축";#N/A,#N/A,FALSE,"4WD"}</definedName>
    <definedName name="ㅗㅓㅏㅣ_5" hidden="1">{#N/A,#N/A,FALSE,"단축1";#N/A,#N/A,FALSE,"단축2";#N/A,#N/A,FALSE,"단축3";#N/A,#N/A,FALSE,"장축";#N/A,#N/A,FALSE,"4WD"}</definedName>
    <definedName name="ㅣㅣㅣ" localSheetId="26" hidden="1">{#N/A,#N/A,FALSE,"단축1";#N/A,#N/A,FALSE,"단축2";#N/A,#N/A,FALSE,"단축3";#N/A,#N/A,FALSE,"장축";#N/A,#N/A,FALSE,"4WD"}</definedName>
    <definedName name="ㅣㅣㅣ" localSheetId="0" hidden="1">{#N/A,#N/A,FALSE,"단축1";#N/A,#N/A,FALSE,"단축2";#N/A,#N/A,FALSE,"단축3";#N/A,#N/A,FALSE,"장축";#N/A,#N/A,FALSE,"4WD"}</definedName>
    <definedName name="ㅣㅣㅣ" hidden="1">{#N/A,#N/A,FALSE,"단축1";#N/A,#N/A,FALSE,"단축2";#N/A,#N/A,FALSE,"단축3";#N/A,#N/A,FALSE,"장축";#N/A,#N/A,FALSE,"4WD"}</definedName>
    <definedName name="ㅣㅣㅣ_1" localSheetId="26" hidden="1">{#N/A,#N/A,FALSE,"단축1";#N/A,#N/A,FALSE,"단축2";#N/A,#N/A,FALSE,"단축3";#N/A,#N/A,FALSE,"장축";#N/A,#N/A,FALSE,"4WD"}</definedName>
    <definedName name="ㅣㅣㅣ_1" localSheetId="0" hidden="1">{#N/A,#N/A,FALSE,"단축1";#N/A,#N/A,FALSE,"단축2";#N/A,#N/A,FALSE,"단축3";#N/A,#N/A,FALSE,"장축";#N/A,#N/A,FALSE,"4WD"}</definedName>
    <definedName name="ㅣㅣㅣ_1" hidden="1">{#N/A,#N/A,FALSE,"단축1";#N/A,#N/A,FALSE,"단축2";#N/A,#N/A,FALSE,"단축3";#N/A,#N/A,FALSE,"장축";#N/A,#N/A,FALSE,"4WD"}</definedName>
    <definedName name="ㅣㅣㅣ_1_1" localSheetId="26" hidden="1">{#N/A,#N/A,FALSE,"단축1";#N/A,#N/A,FALSE,"단축2";#N/A,#N/A,FALSE,"단축3";#N/A,#N/A,FALSE,"장축";#N/A,#N/A,FALSE,"4WD"}</definedName>
    <definedName name="ㅣㅣㅣ_1_1" localSheetId="0" hidden="1">{#N/A,#N/A,FALSE,"단축1";#N/A,#N/A,FALSE,"단축2";#N/A,#N/A,FALSE,"단축3";#N/A,#N/A,FALSE,"장축";#N/A,#N/A,FALSE,"4WD"}</definedName>
    <definedName name="ㅣㅣㅣ_1_1" hidden="1">{#N/A,#N/A,FALSE,"단축1";#N/A,#N/A,FALSE,"단축2";#N/A,#N/A,FALSE,"단축3";#N/A,#N/A,FALSE,"장축";#N/A,#N/A,FALSE,"4WD"}</definedName>
    <definedName name="ㅣㅣㅣ_1_2" localSheetId="26" hidden="1">{#N/A,#N/A,FALSE,"단축1";#N/A,#N/A,FALSE,"단축2";#N/A,#N/A,FALSE,"단축3";#N/A,#N/A,FALSE,"장축";#N/A,#N/A,FALSE,"4WD"}</definedName>
    <definedName name="ㅣㅣㅣ_1_2" localSheetId="0" hidden="1">{#N/A,#N/A,FALSE,"단축1";#N/A,#N/A,FALSE,"단축2";#N/A,#N/A,FALSE,"단축3";#N/A,#N/A,FALSE,"장축";#N/A,#N/A,FALSE,"4WD"}</definedName>
    <definedName name="ㅣㅣㅣ_1_2" hidden="1">{#N/A,#N/A,FALSE,"단축1";#N/A,#N/A,FALSE,"단축2";#N/A,#N/A,FALSE,"단축3";#N/A,#N/A,FALSE,"장축";#N/A,#N/A,FALSE,"4WD"}</definedName>
    <definedName name="ㅣㅣㅣ_1_3" localSheetId="26" hidden="1">{#N/A,#N/A,FALSE,"단축1";#N/A,#N/A,FALSE,"단축2";#N/A,#N/A,FALSE,"단축3";#N/A,#N/A,FALSE,"장축";#N/A,#N/A,FALSE,"4WD"}</definedName>
    <definedName name="ㅣㅣㅣ_1_3" localSheetId="0" hidden="1">{#N/A,#N/A,FALSE,"단축1";#N/A,#N/A,FALSE,"단축2";#N/A,#N/A,FALSE,"단축3";#N/A,#N/A,FALSE,"장축";#N/A,#N/A,FALSE,"4WD"}</definedName>
    <definedName name="ㅣㅣㅣ_1_3" hidden="1">{#N/A,#N/A,FALSE,"단축1";#N/A,#N/A,FALSE,"단축2";#N/A,#N/A,FALSE,"단축3";#N/A,#N/A,FALSE,"장축";#N/A,#N/A,FALSE,"4WD"}</definedName>
    <definedName name="ㅣㅣㅣ_2" localSheetId="26" hidden="1">{#N/A,#N/A,FALSE,"단축1";#N/A,#N/A,FALSE,"단축2";#N/A,#N/A,FALSE,"단축3";#N/A,#N/A,FALSE,"장축";#N/A,#N/A,FALSE,"4WD"}</definedName>
    <definedName name="ㅣㅣㅣ_2" localSheetId="0" hidden="1">{#N/A,#N/A,FALSE,"단축1";#N/A,#N/A,FALSE,"단축2";#N/A,#N/A,FALSE,"단축3";#N/A,#N/A,FALSE,"장축";#N/A,#N/A,FALSE,"4WD"}</definedName>
    <definedName name="ㅣㅣㅣ_2" hidden="1">{#N/A,#N/A,FALSE,"단축1";#N/A,#N/A,FALSE,"단축2";#N/A,#N/A,FALSE,"단축3";#N/A,#N/A,FALSE,"장축";#N/A,#N/A,FALSE,"4WD"}</definedName>
    <definedName name="ㅣㅣㅣ_2_1" localSheetId="26" hidden="1">{#N/A,#N/A,FALSE,"단축1";#N/A,#N/A,FALSE,"단축2";#N/A,#N/A,FALSE,"단축3";#N/A,#N/A,FALSE,"장축";#N/A,#N/A,FALSE,"4WD"}</definedName>
    <definedName name="ㅣㅣㅣ_2_1" localSheetId="0" hidden="1">{#N/A,#N/A,FALSE,"단축1";#N/A,#N/A,FALSE,"단축2";#N/A,#N/A,FALSE,"단축3";#N/A,#N/A,FALSE,"장축";#N/A,#N/A,FALSE,"4WD"}</definedName>
    <definedName name="ㅣㅣㅣ_2_1" hidden="1">{#N/A,#N/A,FALSE,"단축1";#N/A,#N/A,FALSE,"단축2";#N/A,#N/A,FALSE,"단축3";#N/A,#N/A,FALSE,"장축";#N/A,#N/A,FALSE,"4WD"}</definedName>
    <definedName name="ㅣㅣㅣ_2_2" localSheetId="26" hidden="1">{#N/A,#N/A,FALSE,"단축1";#N/A,#N/A,FALSE,"단축2";#N/A,#N/A,FALSE,"단축3";#N/A,#N/A,FALSE,"장축";#N/A,#N/A,FALSE,"4WD"}</definedName>
    <definedName name="ㅣㅣㅣ_2_2" localSheetId="0" hidden="1">{#N/A,#N/A,FALSE,"단축1";#N/A,#N/A,FALSE,"단축2";#N/A,#N/A,FALSE,"단축3";#N/A,#N/A,FALSE,"장축";#N/A,#N/A,FALSE,"4WD"}</definedName>
    <definedName name="ㅣㅣㅣ_2_2" hidden="1">{#N/A,#N/A,FALSE,"단축1";#N/A,#N/A,FALSE,"단축2";#N/A,#N/A,FALSE,"단축3";#N/A,#N/A,FALSE,"장축";#N/A,#N/A,FALSE,"4WD"}</definedName>
    <definedName name="ㅣㅣㅣ_3" localSheetId="26" hidden="1">{#N/A,#N/A,FALSE,"단축1";#N/A,#N/A,FALSE,"단축2";#N/A,#N/A,FALSE,"단축3";#N/A,#N/A,FALSE,"장축";#N/A,#N/A,FALSE,"4WD"}</definedName>
    <definedName name="ㅣㅣㅣ_3" localSheetId="0" hidden="1">{#N/A,#N/A,FALSE,"단축1";#N/A,#N/A,FALSE,"단축2";#N/A,#N/A,FALSE,"단축3";#N/A,#N/A,FALSE,"장축";#N/A,#N/A,FALSE,"4WD"}</definedName>
    <definedName name="ㅣㅣㅣ_3" hidden="1">{#N/A,#N/A,FALSE,"단축1";#N/A,#N/A,FALSE,"단축2";#N/A,#N/A,FALSE,"단축3";#N/A,#N/A,FALSE,"장축";#N/A,#N/A,FALSE,"4WD"}</definedName>
    <definedName name="ㅣㅣㅣ_4" localSheetId="26" hidden="1">{#N/A,#N/A,FALSE,"단축1";#N/A,#N/A,FALSE,"단축2";#N/A,#N/A,FALSE,"단축3";#N/A,#N/A,FALSE,"장축";#N/A,#N/A,FALSE,"4WD"}</definedName>
    <definedName name="ㅣㅣㅣ_4" localSheetId="0" hidden="1">{#N/A,#N/A,FALSE,"단축1";#N/A,#N/A,FALSE,"단축2";#N/A,#N/A,FALSE,"단축3";#N/A,#N/A,FALSE,"장축";#N/A,#N/A,FALSE,"4WD"}</definedName>
    <definedName name="ㅣㅣㅣ_4" hidden="1">{#N/A,#N/A,FALSE,"단축1";#N/A,#N/A,FALSE,"단축2";#N/A,#N/A,FALSE,"단축3";#N/A,#N/A,FALSE,"장축";#N/A,#N/A,FALSE,"4WD"}</definedName>
    <definedName name="ㅣㅣㅣ_5" localSheetId="26" hidden="1">{#N/A,#N/A,FALSE,"단축1";#N/A,#N/A,FALSE,"단축2";#N/A,#N/A,FALSE,"단축3";#N/A,#N/A,FALSE,"장축";#N/A,#N/A,FALSE,"4WD"}</definedName>
    <definedName name="ㅣㅣㅣ_5" localSheetId="0" hidden="1">{#N/A,#N/A,FALSE,"단축1";#N/A,#N/A,FALSE,"단축2";#N/A,#N/A,FALSE,"단축3";#N/A,#N/A,FALSE,"장축";#N/A,#N/A,FALSE,"4WD"}</definedName>
    <definedName name="ㅣㅣㅣ_5" hidden="1">{#N/A,#N/A,FALSE,"단축1";#N/A,#N/A,FALSE,"단축2";#N/A,#N/A,FALSE,"단축3";#N/A,#N/A,FALSE,"장축";#N/A,#N/A,FALSE,"4WD"}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23" i="23" l="1"/>
  <c r="E368" i="22"/>
  <c r="E354" i="22"/>
  <c r="E351" i="22"/>
  <c r="U124" i="22"/>
  <c r="T124" i="22"/>
  <c r="E18" i="12" l="1"/>
  <c r="I43" i="60"/>
  <c r="B40" i="60" s="1"/>
  <c r="F36" i="60"/>
  <c r="B37" i="60" s="1"/>
  <c r="E34" i="60"/>
  <c r="F31" i="60"/>
  <c r="F30" i="60"/>
  <c r="F29" i="60"/>
  <c r="E24" i="60"/>
  <c r="F22" i="60" s="1"/>
  <c r="E21" i="60"/>
  <c r="E20" i="60"/>
  <c r="E19" i="60"/>
  <c r="F17" i="60" s="1"/>
  <c r="B11" i="60"/>
  <c r="F37" i="60" l="1"/>
  <c r="B12" i="60"/>
  <c r="B14" i="60"/>
  <c r="B16" i="60"/>
  <c r="D37" i="60" l="1"/>
  <c r="B39" i="60" s="1"/>
  <c r="F39" i="60" s="1"/>
  <c r="D39" i="60"/>
  <c r="B41" i="60" l="1"/>
  <c r="E45" i="60"/>
  <c r="O6" i="45" l="1"/>
  <c r="F32" i="50"/>
  <c r="O32" i="50"/>
  <c r="M32" i="50"/>
  <c r="I32" i="50"/>
  <c r="G32" i="50"/>
  <c r="O5" i="45"/>
  <c r="B5" i="20" l="1"/>
  <c r="A66" i="1"/>
  <c r="B66" i="1"/>
  <c r="C66" i="1"/>
  <c r="D66" i="1"/>
  <c r="E66" i="1"/>
  <c r="G66" i="1"/>
  <c r="H66" i="1"/>
  <c r="A67" i="1"/>
  <c r="B67" i="1"/>
  <c r="C67" i="1"/>
  <c r="D67" i="1"/>
  <c r="E67" i="1"/>
  <c r="G67" i="1"/>
  <c r="H67" i="1"/>
  <c r="I67" i="1"/>
  <c r="J67" i="1" s="1"/>
  <c r="K67" i="1" s="1"/>
  <c r="A68" i="1"/>
  <c r="B68" i="1"/>
  <c r="C68" i="1"/>
  <c r="D68" i="1"/>
  <c r="E68" i="1"/>
  <c r="G68" i="1"/>
  <c r="H68" i="1"/>
  <c r="A69" i="1"/>
  <c r="B69" i="1"/>
  <c r="C69" i="1"/>
  <c r="D69" i="1"/>
  <c r="E69" i="1"/>
  <c r="G69" i="1"/>
  <c r="H69" i="1"/>
  <c r="A70" i="1"/>
  <c r="B70" i="1"/>
  <c r="C70" i="1"/>
  <c r="D70" i="1"/>
  <c r="E70" i="1"/>
  <c r="G70" i="1"/>
  <c r="H70" i="1"/>
  <c r="A71" i="1"/>
  <c r="B71" i="1"/>
  <c r="C71" i="1"/>
  <c r="D71" i="1"/>
  <c r="E71" i="1"/>
  <c r="G71" i="1"/>
  <c r="H71" i="1"/>
  <c r="A72" i="1"/>
  <c r="B72" i="1"/>
  <c r="C72" i="1"/>
  <c r="D72" i="1"/>
  <c r="E72" i="1"/>
  <c r="G72" i="1"/>
  <c r="H72" i="1"/>
  <c r="A73" i="1"/>
  <c r="B73" i="1"/>
  <c r="C73" i="1"/>
  <c r="D73" i="1"/>
  <c r="E73" i="1"/>
  <c r="G73" i="1"/>
  <c r="H73" i="1"/>
  <c r="A74" i="1"/>
  <c r="B74" i="1"/>
  <c r="C74" i="1"/>
  <c r="D74" i="1"/>
  <c r="E74" i="1"/>
  <c r="G74" i="1"/>
  <c r="H74" i="1"/>
  <c r="A75" i="1"/>
  <c r="B75" i="1"/>
  <c r="C75" i="1"/>
  <c r="D75" i="1"/>
  <c r="E75" i="1"/>
  <c r="G75" i="1"/>
  <c r="H75" i="1"/>
  <c r="A76" i="1"/>
  <c r="B76" i="1"/>
  <c r="C76" i="1"/>
  <c r="D76" i="1"/>
  <c r="E76" i="1"/>
  <c r="G76" i="1"/>
  <c r="H76" i="1"/>
  <c r="A77" i="1"/>
  <c r="B77" i="1"/>
  <c r="C77" i="1"/>
  <c r="D77" i="1"/>
  <c r="E77" i="1"/>
  <c r="G77" i="1"/>
  <c r="H77" i="1"/>
  <c r="A78" i="1"/>
  <c r="B78" i="1"/>
  <c r="C78" i="1"/>
  <c r="D78" i="1"/>
  <c r="E78" i="1"/>
  <c r="G78" i="1"/>
  <c r="H78" i="1"/>
  <c r="A79" i="1"/>
  <c r="B79" i="1"/>
  <c r="C79" i="1"/>
  <c r="D79" i="1"/>
  <c r="E79" i="1"/>
  <c r="G79" i="1"/>
  <c r="H79" i="1"/>
  <c r="A80" i="1"/>
  <c r="B80" i="1"/>
  <c r="C80" i="1"/>
  <c r="D80" i="1"/>
  <c r="E80" i="1"/>
  <c r="G80" i="1"/>
  <c r="H80" i="1"/>
  <c r="A81" i="1"/>
  <c r="B81" i="1"/>
  <c r="C81" i="1"/>
  <c r="D81" i="1"/>
  <c r="E81" i="1"/>
  <c r="G81" i="1"/>
  <c r="H81" i="1"/>
  <c r="I81" i="1" s="1"/>
  <c r="J81" i="1" s="1"/>
  <c r="AN81" i="1" s="1"/>
  <c r="A82" i="1"/>
  <c r="B82" i="1"/>
  <c r="C82" i="1"/>
  <c r="D82" i="1"/>
  <c r="E82" i="1"/>
  <c r="G82" i="1"/>
  <c r="H82" i="1"/>
  <c r="A83" i="1"/>
  <c r="B83" i="1"/>
  <c r="C83" i="1"/>
  <c r="D83" i="1"/>
  <c r="E83" i="1"/>
  <c r="G83" i="1"/>
  <c r="H83" i="1"/>
  <c r="A84" i="1"/>
  <c r="B84" i="1"/>
  <c r="C84" i="1"/>
  <c r="D84" i="1"/>
  <c r="E84" i="1"/>
  <c r="G84" i="1"/>
  <c r="H84" i="1"/>
  <c r="A85" i="1"/>
  <c r="B85" i="1"/>
  <c r="C85" i="1"/>
  <c r="D85" i="1"/>
  <c r="E85" i="1"/>
  <c r="G85" i="1"/>
  <c r="H85" i="1"/>
  <c r="A86" i="1"/>
  <c r="B86" i="1"/>
  <c r="C86" i="1"/>
  <c r="D86" i="1"/>
  <c r="E86" i="1"/>
  <c r="G86" i="1"/>
  <c r="H86" i="1"/>
  <c r="I86" i="1"/>
  <c r="A87" i="1"/>
  <c r="B87" i="1"/>
  <c r="C87" i="1"/>
  <c r="D87" i="1"/>
  <c r="E87" i="1"/>
  <c r="G87" i="1"/>
  <c r="H87" i="1"/>
  <c r="A88" i="1"/>
  <c r="B88" i="1"/>
  <c r="C88" i="1"/>
  <c r="D88" i="1"/>
  <c r="E88" i="1"/>
  <c r="G88" i="1"/>
  <c r="H88" i="1"/>
  <c r="A89" i="1"/>
  <c r="B89" i="1"/>
  <c r="C89" i="1"/>
  <c r="D89" i="1"/>
  <c r="E89" i="1"/>
  <c r="G89" i="1"/>
  <c r="H89" i="1"/>
  <c r="A90" i="1"/>
  <c r="B90" i="1"/>
  <c r="C90" i="1"/>
  <c r="D90" i="1"/>
  <c r="E90" i="1"/>
  <c r="G90" i="1"/>
  <c r="H90" i="1"/>
  <c r="A91" i="1"/>
  <c r="B91" i="1"/>
  <c r="C91" i="1"/>
  <c r="D91" i="1"/>
  <c r="E91" i="1"/>
  <c r="G91" i="1"/>
  <c r="H91" i="1"/>
  <c r="A92" i="1"/>
  <c r="B92" i="1"/>
  <c r="C92" i="1"/>
  <c r="D92" i="1"/>
  <c r="E92" i="1"/>
  <c r="G92" i="1"/>
  <c r="H92" i="1"/>
  <c r="A93" i="1"/>
  <c r="B93" i="1"/>
  <c r="C93" i="1"/>
  <c r="D93" i="1"/>
  <c r="E93" i="1"/>
  <c r="G93" i="1"/>
  <c r="H93" i="1"/>
  <c r="A94" i="1"/>
  <c r="B94" i="1"/>
  <c r="C94" i="1"/>
  <c r="D94" i="1"/>
  <c r="E94" i="1"/>
  <c r="G94" i="1"/>
  <c r="H94" i="1"/>
  <c r="A95" i="1"/>
  <c r="B95" i="1"/>
  <c r="C95" i="1"/>
  <c r="D95" i="1"/>
  <c r="E95" i="1"/>
  <c r="G95" i="1"/>
  <c r="H95" i="1"/>
  <c r="A96" i="1"/>
  <c r="B96" i="1"/>
  <c r="C96" i="1"/>
  <c r="D96" i="1"/>
  <c r="E96" i="1"/>
  <c r="G96" i="1"/>
  <c r="H96" i="1"/>
  <c r="A97" i="1"/>
  <c r="B97" i="1"/>
  <c r="C97" i="1"/>
  <c r="D97" i="1"/>
  <c r="E97" i="1"/>
  <c r="G97" i="1"/>
  <c r="H97" i="1"/>
  <c r="A98" i="1"/>
  <c r="B98" i="1"/>
  <c r="C98" i="1"/>
  <c r="D98" i="1"/>
  <c r="E98" i="1"/>
  <c r="G98" i="1"/>
  <c r="H98" i="1"/>
  <c r="A99" i="1"/>
  <c r="B99" i="1"/>
  <c r="C99" i="1"/>
  <c r="D99" i="1"/>
  <c r="E99" i="1"/>
  <c r="G99" i="1"/>
  <c r="H99" i="1"/>
  <c r="A100" i="1"/>
  <c r="B100" i="1"/>
  <c r="C100" i="1"/>
  <c r="D100" i="1"/>
  <c r="E100" i="1"/>
  <c r="G100" i="1"/>
  <c r="H100" i="1"/>
  <c r="A101" i="1"/>
  <c r="B101" i="1"/>
  <c r="C101" i="1"/>
  <c r="D101" i="1"/>
  <c r="E101" i="1"/>
  <c r="G101" i="1"/>
  <c r="H101" i="1"/>
  <c r="A102" i="1"/>
  <c r="B102" i="1"/>
  <c r="C102" i="1"/>
  <c r="D102" i="1"/>
  <c r="E102" i="1"/>
  <c r="G102" i="1"/>
  <c r="H102" i="1"/>
  <c r="A103" i="1"/>
  <c r="B103" i="1"/>
  <c r="C103" i="1"/>
  <c r="D103" i="1"/>
  <c r="E103" i="1"/>
  <c r="G103" i="1"/>
  <c r="H103" i="1"/>
  <c r="A104" i="1"/>
  <c r="B104" i="1"/>
  <c r="C104" i="1"/>
  <c r="D104" i="1"/>
  <c r="E104" i="1"/>
  <c r="G104" i="1"/>
  <c r="H104" i="1"/>
  <c r="I104" i="1" s="1"/>
  <c r="J104" i="1" s="1"/>
  <c r="A105" i="1"/>
  <c r="B105" i="1"/>
  <c r="C105" i="1"/>
  <c r="D105" i="1"/>
  <c r="E105" i="1"/>
  <c r="G105" i="1"/>
  <c r="H105" i="1"/>
  <c r="A106" i="1"/>
  <c r="B106" i="1"/>
  <c r="C106" i="1"/>
  <c r="D106" i="1"/>
  <c r="E106" i="1"/>
  <c r="G106" i="1"/>
  <c r="H106" i="1"/>
  <c r="A107" i="1"/>
  <c r="B107" i="1"/>
  <c r="C107" i="1"/>
  <c r="D107" i="1"/>
  <c r="E107" i="1"/>
  <c r="G107" i="1"/>
  <c r="H107" i="1"/>
  <c r="I107" i="1" s="1"/>
  <c r="J107" i="1" s="1"/>
  <c r="A108" i="1"/>
  <c r="B108" i="1"/>
  <c r="C108" i="1"/>
  <c r="D108" i="1"/>
  <c r="E108" i="1"/>
  <c r="G108" i="1"/>
  <c r="H108" i="1"/>
  <c r="A109" i="1"/>
  <c r="B109" i="1"/>
  <c r="C109" i="1"/>
  <c r="D109" i="1"/>
  <c r="E109" i="1"/>
  <c r="G109" i="1"/>
  <c r="H109" i="1"/>
  <c r="A110" i="1"/>
  <c r="B110" i="1"/>
  <c r="C110" i="1"/>
  <c r="D110" i="1"/>
  <c r="E110" i="1"/>
  <c r="G110" i="1"/>
  <c r="H110" i="1"/>
  <c r="A111" i="1"/>
  <c r="B111" i="1"/>
  <c r="C111" i="1"/>
  <c r="D111" i="1"/>
  <c r="E111" i="1"/>
  <c r="G111" i="1"/>
  <c r="H111" i="1"/>
  <c r="A112" i="1"/>
  <c r="B112" i="1"/>
  <c r="C112" i="1"/>
  <c r="D112" i="1"/>
  <c r="E112" i="1"/>
  <c r="G112" i="1"/>
  <c r="H112" i="1"/>
  <c r="A113" i="1"/>
  <c r="B113" i="1"/>
  <c r="C113" i="1"/>
  <c r="D113" i="1"/>
  <c r="E113" i="1"/>
  <c r="G113" i="1"/>
  <c r="H113" i="1"/>
  <c r="A114" i="1"/>
  <c r="B114" i="1"/>
  <c r="C114" i="1"/>
  <c r="D114" i="1"/>
  <c r="E114" i="1"/>
  <c r="G114" i="1"/>
  <c r="H114" i="1"/>
  <c r="A115" i="1"/>
  <c r="B115" i="1"/>
  <c r="C115" i="1"/>
  <c r="D115" i="1"/>
  <c r="E115" i="1"/>
  <c r="G115" i="1"/>
  <c r="H115" i="1"/>
  <c r="A116" i="1"/>
  <c r="B116" i="1"/>
  <c r="C116" i="1"/>
  <c r="D116" i="1"/>
  <c r="E116" i="1"/>
  <c r="G116" i="1"/>
  <c r="H116" i="1"/>
  <c r="A117" i="1"/>
  <c r="B117" i="1"/>
  <c r="C117" i="1"/>
  <c r="D117" i="1"/>
  <c r="E117" i="1"/>
  <c r="G117" i="1"/>
  <c r="H117" i="1"/>
  <c r="I117" i="1" s="1"/>
  <c r="A118" i="1"/>
  <c r="B118" i="1"/>
  <c r="C118" i="1"/>
  <c r="D118" i="1"/>
  <c r="E118" i="1"/>
  <c r="G118" i="1"/>
  <c r="H118" i="1"/>
  <c r="A119" i="1"/>
  <c r="B119" i="1"/>
  <c r="C119" i="1"/>
  <c r="D119" i="1"/>
  <c r="E119" i="1"/>
  <c r="G119" i="1"/>
  <c r="H119" i="1"/>
  <c r="A120" i="1"/>
  <c r="B120" i="1"/>
  <c r="C120" i="1"/>
  <c r="D120" i="1"/>
  <c r="E120" i="1"/>
  <c r="G120" i="1"/>
  <c r="H120" i="1"/>
  <c r="A121" i="1"/>
  <c r="B121" i="1"/>
  <c r="C121" i="1"/>
  <c r="D121" i="1"/>
  <c r="E121" i="1"/>
  <c r="G121" i="1"/>
  <c r="H121" i="1"/>
  <c r="A122" i="1"/>
  <c r="B122" i="1"/>
  <c r="C122" i="1"/>
  <c r="D122" i="1"/>
  <c r="E122" i="1"/>
  <c r="G122" i="1"/>
  <c r="H122" i="1"/>
  <c r="A123" i="1"/>
  <c r="B123" i="1"/>
  <c r="C123" i="1"/>
  <c r="D123" i="1"/>
  <c r="E123" i="1"/>
  <c r="G123" i="1"/>
  <c r="H123" i="1"/>
  <c r="A124" i="1"/>
  <c r="B124" i="1"/>
  <c r="C124" i="1"/>
  <c r="D124" i="1"/>
  <c r="E124" i="1"/>
  <c r="G124" i="1"/>
  <c r="H124" i="1"/>
  <c r="A125" i="1"/>
  <c r="B125" i="1"/>
  <c r="C125" i="1"/>
  <c r="D125" i="1"/>
  <c r="E125" i="1"/>
  <c r="G125" i="1"/>
  <c r="H125" i="1"/>
  <c r="A126" i="1"/>
  <c r="B126" i="1"/>
  <c r="C126" i="1"/>
  <c r="D126" i="1"/>
  <c r="E126" i="1"/>
  <c r="G126" i="1"/>
  <c r="H126" i="1"/>
  <c r="A127" i="1"/>
  <c r="B127" i="1"/>
  <c r="C127" i="1"/>
  <c r="D127" i="1"/>
  <c r="E127" i="1"/>
  <c r="G127" i="1"/>
  <c r="H127" i="1"/>
  <c r="A128" i="1"/>
  <c r="B128" i="1"/>
  <c r="C128" i="1"/>
  <c r="D128" i="1"/>
  <c r="E128" i="1"/>
  <c r="G128" i="1"/>
  <c r="H128" i="1"/>
  <c r="A129" i="1"/>
  <c r="B129" i="1"/>
  <c r="C129" i="1"/>
  <c r="D129" i="1"/>
  <c r="E129" i="1"/>
  <c r="G129" i="1"/>
  <c r="H129" i="1"/>
  <c r="A130" i="1"/>
  <c r="B130" i="1"/>
  <c r="C130" i="1"/>
  <c r="D130" i="1"/>
  <c r="E130" i="1"/>
  <c r="G130" i="1"/>
  <c r="H130" i="1"/>
  <c r="A131" i="1"/>
  <c r="B131" i="1"/>
  <c r="C131" i="1"/>
  <c r="D131" i="1"/>
  <c r="E131" i="1"/>
  <c r="G131" i="1"/>
  <c r="H131" i="1"/>
  <c r="A132" i="1"/>
  <c r="B132" i="1"/>
  <c r="C132" i="1"/>
  <c r="D132" i="1"/>
  <c r="E132" i="1"/>
  <c r="G132" i="1"/>
  <c r="H132" i="1"/>
  <c r="A133" i="1"/>
  <c r="B133" i="1"/>
  <c r="C133" i="1"/>
  <c r="D133" i="1"/>
  <c r="E133" i="1"/>
  <c r="G133" i="1"/>
  <c r="H133" i="1"/>
  <c r="A134" i="1"/>
  <c r="B134" i="1"/>
  <c r="C134" i="1"/>
  <c r="D134" i="1"/>
  <c r="E134" i="1"/>
  <c r="G134" i="1"/>
  <c r="H134" i="1"/>
  <c r="A135" i="1"/>
  <c r="B135" i="1"/>
  <c r="C135" i="1"/>
  <c r="D135" i="1"/>
  <c r="E135" i="1"/>
  <c r="G135" i="1"/>
  <c r="H135" i="1"/>
  <c r="A136" i="1"/>
  <c r="B136" i="1"/>
  <c r="C136" i="1"/>
  <c r="D136" i="1"/>
  <c r="E136" i="1"/>
  <c r="G136" i="1"/>
  <c r="H136" i="1"/>
  <c r="A137" i="1"/>
  <c r="B137" i="1"/>
  <c r="C137" i="1"/>
  <c r="D137" i="1"/>
  <c r="E137" i="1"/>
  <c r="G137" i="1"/>
  <c r="H137" i="1"/>
  <c r="A138" i="1"/>
  <c r="B138" i="1"/>
  <c r="C138" i="1"/>
  <c r="D138" i="1"/>
  <c r="E138" i="1"/>
  <c r="G138" i="1"/>
  <c r="H138" i="1"/>
  <c r="A139" i="1"/>
  <c r="B139" i="1"/>
  <c r="C139" i="1"/>
  <c r="D139" i="1"/>
  <c r="E139" i="1"/>
  <c r="G139" i="1"/>
  <c r="H139" i="1"/>
  <c r="A140" i="1"/>
  <c r="B140" i="1"/>
  <c r="C140" i="1"/>
  <c r="D140" i="1"/>
  <c r="E140" i="1"/>
  <c r="G140" i="1"/>
  <c r="H140" i="1"/>
  <c r="A141" i="1"/>
  <c r="B141" i="1"/>
  <c r="C141" i="1"/>
  <c r="D141" i="1"/>
  <c r="E141" i="1"/>
  <c r="G141" i="1"/>
  <c r="H141" i="1"/>
  <c r="A142" i="1"/>
  <c r="B142" i="1"/>
  <c r="C142" i="1"/>
  <c r="D142" i="1"/>
  <c r="E142" i="1"/>
  <c r="G142" i="1"/>
  <c r="H142" i="1"/>
  <c r="A143" i="1"/>
  <c r="B143" i="1"/>
  <c r="C143" i="1"/>
  <c r="D143" i="1"/>
  <c r="E143" i="1"/>
  <c r="G143" i="1"/>
  <c r="H143" i="1"/>
  <c r="A144" i="1"/>
  <c r="B144" i="1"/>
  <c r="C144" i="1"/>
  <c r="D144" i="1"/>
  <c r="E144" i="1"/>
  <c r="G144" i="1"/>
  <c r="H144" i="1"/>
  <c r="A145" i="1"/>
  <c r="B145" i="1"/>
  <c r="C145" i="1"/>
  <c r="D145" i="1"/>
  <c r="E145" i="1"/>
  <c r="G145" i="1"/>
  <c r="H145" i="1"/>
  <c r="A146" i="1"/>
  <c r="B146" i="1"/>
  <c r="C146" i="1"/>
  <c r="D146" i="1"/>
  <c r="E146" i="1"/>
  <c r="G146" i="1"/>
  <c r="H146" i="1"/>
  <c r="A147" i="1"/>
  <c r="B147" i="1"/>
  <c r="C147" i="1"/>
  <c r="D147" i="1"/>
  <c r="E147" i="1"/>
  <c r="G147" i="1"/>
  <c r="H147" i="1"/>
  <c r="A148" i="1"/>
  <c r="B148" i="1"/>
  <c r="C148" i="1"/>
  <c r="D148" i="1"/>
  <c r="E148" i="1"/>
  <c r="G148" i="1"/>
  <c r="H148" i="1"/>
  <c r="A149" i="1"/>
  <c r="B149" i="1"/>
  <c r="C149" i="1"/>
  <c r="D149" i="1"/>
  <c r="E149" i="1"/>
  <c r="G149" i="1"/>
  <c r="H149" i="1"/>
  <c r="A150" i="1"/>
  <c r="B150" i="1"/>
  <c r="C150" i="1"/>
  <c r="D150" i="1"/>
  <c r="E150" i="1"/>
  <c r="G150" i="1"/>
  <c r="H150" i="1"/>
  <c r="A151" i="1"/>
  <c r="B151" i="1"/>
  <c r="C151" i="1"/>
  <c r="D151" i="1"/>
  <c r="E151" i="1"/>
  <c r="G151" i="1"/>
  <c r="H151" i="1"/>
  <c r="A152" i="1"/>
  <c r="B152" i="1"/>
  <c r="C152" i="1"/>
  <c r="D152" i="1"/>
  <c r="E152" i="1"/>
  <c r="G152" i="1"/>
  <c r="H152" i="1"/>
  <c r="A153" i="1"/>
  <c r="B153" i="1"/>
  <c r="C153" i="1"/>
  <c r="D153" i="1"/>
  <c r="E153" i="1"/>
  <c r="G153" i="1"/>
  <c r="H153" i="1"/>
  <c r="A154" i="1"/>
  <c r="B154" i="1"/>
  <c r="C154" i="1"/>
  <c r="D154" i="1"/>
  <c r="E154" i="1"/>
  <c r="G154" i="1"/>
  <c r="H154" i="1"/>
  <c r="A155" i="1"/>
  <c r="B155" i="1"/>
  <c r="C155" i="1"/>
  <c r="D155" i="1"/>
  <c r="E155" i="1"/>
  <c r="G155" i="1"/>
  <c r="H155" i="1"/>
  <c r="A156" i="1"/>
  <c r="B156" i="1"/>
  <c r="C156" i="1"/>
  <c r="D156" i="1"/>
  <c r="E156" i="1"/>
  <c r="G156" i="1"/>
  <c r="H156" i="1"/>
  <c r="A157" i="1"/>
  <c r="B157" i="1"/>
  <c r="C157" i="1"/>
  <c r="D157" i="1"/>
  <c r="E157" i="1"/>
  <c r="G157" i="1"/>
  <c r="H157" i="1"/>
  <c r="A158" i="1"/>
  <c r="B158" i="1"/>
  <c r="C158" i="1"/>
  <c r="D158" i="1"/>
  <c r="E158" i="1"/>
  <c r="G158" i="1"/>
  <c r="H158" i="1"/>
  <c r="I158" i="1" s="1"/>
  <c r="J158" i="1" s="1"/>
  <c r="A159" i="1"/>
  <c r="B159" i="1"/>
  <c r="C159" i="1"/>
  <c r="D159" i="1"/>
  <c r="E159" i="1"/>
  <c r="G159" i="1"/>
  <c r="H159" i="1"/>
  <c r="A160" i="1"/>
  <c r="B160" i="1"/>
  <c r="C160" i="1"/>
  <c r="D160" i="1"/>
  <c r="E160" i="1"/>
  <c r="G160" i="1"/>
  <c r="H160" i="1"/>
  <c r="A161" i="1"/>
  <c r="B161" i="1"/>
  <c r="C161" i="1"/>
  <c r="D161" i="1"/>
  <c r="E161" i="1"/>
  <c r="G161" i="1"/>
  <c r="H161" i="1"/>
  <c r="A162" i="1"/>
  <c r="B162" i="1"/>
  <c r="C162" i="1"/>
  <c r="D162" i="1"/>
  <c r="E162" i="1"/>
  <c r="G162" i="1"/>
  <c r="H162" i="1"/>
  <c r="I162" i="1" s="1"/>
  <c r="J162" i="1" s="1"/>
  <c r="Q162" i="1" s="1"/>
  <c r="A163" i="1"/>
  <c r="B163" i="1"/>
  <c r="C163" i="1"/>
  <c r="D163" i="1"/>
  <c r="E163" i="1"/>
  <c r="G163" i="1"/>
  <c r="H163" i="1"/>
  <c r="A164" i="1"/>
  <c r="B164" i="1"/>
  <c r="C164" i="1"/>
  <c r="D164" i="1"/>
  <c r="E164" i="1"/>
  <c r="G164" i="1"/>
  <c r="H164" i="1"/>
  <c r="A165" i="1"/>
  <c r="B165" i="1"/>
  <c r="C165" i="1"/>
  <c r="D165" i="1"/>
  <c r="E165" i="1"/>
  <c r="G165" i="1"/>
  <c r="H165" i="1"/>
  <c r="A166" i="1"/>
  <c r="B166" i="1"/>
  <c r="C166" i="1"/>
  <c r="D166" i="1"/>
  <c r="E166" i="1"/>
  <c r="G166" i="1"/>
  <c r="H166" i="1"/>
  <c r="A167" i="1"/>
  <c r="B167" i="1"/>
  <c r="C167" i="1"/>
  <c r="D167" i="1"/>
  <c r="E167" i="1"/>
  <c r="G167" i="1"/>
  <c r="H167" i="1"/>
  <c r="A168" i="1"/>
  <c r="B168" i="1"/>
  <c r="C168" i="1"/>
  <c r="D168" i="1"/>
  <c r="E168" i="1"/>
  <c r="G168" i="1"/>
  <c r="H168" i="1"/>
  <c r="I168" i="1"/>
  <c r="J168" i="1" s="1"/>
  <c r="P168" i="1" s="1"/>
  <c r="A169" i="1"/>
  <c r="B169" i="1"/>
  <c r="C169" i="1"/>
  <c r="D169" i="1"/>
  <c r="E169" i="1"/>
  <c r="G169" i="1"/>
  <c r="H169" i="1"/>
  <c r="A170" i="1"/>
  <c r="B170" i="1"/>
  <c r="C170" i="1"/>
  <c r="D170" i="1"/>
  <c r="E170" i="1"/>
  <c r="G170" i="1"/>
  <c r="H170" i="1"/>
  <c r="A171" i="1"/>
  <c r="B171" i="1"/>
  <c r="C171" i="1"/>
  <c r="D171" i="1"/>
  <c r="E171" i="1"/>
  <c r="G171" i="1"/>
  <c r="H171" i="1"/>
  <c r="A172" i="1"/>
  <c r="B172" i="1"/>
  <c r="C172" i="1"/>
  <c r="D172" i="1"/>
  <c r="E172" i="1"/>
  <c r="G172" i="1"/>
  <c r="H172" i="1"/>
  <c r="A173" i="1"/>
  <c r="B173" i="1"/>
  <c r="C173" i="1"/>
  <c r="D173" i="1"/>
  <c r="E173" i="1"/>
  <c r="G173" i="1"/>
  <c r="H173" i="1"/>
  <c r="A174" i="1"/>
  <c r="B174" i="1"/>
  <c r="C174" i="1"/>
  <c r="D174" i="1"/>
  <c r="E174" i="1"/>
  <c r="G174" i="1"/>
  <c r="H174" i="1"/>
  <c r="A175" i="1"/>
  <c r="B175" i="1"/>
  <c r="C175" i="1"/>
  <c r="D175" i="1"/>
  <c r="E175" i="1"/>
  <c r="G175" i="1"/>
  <c r="H175" i="1"/>
  <c r="A176" i="1"/>
  <c r="B176" i="1"/>
  <c r="C176" i="1"/>
  <c r="D176" i="1"/>
  <c r="E176" i="1"/>
  <c r="G176" i="1"/>
  <c r="H176" i="1"/>
  <c r="A177" i="1"/>
  <c r="B177" i="1"/>
  <c r="C177" i="1"/>
  <c r="D177" i="1"/>
  <c r="E177" i="1"/>
  <c r="G177" i="1"/>
  <c r="H177" i="1"/>
  <c r="A178" i="1"/>
  <c r="B178" i="1"/>
  <c r="C178" i="1"/>
  <c r="D178" i="1"/>
  <c r="E178" i="1"/>
  <c r="G178" i="1"/>
  <c r="H178" i="1"/>
  <c r="A179" i="1"/>
  <c r="B179" i="1"/>
  <c r="C179" i="1"/>
  <c r="D179" i="1"/>
  <c r="E179" i="1"/>
  <c r="G179" i="1"/>
  <c r="H179" i="1"/>
  <c r="A180" i="1"/>
  <c r="B180" i="1"/>
  <c r="C180" i="1"/>
  <c r="D180" i="1"/>
  <c r="E180" i="1"/>
  <c r="G180" i="1"/>
  <c r="H180" i="1"/>
  <c r="A181" i="1"/>
  <c r="B181" i="1"/>
  <c r="C181" i="1"/>
  <c r="D181" i="1"/>
  <c r="E181" i="1"/>
  <c r="G181" i="1"/>
  <c r="I181" i="1" s="1"/>
  <c r="J181" i="1" s="1"/>
  <c r="H181" i="1"/>
  <c r="A182" i="1"/>
  <c r="B182" i="1"/>
  <c r="C182" i="1"/>
  <c r="D182" i="1"/>
  <c r="E182" i="1"/>
  <c r="G182" i="1"/>
  <c r="H182" i="1"/>
  <c r="A183" i="1"/>
  <c r="B183" i="1"/>
  <c r="C183" i="1"/>
  <c r="D183" i="1"/>
  <c r="E183" i="1"/>
  <c r="G183" i="1"/>
  <c r="H183" i="1"/>
  <c r="A184" i="1"/>
  <c r="B184" i="1"/>
  <c r="C184" i="1"/>
  <c r="D184" i="1"/>
  <c r="E184" i="1"/>
  <c r="G184" i="1"/>
  <c r="H184" i="1"/>
  <c r="I184" i="1" s="1"/>
  <c r="A185" i="1"/>
  <c r="B185" i="1"/>
  <c r="C185" i="1"/>
  <c r="D185" i="1"/>
  <c r="E185" i="1"/>
  <c r="G185" i="1"/>
  <c r="H185" i="1"/>
  <c r="A9" i="1"/>
  <c r="C9" i="1"/>
  <c r="D9" i="1"/>
  <c r="E9" i="1"/>
  <c r="G9" i="1"/>
  <c r="H9" i="1"/>
  <c r="A10" i="1"/>
  <c r="C10" i="1"/>
  <c r="D10" i="1"/>
  <c r="E10" i="1"/>
  <c r="G10" i="1"/>
  <c r="H10" i="1"/>
  <c r="A11" i="1"/>
  <c r="C11" i="1"/>
  <c r="D11" i="1"/>
  <c r="E11" i="1"/>
  <c r="G11" i="1"/>
  <c r="H11" i="1"/>
  <c r="A12" i="1"/>
  <c r="C12" i="1"/>
  <c r="D12" i="1"/>
  <c r="E12" i="1"/>
  <c r="G12" i="1"/>
  <c r="H12" i="1"/>
  <c r="A13" i="1"/>
  <c r="C13" i="1"/>
  <c r="D13" i="1"/>
  <c r="E13" i="1"/>
  <c r="G13" i="1"/>
  <c r="H13" i="1"/>
  <c r="A14" i="1"/>
  <c r="C14" i="1"/>
  <c r="D14" i="1"/>
  <c r="E14" i="1"/>
  <c r="G14" i="1"/>
  <c r="H14" i="1"/>
  <c r="A15" i="1"/>
  <c r="C15" i="1"/>
  <c r="D15" i="1"/>
  <c r="E15" i="1"/>
  <c r="G15" i="1"/>
  <c r="H15" i="1"/>
  <c r="A16" i="1"/>
  <c r="C16" i="1"/>
  <c r="D16" i="1"/>
  <c r="E16" i="1"/>
  <c r="G16" i="1"/>
  <c r="H16" i="1"/>
  <c r="A17" i="1"/>
  <c r="C17" i="1"/>
  <c r="D17" i="1"/>
  <c r="E17" i="1"/>
  <c r="G17" i="1"/>
  <c r="H17" i="1"/>
  <c r="A18" i="1"/>
  <c r="C18" i="1"/>
  <c r="D18" i="1"/>
  <c r="E18" i="1"/>
  <c r="G18" i="1"/>
  <c r="H18" i="1"/>
  <c r="A19" i="1"/>
  <c r="C19" i="1"/>
  <c r="D19" i="1"/>
  <c r="E19" i="1"/>
  <c r="G19" i="1"/>
  <c r="H19" i="1"/>
  <c r="A20" i="1"/>
  <c r="C20" i="1"/>
  <c r="D20" i="1"/>
  <c r="E20" i="1"/>
  <c r="G20" i="1"/>
  <c r="H20" i="1"/>
  <c r="A21" i="1"/>
  <c r="C21" i="1"/>
  <c r="D21" i="1"/>
  <c r="E21" i="1"/>
  <c r="G21" i="1"/>
  <c r="H21" i="1"/>
  <c r="A22" i="1"/>
  <c r="C22" i="1"/>
  <c r="D22" i="1"/>
  <c r="E22" i="1"/>
  <c r="G22" i="1"/>
  <c r="H22" i="1"/>
  <c r="A23" i="1"/>
  <c r="C23" i="1"/>
  <c r="D23" i="1"/>
  <c r="E23" i="1"/>
  <c r="G23" i="1"/>
  <c r="H23" i="1"/>
  <c r="A24" i="1"/>
  <c r="C24" i="1"/>
  <c r="D24" i="1"/>
  <c r="E24" i="1"/>
  <c r="G24" i="1"/>
  <c r="H24" i="1"/>
  <c r="A25" i="1"/>
  <c r="C25" i="1"/>
  <c r="D25" i="1"/>
  <c r="E25" i="1"/>
  <c r="G25" i="1"/>
  <c r="H25" i="1"/>
  <c r="A26" i="1"/>
  <c r="C26" i="1"/>
  <c r="D26" i="1"/>
  <c r="E26" i="1"/>
  <c r="G26" i="1"/>
  <c r="H26" i="1"/>
  <c r="A27" i="1"/>
  <c r="C27" i="1"/>
  <c r="D27" i="1"/>
  <c r="E27" i="1"/>
  <c r="G27" i="1"/>
  <c r="H27" i="1"/>
  <c r="A28" i="1"/>
  <c r="C28" i="1"/>
  <c r="D28" i="1"/>
  <c r="E28" i="1"/>
  <c r="G28" i="1"/>
  <c r="H28" i="1"/>
  <c r="A29" i="1"/>
  <c r="C29" i="1"/>
  <c r="D29" i="1"/>
  <c r="E29" i="1"/>
  <c r="G29" i="1"/>
  <c r="H29" i="1"/>
  <c r="A30" i="1"/>
  <c r="C30" i="1"/>
  <c r="D30" i="1"/>
  <c r="E30" i="1"/>
  <c r="G30" i="1"/>
  <c r="H30" i="1"/>
  <c r="A31" i="1"/>
  <c r="C31" i="1"/>
  <c r="D31" i="1"/>
  <c r="E31" i="1"/>
  <c r="G31" i="1"/>
  <c r="H31" i="1"/>
  <c r="A32" i="1"/>
  <c r="C32" i="1"/>
  <c r="D32" i="1"/>
  <c r="E32" i="1"/>
  <c r="G32" i="1"/>
  <c r="H32" i="1"/>
  <c r="A33" i="1"/>
  <c r="C33" i="1"/>
  <c r="D33" i="1"/>
  <c r="E33" i="1"/>
  <c r="G33" i="1"/>
  <c r="H33" i="1"/>
  <c r="A34" i="1"/>
  <c r="C34" i="1"/>
  <c r="D34" i="1"/>
  <c r="E34" i="1"/>
  <c r="G34" i="1"/>
  <c r="H34" i="1"/>
  <c r="A35" i="1"/>
  <c r="C35" i="1"/>
  <c r="D35" i="1"/>
  <c r="E35" i="1"/>
  <c r="G35" i="1"/>
  <c r="H35" i="1"/>
  <c r="A36" i="1"/>
  <c r="C36" i="1"/>
  <c r="D36" i="1"/>
  <c r="E36" i="1"/>
  <c r="G36" i="1"/>
  <c r="H36" i="1"/>
  <c r="A37" i="1"/>
  <c r="C37" i="1"/>
  <c r="D37" i="1"/>
  <c r="E37" i="1"/>
  <c r="G37" i="1"/>
  <c r="H37" i="1"/>
  <c r="A38" i="1"/>
  <c r="C38" i="1"/>
  <c r="D38" i="1"/>
  <c r="E38" i="1"/>
  <c r="G38" i="1"/>
  <c r="H38" i="1"/>
  <c r="A39" i="1"/>
  <c r="C39" i="1"/>
  <c r="D39" i="1"/>
  <c r="E39" i="1"/>
  <c r="G39" i="1"/>
  <c r="H39" i="1"/>
  <c r="A40" i="1"/>
  <c r="C40" i="1"/>
  <c r="D40" i="1"/>
  <c r="E40" i="1"/>
  <c r="G40" i="1"/>
  <c r="H40" i="1"/>
  <c r="A41" i="1"/>
  <c r="C41" i="1"/>
  <c r="D41" i="1"/>
  <c r="E41" i="1"/>
  <c r="G41" i="1"/>
  <c r="H41" i="1"/>
  <c r="A42" i="1"/>
  <c r="C42" i="1"/>
  <c r="D42" i="1"/>
  <c r="E42" i="1"/>
  <c r="G42" i="1"/>
  <c r="H42" i="1"/>
  <c r="A43" i="1"/>
  <c r="C43" i="1"/>
  <c r="D43" i="1"/>
  <c r="E43" i="1"/>
  <c r="G43" i="1"/>
  <c r="H43" i="1"/>
  <c r="A44" i="1"/>
  <c r="C44" i="1"/>
  <c r="D44" i="1"/>
  <c r="E44" i="1"/>
  <c r="G44" i="1"/>
  <c r="H44" i="1"/>
  <c r="A45" i="1"/>
  <c r="C45" i="1"/>
  <c r="D45" i="1"/>
  <c r="E45" i="1"/>
  <c r="G45" i="1"/>
  <c r="H45" i="1"/>
  <c r="A46" i="1"/>
  <c r="C46" i="1"/>
  <c r="D46" i="1"/>
  <c r="E46" i="1"/>
  <c r="G46" i="1"/>
  <c r="H46" i="1"/>
  <c r="A47" i="1"/>
  <c r="C47" i="1"/>
  <c r="D47" i="1"/>
  <c r="E47" i="1"/>
  <c r="G47" i="1"/>
  <c r="H47" i="1"/>
  <c r="A48" i="1"/>
  <c r="C48" i="1"/>
  <c r="D48" i="1"/>
  <c r="E48" i="1"/>
  <c r="G48" i="1"/>
  <c r="H48" i="1"/>
  <c r="A49" i="1"/>
  <c r="C49" i="1"/>
  <c r="D49" i="1"/>
  <c r="E49" i="1"/>
  <c r="G49" i="1"/>
  <c r="H49" i="1"/>
  <c r="A50" i="1"/>
  <c r="C50" i="1"/>
  <c r="D50" i="1"/>
  <c r="E50" i="1"/>
  <c r="G50" i="1"/>
  <c r="H50" i="1"/>
  <c r="A51" i="1"/>
  <c r="C51" i="1"/>
  <c r="D51" i="1"/>
  <c r="E51" i="1"/>
  <c r="G51" i="1"/>
  <c r="H51" i="1"/>
  <c r="A52" i="1"/>
  <c r="C52" i="1"/>
  <c r="D52" i="1"/>
  <c r="E52" i="1"/>
  <c r="G52" i="1"/>
  <c r="H52" i="1"/>
  <c r="A53" i="1"/>
  <c r="C53" i="1"/>
  <c r="D53" i="1"/>
  <c r="E53" i="1"/>
  <c r="G53" i="1"/>
  <c r="H53" i="1"/>
  <c r="A54" i="1"/>
  <c r="C54" i="1"/>
  <c r="D54" i="1"/>
  <c r="E54" i="1"/>
  <c r="G54" i="1"/>
  <c r="H54" i="1"/>
  <c r="A55" i="1"/>
  <c r="C55" i="1"/>
  <c r="D55" i="1"/>
  <c r="E55" i="1"/>
  <c r="G55" i="1"/>
  <c r="H55" i="1"/>
  <c r="A56" i="1"/>
  <c r="C56" i="1"/>
  <c r="D56" i="1"/>
  <c r="E56" i="1"/>
  <c r="G56" i="1"/>
  <c r="H56" i="1"/>
  <c r="A57" i="1"/>
  <c r="C57" i="1"/>
  <c r="D57" i="1"/>
  <c r="E57" i="1"/>
  <c r="G57" i="1"/>
  <c r="H57" i="1"/>
  <c r="A58" i="1"/>
  <c r="B58" i="1"/>
  <c r="C58" i="1"/>
  <c r="D58" i="1"/>
  <c r="E58" i="1"/>
  <c r="G58" i="1"/>
  <c r="H58" i="1"/>
  <c r="I58" i="1"/>
  <c r="J58" i="1" s="1"/>
  <c r="AL58" i="1" s="1"/>
  <c r="A59" i="1"/>
  <c r="B59" i="1"/>
  <c r="C59" i="1"/>
  <c r="D59" i="1"/>
  <c r="E59" i="1"/>
  <c r="G59" i="1"/>
  <c r="H59" i="1"/>
  <c r="A60" i="1"/>
  <c r="B60" i="1"/>
  <c r="C60" i="1"/>
  <c r="D60" i="1"/>
  <c r="E60" i="1"/>
  <c r="G60" i="1"/>
  <c r="H60" i="1"/>
  <c r="A61" i="1"/>
  <c r="B61" i="1"/>
  <c r="C61" i="1"/>
  <c r="D61" i="1"/>
  <c r="E61" i="1"/>
  <c r="G61" i="1"/>
  <c r="H61" i="1"/>
  <c r="A62" i="1"/>
  <c r="B62" i="1"/>
  <c r="C62" i="1"/>
  <c r="D62" i="1"/>
  <c r="E62" i="1"/>
  <c r="G62" i="1"/>
  <c r="H62" i="1"/>
  <c r="A63" i="1"/>
  <c r="B63" i="1"/>
  <c r="C63" i="1"/>
  <c r="D63" i="1"/>
  <c r="E63" i="1"/>
  <c r="G63" i="1"/>
  <c r="H63" i="1"/>
  <c r="A64" i="1"/>
  <c r="B64" i="1"/>
  <c r="C64" i="1"/>
  <c r="D64" i="1"/>
  <c r="E64" i="1"/>
  <c r="G64" i="1"/>
  <c r="H64" i="1"/>
  <c r="I64" i="1" s="1"/>
  <c r="J64" i="1" s="1"/>
  <c r="AL64" i="1" s="1"/>
  <c r="A65" i="1"/>
  <c r="B65" i="1"/>
  <c r="C65" i="1"/>
  <c r="D65" i="1"/>
  <c r="E65" i="1"/>
  <c r="G65" i="1"/>
  <c r="H65" i="1"/>
  <c r="I160" i="1" l="1"/>
  <c r="J160" i="1" s="1"/>
  <c r="AL160" i="1" s="1"/>
  <c r="I152" i="1"/>
  <c r="J152" i="1" s="1"/>
  <c r="AO152" i="1" s="1"/>
  <c r="I60" i="1"/>
  <c r="I56" i="1"/>
  <c r="J56" i="1" s="1"/>
  <c r="AN56" i="1" s="1"/>
  <c r="I54" i="1"/>
  <c r="J54" i="1" s="1"/>
  <c r="I52" i="1"/>
  <c r="J52" i="1" s="1"/>
  <c r="K52" i="1" s="1"/>
  <c r="I51" i="1"/>
  <c r="I50" i="1"/>
  <c r="J50" i="1" s="1"/>
  <c r="AO50" i="1" s="1"/>
  <c r="AA45" i="11" s="1"/>
  <c r="I48" i="1"/>
  <c r="J48" i="1" s="1"/>
  <c r="I33" i="1"/>
  <c r="I19" i="1"/>
  <c r="I17" i="1"/>
  <c r="I10" i="1"/>
  <c r="J10" i="1" s="1"/>
  <c r="I178" i="1"/>
  <c r="J178" i="1" s="1"/>
  <c r="K178" i="1" s="1"/>
  <c r="I174" i="1"/>
  <c r="J174" i="1" s="1"/>
  <c r="I173" i="1"/>
  <c r="J173" i="1" s="1"/>
  <c r="I169" i="1"/>
  <c r="I164" i="1"/>
  <c r="J164" i="1" s="1"/>
  <c r="I155" i="1"/>
  <c r="I147" i="1"/>
  <c r="J147" i="1" s="1"/>
  <c r="I141" i="1"/>
  <c r="I139" i="1"/>
  <c r="J139" i="1" s="1"/>
  <c r="F139" i="1" s="1"/>
  <c r="I133" i="1"/>
  <c r="I131" i="1"/>
  <c r="J131" i="1" s="1"/>
  <c r="F131" i="1" s="1"/>
  <c r="I127" i="1"/>
  <c r="I125" i="1"/>
  <c r="I119" i="1"/>
  <c r="I114" i="1"/>
  <c r="I113" i="1"/>
  <c r="J113" i="1" s="1"/>
  <c r="I99" i="1"/>
  <c r="I96" i="1"/>
  <c r="I95" i="1"/>
  <c r="J95" i="1" s="1"/>
  <c r="I88" i="1"/>
  <c r="J88" i="1" s="1"/>
  <c r="M88" i="1" s="1"/>
  <c r="I77" i="1"/>
  <c r="J77" i="1" s="1"/>
  <c r="P77" i="1" s="1"/>
  <c r="I73" i="1"/>
  <c r="J73" i="1" s="1"/>
  <c r="N56" i="1"/>
  <c r="M56" i="1"/>
  <c r="I21" i="1"/>
  <c r="I15" i="1"/>
  <c r="J15" i="1" s="1"/>
  <c r="M15" i="1" s="1"/>
  <c r="Q58" i="1"/>
  <c r="I59" i="1"/>
  <c r="M58" i="1"/>
  <c r="I42" i="1"/>
  <c r="J42" i="1" s="1"/>
  <c r="I32" i="1"/>
  <c r="J32" i="1" s="1"/>
  <c r="I25" i="1"/>
  <c r="J25" i="1" s="1"/>
  <c r="L25" i="1" s="1"/>
  <c r="I16" i="1"/>
  <c r="J16" i="1" s="1"/>
  <c r="AO16" i="1" s="1"/>
  <c r="AA11" i="11" s="1"/>
  <c r="I175" i="1"/>
  <c r="J175" i="1" s="1"/>
  <c r="I156" i="1"/>
  <c r="J156" i="1" s="1"/>
  <c r="I149" i="1"/>
  <c r="J149" i="1" s="1"/>
  <c r="AO149" i="1" s="1"/>
  <c r="I140" i="1"/>
  <c r="I132" i="1"/>
  <c r="I98" i="1"/>
  <c r="I89" i="1"/>
  <c r="J89" i="1" s="1"/>
  <c r="I80" i="1"/>
  <c r="J80" i="1" s="1"/>
  <c r="R80" i="1" s="1"/>
  <c r="I71" i="1"/>
  <c r="J71" i="1" s="1"/>
  <c r="AM71" i="1" s="1"/>
  <c r="I61" i="1"/>
  <c r="L56" i="1"/>
  <c r="I44" i="1"/>
  <c r="J44" i="1" s="1"/>
  <c r="K44" i="1" s="1"/>
  <c r="I167" i="1"/>
  <c r="I151" i="1"/>
  <c r="J151" i="1" s="1"/>
  <c r="I143" i="1"/>
  <c r="J143" i="1" s="1"/>
  <c r="F143" i="1" s="1"/>
  <c r="I135" i="1"/>
  <c r="J135" i="1" s="1"/>
  <c r="F135" i="1" s="1"/>
  <c r="I110" i="1"/>
  <c r="J110" i="1" s="1"/>
  <c r="AN110" i="1" s="1"/>
  <c r="I100" i="1"/>
  <c r="J100" i="1" s="1"/>
  <c r="AN100" i="1" s="1"/>
  <c r="I83" i="1"/>
  <c r="J83" i="1" s="1"/>
  <c r="P83" i="1" s="1"/>
  <c r="I82" i="1"/>
  <c r="F56" i="1"/>
  <c r="I170" i="1"/>
  <c r="J170" i="1" s="1"/>
  <c r="R170" i="1" s="1"/>
  <c r="I128" i="1"/>
  <c r="J128" i="1" s="1"/>
  <c r="F128" i="1" s="1"/>
  <c r="I120" i="1"/>
  <c r="J120" i="1" s="1"/>
  <c r="F120" i="1" s="1"/>
  <c r="I84" i="1"/>
  <c r="J84" i="1" s="1"/>
  <c r="L84" i="1" s="1"/>
  <c r="I74" i="1"/>
  <c r="I46" i="1"/>
  <c r="J46" i="1" s="1"/>
  <c r="K46" i="1" s="1"/>
  <c r="I29" i="1"/>
  <c r="I12" i="1"/>
  <c r="J12" i="1" s="1"/>
  <c r="I180" i="1"/>
  <c r="J180" i="1" s="1"/>
  <c r="I171" i="1"/>
  <c r="J171" i="1" s="1"/>
  <c r="K171" i="1" s="1"/>
  <c r="I161" i="1"/>
  <c r="J161" i="1" s="1"/>
  <c r="I153" i="1"/>
  <c r="J153" i="1" s="1"/>
  <c r="Q153" i="1" s="1"/>
  <c r="I145" i="1"/>
  <c r="J145" i="1" s="1"/>
  <c r="I121" i="1"/>
  <c r="I103" i="1"/>
  <c r="I85" i="1"/>
  <c r="I55" i="1"/>
  <c r="J55" i="1" s="1"/>
  <c r="AN55" i="1" s="1"/>
  <c r="I45" i="1"/>
  <c r="R58" i="1"/>
  <c r="I47" i="1"/>
  <c r="J47" i="1" s="1"/>
  <c r="F47" i="1" s="1"/>
  <c r="I39" i="1"/>
  <c r="J39" i="1" s="1"/>
  <c r="R39" i="1" s="1"/>
  <c r="I14" i="1"/>
  <c r="J14" i="1" s="1"/>
  <c r="L14" i="1" s="1"/>
  <c r="I154" i="1"/>
  <c r="J154" i="1" s="1"/>
  <c r="I146" i="1"/>
  <c r="I123" i="1"/>
  <c r="J86" i="1"/>
  <c r="P86" i="1" s="1"/>
  <c r="K158" i="1"/>
  <c r="P158" i="1"/>
  <c r="S10" i="1"/>
  <c r="S50" i="1"/>
  <c r="L54" i="1"/>
  <c r="M54" i="1"/>
  <c r="AL54" i="1"/>
  <c r="K54" i="1"/>
  <c r="AL181" i="1"/>
  <c r="AM181" i="1"/>
  <c r="L181" i="1"/>
  <c r="R181" i="1"/>
  <c r="S181" i="1"/>
  <c r="N170" i="1"/>
  <c r="M170" i="1"/>
  <c r="S170" i="1"/>
  <c r="AN170" i="1"/>
  <c r="L153" i="1"/>
  <c r="S164" i="1"/>
  <c r="R164" i="1"/>
  <c r="R86" i="1"/>
  <c r="L48" i="1"/>
  <c r="N48" i="1"/>
  <c r="Q64" i="1"/>
  <c r="I63" i="1"/>
  <c r="L168" i="1"/>
  <c r="K160" i="1"/>
  <c r="I111" i="1"/>
  <c r="J111" i="1" s="1"/>
  <c r="J96" i="1"/>
  <c r="O96" i="1" s="1"/>
  <c r="I91" i="1"/>
  <c r="J91" i="1" s="1"/>
  <c r="F91" i="1" s="1"/>
  <c r="I87" i="1"/>
  <c r="N58" i="1"/>
  <c r="K56" i="1"/>
  <c r="I43" i="1"/>
  <c r="J43" i="1" s="1"/>
  <c r="Q43" i="1" s="1"/>
  <c r="P39" i="1"/>
  <c r="I36" i="1"/>
  <c r="J36" i="1" s="1"/>
  <c r="F36" i="1" s="1"/>
  <c r="I22" i="1"/>
  <c r="J22" i="1" s="1"/>
  <c r="J19" i="1"/>
  <c r="Q19" i="1" s="1"/>
  <c r="I166" i="1"/>
  <c r="J166" i="1" s="1"/>
  <c r="I144" i="1"/>
  <c r="I130" i="1"/>
  <c r="J130" i="1" s="1"/>
  <c r="F130" i="1" s="1"/>
  <c r="I108" i="1"/>
  <c r="J108" i="1" s="1"/>
  <c r="L108" i="1" s="1"/>
  <c r="J82" i="1"/>
  <c r="I20" i="1"/>
  <c r="J20" i="1" s="1"/>
  <c r="K20" i="1" s="1"/>
  <c r="P15" i="1"/>
  <c r="I148" i="1"/>
  <c r="J148" i="1" s="1"/>
  <c r="I79" i="1"/>
  <c r="J79" i="1" s="1"/>
  <c r="L79" i="1" s="1"/>
  <c r="S67" i="1"/>
  <c r="J60" i="1"/>
  <c r="AL56" i="1"/>
  <c r="BE56" i="1" s="1"/>
  <c r="AQ51" i="11" s="1"/>
  <c r="I28" i="1"/>
  <c r="J28" i="1" s="1"/>
  <c r="I176" i="1"/>
  <c r="J176" i="1" s="1"/>
  <c r="I172" i="1"/>
  <c r="J172" i="1" s="1"/>
  <c r="AO168" i="1"/>
  <c r="J167" i="1"/>
  <c r="I69" i="1"/>
  <c r="J69" i="1" s="1"/>
  <c r="AL69" i="1" s="1"/>
  <c r="I38" i="1"/>
  <c r="J38" i="1" s="1"/>
  <c r="AO38" i="1" s="1"/>
  <c r="AA33" i="11" s="1"/>
  <c r="AN64" i="1"/>
  <c r="AM58" i="1"/>
  <c r="Q56" i="1"/>
  <c r="AO39" i="1"/>
  <c r="AA34" i="11" s="1"/>
  <c r="J33" i="1"/>
  <c r="AM33" i="1" s="1"/>
  <c r="J29" i="1"/>
  <c r="AM168" i="1"/>
  <c r="J114" i="1"/>
  <c r="AO114" i="1" s="1"/>
  <c r="J103" i="1"/>
  <c r="J99" i="1"/>
  <c r="O99" i="1" s="1"/>
  <c r="AM56" i="1"/>
  <c r="BA56" i="1" s="1"/>
  <c r="AM51" i="11" s="1"/>
  <c r="I62" i="1"/>
  <c r="J62" i="1" s="1"/>
  <c r="N62" i="1" s="1"/>
  <c r="I49" i="1"/>
  <c r="I40" i="1"/>
  <c r="J40" i="1" s="1"/>
  <c r="N40" i="1" s="1"/>
  <c r="I34" i="1"/>
  <c r="I138" i="1"/>
  <c r="I126" i="1"/>
  <c r="J126" i="1" s="1"/>
  <c r="F126" i="1" s="1"/>
  <c r="I115" i="1"/>
  <c r="J115" i="1" s="1"/>
  <c r="P115" i="1" s="1"/>
  <c r="I112" i="1"/>
  <c r="J112" i="1" s="1"/>
  <c r="N112" i="1" s="1"/>
  <c r="I101" i="1"/>
  <c r="J101" i="1" s="1"/>
  <c r="I93" i="1"/>
  <c r="K88" i="1"/>
  <c r="AH56" i="1"/>
  <c r="I183" i="1"/>
  <c r="J183" i="1" s="1"/>
  <c r="P178" i="1"/>
  <c r="AM178" i="1"/>
  <c r="S178" i="1"/>
  <c r="AN178" i="1"/>
  <c r="L180" i="1"/>
  <c r="AM180" i="1"/>
  <c r="M180" i="1"/>
  <c r="Q180" i="1"/>
  <c r="AL180" i="1"/>
  <c r="F180" i="1"/>
  <c r="P180" i="1"/>
  <c r="R180" i="1"/>
  <c r="S180" i="1"/>
  <c r="K180" i="1"/>
  <c r="AN180" i="1"/>
  <c r="N180" i="1"/>
  <c r="AO180" i="1"/>
  <c r="O180" i="1"/>
  <c r="P174" i="1"/>
  <c r="L174" i="1"/>
  <c r="AM174" i="1"/>
  <c r="Q174" i="1"/>
  <c r="AO174" i="1"/>
  <c r="R174" i="1"/>
  <c r="K174" i="1"/>
  <c r="M174" i="1"/>
  <c r="N174" i="1"/>
  <c r="O174" i="1"/>
  <c r="F174" i="1"/>
  <c r="S174" i="1"/>
  <c r="AL174" i="1"/>
  <c r="AN174" i="1"/>
  <c r="I185" i="1"/>
  <c r="J185" i="1" s="1"/>
  <c r="N171" i="1"/>
  <c r="R171" i="1"/>
  <c r="AN171" i="1"/>
  <c r="I182" i="1"/>
  <c r="J182" i="1" s="1"/>
  <c r="P181" i="1"/>
  <c r="O181" i="1"/>
  <c r="K181" i="1"/>
  <c r="AO181" i="1"/>
  <c r="I177" i="1"/>
  <c r="J177" i="1" s="1"/>
  <c r="J169" i="1"/>
  <c r="AL170" i="1"/>
  <c r="O160" i="1"/>
  <c r="N160" i="1"/>
  <c r="S160" i="1"/>
  <c r="AN160" i="1"/>
  <c r="L160" i="1"/>
  <c r="AM160" i="1"/>
  <c r="M160" i="1"/>
  <c r="AO160" i="1"/>
  <c r="P160" i="1"/>
  <c r="Q160" i="1"/>
  <c r="R160" i="1"/>
  <c r="O154" i="1"/>
  <c r="P154" i="1"/>
  <c r="K154" i="1"/>
  <c r="AO154" i="1"/>
  <c r="F154" i="1"/>
  <c r="Q154" i="1"/>
  <c r="R154" i="1"/>
  <c r="S154" i="1"/>
  <c r="AL154" i="1"/>
  <c r="L154" i="1"/>
  <c r="AM154" i="1"/>
  <c r="M154" i="1"/>
  <c r="AN154" i="1"/>
  <c r="N154" i="1"/>
  <c r="I165" i="1"/>
  <c r="O156" i="1"/>
  <c r="L156" i="1"/>
  <c r="Q156" i="1"/>
  <c r="AL156" i="1"/>
  <c r="K156" i="1"/>
  <c r="AM156" i="1"/>
  <c r="M156" i="1"/>
  <c r="AN156" i="1"/>
  <c r="N156" i="1"/>
  <c r="AO156" i="1"/>
  <c r="F156" i="1"/>
  <c r="P156" i="1"/>
  <c r="R156" i="1"/>
  <c r="S156" i="1"/>
  <c r="O151" i="1"/>
  <c r="K151" i="1"/>
  <c r="S151" i="1"/>
  <c r="AL151" i="1"/>
  <c r="R151" i="1"/>
  <c r="M151" i="1"/>
  <c r="AM151" i="1"/>
  <c r="AN151" i="1"/>
  <c r="AO151" i="1"/>
  <c r="L151" i="1"/>
  <c r="N151" i="1"/>
  <c r="P151" i="1"/>
  <c r="F151" i="1"/>
  <c r="Q151" i="1"/>
  <c r="Q181" i="1"/>
  <c r="K167" i="1"/>
  <c r="S167" i="1"/>
  <c r="AL167" i="1"/>
  <c r="P167" i="1"/>
  <c r="L167" i="1"/>
  <c r="O167" i="1"/>
  <c r="R167" i="1"/>
  <c r="M167" i="1"/>
  <c r="AN167" i="1"/>
  <c r="O162" i="1"/>
  <c r="K162" i="1"/>
  <c r="AO162" i="1"/>
  <c r="P162" i="1"/>
  <c r="R162" i="1"/>
  <c r="S162" i="1"/>
  <c r="AL162" i="1"/>
  <c r="L162" i="1"/>
  <c r="AM162" i="1"/>
  <c r="M162" i="1"/>
  <c r="AN162" i="1"/>
  <c r="N162" i="1"/>
  <c r="F181" i="1"/>
  <c r="O170" i="1"/>
  <c r="P170" i="1"/>
  <c r="K170" i="1"/>
  <c r="AM170" i="1"/>
  <c r="L170" i="1"/>
  <c r="Q170" i="1"/>
  <c r="AO170" i="1"/>
  <c r="O168" i="1"/>
  <c r="S168" i="1"/>
  <c r="AN168" i="1"/>
  <c r="N168" i="1"/>
  <c r="M168" i="1"/>
  <c r="Q168" i="1"/>
  <c r="R168" i="1"/>
  <c r="K168" i="1"/>
  <c r="AL168" i="1"/>
  <c r="J184" i="1"/>
  <c r="F184" i="1" s="1"/>
  <c r="N181" i="1"/>
  <c r="I179" i="1"/>
  <c r="J179" i="1" s="1"/>
  <c r="F170" i="1"/>
  <c r="F168" i="1"/>
  <c r="AN166" i="1"/>
  <c r="O164" i="1"/>
  <c r="Q164" i="1"/>
  <c r="AL164" i="1"/>
  <c r="L164" i="1"/>
  <c r="K164" i="1"/>
  <c r="AM164" i="1"/>
  <c r="M164" i="1"/>
  <c r="AN164" i="1"/>
  <c r="N164" i="1"/>
  <c r="AO164" i="1"/>
  <c r="F164" i="1"/>
  <c r="P164" i="1"/>
  <c r="O147" i="1"/>
  <c r="K147" i="1"/>
  <c r="S147" i="1"/>
  <c r="AL147" i="1"/>
  <c r="M147" i="1"/>
  <c r="R147" i="1"/>
  <c r="N147" i="1"/>
  <c r="P147" i="1"/>
  <c r="F147" i="1"/>
  <c r="Q147" i="1"/>
  <c r="AM147" i="1"/>
  <c r="AN147" i="1"/>
  <c r="AO147" i="1"/>
  <c r="L147" i="1"/>
  <c r="AN181" i="1"/>
  <c r="M181" i="1"/>
  <c r="O166" i="1"/>
  <c r="M166" i="1"/>
  <c r="R166" i="1"/>
  <c r="AM166" i="1"/>
  <c r="S166" i="1"/>
  <c r="AL166" i="1"/>
  <c r="K166" i="1"/>
  <c r="P166" i="1"/>
  <c r="F162" i="1"/>
  <c r="N145" i="1"/>
  <c r="AO145" i="1"/>
  <c r="L145" i="1"/>
  <c r="Q145" i="1"/>
  <c r="AL145" i="1"/>
  <c r="R145" i="1"/>
  <c r="O145" i="1"/>
  <c r="M145" i="1"/>
  <c r="P145" i="1"/>
  <c r="AM145" i="1"/>
  <c r="S145" i="1"/>
  <c r="AN145" i="1"/>
  <c r="K145" i="1"/>
  <c r="K152" i="1"/>
  <c r="S152" i="1"/>
  <c r="AL152" i="1"/>
  <c r="O152" i="1"/>
  <c r="N152" i="1"/>
  <c r="AM152" i="1"/>
  <c r="O149" i="1"/>
  <c r="K149" i="1"/>
  <c r="S149" i="1"/>
  <c r="AL149" i="1"/>
  <c r="P149" i="1"/>
  <c r="AN149" i="1"/>
  <c r="I118" i="1"/>
  <c r="J118" i="1" s="1"/>
  <c r="J165" i="1"/>
  <c r="AO158" i="1"/>
  <c r="N158" i="1"/>
  <c r="J155" i="1"/>
  <c r="N153" i="1"/>
  <c r="AN152" i="1"/>
  <c r="AM149" i="1"/>
  <c r="F149" i="1"/>
  <c r="I142" i="1"/>
  <c r="J142" i="1" s="1"/>
  <c r="F142" i="1" s="1"/>
  <c r="I136" i="1"/>
  <c r="J136" i="1" s="1"/>
  <c r="I97" i="1"/>
  <c r="J97" i="1" s="1"/>
  <c r="F160" i="1"/>
  <c r="I159" i="1"/>
  <c r="J159" i="1" s="1"/>
  <c r="AN158" i="1"/>
  <c r="L158" i="1"/>
  <c r="I129" i="1"/>
  <c r="J129" i="1" s="1"/>
  <c r="AL158" i="1"/>
  <c r="R152" i="1"/>
  <c r="F152" i="1"/>
  <c r="BC152" i="1" s="1"/>
  <c r="I150" i="1"/>
  <c r="J150" i="1" s="1"/>
  <c r="F150" i="1" s="1"/>
  <c r="R149" i="1"/>
  <c r="I137" i="1"/>
  <c r="J137" i="1" s="1"/>
  <c r="O158" i="1"/>
  <c r="R158" i="1"/>
  <c r="AM158" i="1"/>
  <c r="M158" i="1"/>
  <c r="O153" i="1"/>
  <c r="Q149" i="1"/>
  <c r="I163" i="1"/>
  <c r="J163" i="1" s="1"/>
  <c r="F163" i="1" s="1"/>
  <c r="AN153" i="1"/>
  <c r="Q152" i="1"/>
  <c r="P152" i="1"/>
  <c r="N149" i="1"/>
  <c r="I134" i="1"/>
  <c r="J134" i="1" s="1"/>
  <c r="S158" i="1"/>
  <c r="I157" i="1"/>
  <c r="J157" i="1" s="1"/>
  <c r="M152" i="1"/>
  <c r="M149" i="1"/>
  <c r="Q158" i="1"/>
  <c r="F158" i="1"/>
  <c r="L152" i="1"/>
  <c r="L149" i="1"/>
  <c r="J144" i="1"/>
  <c r="K113" i="1"/>
  <c r="S113" i="1"/>
  <c r="AL113" i="1"/>
  <c r="O113" i="1"/>
  <c r="Q113" i="1"/>
  <c r="AO113" i="1"/>
  <c r="L113" i="1"/>
  <c r="AM113" i="1"/>
  <c r="AN113" i="1"/>
  <c r="M113" i="1"/>
  <c r="N113" i="1"/>
  <c r="P113" i="1"/>
  <c r="R113" i="1"/>
  <c r="J127" i="1"/>
  <c r="F127" i="1" s="1"/>
  <c r="I124" i="1"/>
  <c r="J124" i="1" s="1"/>
  <c r="F113" i="1"/>
  <c r="J141" i="1"/>
  <c r="F141" i="1" s="1"/>
  <c r="J132" i="1"/>
  <c r="F132" i="1" s="1"/>
  <c r="K115" i="1"/>
  <c r="S115" i="1"/>
  <c r="AL115" i="1"/>
  <c r="O115" i="1"/>
  <c r="N115" i="1"/>
  <c r="AM115" i="1"/>
  <c r="Q115" i="1"/>
  <c r="R115" i="1"/>
  <c r="AN115" i="1"/>
  <c r="AO115" i="1"/>
  <c r="L115" i="1"/>
  <c r="M115" i="1"/>
  <c r="J125" i="1"/>
  <c r="F125" i="1" s="1"/>
  <c r="I122" i="1"/>
  <c r="J122" i="1" s="1"/>
  <c r="F122" i="1" s="1"/>
  <c r="O114" i="1"/>
  <c r="K114" i="1"/>
  <c r="S114" i="1"/>
  <c r="AL114" i="1"/>
  <c r="R114" i="1"/>
  <c r="M114" i="1"/>
  <c r="L114" i="1"/>
  <c r="N114" i="1"/>
  <c r="P114" i="1"/>
  <c r="F114" i="1"/>
  <c r="Q114" i="1"/>
  <c r="AM114" i="1"/>
  <c r="AN114" i="1"/>
  <c r="O112" i="1"/>
  <c r="AM112" i="1"/>
  <c r="P104" i="1"/>
  <c r="L104" i="1"/>
  <c r="AM104" i="1"/>
  <c r="R104" i="1"/>
  <c r="M104" i="1"/>
  <c r="F104" i="1"/>
  <c r="Q104" i="1"/>
  <c r="S104" i="1"/>
  <c r="AL104" i="1"/>
  <c r="AN104" i="1"/>
  <c r="AO104" i="1"/>
  <c r="K104" i="1"/>
  <c r="N104" i="1"/>
  <c r="O104" i="1"/>
  <c r="J146" i="1"/>
  <c r="F146" i="1" s="1"/>
  <c r="K107" i="1"/>
  <c r="S107" i="1"/>
  <c r="AL107" i="1"/>
  <c r="O107" i="1"/>
  <c r="Q107" i="1"/>
  <c r="AO107" i="1"/>
  <c r="R107" i="1"/>
  <c r="L107" i="1"/>
  <c r="M107" i="1"/>
  <c r="N107" i="1"/>
  <c r="AM107" i="1"/>
  <c r="P107" i="1"/>
  <c r="F107" i="1"/>
  <c r="AN107" i="1"/>
  <c r="J140" i="1"/>
  <c r="F140" i="1" s="1"/>
  <c r="J133" i="1"/>
  <c r="F133" i="1" s="1"/>
  <c r="I106" i="1"/>
  <c r="J106" i="1" s="1"/>
  <c r="J138" i="1"/>
  <c r="F138" i="1" s="1"/>
  <c r="F136" i="1"/>
  <c r="I116" i="1"/>
  <c r="J116" i="1" s="1"/>
  <c r="I102" i="1"/>
  <c r="J102" i="1" s="1"/>
  <c r="F145" i="1"/>
  <c r="AO108" i="1"/>
  <c r="J123" i="1"/>
  <c r="F123" i="1" s="1"/>
  <c r="J119" i="1"/>
  <c r="I94" i="1"/>
  <c r="J94" i="1" s="1"/>
  <c r="L103" i="1"/>
  <c r="AM103" i="1"/>
  <c r="P103" i="1"/>
  <c r="Q103" i="1"/>
  <c r="AO103" i="1"/>
  <c r="K103" i="1"/>
  <c r="M103" i="1"/>
  <c r="N103" i="1"/>
  <c r="O103" i="1"/>
  <c r="F103" i="1"/>
  <c r="R103" i="1"/>
  <c r="S103" i="1"/>
  <c r="AL103" i="1"/>
  <c r="AN103" i="1"/>
  <c r="P100" i="1"/>
  <c r="L100" i="1"/>
  <c r="AM100" i="1"/>
  <c r="M100" i="1"/>
  <c r="R100" i="1"/>
  <c r="AO100" i="1"/>
  <c r="K100" i="1"/>
  <c r="N100" i="1"/>
  <c r="O100" i="1"/>
  <c r="F100" i="1"/>
  <c r="Q100" i="1"/>
  <c r="S100" i="1"/>
  <c r="AL100" i="1"/>
  <c r="P96" i="1"/>
  <c r="L96" i="1"/>
  <c r="AM96" i="1"/>
  <c r="R96" i="1"/>
  <c r="M96" i="1"/>
  <c r="F96" i="1"/>
  <c r="Q96" i="1"/>
  <c r="S96" i="1"/>
  <c r="AL96" i="1"/>
  <c r="AN96" i="1"/>
  <c r="AO96" i="1"/>
  <c r="K96" i="1"/>
  <c r="N96" i="1"/>
  <c r="O110" i="1"/>
  <c r="Q110" i="1"/>
  <c r="Q108" i="1"/>
  <c r="J121" i="1"/>
  <c r="J117" i="1"/>
  <c r="F117" i="1" s="1"/>
  <c r="F115" i="1"/>
  <c r="I109" i="1"/>
  <c r="J109" i="1" s="1"/>
  <c r="F109" i="1" s="1"/>
  <c r="I105" i="1"/>
  <c r="J105" i="1" s="1"/>
  <c r="O108" i="1"/>
  <c r="K108" i="1"/>
  <c r="S108" i="1"/>
  <c r="AL108" i="1"/>
  <c r="R108" i="1"/>
  <c r="M108" i="1"/>
  <c r="N108" i="1"/>
  <c r="AM108" i="1"/>
  <c r="P108" i="1"/>
  <c r="AN108" i="1"/>
  <c r="I92" i="1"/>
  <c r="J92" i="1" s="1"/>
  <c r="F108" i="1"/>
  <c r="P84" i="1"/>
  <c r="O84" i="1"/>
  <c r="I90" i="1"/>
  <c r="J90" i="1" s="1"/>
  <c r="J98" i="1"/>
  <c r="P88" i="1"/>
  <c r="L88" i="1"/>
  <c r="AM88" i="1"/>
  <c r="Q88" i="1"/>
  <c r="AO88" i="1"/>
  <c r="S88" i="1"/>
  <c r="N88" i="1"/>
  <c r="AL88" i="1"/>
  <c r="O88" i="1"/>
  <c r="R88" i="1"/>
  <c r="F88" i="1"/>
  <c r="AN88" i="1"/>
  <c r="J93" i="1"/>
  <c r="AL99" i="1"/>
  <c r="F83" i="1"/>
  <c r="K81" i="1"/>
  <c r="S81" i="1"/>
  <c r="AL81" i="1"/>
  <c r="O81" i="1"/>
  <c r="Q81" i="1"/>
  <c r="AO81" i="1"/>
  <c r="L81" i="1"/>
  <c r="M81" i="1"/>
  <c r="N81" i="1"/>
  <c r="P81" i="1"/>
  <c r="F81" i="1"/>
  <c r="R81" i="1"/>
  <c r="AM81" i="1"/>
  <c r="AO83" i="1"/>
  <c r="N77" i="1"/>
  <c r="AO77" i="1"/>
  <c r="O77" i="1"/>
  <c r="L77" i="1"/>
  <c r="R77" i="1"/>
  <c r="S77" i="1"/>
  <c r="AL77" i="1"/>
  <c r="K77" i="1"/>
  <c r="M77" i="1"/>
  <c r="Q77" i="1"/>
  <c r="AM77" i="1"/>
  <c r="AN77" i="1"/>
  <c r="K71" i="1"/>
  <c r="J87" i="1"/>
  <c r="Q86" i="1"/>
  <c r="S86" i="1"/>
  <c r="S80" i="1"/>
  <c r="AL80" i="1"/>
  <c r="AN80" i="1"/>
  <c r="AM80" i="1"/>
  <c r="N80" i="1"/>
  <c r="Q80" i="1"/>
  <c r="J85" i="1"/>
  <c r="R83" i="1"/>
  <c r="K83" i="1"/>
  <c r="S83" i="1"/>
  <c r="O83" i="1"/>
  <c r="AM83" i="1"/>
  <c r="N83" i="1"/>
  <c r="L83" i="1"/>
  <c r="AL83" i="1"/>
  <c r="M83" i="1"/>
  <c r="AN83" i="1"/>
  <c r="Q83" i="1"/>
  <c r="K79" i="1"/>
  <c r="S79" i="1"/>
  <c r="AL79" i="1"/>
  <c r="O79" i="1"/>
  <c r="N79" i="1"/>
  <c r="AM79" i="1"/>
  <c r="M79" i="1"/>
  <c r="P79" i="1"/>
  <c r="Q79" i="1"/>
  <c r="R79" i="1"/>
  <c r="AN79" i="1"/>
  <c r="AO79" i="1"/>
  <c r="O82" i="1"/>
  <c r="K82" i="1"/>
  <c r="S82" i="1"/>
  <c r="AL82" i="1"/>
  <c r="R82" i="1"/>
  <c r="M82" i="1"/>
  <c r="AN82" i="1"/>
  <c r="AM82" i="1"/>
  <c r="F79" i="1"/>
  <c r="I78" i="1"/>
  <c r="J78" i="1" s="1"/>
  <c r="Q82" i="1"/>
  <c r="F82" i="1"/>
  <c r="N73" i="1"/>
  <c r="AO73" i="1"/>
  <c r="O73" i="1"/>
  <c r="L73" i="1"/>
  <c r="M73" i="1"/>
  <c r="AL73" i="1"/>
  <c r="P73" i="1"/>
  <c r="AM73" i="1"/>
  <c r="Q73" i="1"/>
  <c r="AN73" i="1"/>
  <c r="K73" i="1"/>
  <c r="R73" i="1"/>
  <c r="S73" i="1"/>
  <c r="P82" i="1"/>
  <c r="I76" i="1"/>
  <c r="J76" i="1" s="1"/>
  <c r="F73" i="1"/>
  <c r="I72" i="1"/>
  <c r="J72" i="1" s="1"/>
  <c r="J74" i="1"/>
  <c r="F74" i="1" s="1"/>
  <c r="M69" i="1"/>
  <c r="AN69" i="1"/>
  <c r="N69" i="1"/>
  <c r="AO69" i="1"/>
  <c r="O69" i="1"/>
  <c r="K69" i="1"/>
  <c r="AM69" i="1"/>
  <c r="L69" i="1"/>
  <c r="P69" i="1"/>
  <c r="Q69" i="1"/>
  <c r="R69" i="1"/>
  <c r="S69" i="1"/>
  <c r="I75" i="1"/>
  <c r="J75" i="1" s="1"/>
  <c r="F75" i="1" s="1"/>
  <c r="F77" i="1"/>
  <c r="I70" i="1"/>
  <c r="J70" i="1"/>
  <c r="F70" i="1" s="1"/>
  <c r="Q67" i="1"/>
  <c r="F71" i="1"/>
  <c r="F69" i="1"/>
  <c r="I66" i="1"/>
  <c r="J66" i="1" s="1"/>
  <c r="M67" i="1"/>
  <c r="AN67" i="1"/>
  <c r="N67" i="1"/>
  <c r="AO67" i="1"/>
  <c r="O67" i="1"/>
  <c r="P67" i="1"/>
  <c r="R67" i="1"/>
  <c r="L67" i="1"/>
  <c r="AM67" i="1"/>
  <c r="AL67" i="1"/>
  <c r="F67" i="1"/>
  <c r="I68" i="1"/>
  <c r="J68" i="1" s="1"/>
  <c r="AO62" i="1"/>
  <c r="P62" i="1"/>
  <c r="AM62" i="1"/>
  <c r="Q62" i="1"/>
  <c r="K62" i="1"/>
  <c r="N64" i="1"/>
  <c r="AO64" i="1"/>
  <c r="O64" i="1"/>
  <c r="R64" i="1"/>
  <c r="S64" i="1"/>
  <c r="AM64" i="1"/>
  <c r="I65" i="1"/>
  <c r="J65" i="1" s="1"/>
  <c r="P64" i="1"/>
  <c r="K55" i="1"/>
  <c r="S55" i="1"/>
  <c r="AL55" i="1"/>
  <c r="L55" i="1"/>
  <c r="AM55" i="1"/>
  <c r="F55" i="1"/>
  <c r="P55" i="1"/>
  <c r="AO55" i="1"/>
  <c r="Q55" i="1"/>
  <c r="R55" i="1"/>
  <c r="M55" i="1"/>
  <c r="N55" i="1"/>
  <c r="O55" i="1"/>
  <c r="AW50" i="11" s="1"/>
  <c r="M64" i="1"/>
  <c r="I53" i="1"/>
  <c r="J53" i="1" s="1"/>
  <c r="F53" i="1" s="1"/>
  <c r="L64" i="1"/>
  <c r="J61" i="1"/>
  <c r="I41" i="1"/>
  <c r="J41" i="1" s="1"/>
  <c r="F41" i="1" s="1"/>
  <c r="AL40" i="1"/>
  <c r="L40" i="1"/>
  <c r="M40" i="1"/>
  <c r="AM40" i="1"/>
  <c r="Q40" i="1"/>
  <c r="AO40" i="1"/>
  <c r="K64" i="1"/>
  <c r="P52" i="1"/>
  <c r="M52" i="1"/>
  <c r="AN52" i="1"/>
  <c r="R52" i="1"/>
  <c r="V56" i="1"/>
  <c r="O48" i="1"/>
  <c r="AW43" i="11" s="1"/>
  <c r="P48" i="1"/>
  <c r="R48" i="1"/>
  <c r="AO48" i="1"/>
  <c r="S48" i="1"/>
  <c r="K48" i="1"/>
  <c r="M48" i="1"/>
  <c r="AL48" i="1"/>
  <c r="Q48" i="1"/>
  <c r="AN48" i="1"/>
  <c r="Q44" i="1"/>
  <c r="X56" i="1"/>
  <c r="AF56" i="1"/>
  <c r="AD56" i="1"/>
  <c r="F46" i="1"/>
  <c r="N46" i="1"/>
  <c r="AO46" i="1"/>
  <c r="O46" i="1"/>
  <c r="AW41" i="11" s="1"/>
  <c r="P46" i="1"/>
  <c r="M46" i="1"/>
  <c r="Q46" i="1"/>
  <c r="R46" i="1"/>
  <c r="S46" i="1"/>
  <c r="AL46" i="1"/>
  <c r="L46" i="1"/>
  <c r="AN46" i="1"/>
  <c r="O60" i="1"/>
  <c r="L60" i="1"/>
  <c r="M60" i="1"/>
  <c r="F60" i="1"/>
  <c r="N60" i="1"/>
  <c r="O58" i="1"/>
  <c r="P58" i="1"/>
  <c r="K58" i="1"/>
  <c r="L58" i="1"/>
  <c r="AB56" i="1"/>
  <c r="AM48" i="1"/>
  <c r="J63" i="1"/>
  <c r="F63" i="1" s="1"/>
  <c r="J59" i="1"/>
  <c r="O54" i="1"/>
  <c r="AW49" i="11" s="1"/>
  <c r="P54" i="1"/>
  <c r="F54" i="1"/>
  <c r="N54" i="1"/>
  <c r="AM54" i="1"/>
  <c r="Q54" i="1"/>
  <c r="AN54" i="1"/>
  <c r="R54" i="1"/>
  <c r="AO54" i="1"/>
  <c r="S54" i="1"/>
  <c r="M50" i="1"/>
  <c r="F48" i="1"/>
  <c r="AO58" i="1"/>
  <c r="I57" i="1"/>
  <c r="J57" i="1" s="1"/>
  <c r="Z56" i="1"/>
  <c r="O56" i="1"/>
  <c r="AW51" i="11" s="1"/>
  <c r="P56" i="1"/>
  <c r="R56" i="1"/>
  <c r="AO56" i="1"/>
  <c r="S56" i="1"/>
  <c r="J51" i="1"/>
  <c r="AM46" i="1"/>
  <c r="M43" i="1"/>
  <c r="N43" i="1"/>
  <c r="F64" i="1"/>
  <c r="BB64" i="1" s="1"/>
  <c r="S60" i="1"/>
  <c r="AN58" i="1"/>
  <c r="S58" i="1"/>
  <c r="F58" i="1"/>
  <c r="O42" i="1"/>
  <c r="AW37" i="11" s="1"/>
  <c r="K42" i="1"/>
  <c r="S42" i="1"/>
  <c r="AL42" i="1"/>
  <c r="N42" i="1"/>
  <c r="AM42" i="1"/>
  <c r="P42" i="1"/>
  <c r="AN42" i="1"/>
  <c r="Q42" i="1"/>
  <c r="AO42" i="1"/>
  <c r="R42" i="1"/>
  <c r="L42" i="1"/>
  <c r="M42" i="1"/>
  <c r="Q38" i="1"/>
  <c r="AN38" i="1"/>
  <c r="J45" i="1"/>
  <c r="F45" i="1" s="1"/>
  <c r="F40" i="1"/>
  <c r="K39" i="1"/>
  <c r="S39" i="1"/>
  <c r="AL39" i="1"/>
  <c r="O39" i="1"/>
  <c r="AW34" i="11" s="1"/>
  <c r="L39" i="1"/>
  <c r="M39" i="1"/>
  <c r="N39" i="1"/>
  <c r="AM39" i="1"/>
  <c r="J49" i="1"/>
  <c r="P38" i="1"/>
  <c r="AL33" i="1"/>
  <c r="AN33" i="1"/>
  <c r="F39" i="1"/>
  <c r="F42" i="1"/>
  <c r="O22" i="1"/>
  <c r="AW17" i="11" s="1"/>
  <c r="P22" i="1"/>
  <c r="Q22" i="1"/>
  <c r="K22" i="1"/>
  <c r="S22" i="1"/>
  <c r="AL22" i="1"/>
  <c r="M22" i="1"/>
  <c r="AN22" i="1"/>
  <c r="N22" i="1"/>
  <c r="AM22" i="1"/>
  <c r="R22" i="1"/>
  <c r="AO22" i="1"/>
  <c r="F22" i="1"/>
  <c r="L22" i="1"/>
  <c r="I37" i="1"/>
  <c r="J37" i="1" s="1"/>
  <c r="F37" i="1" s="1"/>
  <c r="L29" i="1"/>
  <c r="AM29" i="1"/>
  <c r="M29" i="1"/>
  <c r="Q29" i="1"/>
  <c r="R29" i="1"/>
  <c r="N29" i="1"/>
  <c r="F29" i="1"/>
  <c r="P29" i="1"/>
  <c r="AL29" i="1"/>
  <c r="I27" i="1"/>
  <c r="J27" i="1" s="1"/>
  <c r="I35" i="1"/>
  <c r="J35" i="1" s="1"/>
  <c r="J34" i="1"/>
  <c r="I31" i="1"/>
  <c r="J31" i="1" s="1"/>
  <c r="S28" i="1"/>
  <c r="I26" i="1"/>
  <c r="J26" i="1" s="1"/>
  <c r="I24" i="1"/>
  <c r="J24" i="1" s="1"/>
  <c r="L28" i="1"/>
  <c r="I30" i="1"/>
  <c r="J30" i="1" s="1"/>
  <c r="P28" i="1"/>
  <c r="Q28" i="1"/>
  <c r="F28" i="1"/>
  <c r="O28" i="1"/>
  <c r="AW23" i="11" s="1"/>
  <c r="AN28" i="1"/>
  <c r="R28" i="1"/>
  <c r="AO28" i="1"/>
  <c r="N19" i="1"/>
  <c r="O20" i="1"/>
  <c r="AW15" i="11" s="1"/>
  <c r="R20" i="1"/>
  <c r="S20" i="1"/>
  <c r="K15" i="1"/>
  <c r="S15" i="1"/>
  <c r="AL15" i="1"/>
  <c r="N15" i="1"/>
  <c r="AO15" i="1"/>
  <c r="R15" i="1"/>
  <c r="L15" i="1"/>
  <c r="O15" i="1"/>
  <c r="AW10" i="11" s="1"/>
  <c r="AM15" i="1"/>
  <c r="Q15" i="1"/>
  <c r="M14" i="1"/>
  <c r="O14" i="1"/>
  <c r="AW9" i="11" s="1"/>
  <c r="R14" i="1"/>
  <c r="P14" i="1"/>
  <c r="AN14" i="1"/>
  <c r="F14" i="1"/>
  <c r="Q14" i="1"/>
  <c r="AO14" i="1"/>
  <c r="S14" i="1"/>
  <c r="K14" i="1"/>
  <c r="N14" i="1"/>
  <c r="AM14" i="1"/>
  <c r="I23" i="1"/>
  <c r="J23" i="1" s="1"/>
  <c r="F23" i="1" s="1"/>
  <c r="J17" i="1"/>
  <c r="AN15" i="1"/>
  <c r="J21" i="1"/>
  <c r="F21" i="1" s="1"/>
  <c r="I18" i="1"/>
  <c r="J18" i="1" s="1"/>
  <c r="AL14" i="1"/>
  <c r="M12" i="1"/>
  <c r="N12" i="1"/>
  <c r="AO12" i="1"/>
  <c r="O12" i="1"/>
  <c r="AW7" i="11" s="1"/>
  <c r="P12" i="1"/>
  <c r="R12" i="1"/>
  <c r="L12" i="1"/>
  <c r="AL12" i="1"/>
  <c r="Q12" i="1"/>
  <c r="K12" i="1"/>
  <c r="F20" i="1"/>
  <c r="F12" i="1"/>
  <c r="I9" i="1"/>
  <c r="J9" i="1" s="1"/>
  <c r="F9" i="1" s="1"/>
  <c r="M10" i="1"/>
  <c r="P10" i="1"/>
  <c r="Q10" i="1"/>
  <c r="R10" i="1"/>
  <c r="L10" i="1"/>
  <c r="AM10" i="1"/>
  <c r="F10" i="1"/>
  <c r="F19" i="1"/>
  <c r="I13" i="1"/>
  <c r="J13" i="1" s="1"/>
  <c r="I11" i="1"/>
  <c r="J11" i="1" s="1"/>
  <c r="F15" i="1"/>
  <c r="V15" i="1" l="1"/>
  <c r="AN173" i="1"/>
  <c r="Q173" i="1"/>
  <c r="P173" i="1"/>
  <c r="K173" i="1"/>
  <c r="O173" i="1"/>
  <c r="AL173" i="1"/>
  <c r="BB173" i="1" s="1"/>
  <c r="M173" i="1"/>
  <c r="AF173" i="1" s="1"/>
  <c r="S173" i="1"/>
  <c r="F173" i="1"/>
  <c r="M95" i="1"/>
  <c r="N95" i="1"/>
  <c r="L95" i="1"/>
  <c r="O95" i="1"/>
  <c r="S95" i="1"/>
  <c r="K95" i="1"/>
  <c r="AM95" i="1"/>
  <c r="AX95" i="1" s="1"/>
  <c r="F95" i="1"/>
  <c r="AN95" i="1"/>
  <c r="P95" i="1"/>
  <c r="R95" i="1"/>
  <c r="Q95" i="1"/>
  <c r="AO95" i="1"/>
  <c r="AT95" i="1" s="1"/>
  <c r="AL95" i="1"/>
  <c r="AS95" i="1" s="1"/>
  <c r="S19" i="1"/>
  <c r="P33" i="1"/>
  <c r="S33" i="1"/>
  <c r="AM50" i="1"/>
  <c r="L50" i="1"/>
  <c r="S52" i="1"/>
  <c r="L52" i="1"/>
  <c r="U52" i="1" s="1"/>
  <c r="AO86" i="1"/>
  <c r="AZ86" i="1" s="1"/>
  <c r="AL71" i="1"/>
  <c r="AV71" i="1" s="1"/>
  <c r="O71" i="1"/>
  <c r="AN86" i="1"/>
  <c r="Q99" i="1"/>
  <c r="F84" i="1"/>
  <c r="AO91" i="1"/>
  <c r="AQ91" i="1" s="1"/>
  <c r="P110" i="1"/>
  <c r="R112" i="1"/>
  <c r="AO171" i="1"/>
  <c r="BC171" i="1" s="1"/>
  <c r="AL171" i="1"/>
  <c r="AL178" i="1"/>
  <c r="L178" i="1"/>
  <c r="F86" i="1"/>
  <c r="R50" i="1"/>
  <c r="K25" i="1"/>
  <c r="N50" i="1"/>
  <c r="S71" i="1"/>
  <c r="Q91" i="1"/>
  <c r="AO153" i="1"/>
  <c r="AN20" i="1"/>
  <c r="N20" i="1"/>
  <c r="R33" i="1"/>
  <c r="K33" i="1"/>
  <c r="P50" i="1"/>
  <c r="Q52" i="1"/>
  <c r="O52" i="1"/>
  <c r="AW47" i="11" s="1"/>
  <c r="AL86" i="1"/>
  <c r="R71" i="1"/>
  <c r="N71" i="1"/>
  <c r="R84" i="1"/>
  <c r="N84" i="1"/>
  <c r="N91" i="1"/>
  <c r="M110" i="1"/>
  <c r="AD110" i="1" s="1"/>
  <c r="F112" i="1"/>
  <c r="AN112" i="1"/>
  <c r="AM153" i="1"/>
  <c r="S171" i="1"/>
  <c r="M171" i="1"/>
  <c r="V171" i="1" s="1"/>
  <c r="R178" i="1"/>
  <c r="M86" i="1"/>
  <c r="AB86" i="1" s="1"/>
  <c r="AL84" i="1"/>
  <c r="AV84" i="1" s="1"/>
  <c r="AO33" i="1"/>
  <c r="M33" i="1"/>
  <c r="O50" i="1"/>
  <c r="AW45" i="11" s="1"/>
  <c r="AM52" i="1"/>
  <c r="N86" i="1"/>
  <c r="Q71" i="1"/>
  <c r="AN71" i="1"/>
  <c r="S84" i="1"/>
  <c r="M84" i="1"/>
  <c r="K91" i="1"/>
  <c r="L110" i="1"/>
  <c r="P112" i="1"/>
  <c r="R153" i="1"/>
  <c r="P153" i="1"/>
  <c r="F171" i="1"/>
  <c r="P171" i="1"/>
  <c r="F178" i="1"/>
  <c r="O86" i="1"/>
  <c r="N110" i="1"/>
  <c r="F33" i="1"/>
  <c r="K50" i="1"/>
  <c r="P20" i="1"/>
  <c r="AL20" i="1"/>
  <c r="BH20" i="1" s="1"/>
  <c r="AT15" i="11" s="1"/>
  <c r="AM19" i="1"/>
  <c r="BJ19" i="1" s="1"/>
  <c r="AV14" i="11" s="1"/>
  <c r="Q33" i="1"/>
  <c r="L33" i="1"/>
  <c r="AN50" i="1"/>
  <c r="N52" i="1"/>
  <c r="AM86" i="1"/>
  <c r="AX86" i="1" s="1"/>
  <c r="P71" i="1"/>
  <c r="M71" i="1"/>
  <c r="AF71" i="1" s="1"/>
  <c r="AO84" i="1"/>
  <c r="AT84" i="1" s="1"/>
  <c r="K84" i="1"/>
  <c r="AL110" i="1"/>
  <c r="M112" i="1"/>
  <c r="AL112" i="1"/>
  <c r="AL153" i="1"/>
  <c r="AS153" i="1" s="1"/>
  <c r="M153" i="1"/>
  <c r="AD153" i="1" s="1"/>
  <c r="Q171" i="1"/>
  <c r="AM171" i="1"/>
  <c r="AR171" i="1" s="1"/>
  <c r="O178" i="1"/>
  <c r="AO178" i="1"/>
  <c r="AM110" i="1"/>
  <c r="AN19" i="1"/>
  <c r="K19" i="1"/>
  <c r="N33" i="1"/>
  <c r="AO71" i="1"/>
  <c r="AW71" i="1" s="1"/>
  <c r="F110" i="1"/>
  <c r="AU110" i="1" s="1"/>
  <c r="Q112" i="1"/>
  <c r="M20" i="1"/>
  <c r="O19" i="1"/>
  <c r="AW14" i="11" s="1"/>
  <c r="AO25" i="1"/>
  <c r="O33" i="1"/>
  <c r="AW28" i="11" s="1"/>
  <c r="Q50" i="1"/>
  <c r="F52" i="1"/>
  <c r="Z52" i="1" s="1"/>
  <c r="L86" i="1"/>
  <c r="U86" i="1" s="1"/>
  <c r="L71" i="1"/>
  <c r="Q84" i="1"/>
  <c r="AM84" i="1"/>
  <c r="S110" i="1"/>
  <c r="L112" i="1"/>
  <c r="AG112" i="1" s="1"/>
  <c r="S112" i="1"/>
  <c r="F153" i="1"/>
  <c r="AA153" i="1" s="1"/>
  <c r="S153" i="1"/>
  <c r="O171" i="1"/>
  <c r="L171" i="1"/>
  <c r="N178" i="1"/>
  <c r="Q178" i="1"/>
  <c r="F50" i="1"/>
  <c r="AO110" i="1"/>
  <c r="BI110" i="1" s="1"/>
  <c r="P19" i="1"/>
  <c r="AM25" i="1"/>
  <c r="AU25" i="1" s="1"/>
  <c r="AG20" i="11" s="1"/>
  <c r="AO19" i="1"/>
  <c r="AL50" i="1"/>
  <c r="AO52" i="1"/>
  <c r="AL52" i="1"/>
  <c r="K86" i="1"/>
  <c r="AN84" i="1"/>
  <c r="R110" i="1"/>
  <c r="K110" i="1"/>
  <c r="AO112" i="1"/>
  <c r="K112" i="1"/>
  <c r="K153" i="1"/>
  <c r="M178" i="1"/>
  <c r="AA48" i="1"/>
  <c r="BB69" i="1"/>
  <c r="AD88" i="1"/>
  <c r="AB88" i="1"/>
  <c r="AV160" i="1"/>
  <c r="AP160" i="1"/>
  <c r="AZ114" i="1"/>
  <c r="AA56" i="1"/>
  <c r="AZ149" i="1"/>
  <c r="AH58" i="1"/>
  <c r="O32" i="1"/>
  <c r="AW27" i="11" s="1"/>
  <c r="R32" i="1"/>
  <c r="L32" i="1"/>
  <c r="AN32" i="1"/>
  <c r="F32" i="1"/>
  <c r="P32" i="1"/>
  <c r="K32" i="1"/>
  <c r="Q32" i="1"/>
  <c r="S25" i="1"/>
  <c r="AM38" i="1"/>
  <c r="M44" i="1"/>
  <c r="L43" i="1"/>
  <c r="P44" i="1"/>
  <c r="AN16" i="1"/>
  <c r="N25" i="1"/>
  <c r="R25" i="1"/>
  <c r="K38" i="1"/>
  <c r="AL43" i="1"/>
  <c r="O44" i="1"/>
  <c r="AW39" i="11" s="1"/>
  <c r="AL25" i="1"/>
  <c r="BB25" i="1" s="1"/>
  <c r="AN20" i="11" s="1"/>
  <c r="F38" i="1"/>
  <c r="S38" i="1"/>
  <c r="S43" i="1"/>
  <c r="U56" i="1"/>
  <c r="AO44" i="1"/>
  <c r="BC44" i="1" s="1"/>
  <c r="AO39" i="11" s="1"/>
  <c r="P16" i="1"/>
  <c r="F44" i="1"/>
  <c r="N44" i="1"/>
  <c r="L16" i="1"/>
  <c r="L38" i="1"/>
  <c r="W38" i="1" s="1"/>
  <c r="P43" i="1"/>
  <c r="AN44" i="1"/>
  <c r="Q25" i="1"/>
  <c r="P25" i="1"/>
  <c r="R38" i="1"/>
  <c r="O25" i="1"/>
  <c r="AW20" i="11" s="1"/>
  <c r="F25" i="1"/>
  <c r="O38" i="1"/>
  <c r="AW33" i="11" s="1"/>
  <c r="N38" i="1"/>
  <c r="O43" i="1"/>
  <c r="AW38" i="11" s="1"/>
  <c r="L44" i="1"/>
  <c r="Y44" i="1" s="1"/>
  <c r="AL38" i="1"/>
  <c r="R43" i="1"/>
  <c r="K43" i="1"/>
  <c r="AG56" i="1"/>
  <c r="F43" i="1"/>
  <c r="AN25" i="1"/>
  <c r="M38" i="1"/>
  <c r="X38" i="1" s="1"/>
  <c r="AO43" i="1"/>
  <c r="BF43" i="1" s="1"/>
  <c r="AR38" i="11" s="1"/>
  <c r="AL44" i="1"/>
  <c r="S44" i="1"/>
  <c r="Z54" i="1"/>
  <c r="F16" i="1"/>
  <c r="M16" i="1"/>
  <c r="Z16" i="1" s="1"/>
  <c r="M25" i="1"/>
  <c r="V25" i="1" s="1"/>
  <c r="AN43" i="1"/>
  <c r="AM44" i="1"/>
  <c r="BA44" i="1" s="1"/>
  <c r="AM39" i="11" s="1"/>
  <c r="AM43" i="1"/>
  <c r="R44" i="1"/>
  <c r="AE54" i="1"/>
  <c r="BD56" i="1"/>
  <c r="AP51" i="11" s="1"/>
  <c r="BI114" i="1"/>
  <c r="AE56" i="1"/>
  <c r="AC56" i="1"/>
  <c r="Y56" i="1"/>
  <c r="AZ50" i="1"/>
  <c r="AL45" i="11" s="1"/>
  <c r="W56" i="1"/>
  <c r="AW38" i="1"/>
  <c r="AI33" i="11" s="1"/>
  <c r="AT50" i="1"/>
  <c r="AF45" i="11" s="1"/>
  <c r="AC14" i="1"/>
  <c r="Y108" i="1"/>
  <c r="BA58" i="1"/>
  <c r="BI168" i="1"/>
  <c r="BG56" i="1"/>
  <c r="AS51" i="11" s="1"/>
  <c r="AX56" i="1"/>
  <c r="AJ51" i="11" s="1"/>
  <c r="AA25" i="1"/>
  <c r="AU56" i="1"/>
  <c r="AG51" i="11" s="1"/>
  <c r="AR56" i="1"/>
  <c r="AD51" i="11" s="1"/>
  <c r="BJ56" i="1"/>
  <c r="AV51" i="11" s="1"/>
  <c r="AG79" i="1"/>
  <c r="AF170" i="1"/>
  <c r="Y181" i="1"/>
  <c r="BF50" i="1"/>
  <c r="AR45" i="11" s="1"/>
  <c r="AV56" i="1"/>
  <c r="AH51" i="11" s="1"/>
  <c r="BH56" i="1"/>
  <c r="AT51" i="11" s="1"/>
  <c r="AS56" i="1"/>
  <c r="AE51" i="11" s="1"/>
  <c r="BB56" i="1"/>
  <c r="AN51" i="11" s="1"/>
  <c r="AY56" i="1"/>
  <c r="AK51" i="11" s="1"/>
  <c r="AP56" i="1"/>
  <c r="AB51" i="11" s="1"/>
  <c r="BC149" i="1"/>
  <c r="AO161" i="1"/>
  <c r="N161" i="1"/>
  <c r="AM161" i="1"/>
  <c r="R161" i="1"/>
  <c r="M161" i="1"/>
  <c r="AL16" i="1"/>
  <c r="AY16" i="1" s="1"/>
  <c r="AK11" i="11" s="1"/>
  <c r="M19" i="1"/>
  <c r="V19" i="1" s="1"/>
  <c r="AL19" i="1"/>
  <c r="AS19" i="1" s="1"/>
  <c r="AE14" i="11" s="1"/>
  <c r="P80" i="1"/>
  <c r="S91" i="1"/>
  <c r="AO99" i="1"/>
  <c r="AL91" i="1"/>
  <c r="BB91" i="1" s="1"/>
  <c r="Z170" i="1"/>
  <c r="BI50" i="1"/>
  <c r="AU45" i="11" s="1"/>
  <c r="K99" i="1"/>
  <c r="K16" i="1"/>
  <c r="L19" i="1"/>
  <c r="AC19" i="1" s="1"/>
  <c r="BC50" i="1"/>
  <c r="AO45" i="11" s="1"/>
  <c r="BJ58" i="1"/>
  <c r="AW50" i="1"/>
  <c r="AI45" i="11" s="1"/>
  <c r="F80" i="1"/>
  <c r="M80" i="1"/>
  <c r="K80" i="1"/>
  <c r="P99" i="1"/>
  <c r="P91" i="1"/>
  <c r="BA110" i="1"/>
  <c r="BA181" i="1"/>
  <c r="AE79" i="1"/>
  <c r="AN99" i="1"/>
  <c r="AM16" i="1"/>
  <c r="AR16" i="1" s="1"/>
  <c r="AD11" i="11" s="1"/>
  <c r="Q16" i="1"/>
  <c r="R16" i="1"/>
  <c r="R19" i="1"/>
  <c r="AQ50" i="1"/>
  <c r="AC45" i="11" s="1"/>
  <c r="AP64" i="1"/>
  <c r="L80" i="1"/>
  <c r="O80" i="1"/>
  <c r="AM99" i="1"/>
  <c r="AM91" i="1"/>
  <c r="BG91" i="1" s="1"/>
  <c r="BG110" i="1"/>
  <c r="BH160" i="1"/>
  <c r="N16" i="1"/>
  <c r="AT16" i="1"/>
  <c r="AF11" i="11" s="1"/>
  <c r="S16" i="1"/>
  <c r="O16" i="1"/>
  <c r="AW11" i="11" s="1"/>
  <c r="AO80" i="1"/>
  <c r="S99" i="1"/>
  <c r="L99" i="1"/>
  <c r="N99" i="1"/>
  <c r="L91" i="1"/>
  <c r="AC91" i="1" s="1"/>
  <c r="BB160" i="1"/>
  <c r="AN39" i="1"/>
  <c r="Q39" i="1"/>
  <c r="X170" i="1"/>
  <c r="P111" i="1"/>
  <c r="AN111" i="1"/>
  <c r="AM111" i="1"/>
  <c r="K111" i="1"/>
  <c r="R111" i="1"/>
  <c r="S111" i="1"/>
  <c r="F111" i="1"/>
  <c r="AL111" i="1"/>
  <c r="BE111" i="1" s="1"/>
  <c r="O111" i="1"/>
  <c r="L111" i="1"/>
  <c r="Q111" i="1"/>
  <c r="M111" i="1"/>
  <c r="X111" i="1" s="1"/>
  <c r="N111" i="1"/>
  <c r="AO111" i="1"/>
  <c r="AZ111" i="1" s="1"/>
  <c r="L148" i="1"/>
  <c r="Q148" i="1"/>
  <c r="AO148" i="1"/>
  <c r="K148" i="1"/>
  <c r="AN148" i="1"/>
  <c r="P148" i="1"/>
  <c r="S148" i="1"/>
  <c r="AL148" i="1"/>
  <c r="O148" i="1"/>
  <c r="M148" i="1"/>
  <c r="N148" i="1"/>
  <c r="AM148" i="1"/>
  <c r="R148" i="1"/>
  <c r="F148" i="1"/>
  <c r="AR181" i="1"/>
  <c r="W181" i="1"/>
  <c r="S29" i="1"/>
  <c r="K29" i="1"/>
  <c r="AO29" i="1"/>
  <c r="BI29" i="1" s="1"/>
  <c r="AU24" i="11" s="1"/>
  <c r="L161" i="1"/>
  <c r="F161" i="1"/>
  <c r="O161" i="1"/>
  <c r="P161" i="1"/>
  <c r="AM60" i="1"/>
  <c r="BA60" i="1" s="1"/>
  <c r="AN60" i="1"/>
  <c r="K60" i="1"/>
  <c r="P60" i="1"/>
  <c r="R60" i="1"/>
  <c r="Q60" i="1"/>
  <c r="AL60" i="1"/>
  <c r="AV60" i="1" s="1"/>
  <c r="AN29" i="1"/>
  <c r="BE54" i="1"/>
  <c r="AQ49" i="11" s="1"/>
  <c r="AO60" i="1"/>
  <c r="AW60" i="1" s="1"/>
  <c r="R40" i="1"/>
  <c r="S40" i="1"/>
  <c r="S62" i="1"/>
  <c r="AL62" i="1"/>
  <c r="AC79" i="1"/>
  <c r="AQ114" i="1"/>
  <c r="Q161" i="1"/>
  <c r="BD181" i="1"/>
  <c r="AV181" i="1"/>
  <c r="AM173" i="1"/>
  <c r="AR173" i="1" s="1"/>
  <c r="BJ181" i="1"/>
  <c r="N167" i="1"/>
  <c r="AO167" i="1"/>
  <c r="Q167" i="1"/>
  <c r="AM167" i="1"/>
  <c r="F167" i="1"/>
  <c r="AB167" i="1" s="1"/>
  <c r="BF16" i="1"/>
  <c r="AR11" i="11" s="1"/>
  <c r="Z58" i="1"/>
  <c r="AN40" i="1"/>
  <c r="K40" i="1"/>
  <c r="R62" i="1"/>
  <c r="M62" i="1"/>
  <c r="AF88" i="1"/>
  <c r="AT114" i="1"/>
  <c r="AL161" i="1"/>
  <c r="BB161" i="1" s="1"/>
  <c r="BI152" i="1"/>
  <c r="L173" i="1"/>
  <c r="U173" i="1" s="1"/>
  <c r="L166" i="1"/>
  <c r="AO166" i="1"/>
  <c r="F166" i="1"/>
  <c r="BJ166" i="1" s="1"/>
  <c r="N166" i="1"/>
  <c r="Q166" i="1"/>
  <c r="AF15" i="1"/>
  <c r="BC38" i="1"/>
  <c r="AO33" i="11" s="1"/>
  <c r="P40" i="1"/>
  <c r="O40" i="1"/>
  <c r="AW35" i="11" s="1"/>
  <c r="L62" i="1"/>
  <c r="O62" i="1"/>
  <c r="X88" i="1"/>
  <c r="AQ149" i="1"/>
  <c r="S161" i="1"/>
  <c r="AP181" i="1"/>
  <c r="AO173" i="1"/>
  <c r="AT173" i="1" s="1"/>
  <c r="U181" i="1"/>
  <c r="M99" i="1"/>
  <c r="R99" i="1"/>
  <c r="M91" i="1"/>
  <c r="O91" i="1"/>
  <c r="R91" i="1"/>
  <c r="AN91" i="1"/>
  <c r="AA181" i="1"/>
  <c r="BB181" i="1"/>
  <c r="AX181" i="1"/>
  <c r="F99" i="1"/>
  <c r="V88" i="1"/>
  <c r="K161" i="1"/>
  <c r="AN161" i="1"/>
  <c r="BI16" i="1"/>
  <c r="AU11" i="11" s="1"/>
  <c r="AA14" i="1"/>
  <c r="O29" i="1"/>
  <c r="AW24" i="11" s="1"/>
  <c r="F62" i="1"/>
  <c r="AN62" i="1"/>
  <c r="AG108" i="1"/>
  <c r="Z88" i="1"/>
  <c r="BF152" i="1"/>
  <c r="BE160" i="1"/>
  <c r="BG181" i="1"/>
  <c r="K28" i="1"/>
  <c r="AM28" i="1"/>
  <c r="N28" i="1"/>
  <c r="M28" i="1"/>
  <c r="AF28" i="1" s="1"/>
  <c r="AL28" i="1"/>
  <c r="AP28" i="1" s="1"/>
  <c r="AB23" i="11" s="1"/>
  <c r="L20" i="1"/>
  <c r="W20" i="1" s="1"/>
  <c r="AM20" i="1"/>
  <c r="BJ20" i="1" s="1"/>
  <c r="AV15" i="11" s="1"/>
  <c r="Q20" i="1"/>
  <c r="AO20" i="1"/>
  <c r="AA15" i="11" s="1"/>
  <c r="AT152" i="1"/>
  <c r="AO32" i="1"/>
  <c r="AZ32" i="1" s="1"/>
  <c r="AL27" i="11" s="1"/>
  <c r="M32" i="1"/>
  <c r="V32" i="1" s="1"/>
  <c r="N32" i="1"/>
  <c r="S32" i="1"/>
  <c r="AL32" i="1"/>
  <c r="AS32" i="1" s="1"/>
  <c r="AE27" i="11" s="1"/>
  <c r="AM32" i="1"/>
  <c r="AU32" i="1" s="1"/>
  <c r="AG27" i="11" s="1"/>
  <c r="L82" i="1"/>
  <c r="AC82" i="1" s="1"/>
  <c r="N82" i="1"/>
  <c r="AO82" i="1"/>
  <c r="AQ82" i="1" s="1"/>
  <c r="AC181" i="1"/>
  <c r="N173" i="1"/>
  <c r="R173" i="1"/>
  <c r="K78" i="1"/>
  <c r="S78" i="1"/>
  <c r="N78" i="1"/>
  <c r="R78" i="1"/>
  <c r="AL78" i="1"/>
  <c r="L78" i="1"/>
  <c r="F78" i="1"/>
  <c r="Q78" i="1"/>
  <c r="AN78" i="1"/>
  <c r="AO78" i="1"/>
  <c r="M78" i="1"/>
  <c r="O78" i="1"/>
  <c r="P78" i="1"/>
  <c r="AM78" i="1"/>
  <c r="R72" i="1"/>
  <c r="K72" i="1"/>
  <c r="S72" i="1"/>
  <c r="AL72" i="1"/>
  <c r="L72" i="1"/>
  <c r="M72" i="1"/>
  <c r="N72" i="1"/>
  <c r="AM72" i="1"/>
  <c r="P72" i="1"/>
  <c r="AO72" i="1"/>
  <c r="Q72" i="1"/>
  <c r="AN72" i="1"/>
  <c r="O72" i="1"/>
  <c r="F72" i="1"/>
  <c r="P179" i="1"/>
  <c r="S179" i="1"/>
  <c r="AN179" i="1"/>
  <c r="F179" i="1"/>
  <c r="N179" i="1"/>
  <c r="K179" i="1"/>
  <c r="AL179" i="1"/>
  <c r="L179" i="1"/>
  <c r="AM179" i="1"/>
  <c r="O179" i="1"/>
  <c r="Q179" i="1"/>
  <c r="R179" i="1"/>
  <c r="AO179" i="1"/>
  <c r="M179" i="1"/>
  <c r="R129" i="1"/>
  <c r="N129" i="1"/>
  <c r="AO129" i="1"/>
  <c r="S129" i="1"/>
  <c r="M129" i="1"/>
  <c r="AL129" i="1"/>
  <c r="AM129" i="1"/>
  <c r="AN129" i="1"/>
  <c r="K129" i="1"/>
  <c r="L129" i="1"/>
  <c r="O129" i="1"/>
  <c r="P129" i="1"/>
  <c r="Q129" i="1"/>
  <c r="F129" i="1"/>
  <c r="L97" i="1"/>
  <c r="AM97" i="1"/>
  <c r="P97" i="1"/>
  <c r="S97" i="1"/>
  <c r="N97" i="1"/>
  <c r="AL97" i="1"/>
  <c r="AN97" i="1"/>
  <c r="AO97" i="1"/>
  <c r="K97" i="1"/>
  <c r="M97" i="1"/>
  <c r="O97" i="1"/>
  <c r="Q97" i="1"/>
  <c r="F97" i="1"/>
  <c r="R97" i="1"/>
  <c r="R137" i="1"/>
  <c r="N137" i="1"/>
  <c r="AO137" i="1"/>
  <c r="S137" i="1"/>
  <c r="M137" i="1"/>
  <c r="AL137" i="1"/>
  <c r="O137" i="1"/>
  <c r="P137" i="1"/>
  <c r="Q137" i="1"/>
  <c r="AM137" i="1"/>
  <c r="AN137" i="1"/>
  <c r="K137" i="1"/>
  <c r="L137" i="1"/>
  <c r="F137" i="1"/>
  <c r="L177" i="1"/>
  <c r="AM177" i="1"/>
  <c r="P177" i="1"/>
  <c r="F177" i="1"/>
  <c r="O177" i="1"/>
  <c r="AN177" i="1"/>
  <c r="M177" i="1"/>
  <c r="N177" i="1"/>
  <c r="Q177" i="1"/>
  <c r="R177" i="1"/>
  <c r="AL177" i="1"/>
  <c r="AO177" i="1"/>
  <c r="K177" i="1"/>
  <c r="S177" i="1"/>
  <c r="Q66" i="1"/>
  <c r="R66" i="1"/>
  <c r="K66" i="1"/>
  <c r="S66" i="1"/>
  <c r="AL66" i="1"/>
  <c r="L66" i="1"/>
  <c r="AM66" i="1"/>
  <c r="M66" i="1"/>
  <c r="AN66" i="1"/>
  <c r="N66" i="1"/>
  <c r="AO66" i="1"/>
  <c r="P66" i="1"/>
  <c r="O66" i="1"/>
  <c r="F66" i="1"/>
  <c r="R76" i="1"/>
  <c r="K76" i="1"/>
  <c r="S76" i="1"/>
  <c r="AL76" i="1"/>
  <c r="O76" i="1"/>
  <c r="AN76" i="1"/>
  <c r="L76" i="1"/>
  <c r="M76" i="1"/>
  <c r="N76" i="1"/>
  <c r="Q76" i="1"/>
  <c r="AM76" i="1"/>
  <c r="AO76" i="1"/>
  <c r="P76" i="1"/>
  <c r="F76" i="1"/>
  <c r="N124" i="1"/>
  <c r="AO124" i="1"/>
  <c r="R124" i="1"/>
  <c r="M124" i="1"/>
  <c r="AL124" i="1"/>
  <c r="P124" i="1"/>
  <c r="AN124" i="1"/>
  <c r="K124" i="1"/>
  <c r="L124" i="1"/>
  <c r="O124" i="1"/>
  <c r="Q124" i="1"/>
  <c r="S124" i="1"/>
  <c r="AM124" i="1"/>
  <c r="F124" i="1"/>
  <c r="K157" i="1"/>
  <c r="S157" i="1"/>
  <c r="AL157" i="1"/>
  <c r="O157" i="1"/>
  <c r="AO157" i="1"/>
  <c r="L157" i="1"/>
  <c r="AM157" i="1"/>
  <c r="M157" i="1"/>
  <c r="AN157" i="1"/>
  <c r="N157" i="1"/>
  <c r="P157" i="1"/>
  <c r="Q157" i="1"/>
  <c r="R157" i="1"/>
  <c r="F157" i="1"/>
  <c r="K116" i="1"/>
  <c r="S116" i="1"/>
  <c r="AL116" i="1"/>
  <c r="AO116" i="1"/>
  <c r="O116" i="1"/>
  <c r="L116" i="1"/>
  <c r="AM116" i="1"/>
  <c r="M116" i="1"/>
  <c r="AN116" i="1"/>
  <c r="N116" i="1"/>
  <c r="P116" i="1"/>
  <c r="Q116" i="1"/>
  <c r="R116" i="1"/>
  <c r="F116" i="1"/>
  <c r="N118" i="1"/>
  <c r="AO118" i="1"/>
  <c r="R118" i="1"/>
  <c r="S118" i="1"/>
  <c r="K118" i="1"/>
  <c r="L118" i="1"/>
  <c r="M118" i="1"/>
  <c r="AL118" i="1"/>
  <c r="O118" i="1"/>
  <c r="AM118" i="1"/>
  <c r="P118" i="1"/>
  <c r="AN118" i="1"/>
  <c r="Q118" i="1"/>
  <c r="F118" i="1"/>
  <c r="BE73" i="1"/>
  <c r="AP73" i="1"/>
  <c r="AV73" i="1"/>
  <c r="AY73" i="1"/>
  <c r="AS73" i="1"/>
  <c r="BB73" i="1"/>
  <c r="BH73" i="1"/>
  <c r="AB79" i="1"/>
  <c r="X79" i="1"/>
  <c r="AF79" i="1"/>
  <c r="Z79" i="1"/>
  <c r="AD79" i="1"/>
  <c r="AH79" i="1"/>
  <c r="V79" i="1"/>
  <c r="AG86" i="1"/>
  <c r="AT81" i="1"/>
  <c r="BF81" i="1"/>
  <c r="AZ81" i="1"/>
  <c r="AQ81" i="1"/>
  <c r="BI81" i="1"/>
  <c r="AW81" i="1"/>
  <c r="BC81" i="1"/>
  <c r="R121" i="1"/>
  <c r="N121" i="1"/>
  <c r="AO121" i="1"/>
  <c r="P121" i="1"/>
  <c r="AN121" i="1"/>
  <c r="Q121" i="1"/>
  <c r="S121" i="1"/>
  <c r="K121" i="1"/>
  <c r="L121" i="1"/>
  <c r="M121" i="1"/>
  <c r="AL121" i="1"/>
  <c r="AM121" i="1"/>
  <c r="O121" i="1"/>
  <c r="AY96" i="1"/>
  <c r="AP96" i="1"/>
  <c r="AV96" i="1"/>
  <c r="BB96" i="1"/>
  <c r="BE96" i="1"/>
  <c r="AS96" i="1"/>
  <c r="BH96" i="1"/>
  <c r="Q68" i="1"/>
  <c r="R68" i="1"/>
  <c r="K68" i="1"/>
  <c r="S68" i="1"/>
  <c r="AL68" i="1"/>
  <c r="L68" i="1"/>
  <c r="AN68" i="1"/>
  <c r="AO68" i="1"/>
  <c r="M68" i="1"/>
  <c r="N68" i="1"/>
  <c r="O68" i="1"/>
  <c r="P68" i="1"/>
  <c r="AM68" i="1"/>
  <c r="AX80" i="1"/>
  <c r="BJ80" i="1"/>
  <c r="BD80" i="1"/>
  <c r="BA80" i="1"/>
  <c r="AR80" i="1"/>
  <c r="BG80" i="1"/>
  <c r="AU80" i="1"/>
  <c r="W77" i="1"/>
  <c r="AE77" i="1"/>
  <c r="Y77" i="1"/>
  <c r="AC77" i="1"/>
  <c r="U77" i="1"/>
  <c r="AA77" i="1"/>
  <c r="AG77" i="1"/>
  <c r="P90" i="1"/>
  <c r="L90" i="1"/>
  <c r="AM90" i="1"/>
  <c r="S90" i="1"/>
  <c r="M90" i="1"/>
  <c r="N90" i="1"/>
  <c r="AL90" i="1"/>
  <c r="F90" i="1"/>
  <c r="O90" i="1"/>
  <c r="AN90" i="1"/>
  <c r="R90" i="1"/>
  <c r="AO90" i="1"/>
  <c r="K90" i="1"/>
  <c r="Q90" i="1"/>
  <c r="X108" i="1"/>
  <c r="AF108" i="1"/>
  <c r="AB108" i="1"/>
  <c r="AD108" i="1"/>
  <c r="V108" i="1"/>
  <c r="Z108" i="1"/>
  <c r="AH108" i="1"/>
  <c r="AY100" i="1"/>
  <c r="AV100" i="1"/>
  <c r="AP100" i="1"/>
  <c r="BE100" i="1"/>
  <c r="AS100" i="1"/>
  <c r="BH100" i="1"/>
  <c r="BB100" i="1"/>
  <c r="AY103" i="1"/>
  <c r="BE103" i="1"/>
  <c r="AS103" i="1"/>
  <c r="BH103" i="1"/>
  <c r="AV103" i="1"/>
  <c r="BB103" i="1"/>
  <c r="AP103" i="1"/>
  <c r="R133" i="1"/>
  <c r="N133" i="1"/>
  <c r="AO133" i="1"/>
  <c r="S133" i="1"/>
  <c r="M133" i="1"/>
  <c r="AL133" i="1"/>
  <c r="Q133" i="1"/>
  <c r="AM133" i="1"/>
  <c r="K133" i="1"/>
  <c r="L133" i="1"/>
  <c r="O133" i="1"/>
  <c r="AN133" i="1"/>
  <c r="P133" i="1"/>
  <c r="AE108" i="1"/>
  <c r="BG104" i="1"/>
  <c r="AU104" i="1"/>
  <c r="BA104" i="1"/>
  <c r="BJ104" i="1"/>
  <c r="AX104" i="1"/>
  <c r="BD104" i="1"/>
  <c r="AR104" i="1"/>
  <c r="W73" i="1"/>
  <c r="AE73" i="1"/>
  <c r="Y73" i="1"/>
  <c r="AA73" i="1"/>
  <c r="U73" i="1"/>
  <c r="AG73" i="1"/>
  <c r="AC73" i="1"/>
  <c r="V83" i="1"/>
  <c r="AF83" i="1"/>
  <c r="AH83" i="1"/>
  <c r="X83" i="1"/>
  <c r="Z83" i="1"/>
  <c r="AD83" i="1"/>
  <c r="AB83" i="1"/>
  <c r="BD71" i="1"/>
  <c r="AX71" i="1"/>
  <c r="BA71" i="1"/>
  <c r="AR71" i="1"/>
  <c r="BG71" i="1"/>
  <c r="AU71" i="1"/>
  <c r="BJ71" i="1"/>
  <c r="AX77" i="1"/>
  <c r="AU77" i="1"/>
  <c r="BG77" i="1"/>
  <c r="BA77" i="1"/>
  <c r="AR77" i="1"/>
  <c r="BD77" i="1"/>
  <c r="BJ77" i="1"/>
  <c r="AY99" i="1"/>
  <c r="BE99" i="1"/>
  <c r="BB99" i="1"/>
  <c r="AP99" i="1"/>
  <c r="AS99" i="1"/>
  <c r="BH99" i="1"/>
  <c r="AV99" i="1"/>
  <c r="U79" i="1"/>
  <c r="AY88" i="1"/>
  <c r="BB88" i="1"/>
  <c r="BH88" i="1"/>
  <c r="BE88" i="1"/>
  <c r="AP88" i="1"/>
  <c r="AS88" i="1"/>
  <c r="AV88" i="1"/>
  <c r="P98" i="1"/>
  <c r="L98" i="1"/>
  <c r="AM98" i="1"/>
  <c r="F98" i="1"/>
  <c r="O98" i="1"/>
  <c r="AN98" i="1"/>
  <c r="N98" i="1"/>
  <c r="Q98" i="1"/>
  <c r="R98" i="1"/>
  <c r="S98" i="1"/>
  <c r="AL98" i="1"/>
  <c r="AO98" i="1"/>
  <c r="K98" i="1"/>
  <c r="M98" i="1"/>
  <c r="AS84" i="1"/>
  <c r="L101" i="1"/>
  <c r="AM101" i="1"/>
  <c r="P101" i="1"/>
  <c r="N101" i="1"/>
  <c r="AL101" i="1"/>
  <c r="S101" i="1"/>
  <c r="O101" i="1"/>
  <c r="Q101" i="1"/>
  <c r="F101" i="1"/>
  <c r="R101" i="1"/>
  <c r="AN101" i="1"/>
  <c r="AO101" i="1"/>
  <c r="K101" i="1"/>
  <c r="M101" i="1"/>
  <c r="L105" i="1"/>
  <c r="AM105" i="1"/>
  <c r="P105" i="1"/>
  <c r="S105" i="1"/>
  <c r="N105" i="1"/>
  <c r="AL105" i="1"/>
  <c r="AN105" i="1"/>
  <c r="AO105" i="1"/>
  <c r="K105" i="1"/>
  <c r="O105" i="1"/>
  <c r="Q105" i="1"/>
  <c r="F105" i="1"/>
  <c r="R105" i="1"/>
  <c r="M105" i="1"/>
  <c r="X100" i="1"/>
  <c r="AD100" i="1"/>
  <c r="Z100" i="1"/>
  <c r="AB100" i="1"/>
  <c r="AF100" i="1"/>
  <c r="AH100" i="1"/>
  <c r="V100" i="1"/>
  <c r="R119" i="1"/>
  <c r="N119" i="1"/>
  <c r="AO119" i="1"/>
  <c r="K119" i="1"/>
  <c r="L119" i="1"/>
  <c r="M119" i="1"/>
  <c r="AL119" i="1"/>
  <c r="O119" i="1"/>
  <c r="AM119" i="1"/>
  <c r="P119" i="1"/>
  <c r="AN119" i="1"/>
  <c r="Q119" i="1"/>
  <c r="S119" i="1"/>
  <c r="AB107" i="1"/>
  <c r="X107" i="1"/>
  <c r="AF107" i="1"/>
  <c r="AD107" i="1"/>
  <c r="AH107" i="1"/>
  <c r="Z107" i="1"/>
  <c r="V107" i="1"/>
  <c r="U108" i="1"/>
  <c r="Y104" i="1"/>
  <c r="AG104" i="1"/>
  <c r="U104" i="1"/>
  <c r="AC104" i="1"/>
  <c r="W104" i="1"/>
  <c r="AA104" i="1"/>
  <c r="AE104" i="1"/>
  <c r="AX114" i="1"/>
  <c r="BJ114" i="1"/>
  <c r="BA114" i="1"/>
  <c r="BG114" i="1"/>
  <c r="AR114" i="1"/>
  <c r="AU114" i="1"/>
  <c r="BD114" i="1"/>
  <c r="AP114" i="1"/>
  <c r="BB114" i="1"/>
  <c r="AV114" i="1"/>
  <c r="BE114" i="1"/>
  <c r="AS114" i="1"/>
  <c r="BH114" i="1"/>
  <c r="AY114" i="1"/>
  <c r="N126" i="1"/>
  <c r="AO126" i="1"/>
  <c r="R126" i="1"/>
  <c r="S126" i="1"/>
  <c r="K126" i="1"/>
  <c r="P126" i="1"/>
  <c r="AN126" i="1"/>
  <c r="M126" i="1"/>
  <c r="O126" i="1"/>
  <c r="Q126" i="1"/>
  <c r="AL126" i="1"/>
  <c r="AM126" i="1"/>
  <c r="L126" i="1"/>
  <c r="N134" i="1"/>
  <c r="AO134" i="1"/>
  <c r="R134" i="1"/>
  <c r="K134" i="1"/>
  <c r="P134" i="1"/>
  <c r="AN134" i="1"/>
  <c r="L134" i="1"/>
  <c r="M134" i="1"/>
  <c r="Q134" i="1"/>
  <c r="S134" i="1"/>
  <c r="AL134" i="1"/>
  <c r="O134" i="1"/>
  <c r="AM134" i="1"/>
  <c r="AC113" i="1"/>
  <c r="W113" i="1"/>
  <c r="Y113" i="1"/>
  <c r="AA113" i="1"/>
  <c r="AE113" i="1"/>
  <c r="AG113" i="1"/>
  <c r="U113" i="1"/>
  <c r="BF114" i="1"/>
  <c r="K159" i="1"/>
  <c r="S159" i="1"/>
  <c r="AL159" i="1"/>
  <c r="L159" i="1"/>
  <c r="P159" i="1"/>
  <c r="N159" i="1"/>
  <c r="AO159" i="1"/>
  <c r="O159" i="1"/>
  <c r="Q159" i="1"/>
  <c r="R159" i="1"/>
  <c r="AM159" i="1"/>
  <c r="M159" i="1"/>
  <c r="AN159" i="1"/>
  <c r="AP69" i="1"/>
  <c r="BE145" i="1"/>
  <c r="AS145" i="1"/>
  <c r="AV145" i="1"/>
  <c r="BH145" i="1"/>
  <c r="AP145" i="1"/>
  <c r="BB145" i="1"/>
  <c r="AY145" i="1"/>
  <c r="AX164" i="1"/>
  <c r="AU164" i="1"/>
  <c r="BD164" i="1"/>
  <c r="BA164" i="1"/>
  <c r="AR164" i="1"/>
  <c r="BG164" i="1"/>
  <c r="BJ164" i="1"/>
  <c r="U162" i="1"/>
  <c r="AE162" i="1"/>
  <c r="AG162" i="1"/>
  <c r="W162" i="1"/>
  <c r="Y162" i="1"/>
  <c r="AA162" i="1"/>
  <c r="AC162" i="1"/>
  <c r="Y168" i="1"/>
  <c r="AT168" i="1"/>
  <c r="AP154" i="1"/>
  <c r="AY154" i="1"/>
  <c r="BH154" i="1"/>
  <c r="AS154" i="1"/>
  <c r="BE154" i="1"/>
  <c r="AV154" i="1"/>
  <c r="BB154" i="1"/>
  <c r="AU180" i="1"/>
  <c r="AR180" i="1"/>
  <c r="BD180" i="1"/>
  <c r="BG180" i="1"/>
  <c r="BA180" i="1"/>
  <c r="AX180" i="1"/>
  <c r="BJ180" i="1"/>
  <c r="F68" i="1"/>
  <c r="AW67" i="1"/>
  <c r="BF67" i="1"/>
  <c r="AQ67" i="1"/>
  <c r="BI67" i="1"/>
  <c r="BC67" i="1"/>
  <c r="AT67" i="1"/>
  <c r="AZ67" i="1"/>
  <c r="AW69" i="1"/>
  <c r="BF69" i="1"/>
  <c r="AQ69" i="1"/>
  <c r="BC69" i="1"/>
  <c r="AT69" i="1"/>
  <c r="BI69" i="1"/>
  <c r="AZ69" i="1"/>
  <c r="AP82" i="1"/>
  <c r="BB82" i="1"/>
  <c r="AV82" i="1"/>
  <c r="AY82" i="1"/>
  <c r="BE82" i="1"/>
  <c r="BH82" i="1"/>
  <c r="AS82" i="1"/>
  <c r="AT79" i="1"/>
  <c r="BF79" i="1"/>
  <c r="AW79" i="1"/>
  <c r="BC79" i="1"/>
  <c r="BI79" i="1"/>
  <c r="AZ79" i="1"/>
  <c r="AQ79" i="1"/>
  <c r="AY83" i="1"/>
  <c r="AS83" i="1"/>
  <c r="BE83" i="1"/>
  <c r="AV83" i="1"/>
  <c r="BH83" i="1"/>
  <c r="AP83" i="1"/>
  <c r="BB83" i="1"/>
  <c r="L85" i="1"/>
  <c r="AM85" i="1"/>
  <c r="P85" i="1"/>
  <c r="M85" i="1"/>
  <c r="F85" i="1"/>
  <c r="O85" i="1"/>
  <c r="AN85" i="1"/>
  <c r="Q85" i="1"/>
  <c r="AO85" i="1"/>
  <c r="R85" i="1"/>
  <c r="AL85" i="1"/>
  <c r="K85" i="1"/>
  <c r="N85" i="1"/>
  <c r="S85" i="1"/>
  <c r="L87" i="1"/>
  <c r="AM87" i="1"/>
  <c r="P87" i="1"/>
  <c r="F87" i="1"/>
  <c r="O87" i="1"/>
  <c r="AN87" i="1"/>
  <c r="R87" i="1"/>
  <c r="M87" i="1"/>
  <c r="Q87" i="1"/>
  <c r="S87" i="1"/>
  <c r="AL87" i="1"/>
  <c r="AO87" i="1"/>
  <c r="K87" i="1"/>
  <c r="N87" i="1"/>
  <c r="AW77" i="1"/>
  <c r="BF77" i="1"/>
  <c r="AQ77" i="1"/>
  <c r="AZ77" i="1"/>
  <c r="BC77" i="1"/>
  <c r="BI77" i="1"/>
  <c r="AT77" i="1"/>
  <c r="BB81" i="1"/>
  <c r="AP81" i="1"/>
  <c r="BE81" i="1"/>
  <c r="AS81" i="1"/>
  <c r="BH81" i="1"/>
  <c r="AV81" i="1"/>
  <c r="AY81" i="1"/>
  <c r="AA79" i="1"/>
  <c r="BF91" i="1"/>
  <c r="AP108" i="1"/>
  <c r="BB108" i="1"/>
  <c r="AS108" i="1"/>
  <c r="AV108" i="1"/>
  <c r="BH108" i="1"/>
  <c r="AY108" i="1"/>
  <c r="BE108" i="1"/>
  <c r="BG100" i="1"/>
  <c r="AU100" i="1"/>
  <c r="BA100" i="1"/>
  <c r="BD100" i="1"/>
  <c r="AR100" i="1"/>
  <c r="BJ100" i="1"/>
  <c r="AX100" i="1"/>
  <c r="R123" i="1"/>
  <c r="N123" i="1"/>
  <c r="AO123" i="1"/>
  <c r="K123" i="1"/>
  <c r="L123" i="1"/>
  <c r="M123" i="1"/>
  <c r="AL123" i="1"/>
  <c r="P123" i="1"/>
  <c r="AN123" i="1"/>
  <c r="Q123" i="1"/>
  <c r="S123" i="1"/>
  <c r="O123" i="1"/>
  <c r="AM123" i="1"/>
  <c r="N140" i="1"/>
  <c r="AO140" i="1"/>
  <c r="R140" i="1"/>
  <c r="P140" i="1"/>
  <c r="AN140" i="1"/>
  <c r="K140" i="1"/>
  <c r="S140" i="1"/>
  <c r="AL140" i="1"/>
  <c r="AM140" i="1"/>
  <c r="L140" i="1"/>
  <c r="M140" i="1"/>
  <c r="O140" i="1"/>
  <c r="Q140" i="1"/>
  <c r="AC107" i="1"/>
  <c r="U107" i="1"/>
  <c r="AE107" i="1"/>
  <c r="W107" i="1"/>
  <c r="Y107" i="1"/>
  <c r="AA107" i="1"/>
  <c r="AG107" i="1"/>
  <c r="AC108" i="1"/>
  <c r="R135" i="1"/>
  <c r="N135" i="1"/>
  <c r="AO135" i="1"/>
  <c r="M135" i="1"/>
  <c r="AL135" i="1"/>
  <c r="S135" i="1"/>
  <c r="P135" i="1"/>
  <c r="Q135" i="1"/>
  <c r="AN135" i="1"/>
  <c r="K135" i="1"/>
  <c r="L135" i="1"/>
  <c r="O135" i="1"/>
  <c r="AM135" i="1"/>
  <c r="AH88" i="1"/>
  <c r="AY104" i="1"/>
  <c r="AP104" i="1"/>
  <c r="AV104" i="1"/>
  <c r="BB104" i="1"/>
  <c r="BE104" i="1"/>
  <c r="AS104" i="1"/>
  <c r="BH104" i="1"/>
  <c r="N132" i="1"/>
  <c r="AO132" i="1"/>
  <c r="R132" i="1"/>
  <c r="P132" i="1"/>
  <c r="AN132" i="1"/>
  <c r="K132" i="1"/>
  <c r="L132" i="1"/>
  <c r="M132" i="1"/>
  <c r="O132" i="1"/>
  <c r="Q132" i="1"/>
  <c r="S132" i="1"/>
  <c r="AL132" i="1"/>
  <c r="AM132" i="1"/>
  <c r="R143" i="1"/>
  <c r="N143" i="1"/>
  <c r="AO143" i="1"/>
  <c r="M143" i="1"/>
  <c r="S143" i="1"/>
  <c r="AN143" i="1"/>
  <c r="AL143" i="1"/>
  <c r="L143" i="1"/>
  <c r="P143" i="1"/>
  <c r="K143" i="1"/>
  <c r="AM143" i="1"/>
  <c r="O143" i="1"/>
  <c r="Q143" i="1"/>
  <c r="AT113" i="1"/>
  <c r="BF113" i="1"/>
  <c r="AZ113" i="1"/>
  <c r="BC113" i="1"/>
  <c r="AQ113" i="1"/>
  <c r="BI113" i="1"/>
  <c r="AW113" i="1"/>
  <c r="K163" i="1"/>
  <c r="S163" i="1"/>
  <c r="AL163" i="1"/>
  <c r="N163" i="1"/>
  <c r="R163" i="1"/>
  <c r="AN163" i="1"/>
  <c r="O163" i="1"/>
  <c r="P163" i="1"/>
  <c r="Q163" i="1"/>
  <c r="L163" i="1"/>
  <c r="AM163" i="1"/>
  <c r="AO163" i="1"/>
  <c r="M163" i="1"/>
  <c r="BF158" i="1"/>
  <c r="AT158" i="1"/>
  <c r="AW158" i="1"/>
  <c r="BI158" i="1"/>
  <c r="AZ158" i="1"/>
  <c r="AQ158" i="1"/>
  <c r="BC158" i="1"/>
  <c r="BE69" i="1"/>
  <c r="BB152" i="1"/>
  <c r="AP152" i="1"/>
  <c r="BH152" i="1"/>
  <c r="BE152" i="1"/>
  <c r="AS152" i="1"/>
  <c r="AV152" i="1"/>
  <c r="AY152" i="1"/>
  <c r="AS160" i="1"/>
  <c r="AG168" i="1"/>
  <c r="AP162" i="1"/>
  <c r="AY162" i="1"/>
  <c r="BH162" i="1"/>
  <c r="AS162" i="1"/>
  <c r="BE162" i="1"/>
  <c r="AV162" i="1"/>
  <c r="BB162" i="1"/>
  <c r="X167" i="1"/>
  <c r="AX151" i="1"/>
  <c r="BJ151" i="1"/>
  <c r="BA151" i="1"/>
  <c r="BG151" i="1"/>
  <c r="BD151" i="1"/>
  <c r="AR151" i="1"/>
  <c r="AU151" i="1"/>
  <c r="AC168" i="1"/>
  <c r="AH170" i="1"/>
  <c r="X156" i="1"/>
  <c r="AF156" i="1"/>
  <c r="V156" i="1"/>
  <c r="Z156" i="1"/>
  <c r="AB156" i="1"/>
  <c r="AD156" i="1"/>
  <c r="AH156" i="1"/>
  <c r="AW168" i="1"/>
  <c r="K169" i="1"/>
  <c r="S169" i="1"/>
  <c r="AL169" i="1"/>
  <c r="M169" i="1"/>
  <c r="Q169" i="1"/>
  <c r="AM169" i="1"/>
  <c r="N169" i="1"/>
  <c r="AO169" i="1"/>
  <c r="O169" i="1"/>
  <c r="P169" i="1"/>
  <c r="R169" i="1"/>
  <c r="AN169" i="1"/>
  <c r="F169" i="1"/>
  <c r="L169" i="1"/>
  <c r="BH181" i="1"/>
  <c r="AG181" i="1"/>
  <c r="BA171" i="1"/>
  <c r="BG174" i="1"/>
  <c r="AU174" i="1"/>
  <c r="BJ174" i="1"/>
  <c r="BA174" i="1"/>
  <c r="AX174" i="1"/>
  <c r="BD174" i="1"/>
  <c r="AR174" i="1"/>
  <c r="U180" i="1"/>
  <c r="AC180" i="1"/>
  <c r="W180" i="1"/>
  <c r="AA180" i="1"/>
  <c r="AE180" i="1"/>
  <c r="AG180" i="1"/>
  <c r="Y180" i="1"/>
  <c r="AY160" i="1"/>
  <c r="X77" i="1"/>
  <c r="AF77" i="1"/>
  <c r="AH77" i="1"/>
  <c r="AB77" i="1"/>
  <c r="V77" i="1"/>
  <c r="Z77" i="1"/>
  <c r="AD77" i="1"/>
  <c r="AD96" i="1"/>
  <c r="X96" i="1"/>
  <c r="AF96" i="1"/>
  <c r="AH96" i="1"/>
  <c r="V96" i="1"/>
  <c r="Z96" i="1"/>
  <c r="AB96" i="1"/>
  <c r="Y100" i="1"/>
  <c r="AG100" i="1"/>
  <c r="U100" i="1"/>
  <c r="AC100" i="1"/>
  <c r="AA100" i="1"/>
  <c r="AE100" i="1"/>
  <c r="W100" i="1"/>
  <c r="AU103" i="1"/>
  <c r="BG103" i="1"/>
  <c r="BJ103" i="1"/>
  <c r="AR103" i="1"/>
  <c r="AX103" i="1"/>
  <c r="BA103" i="1"/>
  <c r="BD103" i="1"/>
  <c r="BF108" i="1"/>
  <c r="AT108" i="1"/>
  <c r="AQ108" i="1"/>
  <c r="BC108" i="1"/>
  <c r="AW108" i="1"/>
  <c r="BI108" i="1"/>
  <c r="AZ108" i="1"/>
  <c r="R131" i="1"/>
  <c r="N131" i="1"/>
  <c r="AO131" i="1"/>
  <c r="M131" i="1"/>
  <c r="AL131" i="1"/>
  <c r="S131" i="1"/>
  <c r="AM131" i="1"/>
  <c r="AN131" i="1"/>
  <c r="K131" i="1"/>
  <c r="L131" i="1"/>
  <c r="O131" i="1"/>
  <c r="P131" i="1"/>
  <c r="Q131" i="1"/>
  <c r="W108" i="1"/>
  <c r="N130" i="1"/>
  <c r="AO130" i="1"/>
  <c r="R130" i="1"/>
  <c r="K130" i="1"/>
  <c r="P130" i="1"/>
  <c r="AN130" i="1"/>
  <c r="M130" i="1"/>
  <c r="O130" i="1"/>
  <c r="Q130" i="1"/>
  <c r="S130" i="1"/>
  <c r="AL130" i="1"/>
  <c r="AM130" i="1"/>
  <c r="L130" i="1"/>
  <c r="BJ115" i="1"/>
  <c r="AX115" i="1"/>
  <c r="AR115" i="1"/>
  <c r="BA115" i="1"/>
  <c r="BD115" i="1"/>
  <c r="BG115" i="1"/>
  <c r="AU115" i="1"/>
  <c r="R141" i="1"/>
  <c r="N141" i="1"/>
  <c r="AO141" i="1"/>
  <c r="S141" i="1"/>
  <c r="M141" i="1"/>
  <c r="AL141" i="1"/>
  <c r="K141" i="1"/>
  <c r="L141" i="1"/>
  <c r="O141" i="1"/>
  <c r="Q141" i="1"/>
  <c r="AM141" i="1"/>
  <c r="P141" i="1"/>
  <c r="AN141" i="1"/>
  <c r="AA149" i="1"/>
  <c r="AG149" i="1"/>
  <c r="AC149" i="1"/>
  <c r="AE149" i="1"/>
  <c r="U149" i="1"/>
  <c r="W149" i="1"/>
  <c r="Y149" i="1"/>
  <c r="BC114" i="1"/>
  <c r="X149" i="1"/>
  <c r="AF149" i="1"/>
  <c r="AB149" i="1"/>
  <c r="V149" i="1"/>
  <c r="Z149" i="1"/>
  <c r="AD149" i="1"/>
  <c r="AH149" i="1"/>
  <c r="AW149" i="1"/>
  <c r="AV69" i="1"/>
  <c r="W145" i="1"/>
  <c r="AE145" i="1"/>
  <c r="AA145" i="1"/>
  <c r="U145" i="1"/>
  <c r="Y145" i="1"/>
  <c r="AC145" i="1"/>
  <c r="AG145" i="1"/>
  <c r="AA164" i="1"/>
  <c r="AE164" i="1"/>
  <c r="Y164" i="1"/>
  <c r="AC164" i="1"/>
  <c r="U164" i="1"/>
  <c r="W164" i="1"/>
  <c r="AG164" i="1"/>
  <c r="BA168" i="1"/>
  <c r="AP168" i="1"/>
  <c r="AS168" i="1"/>
  <c r="BB168" i="1"/>
  <c r="BE168" i="1"/>
  <c r="AY168" i="1"/>
  <c r="BH168" i="1"/>
  <c r="AV168" i="1"/>
  <c r="X151" i="1"/>
  <c r="AF151" i="1"/>
  <c r="AB151" i="1"/>
  <c r="AD151" i="1"/>
  <c r="V151" i="1"/>
  <c r="Z151" i="1"/>
  <c r="AH151" i="1"/>
  <c r="BJ168" i="1"/>
  <c r="AX156" i="1"/>
  <c r="AU156" i="1"/>
  <c r="BD156" i="1"/>
  <c r="BJ156" i="1"/>
  <c r="BA156" i="1"/>
  <c r="AR156" i="1"/>
  <c r="BG156" i="1"/>
  <c r="BF168" i="1"/>
  <c r="AY181" i="1"/>
  <c r="U171" i="1"/>
  <c r="AC171" i="1"/>
  <c r="Y174" i="1"/>
  <c r="AG174" i="1"/>
  <c r="U174" i="1"/>
  <c r="AC174" i="1"/>
  <c r="W174" i="1"/>
  <c r="AA174" i="1"/>
  <c r="AE174" i="1"/>
  <c r="U168" i="1"/>
  <c r="AU168" i="1"/>
  <c r="U83" i="1"/>
  <c r="AC83" i="1"/>
  <c r="Y83" i="1"/>
  <c r="AG83" i="1"/>
  <c r="W83" i="1"/>
  <c r="AA83" i="1"/>
  <c r="AE83" i="1"/>
  <c r="Y79" i="1"/>
  <c r="AV67" i="1"/>
  <c r="BE67" i="1"/>
  <c r="AP67" i="1"/>
  <c r="AY67" i="1"/>
  <c r="AS67" i="1"/>
  <c r="BH67" i="1"/>
  <c r="BB67" i="1"/>
  <c r="AP112" i="1"/>
  <c r="BB112" i="1"/>
  <c r="AY112" i="1"/>
  <c r="AS112" i="1"/>
  <c r="AV112" i="1"/>
  <c r="BE112" i="1"/>
  <c r="BH112" i="1"/>
  <c r="AB152" i="1"/>
  <c r="X152" i="1"/>
  <c r="AF152" i="1"/>
  <c r="Z152" i="1"/>
  <c r="AD152" i="1"/>
  <c r="AH152" i="1"/>
  <c r="V152" i="1"/>
  <c r="X158" i="1"/>
  <c r="AF158" i="1"/>
  <c r="AB158" i="1"/>
  <c r="AD158" i="1"/>
  <c r="AH158" i="1"/>
  <c r="V158" i="1"/>
  <c r="Z158" i="1"/>
  <c r="K150" i="1"/>
  <c r="S150" i="1"/>
  <c r="AL150" i="1"/>
  <c r="O150" i="1"/>
  <c r="Q150" i="1"/>
  <c r="AO150" i="1"/>
  <c r="L150" i="1"/>
  <c r="P150" i="1"/>
  <c r="R150" i="1"/>
  <c r="AM150" i="1"/>
  <c r="AN150" i="1"/>
  <c r="M150" i="1"/>
  <c r="N150" i="1"/>
  <c r="K165" i="1"/>
  <c r="S165" i="1"/>
  <c r="AL165" i="1"/>
  <c r="AO165" i="1"/>
  <c r="O165" i="1"/>
  <c r="L165" i="1"/>
  <c r="AM165" i="1"/>
  <c r="M165" i="1"/>
  <c r="AN165" i="1"/>
  <c r="N165" i="1"/>
  <c r="R165" i="1"/>
  <c r="P165" i="1"/>
  <c r="Q165" i="1"/>
  <c r="BI149" i="1"/>
  <c r="AU145" i="1"/>
  <c r="BD145" i="1"/>
  <c r="BG145" i="1"/>
  <c r="BJ145" i="1"/>
  <c r="AR145" i="1"/>
  <c r="AX145" i="1"/>
  <c r="BA145" i="1"/>
  <c r="AW145" i="1"/>
  <c r="AQ145" i="1"/>
  <c r="AZ145" i="1"/>
  <c r="BI145" i="1"/>
  <c r="BF145" i="1"/>
  <c r="BC145" i="1"/>
  <c r="AT145" i="1"/>
  <c r="AF166" i="1"/>
  <c r="L182" i="1"/>
  <c r="AM182" i="1"/>
  <c r="R182" i="1"/>
  <c r="AN182" i="1"/>
  <c r="N182" i="1"/>
  <c r="K182" i="1"/>
  <c r="AL182" i="1"/>
  <c r="M182" i="1"/>
  <c r="AO182" i="1"/>
  <c r="O182" i="1"/>
  <c r="Q182" i="1"/>
  <c r="S182" i="1"/>
  <c r="P182" i="1"/>
  <c r="AP164" i="1"/>
  <c r="AY164" i="1"/>
  <c r="BB164" i="1"/>
  <c r="AV164" i="1"/>
  <c r="BH164" i="1"/>
  <c r="AS164" i="1"/>
  <c r="BE164" i="1"/>
  <c r="L184" i="1"/>
  <c r="AM184" i="1"/>
  <c r="O184" i="1"/>
  <c r="S184" i="1"/>
  <c r="AO184" i="1"/>
  <c r="Q184" i="1"/>
  <c r="R184" i="1"/>
  <c r="M184" i="1"/>
  <c r="AN184" i="1"/>
  <c r="N184" i="1"/>
  <c r="AL184" i="1"/>
  <c r="K184" i="1"/>
  <c r="P184" i="1"/>
  <c r="BC168" i="1"/>
  <c r="F159" i="1"/>
  <c r="BD168" i="1"/>
  <c r="AC153" i="1"/>
  <c r="F182" i="1"/>
  <c r="AQ178" i="1"/>
  <c r="BC178" i="1"/>
  <c r="AT178" i="1"/>
  <c r="AW178" i="1"/>
  <c r="BI178" i="1"/>
  <c r="AZ178" i="1"/>
  <c r="BF178" i="1"/>
  <c r="Q70" i="1"/>
  <c r="R70" i="1"/>
  <c r="K70" i="1"/>
  <c r="S70" i="1"/>
  <c r="AL70" i="1"/>
  <c r="L70" i="1"/>
  <c r="AN70" i="1"/>
  <c r="M70" i="1"/>
  <c r="AO70" i="1"/>
  <c r="N70" i="1"/>
  <c r="O70" i="1"/>
  <c r="P70" i="1"/>
  <c r="AM70" i="1"/>
  <c r="AR95" i="1"/>
  <c r="R139" i="1"/>
  <c r="N139" i="1"/>
  <c r="AO139" i="1"/>
  <c r="M139" i="1"/>
  <c r="AL139" i="1"/>
  <c r="S139" i="1"/>
  <c r="L139" i="1"/>
  <c r="O139" i="1"/>
  <c r="P139" i="1"/>
  <c r="AM139" i="1"/>
  <c r="AN139" i="1"/>
  <c r="K139" i="1"/>
  <c r="Q139" i="1"/>
  <c r="AB81" i="1"/>
  <c r="X81" i="1"/>
  <c r="AF81" i="1"/>
  <c r="AH81" i="1"/>
  <c r="Z81" i="1"/>
  <c r="AD81" i="1"/>
  <c r="V81" i="1"/>
  <c r="BG84" i="1"/>
  <c r="AU84" i="1"/>
  <c r="AX84" i="1"/>
  <c r="BJ84" i="1"/>
  <c r="AR84" i="1"/>
  <c r="BA84" i="1"/>
  <c r="BD84" i="1"/>
  <c r="U95" i="1"/>
  <c r="AC95" i="1"/>
  <c r="Y95" i="1"/>
  <c r="AG95" i="1"/>
  <c r="W95" i="1"/>
  <c r="AA95" i="1"/>
  <c r="AE95" i="1"/>
  <c r="AC112" i="1"/>
  <c r="AX149" i="1"/>
  <c r="BJ149" i="1"/>
  <c r="BD149" i="1"/>
  <c r="AR149" i="1"/>
  <c r="BG149" i="1"/>
  <c r="AU149" i="1"/>
  <c r="BA149" i="1"/>
  <c r="Y147" i="1"/>
  <c r="AC147" i="1"/>
  <c r="AE147" i="1"/>
  <c r="AG147" i="1"/>
  <c r="U147" i="1"/>
  <c r="W147" i="1"/>
  <c r="AA147" i="1"/>
  <c r="P172" i="1"/>
  <c r="L172" i="1"/>
  <c r="AM172" i="1"/>
  <c r="N172" i="1"/>
  <c r="AL172" i="1"/>
  <c r="F172" i="1"/>
  <c r="AN172" i="1"/>
  <c r="O172" i="1"/>
  <c r="S172" i="1"/>
  <c r="K172" i="1"/>
  <c r="M172" i="1"/>
  <c r="Q172" i="1"/>
  <c r="R172" i="1"/>
  <c r="AO172" i="1"/>
  <c r="AP151" i="1"/>
  <c r="BB151" i="1"/>
  <c r="AV151" i="1"/>
  <c r="BE151" i="1"/>
  <c r="AS151" i="1"/>
  <c r="BH151" i="1"/>
  <c r="AY151" i="1"/>
  <c r="AR168" i="1"/>
  <c r="AP156" i="1"/>
  <c r="AY156" i="1"/>
  <c r="BB156" i="1"/>
  <c r="AS156" i="1"/>
  <c r="BE156" i="1"/>
  <c r="AV156" i="1"/>
  <c r="BH156" i="1"/>
  <c r="BF160" i="1"/>
  <c r="AW160" i="1"/>
  <c r="AZ160" i="1"/>
  <c r="AQ160" i="1"/>
  <c r="BC160" i="1"/>
  <c r="AT160" i="1"/>
  <c r="BI160" i="1"/>
  <c r="AQ181" i="1"/>
  <c r="AT181" i="1"/>
  <c r="BC181" i="1"/>
  <c r="BI181" i="1"/>
  <c r="AW181" i="1"/>
  <c r="BF181" i="1"/>
  <c r="AZ181" i="1"/>
  <c r="P185" i="1"/>
  <c r="R185" i="1"/>
  <c r="AM185" i="1"/>
  <c r="M185" i="1"/>
  <c r="N185" i="1"/>
  <c r="O185" i="1"/>
  <c r="F185" i="1"/>
  <c r="Q185" i="1"/>
  <c r="K185" i="1"/>
  <c r="AL185" i="1"/>
  <c r="AN185" i="1"/>
  <c r="L185" i="1"/>
  <c r="AO185" i="1"/>
  <c r="S185" i="1"/>
  <c r="AB174" i="1"/>
  <c r="AD174" i="1"/>
  <c r="AH174" i="1"/>
  <c r="Z174" i="1"/>
  <c r="AF174" i="1"/>
  <c r="V174" i="1"/>
  <c r="X174" i="1"/>
  <c r="P183" i="1"/>
  <c r="L183" i="1"/>
  <c r="Q183" i="1"/>
  <c r="AL183" i="1"/>
  <c r="S183" i="1"/>
  <c r="N183" i="1"/>
  <c r="AO183" i="1"/>
  <c r="F183" i="1"/>
  <c r="O183" i="1"/>
  <c r="AN183" i="1"/>
  <c r="K183" i="1"/>
  <c r="M183" i="1"/>
  <c r="R183" i="1"/>
  <c r="AM183" i="1"/>
  <c r="BD69" i="1"/>
  <c r="AX69" i="1"/>
  <c r="BA69" i="1"/>
  <c r="AR69" i="1"/>
  <c r="BG69" i="1"/>
  <c r="AU69" i="1"/>
  <c r="BJ69" i="1"/>
  <c r="L89" i="1"/>
  <c r="P89" i="1"/>
  <c r="R89" i="1"/>
  <c r="AM89" i="1"/>
  <c r="F89" i="1"/>
  <c r="O89" i="1"/>
  <c r="Q89" i="1"/>
  <c r="S89" i="1"/>
  <c r="K89" i="1"/>
  <c r="AL89" i="1"/>
  <c r="AO89" i="1"/>
  <c r="M89" i="1"/>
  <c r="N89" i="1"/>
  <c r="AN89" i="1"/>
  <c r="Y88" i="1"/>
  <c r="AG88" i="1"/>
  <c r="U88" i="1"/>
  <c r="AC88" i="1"/>
  <c r="AE88" i="1"/>
  <c r="W88" i="1"/>
  <c r="AA88" i="1"/>
  <c r="AB95" i="1"/>
  <c r="AH95" i="1"/>
  <c r="AD95" i="1"/>
  <c r="AF95" i="1"/>
  <c r="V95" i="1"/>
  <c r="X95" i="1"/>
  <c r="Z95" i="1"/>
  <c r="AQ100" i="1"/>
  <c r="BC100" i="1"/>
  <c r="BF100" i="1"/>
  <c r="AT100" i="1"/>
  <c r="BI100" i="1"/>
  <c r="AW100" i="1"/>
  <c r="AZ100" i="1"/>
  <c r="P102" i="1"/>
  <c r="L102" i="1"/>
  <c r="AM102" i="1"/>
  <c r="F102" i="1"/>
  <c r="O102" i="1"/>
  <c r="AN102" i="1"/>
  <c r="AL102" i="1"/>
  <c r="AO102" i="1"/>
  <c r="K102" i="1"/>
  <c r="M102" i="1"/>
  <c r="N102" i="1"/>
  <c r="Q102" i="1"/>
  <c r="R102" i="1"/>
  <c r="S102" i="1"/>
  <c r="N75" i="1"/>
  <c r="AO75" i="1"/>
  <c r="O75" i="1"/>
  <c r="S75" i="1"/>
  <c r="M75" i="1"/>
  <c r="AL75" i="1"/>
  <c r="AM75" i="1"/>
  <c r="AN75" i="1"/>
  <c r="L75" i="1"/>
  <c r="P75" i="1"/>
  <c r="Q75" i="1"/>
  <c r="K75" i="1"/>
  <c r="R75" i="1"/>
  <c r="X73" i="1"/>
  <c r="AF73" i="1"/>
  <c r="Z73" i="1"/>
  <c r="AB73" i="1"/>
  <c r="V73" i="1"/>
  <c r="AD73" i="1"/>
  <c r="AH73" i="1"/>
  <c r="X82" i="1"/>
  <c r="AF82" i="1"/>
  <c r="AB82" i="1"/>
  <c r="AD82" i="1"/>
  <c r="AH82" i="1"/>
  <c r="V82" i="1"/>
  <c r="Z82" i="1"/>
  <c r="BJ79" i="1"/>
  <c r="AX79" i="1"/>
  <c r="AR79" i="1"/>
  <c r="BG79" i="1"/>
  <c r="AU79" i="1"/>
  <c r="BA79" i="1"/>
  <c r="BD79" i="1"/>
  <c r="W71" i="1"/>
  <c r="AE71" i="1"/>
  <c r="AA71" i="1"/>
  <c r="AC71" i="1"/>
  <c r="AG71" i="1"/>
  <c r="U71" i="1"/>
  <c r="Y71" i="1"/>
  <c r="BJ81" i="1"/>
  <c r="AX81" i="1"/>
  <c r="AU81" i="1"/>
  <c r="BD81" i="1"/>
  <c r="AR81" i="1"/>
  <c r="BG81" i="1"/>
  <c r="BA81" i="1"/>
  <c r="AW73" i="1"/>
  <c r="BF73" i="1"/>
  <c r="BI73" i="1"/>
  <c r="AZ73" i="1"/>
  <c r="BC73" i="1"/>
  <c r="AT73" i="1"/>
  <c r="AQ73" i="1"/>
  <c r="BB79" i="1"/>
  <c r="AP79" i="1"/>
  <c r="BH79" i="1"/>
  <c r="AS79" i="1"/>
  <c r="AV79" i="1"/>
  <c r="AY79" i="1"/>
  <c r="BE79" i="1"/>
  <c r="AP80" i="1"/>
  <c r="BB80" i="1"/>
  <c r="AY80" i="1"/>
  <c r="AS80" i="1"/>
  <c r="BE80" i="1"/>
  <c r="BH80" i="1"/>
  <c r="AV80" i="1"/>
  <c r="L93" i="1"/>
  <c r="AM93" i="1"/>
  <c r="P93" i="1"/>
  <c r="M93" i="1"/>
  <c r="N93" i="1"/>
  <c r="AL93" i="1"/>
  <c r="S93" i="1"/>
  <c r="K93" i="1"/>
  <c r="O93" i="1"/>
  <c r="Q93" i="1"/>
  <c r="R93" i="1"/>
  <c r="AN93" i="1"/>
  <c r="F93" i="1"/>
  <c r="AO93" i="1"/>
  <c r="AH84" i="1"/>
  <c r="X84" i="1"/>
  <c r="Z84" i="1"/>
  <c r="AB84" i="1"/>
  <c r="V84" i="1"/>
  <c r="AD84" i="1"/>
  <c r="AF84" i="1"/>
  <c r="AH110" i="1"/>
  <c r="AX82" i="1"/>
  <c r="BJ82" i="1"/>
  <c r="BA82" i="1"/>
  <c r="BG82" i="1"/>
  <c r="AU82" i="1"/>
  <c r="AR82" i="1"/>
  <c r="BD82" i="1"/>
  <c r="AY86" i="1"/>
  <c r="BH86" i="1"/>
  <c r="BB86" i="1"/>
  <c r="BE86" i="1"/>
  <c r="AV86" i="1"/>
  <c r="AS86" i="1"/>
  <c r="AP86" i="1"/>
  <c r="BC83" i="1"/>
  <c r="AQ83" i="1"/>
  <c r="AT83" i="1"/>
  <c r="BF83" i="1"/>
  <c r="AW83" i="1"/>
  <c r="BI83" i="1"/>
  <c r="AZ83" i="1"/>
  <c r="W79" i="1"/>
  <c r="AQ88" i="1"/>
  <c r="BC88" i="1"/>
  <c r="AZ88" i="1"/>
  <c r="AW88" i="1"/>
  <c r="BF88" i="1"/>
  <c r="BI88" i="1"/>
  <c r="AT88" i="1"/>
  <c r="BC84" i="1"/>
  <c r="P92" i="1"/>
  <c r="L92" i="1"/>
  <c r="AM92" i="1"/>
  <c r="K92" i="1"/>
  <c r="M92" i="1"/>
  <c r="R92" i="1"/>
  <c r="N92" i="1"/>
  <c r="O92" i="1"/>
  <c r="Q92" i="1"/>
  <c r="AL92" i="1"/>
  <c r="F92" i="1"/>
  <c r="S92" i="1"/>
  <c r="AN92" i="1"/>
  <c r="AO92" i="1"/>
  <c r="K109" i="1"/>
  <c r="S109" i="1"/>
  <c r="AL109" i="1"/>
  <c r="O109" i="1"/>
  <c r="L109" i="1"/>
  <c r="N109" i="1"/>
  <c r="AM109" i="1"/>
  <c r="P109" i="1"/>
  <c r="AN109" i="1"/>
  <c r="Q109" i="1"/>
  <c r="AO109" i="1"/>
  <c r="M109" i="1"/>
  <c r="R109" i="1"/>
  <c r="U103" i="1"/>
  <c r="AC103" i="1"/>
  <c r="Y103" i="1"/>
  <c r="AG103" i="1"/>
  <c r="W103" i="1"/>
  <c r="AA103" i="1"/>
  <c r="AE103" i="1"/>
  <c r="AT107" i="1"/>
  <c r="BF107" i="1"/>
  <c r="AZ107" i="1"/>
  <c r="AQ107" i="1"/>
  <c r="BC107" i="1"/>
  <c r="AW107" i="1"/>
  <c r="BI107" i="1"/>
  <c r="AA108" i="1"/>
  <c r="N142" i="1"/>
  <c r="AO142" i="1"/>
  <c r="R142" i="1"/>
  <c r="K142" i="1"/>
  <c r="P142" i="1"/>
  <c r="AN142" i="1"/>
  <c r="Q142" i="1"/>
  <c r="S142" i="1"/>
  <c r="AL142" i="1"/>
  <c r="L142" i="1"/>
  <c r="M142" i="1"/>
  <c r="AM142" i="1"/>
  <c r="O142" i="1"/>
  <c r="X112" i="1"/>
  <c r="AF112" i="1"/>
  <c r="AB112" i="1"/>
  <c r="V112" i="1"/>
  <c r="AH112" i="1"/>
  <c r="Z112" i="1"/>
  <c r="AD112" i="1"/>
  <c r="BD67" i="1"/>
  <c r="AX67" i="1"/>
  <c r="BG67" i="1"/>
  <c r="BA67" i="1"/>
  <c r="AU67" i="1"/>
  <c r="BJ67" i="1"/>
  <c r="AR67" i="1"/>
  <c r="V67" i="1"/>
  <c r="AD67" i="1"/>
  <c r="X67" i="1"/>
  <c r="AF67" i="1"/>
  <c r="Z67" i="1"/>
  <c r="AB67" i="1"/>
  <c r="AH67" i="1"/>
  <c r="V69" i="1"/>
  <c r="AD69" i="1"/>
  <c r="X69" i="1"/>
  <c r="AF69" i="1"/>
  <c r="Z69" i="1"/>
  <c r="AB69" i="1"/>
  <c r="AH69" i="1"/>
  <c r="AX73" i="1"/>
  <c r="AU73" i="1"/>
  <c r="BG73" i="1"/>
  <c r="AR73" i="1"/>
  <c r="BA73" i="1"/>
  <c r="BD73" i="1"/>
  <c r="BJ73" i="1"/>
  <c r="AU83" i="1"/>
  <c r="BG83" i="1"/>
  <c r="BD83" i="1"/>
  <c r="AX83" i="1"/>
  <c r="BA83" i="1"/>
  <c r="BJ83" i="1"/>
  <c r="AR83" i="1"/>
  <c r="BE77" i="1"/>
  <c r="AP77" i="1"/>
  <c r="AY77" i="1"/>
  <c r="AS77" i="1"/>
  <c r="BH77" i="1"/>
  <c r="AV77" i="1"/>
  <c r="BB77" i="1"/>
  <c r="BE110" i="1"/>
  <c r="F121" i="1"/>
  <c r="AQ96" i="1"/>
  <c r="BC96" i="1"/>
  <c r="BF96" i="1"/>
  <c r="AW96" i="1"/>
  <c r="AZ96" i="1"/>
  <c r="AT96" i="1"/>
  <c r="BI96" i="1"/>
  <c r="BG96" i="1"/>
  <c r="AU96" i="1"/>
  <c r="BA96" i="1"/>
  <c r="BJ96" i="1"/>
  <c r="AX96" i="1"/>
  <c r="BD96" i="1"/>
  <c r="AR96" i="1"/>
  <c r="N138" i="1"/>
  <c r="AO138" i="1"/>
  <c r="R138" i="1"/>
  <c r="K138" i="1"/>
  <c r="P138" i="1"/>
  <c r="AN138" i="1"/>
  <c r="AL138" i="1"/>
  <c r="AM138" i="1"/>
  <c r="M138" i="1"/>
  <c r="O138" i="1"/>
  <c r="Q138" i="1"/>
  <c r="L138" i="1"/>
  <c r="S138" i="1"/>
  <c r="R146" i="1"/>
  <c r="O146" i="1"/>
  <c r="K146" i="1"/>
  <c r="AO146" i="1"/>
  <c r="S146" i="1"/>
  <c r="M146" i="1"/>
  <c r="AN146" i="1"/>
  <c r="AM146" i="1"/>
  <c r="L146" i="1"/>
  <c r="N146" i="1"/>
  <c r="P146" i="1"/>
  <c r="Q146" i="1"/>
  <c r="AL146" i="1"/>
  <c r="N128" i="1"/>
  <c r="AO128" i="1"/>
  <c r="R128" i="1"/>
  <c r="P128" i="1"/>
  <c r="AN128" i="1"/>
  <c r="K128" i="1"/>
  <c r="O128" i="1"/>
  <c r="Q128" i="1"/>
  <c r="S128" i="1"/>
  <c r="AL128" i="1"/>
  <c r="AM128" i="1"/>
  <c r="L128" i="1"/>
  <c r="M128" i="1"/>
  <c r="AB115" i="1"/>
  <c r="X115" i="1"/>
  <c r="AF115" i="1"/>
  <c r="Z115" i="1"/>
  <c r="AH115" i="1"/>
  <c r="V115" i="1"/>
  <c r="AD115" i="1"/>
  <c r="BB113" i="1"/>
  <c r="AP113" i="1"/>
  <c r="BE113" i="1"/>
  <c r="AS113" i="1"/>
  <c r="BH113" i="1"/>
  <c r="AV113" i="1"/>
  <c r="AY113" i="1"/>
  <c r="U152" i="1"/>
  <c r="AE152" i="1"/>
  <c r="AA152" i="1"/>
  <c r="AC152" i="1"/>
  <c r="AG152" i="1"/>
  <c r="W152" i="1"/>
  <c r="Y152" i="1"/>
  <c r="AW114" i="1"/>
  <c r="AX158" i="1"/>
  <c r="AR158" i="1"/>
  <c r="BA158" i="1"/>
  <c r="BJ158" i="1"/>
  <c r="BD158" i="1"/>
  <c r="BG158" i="1"/>
  <c r="AU158" i="1"/>
  <c r="AZ152" i="1"/>
  <c r="AY69" i="1"/>
  <c r="AT149" i="1"/>
  <c r="AW152" i="1"/>
  <c r="BF164" i="1"/>
  <c r="AQ164" i="1"/>
  <c r="AZ164" i="1"/>
  <c r="BI164" i="1"/>
  <c r="BC164" i="1"/>
  <c r="AT164" i="1"/>
  <c r="AW164" i="1"/>
  <c r="AQ170" i="1"/>
  <c r="BC170" i="1"/>
  <c r="AT170" i="1"/>
  <c r="BF170" i="1"/>
  <c r="AZ170" i="1"/>
  <c r="BI170" i="1"/>
  <c r="AW170" i="1"/>
  <c r="P176" i="1"/>
  <c r="L176" i="1"/>
  <c r="AM176" i="1"/>
  <c r="S176" i="1"/>
  <c r="N176" i="1"/>
  <c r="AL176" i="1"/>
  <c r="AN176" i="1"/>
  <c r="K176" i="1"/>
  <c r="AO176" i="1"/>
  <c r="M176" i="1"/>
  <c r="O176" i="1"/>
  <c r="Q176" i="1"/>
  <c r="F176" i="1"/>
  <c r="R176" i="1"/>
  <c r="AE167" i="1"/>
  <c r="AC167" i="1"/>
  <c r="W67" i="1"/>
  <c r="AE67" i="1"/>
  <c r="Y67" i="1"/>
  <c r="AG67" i="1"/>
  <c r="AA67" i="1"/>
  <c r="U67" i="1"/>
  <c r="AC67" i="1"/>
  <c r="W69" i="1"/>
  <c r="AE69" i="1"/>
  <c r="AA69" i="1"/>
  <c r="AC69" i="1"/>
  <c r="AG69" i="1"/>
  <c r="U69" i="1"/>
  <c r="Y69" i="1"/>
  <c r="R74" i="1"/>
  <c r="K74" i="1"/>
  <c r="S74" i="1"/>
  <c r="AL74" i="1"/>
  <c r="P74" i="1"/>
  <c r="AO74" i="1"/>
  <c r="L74" i="1"/>
  <c r="M74" i="1"/>
  <c r="N74" i="1"/>
  <c r="O74" i="1"/>
  <c r="Q74" i="1"/>
  <c r="AM74" i="1"/>
  <c r="AN74" i="1"/>
  <c r="AU86" i="1"/>
  <c r="AC81" i="1"/>
  <c r="W81" i="1"/>
  <c r="AA81" i="1"/>
  <c r="AE81" i="1"/>
  <c r="AG81" i="1"/>
  <c r="U81" i="1"/>
  <c r="Y81" i="1"/>
  <c r="BG88" i="1"/>
  <c r="AU88" i="1"/>
  <c r="BJ88" i="1"/>
  <c r="AR88" i="1"/>
  <c r="BA88" i="1"/>
  <c r="BD88" i="1"/>
  <c r="AX88" i="1"/>
  <c r="Y84" i="1"/>
  <c r="AG84" i="1"/>
  <c r="U84" i="1"/>
  <c r="AC84" i="1"/>
  <c r="W84" i="1"/>
  <c r="AA84" i="1"/>
  <c r="AE84" i="1"/>
  <c r="AX108" i="1"/>
  <c r="BJ108" i="1"/>
  <c r="BA108" i="1"/>
  <c r="AR108" i="1"/>
  <c r="BD108" i="1"/>
  <c r="BG108" i="1"/>
  <c r="AU108" i="1"/>
  <c r="R117" i="1"/>
  <c r="N117" i="1"/>
  <c r="AO117" i="1"/>
  <c r="P117" i="1"/>
  <c r="AN117" i="1"/>
  <c r="Q117" i="1"/>
  <c r="S117" i="1"/>
  <c r="K117" i="1"/>
  <c r="L117" i="1"/>
  <c r="M117" i="1"/>
  <c r="AL117" i="1"/>
  <c r="O117" i="1"/>
  <c r="AM117" i="1"/>
  <c r="Y96" i="1"/>
  <c r="AG96" i="1"/>
  <c r="U96" i="1"/>
  <c r="AC96" i="1"/>
  <c r="W96" i="1"/>
  <c r="AA96" i="1"/>
  <c r="AE96" i="1"/>
  <c r="N120" i="1"/>
  <c r="AO120" i="1"/>
  <c r="R120" i="1"/>
  <c r="M120" i="1"/>
  <c r="AL120" i="1"/>
  <c r="O120" i="1"/>
  <c r="AM120" i="1"/>
  <c r="P120" i="1"/>
  <c r="AN120" i="1"/>
  <c r="Q120" i="1"/>
  <c r="S120" i="1"/>
  <c r="K120" i="1"/>
  <c r="L120" i="1"/>
  <c r="AB103" i="1"/>
  <c r="AH103" i="1"/>
  <c r="AD103" i="1"/>
  <c r="AF103" i="1"/>
  <c r="V103" i="1"/>
  <c r="X103" i="1"/>
  <c r="Z103" i="1"/>
  <c r="F119" i="1"/>
  <c r="AD104" i="1"/>
  <c r="X104" i="1"/>
  <c r="AF104" i="1"/>
  <c r="AH104" i="1"/>
  <c r="V104" i="1"/>
  <c r="Z104" i="1"/>
  <c r="AB104" i="1"/>
  <c r="BF112" i="1"/>
  <c r="AT112" i="1"/>
  <c r="BI112" i="1"/>
  <c r="AW112" i="1"/>
  <c r="AZ112" i="1"/>
  <c r="BC112" i="1"/>
  <c r="AQ112" i="1"/>
  <c r="Y114" i="1"/>
  <c r="AA114" i="1"/>
  <c r="AC114" i="1"/>
  <c r="AE114" i="1"/>
  <c r="AG114" i="1"/>
  <c r="U114" i="1"/>
  <c r="W114" i="1"/>
  <c r="U115" i="1"/>
  <c r="AE115" i="1"/>
  <c r="AG115" i="1"/>
  <c r="W115" i="1"/>
  <c r="Y115" i="1"/>
  <c r="AA115" i="1"/>
  <c r="AC115" i="1"/>
  <c r="BB115" i="1"/>
  <c r="AP115" i="1"/>
  <c r="BH115" i="1"/>
  <c r="AV115" i="1"/>
  <c r="AY115" i="1"/>
  <c r="BE115" i="1"/>
  <c r="AS115" i="1"/>
  <c r="AB113" i="1"/>
  <c r="X113" i="1"/>
  <c r="AF113" i="1"/>
  <c r="AH113" i="1"/>
  <c r="V113" i="1"/>
  <c r="Z113" i="1"/>
  <c r="AD113" i="1"/>
  <c r="AQ152" i="1"/>
  <c r="F134" i="1"/>
  <c r="BB148" i="1"/>
  <c r="AR153" i="1"/>
  <c r="BD153" i="1"/>
  <c r="BH69" i="1"/>
  <c r="BF149" i="1"/>
  <c r="V145" i="1"/>
  <c r="AF145" i="1"/>
  <c r="AD145" i="1"/>
  <c r="AH145" i="1"/>
  <c r="AB145" i="1"/>
  <c r="X145" i="1"/>
  <c r="Z145" i="1"/>
  <c r="AZ168" i="1"/>
  <c r="BF147" i="1"/>
  <c r="AT147" i="1"/>
  <c r="AQ147" i="1"/>
  <c r="BI147" i="1"/>
  <c r="AW147" i="1"/>
  <c r="AZ147" i="1"/>
  <c r="BC147" i="1"/>
  <c r="X147" i="1"/>
  <c r="AF147" i="1"/>
  <c r="AB147" i="1"/>
  <c r="AD147" i="1"/>
  <c r="AH147" i="1"/>
  <c r="V147" i="1"/>
  <c r="Z147" i="1"/>
  <c r="AS181" i="1"/>
  <c r="BE181" i="1"/>
  <c r="AE181" i="1"/>
  <c r="AU181" i="1"/>
  <c r="BF162" i="1"/>
  <c r="AT162" i="1"/>
  <c r="BC162" i="1"/>
  <c r="BI162" i="1"/>
  <c r="AW162" i="1"/>
  <c r="AZ162" i="1"/>
  <c r="AQ162" i="1"/>
  <c r="W168" i="1"/>
  <c r="BG168" i="1"/>
  <c r="X154" i="1"/>
  <c r="AF154" i="1"/>
  <c r="Z154" i="1"/>
  <c r="AD154" i="1"/>
  <c r="V154" i="1"/>
  <c r="AH154" i="1"/>
  <c r="AB154" i="1"/>
  <c r="BF154" i="1"/>
  <c r="AT154" i="1"/>
  <c r="BC154" i="1"/>
  <c r="BI154" i="1"/>
  <c r="AW154" i="1"/>
  <c r="AZ154" i="1"/>
  <c r="AQ154" i="1"/>
  <c r="X160" i="1"/>
  <c r="AF160" i="1"/>
  <c r="AH160" i="1"/>
  <c r="Z160" i="1"/>
  <c r="AB160" i="1"/>
  <c r="AD160" i="1"/>
  <c r="V160" i="1"/>
  <c r="AY170" i="1"/>
  <c r="BE170" i="1"/>
  <c r="AV170" i="1"/>
  <c r="AS170" i="1"/>
  <c r="BB170" i="1"/>
  <c r="AP170" i="1"/>
  <c r="BH170" i="1"/>
  <c r="V170" i="1"/>
  <c r="AZ171" i="1"/>
  <c r="BE171" i="1"/>
  <c r="BC180" i="1"/>
  <c r="AQ180" i="1"/>
  <c r="AZ180" i="1"/>
  <c r="BI180" i="1"/>
  <c r="BF180" i="1"/>
  <c r="AT180" i="1"/>
  <c r="AW180" i="1"/>
  <c r="AV180" i="1"/>
  <c r="BE180" i="1"/>
  <c r="AS180" i="1"/>
  <c r="BH180" i="1"/>
  <c r="AY180" i="1"/>
  <c r="AP180" i="1"/>
  <c r="BB180" i="1"/>
  <c r="AH178" i="1"/>
  <c r="AB178" i="1"/>
  <c r="AF178" i="1"/>
  <c r="V178" i="1"/>
  <c r="X178" i="1"/>
  <c r="AD178" i="1"/>
  <c r="Z178" i="1"/>
  <c r="P94" i="1"/>
  <c r="L94" i="1"/>
  <c r="AM94" i="1"/>
  <c r="F94" i="1"/>
  <c r="O94" i="1"/>
  <c r="AN94" i="1"/>
  <c r="AL94" i="1"/>
  <c r="AO94" i="1"/>
  <c r="K94" i="1"/>
  <c r="M94" i="1"/>
  <c r="N94" i="1"/>
  <c r="Q94" i="1"/>
  <c r="R94" i="1"/>
  <c r="S94" i="1"/>
  <c r="P106" i="1"/>
  <c r="L106" i="1"/>
  <c r="AM106" i="1"/>
  <c r="F106" i="1"/>
  <c r="O106" i="1"/>
  <c r="AN106" i="1"/>
  <c r="N106" i="1"/>
  <c r="Q106" i="1"/>
  <c r="R106" i="1"/>
  <c r="AL106" i="1"/>
  <c r="AO106" i="1"/>
  <c r="K106" i="1"/>
  <c r="M106" i="1"/>
  <c r="S106" i="1"/>
  <c r="BJ107" i="1"/>
  <c r="AX107" i="1"/>
  <c r="BA107" i="1"/>
  <c r="AR107" i="1"/>
  <c r="AU107" i="1"/>
  <c r="BG107" i="1"/>
  <c r="BD107" i="1"/>
  <c r="BB107" i="1"/>
  <c r="AP107" i="1"/>
  <c r="BE107" i="1"/>
  <c r="AV107" i="1"/>
  <c r="BH107" i="1"/>
  <c r="AS107" i="1"/>
  <c r="AY107" i="1"/>
  <c r="AX112" i="1"/>
  <c r="BJ112" i="1"/>
  <c r="BD112" i="1"/>
  <c r="BA112" i="1"/>
  <c r="AR112" i="1"/>
  <c r="BG112" i="1"/>
  <c r="AU112" i="1"/>
  <c r="X114" i="1"/>
  <c r="AF114" i="1"/>
  <c r="AB114" i="1"/>
  <c r="AD114" i="1"/>
  <c r="AH114" i="1"/>
  <c r="V114" i="1"/>
  <c r="Z114" i="1"/>
  <c r="N122" i="1"/>
  <c r="AO122" i="1"/>
  <c r="R122" i="1"/>
  <c r="S122" i="1"/>
  <c r="K122" i="1"/>
  <c r="M122" i="1"/>
  <c r="AL122" i="1"/>
  <c r="O122" i="1"/>
  <c r="AM122" i="1"/>
  <c r="P122" i="1"/>
  <c r="AN122" i="1"/>
  <c r="L122" i="1"/>
  <c r="Q122" i="1"/>
  <c r="AT115" i="1"/>
  <c r="BF115" i="1"/>
  <c r="BC115" i="1"/>
  <c r="AW115" i="1"/>
  <c r="AZ115" i="1"/>
  <c r="AQ115" i="1"/>
  <c r="BI115" i="1"/>
  <c r="R127" i="1"/>
  <c r="N127" i="1"/>
  <c r="AO127" i="1"/>
  <c r="M127" i="1"/>
  <c r="AL127" i="1"/>
  <c r="S127" i="1"/>
  <c r="AN127" i="1"/>
  <c r="K127" i="1"/>
  <c r="L127" i="1"/>
  <c r="O127" i="1"/>
  <c r="P127" i="1"/>
  <c r="Q127" i="1"/>
  <c r="AM127" i="1"/>
  <c r="AQ153" i="1"/>
  <c r="AZ153" i="1"/>
  <c r="W158" i="1"/>
  <c r="AG158" i="1"/>
  <c r="AE158" i="1"/>
  <c r="U158" i="1"/>
  <c r="Y158" i="1"/>
  <c r="AA158" i="1"/>
  <c r="AC158" i="1"/>
  <c r="N136" i="1"/>
  <c r="AO136" i="1"/>
  <c r="R136" i="1"/>
  <c r="P136" i="1"/>
  <c r="AN136" i="1"/>
  <c r="K136" i="1"/>
  <c r="AM136" i="1"/>
  <c r="L136" i="1"/>
  <c r="O136" i="1"/>
  <c r="Q136" i="1"/>
  <c r="S136" i="1"/>
  <c r="M136" i="1"/>
  <c r="AL136" i="1"/>
  <c r="AS69" i="1"/>
  <c r="BJ152" i="1"/>
  <c r="AX152" i="1"/>
  <c r="AR152" i="1"/>
  <c r="BG152" i="1"/>
  <c r="AU152" i="1"/>
  <c r="BA152" i="1"/>
  <c r="BD152" i="1"/>
  <c r="AP147" i="1"/>
  <c r="BB147" i="1"/>
  <c r="AV147" i="1"/>
  <c r="AS147" i="1"/>
  <c r="BH147" i="1"/>
  <c r="AY147" i="1"/>
  <c r="BE147" i="1"/>
  <c r="L175" i="1"/>
  <c r="AM175" i="1"/>
  <c r="P175" i="1"/>
  <c r="R175" i="1"/>
  <c r="S175" i="1"/>
  <c r="M175" i="1"/>
  <c r="K175" i="1"/>
  <c r="N175" i="1"/>
  <c r="O175" i="1"/>
  <c r="Q175" i="1"/>
  <c r="AL175" i="1"/>
  <c r="F175" i="1"/>
  <c r="AN175" i="1"/>
  <c r="AO175" i="1"/>
  <c r="X168" i="1"/>
  <c r="AF168" i="1"/>
  <c r="AH168" i="1"/>
  <c r="AD168" i="1"/>
  <c r="AB168" i="1"/>
  <c r="V168" i="1"/>
  <c r="Z168" i="1"/>
  <c r="Y170" i="1"/>
  <c r="AG170" i="1"/>
  <c r="U170" i="1"/>
  <c r="AC170" i="1"/>
  <c r="W170" i="1"/>
  <c r="AA170" i="1"/>
  <c r="AE170" i="1"/>
  <c r="X162" i="1"/>
  <c r="AF162" i="1"/>
  <c r="AD162" i="1"/>
  <c r="Z162" i="1"/>
  <c r="V162" i="1"/>
  <c r="AH162" i="1"/>
  <c r="AB162" i="1"/>
  <c r="AS167" i="1"/>
  <c r="AV167" i="1"/>
  <c r="AD170" i="1"/>
  <c r="Y151" i="1"/>
  <c r="W151" i="1"/>
  <c r="AA151" i="1"/>
  <c r="AC151" i="1"/>
  <c r="AE151" i="1"/>
  <c r="AG151" i="1"/>
  <c r="U151" i="1"/>
  <c r="AE168" i="1"/>
  <c r="AX168" i="1"/>
  <c r="BF156" i="1"/>
  <c r="AQ156" i="1"/>
  <c r="AZ156" i="1"/>
  <c r="BI156" i="1"/>
  <c r="AW156" i="1"/>
  <c r="BC156" i="1"/>
  <c r="AT156" i="1"/>
  <c r="AE156" i="1"/>
  <c r="AA156" i="1"/>
  <c r="W156" i="1"/>
  <c r="Y156" i="1"/>
  <c r="AC156" i="1"/>
  <c r="AG156" i="1"/>
  <c r="U156" i="1"/>
  <c r="AX154" i="1"/>
  <c r="AR154" i="1"/>
  <c r="BD154" i="1"/>
  <c r="AU154" i="1"/>
  <c r="BG154" i="1"/>
  <c r="BJ154" i="1"/>
  <c r="BA154" i="1"/>
  <c r="AX160" i="1"/>
  <c r="BG160" i="1"/>
  <c r="BA160" i="1"/>
  <c r="AR160" i="1"/>
  <c r="BD160" i="1"/>
  <c r="AU160" i="1"/>
  <c r="BJ160" i="1"/>
  <c r="AU178" i="1"/>
  <c r="BD178" i="1"/>
  <c r="AX178" i="1"/>
  <c r="BJ178" i="1"/>
  <c r="BA178" i="1"/>
  <c r="AR178" i="1"/>
  <c r="BG178" i="1"/>
  <c r="AQ168" i="1"/>
  <c r="BC103" i="1"/>
  <c r="AQ103" i="1"/>
  <c r="AZ103" i="1"/>
  <c r="AT103" i="1"/>
  <c r="BF103" i="1"/>
  <c r="BI103" i="1"/>
  <c r="AW103" i="1"/>
  <c r="AQ104" i="1"/>
  <c r="BC104" i="1"/>
  <c r="BF104" i="1"/>
  <c r="AW104" i="1"/>
  <c r="AZ104" i="1"/>
  <c r="AT104" i="1"/>
  <c r="BI104" i="1"/>
  <c r="R125" i="1"/>
  <c r="N125" i="1"/>
  <c r="AO125" i="1"/>
  <c r="P125" i="1"/>
  <c r="AN125" i="1"/>
  <c r="S125" i="1"/>
  <c r="M125" i="1"/>
  <c r="AL125" i="1"/>
  <c r="L125" i="1"/>
  <c r="O125" i="1"/>
  <c r="Q125" i="1"/>
  <c r="AM125" i="1"/>
  <c r="K125" i="1"/>
  <c r="BJ113" i="1"/>
  <c r="AX113" i="1"/>
  <c r="AU113" i="1"/>
  <c r="BA113" i="1"/>
  <c r="BD113" i="1"/>
  <c r="AR113" i="1"/>
  <c r="BG113" i="1"/>
  <c r="R144" i="1"/>
  <c r="Q144" i="1"/>
  <c r="AM144" i="1"/>
  <c r="M144" i="1"/>
  <c r="K144" i="1"/>
  <c r="AL144" i="1"/>
  <c r="F144" i="1"/>
  <c r="P144" i="1"/>
  <c r="L144" i="1"/>
  <c r="N144" i="1"/>
  <c r="O144" i="1"/>
  <c r="AN144" i="1"/>
  <c r="S144" i="1"/>
  <c r="AO144" i="1"/>
  <c r="AP158" i="1"/>
  <c r="AV158" i="1"/>
  <c r="BE158" i="1"/>
  <c r="AS158" i="1"/>
  <c r="BH158" i="1"/>
  <c r="AY158" i="1"/>
  <c r="BB158" i="1"/>
  <c r="K155" i="1"/>
  <c r="S155" i="1"/>
  <c r="AL155" i="1"/>
  <c r="R155" i="1"/>
  <c r="AN155" i="1"/>
  <c r="N155" i="1"/>
  <c r="M155" i="1"/>
  <c r="AO155" i="1"/>
  <c r="O155" i="1"/>
  <c r="P155" i="1"/>
  <c r="F155" i="1"/>
  <c r="Q155" i="1"/>
  <c r="L155" i="1"/>
  <c r="AM155" i="1"/>
  <c r="AP149" i="1"/>
  <c r="BB149" i="1"/>
  <c r="AY149" i="1"/>
  <c r="AS149" i="1"/>
  <c r="BE149" i="1"/>
  <c r="BH149" i="1"/>
  <c r="AV149" i="1"/>
  <c r="AP166" i="1"/>
  <c r="BE166" i="1"/>
  <c r="AY166" i="1"/>
  <c r="Z181" i="1"/>
  <c r="AD181" i="1"/>
  <c r="AB181" i="1"/>
  <c r="V181" i="1"/>
  <c r="AH181" i="1"/>
  <c r="X181" i="1"/>
  <c r="AF181" i="1"/>
  <c r="AX147" i="1"/>
  <c r="BJ147" i="1"/>
  <c r="BG147" i="1"/>
  <c r="BA147" i="1"/>
  <c r="AU147" i="1"/>
  <c r="BD147" i="1"/>
  <c r="AR147" i="1"/>
  <c r="X164" i="1"/>
  <c r="AF164" i="1"/>
  <c r="V164" i="1"/>
  <c r="Z164" i="1"/>
  <c r="AB164" i="1"/>
  <c r="AH164" i="1"/>
  <c r="AD164" i="1"/>
  <c r="BG170" i="1"/>
  <c r="AU170" i="1"/>
  <c r="BJ170" i="1"/>
  <c r="AR170" i="1"/>
  <c r="AX170" i="1"/>
  <c r="BA170" i="1"/>
  <c r="BD170" i="1"/>
  <c r="AX162" i="1"/>
  <c r="AU162" i="1"/>
  <c r="BG162" i="1"/>
  <c r="BJ162" i="1"/>
  <c r="BA162" i="1"/>
  <c r="AR162" i="1"/>
  <c r="BD162" i="1"/>
  <c r="BF151" i="1"/>
  <c r="AT151" i="1"/>
  <c r="AQ151" i="1"/>
  <c r="AZ151" i="1"/>
  <c r="BC151" i="1"/>
  <c r="BI151" i="1"/>
  <c r="AW151" i="1"/>
  <c r="AA168" i="1"/>
  <c r="AB170" i="1"/>
  <c r="F165" i="1"/>
  <c r="U154" i="1"/>
  <c r="AC154" i="1"/>
  <c r="AE154" i="1"/>
  <c r="AG154" i="1"/>
  <c r="W154" i="1"/>
  <c r="Y154" i="1"/>
  <c r="AA154" i="1"/>
  <c r="Y160" i="1"/>
  <c r="AC160" i="1"/>
  <c r="AA160" i="1"/>
  <c r="AE160" i="1"/>
  <c r="U160" i="1"/>
  <c r="AG160" i="1"/>
  <c r="W160" i="1"/>
  <c r="AS173" i="1"/>
  <c r="AV173" i="1"/>
  <c r="AY174" i="1"/>
  <c r="AP174" i="1"/>
  <c r="BE174" i="1"/>
  <c r="AS174" i="1"/>
  <c r="AV174" i="1"/>
  <c r="BB174" i="1"/>
  <c r="BH174" i="1"/>
  <c r="AQ174" i="1"/>
  <c r="BC174" i="1"/>
  <c r="AZ174" i="1"/>
  <c r="AT174" i="1"/>
  <c r="BI174" i="1"/>
  <c r="AW174" i="1"/>
  <c r="BF174" i="1"/>
  <c r="AF180" i="1"/>
  <c r="AD180" i="1"/>
  <c r="AH180" i="1"/>
  <c r="V180" i="1"/>
  <c r="Z180" i="1"/>
  <c r="AB180" i="1"/>
  <c r="X180" i="1"/>
  <c r="AY178" i="1"/>
  <c r="BH178" i="1"/>
  <c r="BE178" i="1"/>
  <c r="AS178" i="1"/>
  <c r="AV178" i="1"/>
  <c r="AP178" i="1"/>
  <c r="BB178" i="1"/>
  <c r="Y178" i="1"/>
  <c r="AG178" i="1"/>
  <c r="U178" i="1"/>
  <c r="AC178" i="1"/>
  <c r="W178" i="1"/>
  <c r="AA178" i="1"/>
  <c r="AE178" i="1"/>
  <c r="K57" i="1"/>
  <c r="S57" i="1"/>
  <c r="AL57" i="1"/>
  <c r="L57" i="1"/>
  <c r="AM57" i="1"/>
  <c r="R57" i="1"/>
  <c r="F57" i="1"/>
  <c r="AO57" i="1"/>
  <c r="M57" i="1"/>
  <c r="N57" i="1"/>
  <c r="O57" i="1"/>
  <c r="AW52" i="11" s="1"/>
  <c r="Q57" i="1"/>
  <c r="AN57" i="1"/>
  <c r="P57" i="1"/>
  <c r="R65" i="1"/>
  <c r="K65" i="1"/>
  <c r="S65" i="1"/>
  <c r="AL65" i="1"/>
  <c r="L65" i="1"/>
  <c r="P65" i="1"/>
  <c r="Q65" i="1"/>
  <c r="AM65" i="1"/>
  <c r="AN65" i="1"/>
  <c r="AO65" i="1"/>
  <c r="N65" i="1"/>
  <c r="O65" i="1"/>
  <c r="M65" i="1"/>
  <c r="F65" i="1"/>
  <c r="L27" i="1"/>
  <c r="AM27" i="1"/>
  <c r="M27" i="1"/>
  <c r="AN27" i="1"/>
  <c r="N27" i="1"/>
  <c r="O27" i="1"/>
  <c r="AW22" i="11" s="1"/>
  <c r="AL27" i="1"/>
  <c r="P27" i="1"/>
  <c r="AO27" i="1"/>
  <c r="K27" i="1"/>
  <c r="Q27" i="1"/>
  <c r="R27" i="1"/>
  <c r="S27" i="1"/>
  <c r="F27" i="1"/>
  <c r="Q26" i="1"/>
  <c r="R26" i="1"/>
  <c r="AM26" i="1"/>
  <c r="S26" i="1"/>
  <c r="AN26" i="1"/>
  <c r="K26" i="1"/>
  <c r="AO26" i="1"/>
  <c r="L26" i="1"/>
  <c r="M26" i="1"/>
  <c r="N26" i="1"/>
  <c r="O26" i="1"/>
  <c r="AW21" i="11" s="1"/>
  <c r="AL26" i="1"/>
  <c r="P26" i="1"/>
  <c r="F26" i="1"/>
  <c r="X14" i="1"/>
  <c r="AF14" i="1"/>
  <c r="AB14" i="1"/>
  <c r="AD14" i="1"/>
  <c r="AH14" i="1"/>
  <c r="Z14" i="1"/>
  <c r="V14" i="1"/>
  <c r="BB15" i="1"/>
  <c r="AN10" i="11" s="1"/>
  <c r="BE15" i="1"/>
  <c r="AQ10" i="11" s="1"/>
  <c r="AS15" i="1"/>
  <c r="AE10" i="11" s="1"/>
  <c r="BH15" i="1"/>
  <c r="AT10" i="11" s="1"/>
  <c r="AP15" i="1"/>
  <c r="AB10" i="11" s="1"/>
  <c r="AV15" i="1"/>
  <c r="AH10" i="11" s="1"/>
  <c r="AY15" i="1"/>
  <c r="AK10" i="11" s="1"/>
  <c r="AU29" i="1"/>
  <c r="AG24" i="11" s="1"/>
  <c r="BD29" i="1"/>
  <c r="AP24" i="11" s="1"/>
  <c r="BJ29" i="1"/>
  <c r="AV24" i="11" s="1"/>
  <c r="BA29" i="1"/>
  <c r="AM24" i="11" s="1"/>
  <c r="BG29" i="1"/>
  <c r="AS24" i="11" s="1"/>
  <c r="AX29" i="1"/>
  <c r="AJ24" i="11" s="1"/>
  <c r="AR29" i="1"/>
  <c r="AD24" i="11" s="1"/>
  <c r="BI39" i="1"/>
  <c r="AU34" i="11" s="1"/>
  <c r="AQ39" i="1"/>
  <c r="AC34" i="11" s="1"/>
  <c r="Q11" i="1"/>
  <c r="R11" i="1"/>
  <c r="K11" i="1"/>
  <c r="AL11" i="1"/>
  <c r="L11" i="1"/>
  <c r="M11" i="1"/>
  <c r="N11" i="1"/>
  <c r="AO11" i="1"/>
  <c r="O11" i="1"/>
  <c r="AW6" i="11" s="1"/>
  <c r="P11" i="1"/>
  <c r="BD10" i="1"/>
  <c r="AP5" i="11" s="1"/>
  <c r="AX10" i="1"/>
  <c r="AJ5" i="11" s="1"/>
  <c r="BG10" i="1"/>
  <c r="AS5" i="11" s="1"/>
  <c r="AR10" i="1"/>
  <c r="AD5" i="11" s="1"/>
  <c r="BA10" i="1"/>
  <c r="AM5" i="11" s="1"/>
  <c r="AU10" i="1"/>
  <c r="AG5" i="11" s="1"/>
  <c r="BJ10" i="1"/>
  <c r="AV5" i="11" s="1"/>
  <c r="K21" i="1"/>
  <c r="S21" i="1"/>
  <c r="AL21" i="1"/>
  <c r="L21" i="1"/>
  <c r="AM21" i="1"/>
  <c r="M21" i="1"/>
  <c r="AN21" i="1"/>
  <c r="O21" i="1"/>
  <c r="AW16" i="11" s="1"/>
  <c r="Q21" i="1"/>
  <c r="N21" i="1"/>
  <c r="P21" i="1"/>
  <c r="R21" i="1"/>
  <c r="AO21" i="1"/>
  <c r="BF14" i="1"/>
  <c r="AR9" i="11" s="1"/>
  <c r="BI14" i="1"/>
  <c r="AU9" i="11" s="1"/>
  <c r="AZ14" i="1"/>
  <c r="AL9" i="11" s="1"/>
  <c r="AQ14" i="1"/>
  <c r="AC9" i="11" s="1"/>
  <c r="BC14" i="1"/>
  <c r="AO9" i="11" s="1"/>
  <c r="AW14" i="1"/>
  <c r="AI9" i="11" s="1"/>
  <c r="AT14" i="1"/>
  <c r="AF9" i="11" s="1"/>
  <c r="AA9" i="11"/>
  <c r="AB15" i="1"/>
  <c r="P30" i="1"/>
  <c r="Q30" i="1"/>
  <c r="S30" i="1"/>
  <c r="F30" i="1"/>
  <c r="R30" i="1"/>
  <c r="AL30" i="1"/>
  <c r="AM30" i="1"/>
  <c r="M30" i="1"/>
  <c r="K30" i="1"/>
  <c r="AN30" i="1"/>
  <c r="L30" i="1"/>
  <c r="AO30" i="1"/>
  <c r="N30" i="1"/>
  <c r="O30" i="1"/>
  <c r="AW25" i="11" s="1"/>
  <c r="Y14" i="1"/>
  <c r="BD25" i="1"/>
  <c r="AP20" i="11" s="1"/>
  <c r="AE25" i="1"/>
  <c r="U29" i="1"/>
  <c r="AC29" i="1"/>
  <c r="AE29" i="1"/>
  <c r="AA29" i="1"/>
  <c r="AG29" i="1"/>
  <c r="W29" i="1"/>
  <c r="Y29" i="1"/>
  <c r="AQ22" i="1"/>
  <c r="AC17" i="11" s="1"/>
  <c r="AZ22" i="1"/>
  <c r="AL17" i="11" s="1"/>
  <c r="AT22" i="1"/>
  <c r="AF17" i="11" s="1"/>
  <c r="BF22" i="1"/>
  <c r="AR17" i="11" s="1"/>
  <c r="BI22" i="1"/>
  <c r="AU17" i="11" s="1"/>
  <c r="BC22" i="1"/>
  <c r="AO17" i="11" s="1"/>
  <c r="AW22" i="1"/>
  <c r="AI17" i="11" s="1"/>
  <c r="AA17" i="11"/>
  <c r="AZ39" i="1"/>
  <c r="AL34" i="11" s="1"/>
  <c r="BF39" i="1"/>
  <c r="AR34" i="11" s="1"/>
  <c r="AC38" i="1"/>
  <c r="AT38" i="1"/>
  <c r="AF33" i="11" s="1"/>
  <c r="BJ43" i="1"/>
  <c r="AV38" i="11" s="1"/>
  <c r="AR43" i="1"/>
  <c r="AD38" i="11" s="1"/>
  <c r="BA43" i="1"/>
  <c r="AM38" i="11" s="1"/>
  <c r="BD43" i="1"/>
  <c r="AP38" i="11" s="1"/>
  <c r="AU43" i="1"/>
  <c r="AG38" i="11" s="1"/>
  <c r="BG43" i="1"/>
  <c r="AS38" i="11" s="1"/>
  <c r="AX43" i="1"/>
  <c r="AJ38" i="11" s="1"/>
  <c r="AX50" i="1"/>
  <c r="AJ45" i="11" s="1"/>
  <c r="BG50" i="1"/>
  <c r="AS45" i="11" s="1"/>
  <c r="BD50" i="1"/>
  <c r="AP45" i="11" s="1"/>
  <c r="AU50" i="1"/>
  <c r="AG45" i="11" s="1"/>
  <c r="BJ50" i="1"/>
  <c r="AV45" i="11" s="1"/>
  <c r="AR50" i="1"/>
  <c r="AD45" i="11" s="1"/>
  <c r="BA50" i="1"/>
  <c r="AM45" i="11" s="1"/>
  <c r="AX54" i="1"/>
  <c r="AJ49" i="11" s="1"/>
  <c r="BG54" i="1"/>
  <c r="AS49" i="11" s="1"/>
  <c r="BJ54" i="1"/>
  <c r="AV49" i="11" s="1"/>
  <c r="BA54" i="1"/>
  <c r="AM49" i="11" s="1"/>
  <c r="AU54" i="1"/>
  <c r="AG49" i="11" s="1"/>
  <c r="AR54" i="1"/>
  <c r="AD49" i="11" s="1"/>
  <c r="BD54" i="1"/>
  <c r="AP49" i="11" s="1"/>
  <c r="W60" i="1"/>
  <c r="AE60" i="1"/>
  <c r="AG60" i="1"/>
  <c r="U60" i="1"/>
  <c r="Y60" i="1"/>
  <c r="AA60" i="1"/>
  <c r="AC60" i="1"/>
  <c r="X52" i="1"/>
  <c r="AF52" i="1"/>
  <c r="W48" i="1"/>
  <c r="BE58" i="1"/>
  <c r="AX62" i="1"/>
  <c r="BJ62" i="1"/>
  <c r="AR62" i="1"/>
  <c r="BG62" i="1"/>
  <c r="AU62" i="1"/>
  <c r="BA62" i="1"/>
  <c r="BD62" i="1"/>
  <c r="W10" i="1"/>
  <c r="AE10" i="1"/>
  <c r="Y10" i="1"/>
  <c r="AG10" i="1"/>
  <c r="AA10" i="1"/>
  <c r="U10" i="1"/>
  <c r="AC10" i="1"/>
  <c r="V10" i="1"/>
  <c r="AD10" i="1"/>
  <c r="X10" i="1"/>
  <c r="AF10" i="1"/>
  <c r="Z10" i="1"/>
  <c r="AH10" i="1"/>
  <c r="AB10" i="1"/>
  <c r="AW12" i="1"/>
  <c r="AI7" i="11" s="1"/>
  <c r="BF12" i="1"/>
  <c r="AR7" i="11" s="1"/>
  <c r="AQ12" i="1"/>
  <c r="AC7" i="11" s="1"/>
  <c r="BI12" i="1"/>
  <c r="AU7" i="11" s="1"/>
  <c r="AT12" i="1"/>
  <c r="AF7" i="11" s="1"/>
  <c r="AZ12" i="1"/>
  <c r="AL7" i="11" s="1"/>
  <c r="BC12" i="1"/>
  <c r="AO7" i="11" s="1"/>
  <c r="AA7" i="11"/>
  <c r="BJ15" i="1"/>
  <c r="AV10" i="11" s="1"/>
  <c r="BA15" i="1"/>
  <c r="AM10" i="11" s="1"/>
  <c r="AR15" i="1"/>
  <c r="AD10" i="11" s="1"/>
  <c r="BD15" i="1"/>
  <c r="AP10" i="11" s="1"/>
  <c r="AU15" i="1"/>
  <c r="AG10" i="11" s="1"/>
  <c r="AX15" i="1"/>
  <c r="AJ10" i="11" s="1"/>
  <c r="BG15" i="1"/>
  <c r="AS10" i="11" s="1"/>
  <c r="BC16" i="1"/>
  <c r="AO11" i="11" s="1"/>
  <c r="BB19" i="1"/>
  <c r="AN14" i="11" s="1"/>
  <c r="AP19" i="1"/>
  <c r="AB14" i="11" s="1"/>
  <c r="BH19" i="1"/>
  <c r="AT14" i="11" s="1"/>
  <c r="AU28" i="1"/>
  <c r="AG23" i="11" s="1"/>
  <c r="AG14" i="1"/>
  <c r="AF25" i="1"/>
  <c r="AC25" i="1"/>
  <c r="AR33" i="1"/>
  <c r="AD28" i="11" s="1"/>
  <c r="BA33" i="1"/>
  <c r="AM28" i="11" s="1"/>
  <c r="BG33" i="1"/>
  <c r="AS28" i="11" s="1"/>
  <c r="BJ33" i="1"/>
  <c r="AV28" i="11" s="1"/>
  <c r="AU33" i="1"/>
  <c r="AG28" i="11" s="1"/>
  <c r="AX33" i="1"/>
  <c r="AJ28" i="11" s="1"/>
  <c r="BD33" i="1"/>
  <c r="AP28" i="11" s="1"/>
  <c r="K49" i="1"/>
  <c r="S49" i="1"/>
  <c r="AL49" i="1"/>
  <c r="L49" i="1"/>
  <c r="AM49" i="1"/>
  <c r="R49" i="1"/>
  <c r="M49" i="1"/>
  <c r="O49" i="1"/>
  <c r="AW44" i="11" s="1"/>
  <c r="AN49" i="1"/>
  <c r="Q49" i="1"/>
  <c r="N49" i="1"/>
  <c r="P49" i="1"/>
  <c r="F49" i="1"/>
  <c r="AO49" i="1"/>
  <c r="AT39" i="1"/>
  <c r="AF34" i="11" s="1"/>
  <c r="BF38" i="1"/>
  <c r="AR33" i="11" s="1"/>
  <c r="AX42" i="1"/>
  <c r="AJ37" i="11" s="1"/>
  <c r="BG42" i="1"/>
  <c r="AS37" i="11" s="1"/>
  <c r="BJ42" i="1"/>
  <c r="AV37" i="11" s="1"/>
  <c r="AU42" i="1"/>
  <c r="AG37" i="11" s="1"/>
  <c r="BA42" i="1"/>
  <c r="AM37" i="11" s="1"/>
  <c r="AR42" i="1"/>
  <c r="AD37" i="11" s="1"/>
  <c r="BD42" i="1"/>
  <c r="AP37" i="11" s="1"/>
  <c r="W54" i="1"/>
  <c r="K51" i="1"/>
  <c r="S51" i="1"/>
  <c r="AL51" i="1"/>
  <c r="L51" i="1"/>
  <c r="AM51" i="1"/>
  <c r="M51" i="1"/>
  <c r="N51" i="1"/>
  <c r="O51" i="1"/>
  <c r="AW46" i="11" s="1"/>
  <c r="AN51" i="1"/>
  <c r="F51" i="1"/>
  <c r="P51" i="1"/>
  <c r="AO51" i="1"/>
  <c r="Q51" i="1"/>
  <c r="R51" i="1"/>
  <c r="AP50" i="1"/>
  <c r="AB45" i="11" s="1"/>
  <c r="AY50" i="1"/>
  <c r="AK45" i="11" s="1"/>
  <c r="AS50" i="1"/>
  <c r="AE45" i="11" s="1"/>
  <c r="BE50" i="1"/>
  <c r="AQ45" i="11" s="1"/>
  <c r="AV50" i="1"/>
  <c r="AH45" i="11" s="1"/>
  <c r="BH50" i="1"/>
  <c r="AT45" i="11" s="1"/>
  <c r="BB50" i="1"/>
  <c r="AN45" i="11" s="1"/>
  <c r="AR58" i="1"/>
  <c r="AC54" i="1"/>
  <c r="V58" i="1"/>
  <c r="X64" i="1"/>
  <c r="AF64" i="1"/>
  <c r="AD64" i="1"/>
  <c r="AB64" i="1"/>
  <c r="AH64" i="1"/>
  <c r="V64" i="1"/>
  <c r="Z64" i="1"/>
  <c r="AE48" i="1"/>
  <c r="BE64" i="1"/>
  <c r="AS58" i="1"/>
  <c r="O18" i="1"/>
  <c r="AW13" i="11" s="1"/>
  <c r="R18" i="1"/>
  <c r="N18" i="1"/>
  <c r="AM18" i="1"/>
  <c r="P18" i="1"/>
  <c r="AN18" i="1"/>
  <c r="Q18" i="1"/>
  <c r="AO18" i="1"/>
  <c r="L18" i="1"/>
  <c r="AL18" i="1"/>
  <c r="K18" i="1"/>
  <c r="M18" i="1"/>
  <c r="S18" i="1"/>
  <c r="X20" i="1"/>
  <c r="AF20" i="1"/>
  <c r="AD20" i="1"/>
  <c r="V20" i="1"/>
  <c r="AB20" i="1"/>
  <c r="Z20" i="1"/>
  <c r="AH20" i="1"/>
  <c r="BH33" i="1"/>
  <c r="AT28" i="11" s="1"/>
  <c r="AS33" i="1"/>
  <c r="AE28" i="11" s="1"/>
  <c r="AV33" i="1"/>
  <c r="AH28" i="11" s="1"/>
  <c r="AP33" i="1"/>
  <c r="AB28" i="11" s="1"/>
  <c r="BB33" i="1"/>
  <c r="AN28" i="11" s="1"/>
  <c r="BE33" i="1"/>
  <c r="AQ28" i="11" s="1"/>
  <c r="AY33" i="1"/>
  <c r="AK28" i="11" s="1"/>
  <c r="BJ39" i="1"/>
  <c r="AV34" i="11" s="1"/>
  <c r="AX39" i="1"/>
  <c r="AJ34" i="11" s="1"/>
  <c r="BD39" i="1"/>
  <c r="AP34" i="11" s="1"/>
  <c r="AU39" i="1"/>
  <c r="AG34" i="11" s="1"/>
  <c r="BG39" i="1"/>
  <c r="AS34" i="11" s="1"/>
  <c r="BA39" i="1"/>
  <c r="AM34" i="11" s="1"/>
  <c r="AR39" i="1"/>
  <c r="AD34" i="11" s="1"/>
  <c r="BC39" i="1"/>
  <c r="AO34" i="11" s="1"/>
  <c r="X42" i="1"/>
  <c r="AF42" i="1"/>
  <c r="AB42" i="1"/>
  <c r="Z42" i="1"/>
  <c r="AD42" i="1"/>
  <c r="AH42" i="1"/>
  <c r="V42" i="1"/>
  <c r="AB43" i="1"/>
  <c r="V43" i="1"/>
  <c r="AF43" i="1"/>
  <c r="X43" i="1"/>
  <c r="Z43" i="1"/>
  <c r="AD43" i="1"/>
  <c r="AH43" i="1"/>
  <c r="X50" i="1"/>
  <c r="AF50" i="1"/>
  <c r="V50" i="1"/>
  <c r="AH50" i="1"/>
  <c r="Z50" i="1"/>
  <c r="AB50" i="1"/>
  <c r="AD50" i="1"/>
  <c r="AH54" i="1"/>
  <c r="V54" i="1"/>
  <c r="U54" i="1"/>
  <c r="X46" i="1"/>
  <c r="AF46" i="1"/>
  <c r="AB46" i="1"/>
  <c r="AD46" i="1"/>
  <c r="AH46" i="1"/>
  <c r="V46" i="1"/>
  <c r="Z46" i="1"/>
  <c r="AA54" i="1"/>
  <c r="AF58" i="1"/>
  <c r="AH44" i="1"/>
  <c r="AP48" i="1"/>
  <c r="AB43" i="11" s="1"/>
  <c r="AY48" i="1"/>
  <c r="AK43" i="11" s="1"/>
  <c r="BB48" i="1"/>
  <c r="AN43" i="11" s="1"/>
  <c r="AS48" i="1"/>
  <c r="AE43" i="11" s="1"/>
  <c r="AV48" i="1"/>
  <c r="AH43" i="11" s="1"/>
  <c r="BH48" i="1"/>
  <c r="AT43" i="11" s="1"/>
  <c r="BE48" i="1"/>
  <c r="AQ43" i="11" s="1"/>
  <c r="AX40" i="1"/>
  <c r="AJ35" i="11" s="1"/>
  <c r="BJ40" i="1"/>
  <c r="AV35" i="11" s="1"/>
  <c r="AU40" i="1"/>
  <c r="AG35" i="11" s="1"/>
  <c r="BG40" i="1"/>
  <c r="AS35" i="11" s="1"/>
  <c r="AR40" i="1"/>
  <c r="AD35" i="11" s="1"/>
  <c r="BA40" i="1"/>
  <c r="AM35" i="11" s="1"/>
  <c r="BD40" i="1"/>
  <c r="AP35" i="11" s="1"/>
  <c r="K41" i="1"/>
  <c r="S41" i="1"/>
  <c r="AL41" i="1"/>
  <c r="O41" i="1"/>
  <c r="AW36" i="11" s="1"/>
  <c r="M41" i="1"/>
  <c r="N41" i="1"/>
  <c r="AM41" i="1"/>
  <c r="P41" i="1"/>
  <c r="AN41" i="1"/>
  <c r="Q41" i="1"/>
  <c r="AO41" i="1"/>
  <c r="L41" i="1"/>
  <c r="R41" i="1"/>
  <c r="BB54" i="1"/>
  <c r="AN49" i="11" s="1"/>
  <c r="BJ55" i="1"/>
  <c r="AV50" i="11" s="1"/>
  <c r="AU55" i="1"/>
  <c r="AG50" i="11" s="1"/>
  <c r="BA55" i="1"/>
  <c r="AM50" i="11" s="1"/>
  <c r="AX55" i="1"/>
  <c r="AJ50" i="11" s="1"/>
  <c r="BD55" i="1"/>
  <c r="AP50" i="11" s="1"/>
  <c r="AR55" i="1"/>
  <c r="AD50" i="11" s="1"/>
  <c r="BG55" i="1"/>
  <c r="AS50" i="11" s="1"/>
  <c r="AV64" i="1"/>
  <c r="U48" i="1"/>
  <c r="AY58" i="1"/>
  <c r="F18" i="1"/>
  <c r="M23" i="1"/>
  <c r="AN23" i="1"/>
  <c r="O23" i="1"/>
  <c r="AW18" i="11" s="1"/>
  <c r="Q23" i="1"/>
  <c r="N23" i="1"/>
  <c r="AM23" i="1"/>
  <c r="P23" i="1"/>
  <c r="AO23" i="1"/>
  <c r="R23" i="1"/>
  <c r="S23" i="1"/>
  <c r="AL23" i="1"/>
  <c r="K23" i="1"/>
  <c r="L23" i="1"/>
  <c r="L31" i="1"/>
  <c r="AM31" i="1"/>
  <c r="M31" i="1"/>
  <c r="AN31" i="1"/>
  <c r="S31" i="1"/>
  <c r="K31" i="1"/>
  <c r="N31" i="1"/>
  <c r="Q31" i="1"/>
  <c r="O31" i="1"/>
  <c r="AW26" i="11" s="1"/>
  <c r="AL31" i="1"/>
  <c r="P31" i="1"/>
  <c r="AO31" i="1"/>
  <c r="R31" i="1"/>
  <c r="F31" i="1"/>
  <c r="U25" i="1"/>
  <c r="AX38" i="1"/>
  <c r="AJ33" i="11" s="1"/>
  <c r="BJ38" i="1"/>
  <c r="AV33" i="11" s="1"/>
  <c r="AR38" i="1"/>
  <c r="AD33" i="11" s="1"/>
  <c r="BD38" i="1"/>
  <c r="AP33" i="11" s="1"/>
  <c r="AU38" i="1"/>
  <c r="AG33" i="11" s="1"/>
  <c r="BG38" i="1"/>
  <c r="AS33" i="11" s="1"/>
  <c r="BA38" i="1"/>
  <c r="AM33" i="11" s="1"/>
  <c r="AA42" i="1"/>
  <c r="AC42" i="1"/>
  <c r="Y42" i="1"/>
  <c r="AE42" i="1"/>
  <c r="AG42" i="1"/>
  <c r="U42" i="1"/>
  <c r="W42" i="1"/>
  <c r="AP42" i="1"/>
  <c r="AB37" i="11" s="1"/>
  <c r="AV42" i="1"/>
  <c r="AH37" i="11" s="1"/>
  <c r="BE42" i="1"/>
  <c r="AQ37" i="11" s="1"/>
  <c r="AY42" i="1"/>
  <c r="AK37" i="11" s="1"/>
  <c r="BH42" i="1"/>
  <c r="AT37" i="11" s="1"/>
  <c r="BB42" i="1"/>
  <c r="AN37" i="11" s="1"/>
  <c r="AS42" i="1"/>
  <c r="AE37" i="11" s="1"/>
  <c r="Y50" i="1"/>
  <c r="AG50" i="1"/>
  <c r="U50" i="1"/>
  <c r="AE50" i="1"/>
  <c r="W50" i="1"/>
  <c r="AC50" i="1"/>
  <c r="AA50" i="1"/>
  <c r="K59" i="1"/>
  <c r="S59" i="1"/>
  <c r="AL59" i="1"/>
  <c r="L59" i="1"/>
  <c r="AM59" i="1"/>
  <c r="M59" i="1"/>
  <c r="N59" i="1"/>
  <c r="R59" i="1"/>
  <c r="AO59" i="1"/>
  <c r="O59" i="1"/>
  <c r="Q59" i="1"/>
  <c r="AN59" i="1"/>
  <c r="P59" i="1"/>
  <c r="AB58" i="1"/>
  <c r="AG54" i="1"/>
  <c r="X58" i="1"/>
  <c r="X48" i="1"/>
  <c r="AF48" i="1"/>
  <c r="AD48" i="1"/>
  <c r="V48" i="1"/>
  <c r="AH48" i="1"/>
  <c r="Z48" i="1"/>
  <c r="AB48" i="1"/>
  <c r="AB54" i="1"/>
  <c r="AU58" i="1"/>
  <c r="AV54" i="1"/>
  <c r="AH49" i="11" s="1"/>
  <c r="U55" i="1"/>
  <c r="AC55" i="1"/>
  <c r="AA55" i="1"/>
  <c r="AE55" i="1"/>
  <c r="Y55" i="1"/>
  <c r="AG55" i="1"/>
  <c r="W55" i="1"/>
  <c r="AC48" i="1"/>
  <c r="AX64" i="1"/>
  <c r="AR64" i="1"/>
  <c r="BG64" i="1"/>
  <c r="AU64" i="1"/>
  <c r="BJ64" i="1"/>
  <c r="BA64" i="1"/>
  <c r="BD64" i="1"/>
  <c r="AP58" i="1"/>
  <c r="Z62" i="1"/>
  <c r="AB62" i="1"/>
  <c r="Q13" i="1"/>
  <c r="R13" i="1"/>
  <c r="K13" i="1"/>
  <c r="S13" i="1"/>
  <c r="AL13" i="1"/>
  <c r="N13" i="1"/>
  <c r="AO13" i="1"/>
  <c r="AN13" i="1"/>
  <c r="L13" i="1"/>
  <c r="M13" i="1"/>
  <c r="O13" i="1"/>
  <c r="AW8" i="11" s="1"/>
  <c r="AM13" i="1"/>
  <c r="P13" i="1"/>
  <c r="Z15" i="1"/>
  <c r="W15" i="1"/>
  <c r="AE15" i="1"/>
  <c r="U15" i="1"/>
  <c r="AG15" i="1"/>
  <c r="AC15" i="1"/>
  <c r="AA15" i="1"/>
  <c r="Y15" i="1"/>
  <c r="AB39" i="1"/>
  <c r="X39" i="1"/>
  <c r="AF39" i="1"/>
  <c r="V39" i="1"/>
  <c r="AH39" i="1"/>
  <c r="Z39" i="1"/>
  <c r="AD39" i="1"/>
  <c r="BF56" i="1"/>
  <c r="AR51" i="11" s="1"/>
  <c r="AQ56" i="1"/>
  <c r="BC56" i="1"/>
  <c r="AO51" i="11" s="1"/>
  <c r="AT56" i="1"/>
  <c r="AF51" i="11" s="1"/>
  <c r="BI56" i="1"/>
  <c r="AU51" i="11" s="1"/>
  <c r="AW56" i="1"/>
  <c r="AI51" i="11" s="1"/>
  <c r="AZ56" i="1"/>
  <c r="AL51" i="11" s="1"/>
  <c r="AA51" i="11"/>
  <c r="R63" i="1"/>
  <c r="K63" i="1"/>
  <c r="S63" i="1"/>
  <c r="AL63" i="1"/>
  <c r="O63" i="1"/>
  <c r="AN63" i="1"/>
  <c r="P63" i="1"/>
  <c r="AO63" i="1"/>
  <c r="Q63" i="1"/>
  <c r="L63" i="1"/>
  <c r="M63" i="1"/>
  <c r="N63" i="1"/>
  <c r="AM63" i="1"/>
  <c r="Y54" i="1"/>
  <c r="AF54" i="1"/>
  <c r="BD58" i="1"/>
  <c r="AX52" i="1"/>
  <c r="AJ47" i="11" s="1"/>
  <c r="BG52" i="1"/>
  <c r="AS47" i="11" s="1"/>
  <c r="X40" i="1"/>
  <c r="AF40" i="1"/>
  <c r="AB40" i="1"/>
  <c r="AH40" i="1"/>
  <c r="Z40" i="1"/>
  <c r="V40" i="1"/>
  <c r="AD40" i="1"/>
  <c r="R61" i="1"/>
  <c r="K61" i="1"/>
  <c r="S61" i="1"/>
  <c r="AL61" i="1"/>
  <c r="L61" i="1"/>
  <c r="M61" i="1"/>
  <c r="N61" i="1"/>
  <c r="AM61" i="1"/>
  <c r="F61" i="1"/>
  <c r="O61" i="1"/>
  <c r="P61" i="1"/>
  <c r="Q61" i="1"/>
  <c r="AN61" i="1"/>
  <c r="AO61" i="1"/>
  <c r="BH54" i="1"/>
  <c r="AT49" i="11" s="1"/>
  <c r="AB55" i="1"/>
  <c r="AD55" i="1"/>
  <c r="Z55" i="1"/>
  <c r="AF55" i="1"/>
  <c r="AH55" i="1"/>
  <c r="V55" i="1"/>
  <c r="X55" i="1"/>
  <c r="BB55" i="1"/>
  <c r="AN50" i="11" s="1"/>
  <c r="AY55" i="1"/>
  <c r="AK50" i="11" s="1"/>
  <c r="AP55" i="1"/>
  <c r="AB50" i="11" s="1"/>
  <c r="AS55" i="1"/>
  <c r="AE50" i="11" s="1"/>
  <c r="BH55" i="1"/>
  <c r="AT50" i="11" s="1"/>
  <c r="AV55" i="1"/>
  <c r="AH50" i="11" s="1"/>
  <c r="BE55" i="1"/>
  <c r="AQ50" i="11" s="1"/>
  <c r="AG48" i="1"/>
  <c r="AT19" i="1"/>
  <c r="AF14" i="11" s="1"/>
  <c r="AW19" i="1"/>
  <c r="AI14" i="11" s="1"/>
  <c r="AZ19" i="1"/>
  <c r="AL14" i="11" s="1"/>
  <c r="AQ19" i="1"/>
  <c r="AC14" i="11" s="1"/>
  <c r="BC19" i="1"/>
  <c r="AO14" i="11" s="1"/>
  <c r="BF19" i="1"/>
  <c r="AR14" i="11" s="1"/>
  <c r="BI19" i="1"/>
  <c r="AU14" i="11" s="1"/>
  <c r="AA14" i="11"/>
  <c r="AD15" i="1"/>
  <c r="M34" i="1"/>
  <c r="AN34" i="1"/>
  <c r="N34" i="1"/>
  <c r="AO34" i="1"/>
  <c r="P34" i="1"/>
  <c r="AM34" i="1"/>
  <c r="Q34" i="1"/>
  <c r="AL34" i="1"/>
  <c r="K34" i="1"/>
  <c r="L34" i="1"/>
  <c r="O34" i="1"/>
  <c r="AW29" i="11" s="1"/>
  <c r="S34" i="1"/>
  <c r="R34" i="1"/>
  <c r="Y25" i="1"/>
  <c r="U33" i="1"/>
  <c r="AC33" i="1"/>
  <c r="Y33" i="1"/>
  <c r="W33" i="1"/>
  <c r="AA33" i="1"/>
  <c r="AE33" i="1"/>
  <c r="AG33" i="1"/>
  <c r="Q9" i="1"/>
  <c r="R9" i="1"/>
  <c r="S9" i="1"/>
  <c r="L9" i="1"/>
  <c r="AM9" i="1"/>
  <c r="M9" i="1"/>
  <c r="P9" i="1"/>
  <c r="K17" i="1"/>
  <c r="S17" i="1"/>
  <c r="AL17" i="1"/>
  <c r="N17" i="1"/>
  <c r="AO17" i="1"/>
  <c r="M17" i="1"/>
  <c r="O17" i="1"/>
  <c r="AW12" i="11" s="1"/>
  <c r="AM17" i="1"/>
  <c r="P17" i="1"/>
  <c r="AN17" i="1"/>
  <c r="R17" i="1"/>
  <c r="L17" i="1"/>
  <c r="Q17" i="1"/>
  <c r="AB16" i="1"/>
  <c r="AD16" i="1"/>
  <c r="AZ16" i="1"/>
  <c r="AL11" i="11" s="1"/>
  <c r="Y28" i="1"/>
  <c r="AG28" i="1"/>
  <c r="AC28" i="1"/>
  <c r="W28" i="1"/>
  <c r="AA28" i="1"/>
  <c r="U28" i="1"/>
  <c r="AE28" i="1"/>
  <c r="W14" i="1"/>
  <c r="W25" i="1"/>
  <c r="Q35" i="1"/>
  <c r="R35" i="1"/>
  <c r="P35" i="1"/>
  <c r="AO35" i="1"/>
  <c r="L35" i="1"/>
  <c r="N35" i="1"/>
  <c r="O35" i="1"/>
  <c r="AW30" i="11" s="1"/>
  <c r="S35" i="1"/>
  <c r="AL35" i="1"/>
  <c r="AM35" i="1"/>
  <c r="AN35" i="1"/>
  <c r="M35" i="1"/>
  <c r="K35" i="1"/>
  <c r="AX22" i="1"/>
  <c r="AJ17" i="11" s="1"/>
  <c r="AR22" i="1"/>
  <c r="AD17" i="11" s="1"/>
  <c r="BJ22" i="1"/>
  <c r="AV17" i="11" s="1"/>
  <c r="BD22" i="1"/>
  <c r="AP17" i="11" s="1"/>
  <c r="BG22" i="1"/>
  <c r="AS17" i="11" s="1"/>
  <c r="AU22" i="1"/>
  <c r="AG17" i="11" s="1"/>
  <c r="BA22" i="1"/>
  <c r="AM17" i="11" s="1"/>
  <c r="AW16" i="1"/>
  <c r="AI11" i="11" s="1"/>
  <c r="AH15" i="1"/>
  <c r="AE14" i="1"/>
  <c r="Q24" i="1"/>
  <c r="L24" i="1"/>
  <c r="M24" i="1"/>
  <c r="N24" i="1"/>
  <c r="AN24" i="1"/>
  <c r="AO24" i="1"/>
  <c r="K24" i="1"/>
  <c r="O24" i="1"/>
  <c r="AW19" i="11" s="1"/>
  <c r="P24" i="1"/>
  <c r="R24" i="1"/>
  <c r="S24" i="1"/>
  <c r="F24" i="1"/>
  <c r="AL24" i="1"/>
  <c r="AM24" i="1"/>
  <c r="Y32" i="1"/>
  <c r="AG32" i="1"/>
  <c r="W32" i="1"/>
  <c r="AE32" i="1"/>
  <c r="AA32" i="1"/>
  <c r="AC32" i="1"/>
  <c r="U32" i="1"/>
  <c r="F35" i="1"/>
  <c r="BI38" i="1"/>
  <c r="AU33" i="11" s="1"/>
  <c r="F11" i="1"/>
  <c r="AV12" i="1"/>
  <c r="AH7" i="11" s="1"/>
  <c r="BE12" i="1"/>
  <c r="AQ7" i="11" s="1"/>
  <c r="AP12" i="1"/>
  <c r="AB7" i="11" s="1"/>
  <c r="AY12" i="1"/>
  <c r="AK7" i="11" s="1"/>
  <c r="AS12" i="1"/>
  <c r="AE7" i="11" s="1"/>
  <c r="BH12" i="1"/>
  <c r="AT7" i="11" s="1"/>
  <c r="BB12" i="1"/>
  <c r="AN7" i="11" s="1"/>
  <c r="V12" i="1"/>
  <c r="AD12" i="1"/>
  <c r="X12" i="1"/>
  <c r="AF12" i="1"/>
  <c r="Z12" i="1"/>
  <c r="AB12" i="1"/>
  <c r="AH12" i="1"/>
  <c r="AX14" i="1"/>
  <c r="AJ9" i="11" s="1"/>
  <c r="BA14" i="1"/>
  <c r="AM9" i="11" s="1"/>
  <c r="BJ14" i="1"/>
  <c r="AV9" i="11" s="1"/>
  <c r="AR14" i="1"/>
  <c r="AD9" i="11" s="1"/>
  <c r="AU14" i="1"/>
  <c r="AG9" i="11" s="1"/>
  <c r="BD14" i="1"/>
  <c r="AP9" i="11" s="1"/>
  <c r="BG14" i="1"/>
  <c r="AS9" i="11" s="1"/>
  <c r="AQ16" i="1"/>
  <c r="AC11" i="11" s="1"/>
  <c r="X15" i="1"/>
  <c r="U14" i="1"/>
  <c r="F34" i="1"/>
  <c r="AG25" i="1"/>
  <c r="Q37" i="1"/>
  <c r="R37" i="1"/>
  <c r="K37" i="1"/>
  <c r="O37" i="1"/>
  <c r="AW32" i="11" s="1"/>
  <c r="AN37" i="1"/>
  <c r="M37" i="1"/>
  <c r="N37" i="1"/>
  <c r="P37" i="1"/>
  <c r="S37" i="1"/>
  <c r="AL37" i="1"/>
  <c r="L37" i="1"/>
  <c r="AO37" i="1"/>
  <c r="AM37" i="1"/>
  <c r="AZ38" i="1"/>
  <c r="AL33" i="11" s="1"/>
  <c r="BB43" i="1"/>
  <c r="AN38" i="11" s="1"/>
  <c r="AP43" i="1"/>
  <c r="AB38" i="11" s="1"/>
  <c r="AY43" i="1"/>
  <c r="AK38" i="11" s="1"/>
  <c r="BH43" i="1"/>
  <c r="AT38" i="11" s="1"/>
  <c r="BE43" i="1"/>
  <c r="AQ38" i="11" s="1"/>
  <c r="AS43" i="1"/>
  <c r="AE38" i="11" s="1"/>
  <c r="AV43" i="1"/>
  <c r="AH38" i="11" s="1"/>
  <c r="BF58" i="1"/>
  <c r="AQ58" i="1"/>
  <c r="BC58" i="1"/>
  <c r="AT58" i="1"/>
  <c r="BI58" i="1"/>
  <c r="AW58" i="1"/>
  <c r="AZ58" i="1"/>
  <c r="BF54" i="1"/>
  <c r="AR49" i="11" s="1"/>
  <c r="AQ54" i="1"/>
  <c r="AC49" i="11" s="1"/>
  <c r="AW54" i="1"/>
  <c r="AI49" i="11" s="1"/>
  <c r="BI54" i="1"/>
  <c r="AU49" i="11" s="1"/>
  <c r="AZ54" i="1"/>
  <c r="AL49" i="11" s="1"/>
  <c r="AT54" i="1"/>
  <c r="AF49" i="11" s="1"/>
  <c r="BC54" i="1"/>
  <c r="AO49" i="11" s="1"/>
  <c r="AA49" i="11"/>
  <c r="F13" i="1"/>
  <c r="F17" i="1"/>
  <c r="W12" i="1"/>
  <c r="AE12" i="1"/>
  <c r="Y12" i="1"/>
  <c r="AG12" i="1"/>
  <c r="AA12" i="1"/>
  <c r="U12" i="1"/>
  <c r="AC12" i="1"/>
  <c r="AP14" i="1"/>
  <c r="AB9" i="11" s="1"/>
  <c r="AS14" i="1"/>
  <c r="AE9" i="11" s="1"/>
  <c r="AY14" i="1"/>
  <c r="AK9" i="11" s="1"/>
  <c r="BB14" i="1"/>
  <c r="AN9" i="11" s="1"/>
  <c r="BE14" i="1"/>
  <c r="AQ9" i="11" s="1"/>
  <c r="BH14" i="1"/>
  <c r="AT9" i="11" s="1"/>
  <c r="AV14" i="1"/>
  <c r="AH9" i="11" s="1"/>
  <c r="AT15" i="1"/>
  <c r="AF10" i="11" s="1"/>
  <c r="AW15" i="1"/>
  <c r="AI10" i="11" s="1"/>
  <c r="AQ15" i="1"/>
  <c r="AC10" i="11" s="1"/>
  <c r="BC15" i="1"/>
  <c r="AO10" i="11" s="1"/>
  <c r="BF15" i="1"/>
  <c r="AR10" i="11" s="1"/>
  <c r="AZ15" i="1"/>
  <c r="AL10" i="11" s="1"/>
  <c r="BI15" i="1"/>
  <c r="AU10" i="11" s="1"/>
  <c r="AA10" i="11"/>
  <c r="AQ28" i="1"/>
  <c r="AC23" i="11" s="1"/>
  <c r="AZ28" i="1"/>
  <c r="AL23" i="11" s="1"/>
  <c r="BC28" i="1"/>
  <c r="AO23" i="11" s="1"/>
  <c r="AT28" i="1"/>
  <c r="AF23" i="11" s="1"/>
  <c r="AW28" i="1"/>
  <c r="AI23" i="11" s="1"/>
  <c r="BF28" i="1"/>
  <c r="AR23" i="11" s="1"/>
  <c r="BI28" i="1"/>
  <c r="AU23" i="11" s="1"/>
  <c r="AA23" i="11"/>
  <c r="AT25" i="1"/>
  <c r="AF20" i="11" s="1"/>
  <c r="BC25" i="1"/>
  <c r="AO20" i="11" s="1"/>
  <c r="AZ25" i="1"/>
  <c r="AL20" i="11" s="1"/>
  <c r="AQ25" i="1"/>
  <c r="AC20" i="11" s="1"/>
  <c r="AW25" i="1"/>
  <c r="AI20" i="11" s="1"/>
  <c r="BF25" i="1"/>
  <c r="AR20" i="11" s="1"/>
  <c r="BI25" i="1"/>
  <c r="AU20" i="11" s="1"/>
  <c r="AA20" i="11"/>
  <c r="M36" i="1"/>
  <c r="AN36" i="1"/>
  <c r="N36" i="1"/>
  <c r="AO36" i="1"/>
  <c r="S36" i="1"/>
  <c r="O36" i="1"/>
  <c r="AW31" i="11" s="1"/>
  <c r="AL36" i="1"/>
  <c r="AM36" i="1"/>
  <c r="K36" i="1"/>
  <c r="L36" i="1"/>
  <c r="P36" i="1"/>
  <c r="Q36" i="1"/>
  <c r="R36" i="1"/>
  <c r="X22" i="1"/>
  <c r="AF22" i="1"/>
  <c r="Z22" i="1"/>
  <c r="AH22" i="1"/>
  <c r="AB22" i="1"/>
  <c r="V22" i="1"/>
  <c r="AD22" i="1"/>
  <c r="AG39" i="1"/>
  <c r="W39" i="1"/>
  <c r="Y39" i="1"/>
  <c r="AA39" i="1"/>
  <c r="AC39" i="1"/>
  <c r="AE39" i="1"/>
  <c r="U39" i="1"/>
  <c r="R45" i="1"/>
  <c r="K45" i="1"/>
  <c r="S45" i="1"/>
  <c r="AL45" i="1"/>
  <c r="L45" i="1"/>
  <c r="AM45" i="1"/>
  <c r="N45" i="1"/>
  <c r="O45" i="1"/>
  <c r="AW40" i="11" s="1"/>
  <c r="P45" i="1"/>
  <c r="Q45" i="1"/>
  <c r="M45" i="1"/>
  <c r="AO45" i="1"/>
  <c r="AN45" i="1"/>
  <c r="AQ38" i="1"/>
  <c r="AC33" i="11" s="1"/>
  <c r="BF42" i="1"/>
  <c r="AR37" i="11" s="1"/>
  <c r="AW42" i="1"/>
  <c r="AI37" i="11" s="1"/>
  <c r="AT42" i="1"/>
  <c r="AF37" i="11" s="1"/>
  <c r="AZ42" i="1"/>
  <c r="AL37" i="11" s="1"/>
  <c r="AQ42" i="1"/>
  <c r="AC37" i="11" s="1"/>
  <c r="BC42" i="1"/>
  <c r="AO37" i="11" s="1"/>
  <c r="BI42" i="1"/>
  <c r="AU37" i="11" s="1"/>
  <c r="AA37" i="11"/>
  <c r="R47" i="1"/>
  <c r="K47" i="1"/>
  <c r="S47" i="1"/>
  <c r="AL47" i="1"/>
  <c r="L47" i="1"/>
  <c r="AM47" i="1"/>
  <c r="N47" i="1"/>
  <c r="AO47" i="1"/>
  <c r="O47" i="1"/>
  <c r="AW42" i="11" s="1"/>
  <c r="P47" i="1"/>
  <c r="Q47" i="1"/>
  <c r="M47" i="1"/>
  <c r="AN47" i="1"/>
  <c r="AD54" i="1"/>
  <c r="W46" i="1"/>
  <c r="AE46" i="1"/>
  <c r="Y46" i="1"/>
  <c r="AG46" i="1"/>
  <c r="AC46" i="1"/>
  <c r="AA46" i="1"/>
  <c r="U46" i="1"/>
  <c r="AW46" i="1"/>
  <c r="AI41" i="11" s="1"/>
  <c r="BF46" i="1"/>
  <c r="AR41" i="11" s="1"/>
  <c r="AQ46" i="1"/>
  <c r="AC41" i="11" s="1"/>
  <c r="BC46" i="1"/>
  <c r="AO41" i="11" s="1"/>
  <c r="AT46" i="1"/>
  <c r="AF41" i="11" s="1"/>
  <c r="BI46" i="1"/>
  <c r="AU41" i="11" s="1"/>
  <c r="AZ46" i="1"/>
  <c r="AL41" i="11" s="1"/>
  <c r="AA41" i="11"/>
  <c r="X54" i="1"/>
  <c r="BG58" i="1"/>
  <c r="F59" i="1"/>
  <c r="BF40" i="1"/>
  <c r="AR35" i="11" s="1"/>
  <c r="AT40" i="1"/>
  <c r="AF35" i="11" s="1"/>
  <c r="AW40" i="1"/>
  <c r="AI35" i="11" s="1"/>
  <c r="BI40" i="1"/>
  <c r="AU35" i="11" s="1"/>
  <c r="AQ40" i="1"/>
  <c r="AC35" i="11" s="1"/>
  <c r="AZ40" i="1"/>
  <c r="AL35" i="11" s="1"/>
  <c r="BC40" i="1"/>
  <c r="AO35" i="11" s="1"/>
  <c r="AA35" i="11"/>
  <c r="W40" i="1"/>
  <c r="Y40" i="1"/>
  <c r="AA40" i="1"/>
  <c r="U40" i="1"/>
  <c r="AC40" i="1"/>
  <c r="AE40" i="1"/>
  <c r="AG40" i="1"/>
  <c r="W64" i="1"/>
  <c r="AE64" i="1"/>
  <c r="U64" i="1"/>
  <c r="AG64" i="1"/>
  <c r="AA64" i="1"/>
  <c r="AC64" i="1"/>
  <c r="Y64" i="1"/>
  <c r="AS54" i="1"/>
  <c r="AE49" i="11" s="1"/>
  <c r="AY64" i="1"/>
  <c r="Y48" i="1"/>
  <c r="BB58" i="1"/>
  <c r="AW62" i="1"/>
  <c r="BF62" i="1"/>
  <c r="BI62" i="1"/>
  <c r="AZ62" i="1"/>
  <c r="AT62" i="1"/>
  <c r="BC62" i="1"/>
  <c r="AQ62" i="1"/>
  <c r="AV29" i="1"/>
  <c r="AH24" i="11" s="1"/>
  <c r="AP29" i="1"/>
  <c r="AB24" i="11" s="1"/>
  <c r="AS29" i="1"/>
  <c r="AE24" i="11" s="1"/>
  <c r="BH29" i="1"/>
  <c r="AT24" i="11" s="1"/>
  <c r="BB29" i="1"/>
  <c r="AN24" i="11" s="1"/>
  <c r="AY29" i="1"/>
  <c r="AK24" i="11" s="1"/>
  <c r="BE29" i="1"/>
  <c r="AQ24" i="11" s="1"/>
  <c r="V29" i="1"/>
  <c r="AD29" i="1"/>
  <c r="AB29" i="1"/>
  <c r="AF29" i="1"/>
  <c r="X29" i="1"/>
  <c r="Z29" i="1"/>
  <c r="AH29" i="1"/>
  <c r="Y22" i="1"/>
  <c r="AG22" i="1"/>
  <c r="U22" i="1"/>
  <c r="W22" i="1"/>
  <c r="AA22" i="1"/>
  <c r="AC22" i="1"/>
  <c r="AE22" i="1"/>
  <c r="AP22" i="1"/>
  <c r="AB17" i="11" s="1"/>
  <c r="BH22" i="1"/>
  <c r="AT17" i="11" s="1"/>
  <c r="BB22" i="1"/>
  <c r="AN17" i="11" s="1"/>
  <c r="AV22" i="1"/>
  <c r="AH17" i="11" s="1"/>
  <c r="BE22" i="1"/>
  <c r="AQ17" i="11" s="1"/>
  <c r="AS22" i="1"/>
  <c r="AE17" i="11" s="1"/>
  <c r="AY22" i="1"/>
  <c r="AK17" i="11" s="1"/>
  <c r="AZ33" i="1"/>
  <c r="AL28" i="11" s="1"/>
  <c r="BI33" i="1"/>
  <c r="AU28" i="11" s="1"/>
  <c r="BF33" i="1"/>
  <c r="AR28" i="11" s="1"/>
  <c r="AW33" i="1"/>
  <c r="AI28" i="11" s="1"/>
  <c r="AQ33" i="1"/>
  <c r="AC28" i="11" s="1"/>
  <c r="AT33" i="1"/>
  <c r="AF28" i="11" s="1"/>
  <c r="BC33" i="1"/>
  <c r="AO28" i="11" s="1"/>
  <c r="AA28" i="11"/>
  <c r="V33" i="1"/>
  <c r="AD33" i="1"/>
  <c r="X33" i="1"/>
  <c r="AH33" i="1"/>
  <c r="AB33" i="1"/>
  <c r="Z33" i="1"/>
  <c r="AF33" i="1"/>
  <c r="AP38" i="1"/>
  <c r="AB33" i="11" s="1"/>
  <c r="BB38" i="1"/>
  <c r="AN33" i="11" s="1"/>
  <c r="AS38" i="1"/>
  <c r="AE33" i="11" s="1"/>
  <c r="BE38" i="1"/>
  <c r="AQ33" i="11" s="1"/>
  <c r="AV38" i="1"/>
  <c r="AH33" i="11" s="1"/>
  <c r="BH38" i="1"/>
  <c r="AT33" i="11" s="1"/>
  <c r="AY38" i="1"/>
  <c r="AK33" i="11" s="1"/>
  <c r="BI60" i="1"/>
  <c r="BE46" i="1"/>
  <c r="AQ41" i="11" s="1"/>
  <c r="AP46" i="1"/>
  <c r="AB41" i="11" s="1"/>
  <c r="AY46" i="1"/>
  <c r="AK41" i="11" s="1"/>
  <c r="AS46" i="1"/>
  <c r="AE41" i="11" s="1"/>
  <c r="BH46" i="1"/>
  <c r="AT41" i="11" s="1"/>
  <c r="BB46" i="1"/>
  <c r="AN41" i="11" s="1"/>
  <c r="AV46" i="1"/>
  <c r="AH41" i="11" s="1"/>
  <c r="BE44" i="1"/>
  <c r="AQ39" i="11" s="1"/>
  <c r="AP44" i="1"/>
  <c r="AB39" i="11" s="1"/>
  <c r="AY44" i="1"/>
  <c r="AK39" i="11" s="1"/>
  <c r="AS44" i="1"/>
  <c r="AE39" i="11" s="1"/>
  <c r="BH44" i="1"/>
  <c r="AT39" i="11" s="1"/>
  <c r="AV44" i="1"/>
  <c r="AH39" i="11" s="1"/>
  <c r="BB44" i="1"/>
  <c r="AN39" i="11" s="1"/>
  <c r="BF48" i="1"/>
  <c r="AR43" i="11" s="1"/>
  <c r="AQ48" i="1"/>
  <c r="AC43" i="11" s="1"/>
  <c r="BC48" i="1"/>
  <c r="AO43" i="11" s="1"/>
  <c r="AT48" i="1"/>
  <c r="AF43" i="11" s="1"/>
  <c r="AZ48" i="1"/>
  <c r="AL43" i="11" s="1"/>
  <c r="AW48" i="1"/>
  <c r="AI43" i="11" s="1"/>
  <c r="BI48" i="1"/>
  <c r="AU43" i="11" s="1"/>
  <c r="AA43" i="11"/>
  <c r="AX58" i="1"/>
  <c r="AP40" i="1"/>
  <c r="AB35" i="11" s="1"/>
  <c r="BB40" i="1"/>
  <c r="AN35" i="11" s="1"/>
  <c r="BE40" i="1"/>
  <c r="AQ35" i="11" s="1"/>
  <c r="AV40" i="1"/>
  <c r="AH35" i="11" s="1"/>
  <c r="BH40" i="1"/>
  <c r="AT35" i="11" s="1"/>
  <c r="AY40" i="1"/>
  <c r="AK35" i="11" s="1"/>
  <c r="AS40" i="1"/>
  <c r="AE35" i="11" s="1"/>
  <c r="BH64" i="1"/>
  <c r="AY54" i="1"/>
  <c r="AK49" i="11" s="1"/>
  <c r="AS64" i="1"/>
  <c r="AV58" i="1"/>
  <c r="BB39" i="1"/>
  <c r="AN34" i="11" s="1"/>
  <c r="AP39" i="1"/>
  <c r="AS39" i="1"/>
  <c r="AE34" i="11" s="1"/>
  <c r="BE39" i="1"/>
  <c r="AQ34" i="11" s="1"/>
  <c r="AV39" i="1"/>
  <c r="AH34" i="11" s="1"/>
  <c r="BH39" i="1"/>
  <c r="AT34" i="11" s="1"/>
  <c r="AY39" i="1"/>
  <c r="AK34" i="11" s="1"/>
  <c r="AW39" i="1"/>
  <c r="AI34" i="11" s="1"/>
  <c r="AX46" i="1"/>
  <c r="AJ41" i="11" s="1"/>
  <c r="BG46" i="1"/>
  <c r="AS41" i="11" s="1"/>
  <c r="AR46" i="1"/>
  <c r="AD41" i="11" s="1"/>
  <c r="BD46" i="1"/>
  <c r="AP41" i="11" s="1"/>
  <c r="AU46" i="1"/>
  <c r="AG41" i="11" s="1"/>
  <c r="BA46" i="1"/>
  <c r="AM41" i="11" s="1"/>
  <c r="BJ46" i="1"/>
  <c r="AV41" i="11" s="1"/>
  <c r="AX48" i="1"/>
  <c r="AJ43" i="11" s="1"/>
  <c r="BG48" i="1"/>
  <c r="AS43" i="11" s="1"/>
  <c r="BA48" i="1"/>
  <c r="AM43" i="11" s="1"/>
  <c r="AR48" i="1"/>
  <c r="AD43" i="11" s="1"/>
  <c r="BD48" i="1"/>
  <c r="AP43" i="11" s="1"/>
  <c r="BJ48" i="1"/>
  <c r="AV43" i="11" s="1"/>
  <c r="AU48" i="1"/>
  <c r="AG43" i="11" s="1"/>
  <c r="Y58" i="1"/>
  <c r="AG58" i="1"/>
  <c r="U58" i="1"/>
  <c r="AE58" i="1"/>
  <c r="W58" i="1"/>
  <c r="AA58" i="1"/>
  <c r="AC58" i="1"/>
  <c r="V60" i="1"/>
  <c r="X60" i="1"/>
  <c r="AF60" i="1"/>
  <c r="AH60" i="1"/>
  <c r="Z60" i="1"/>
  <c r="AB60" i="1"/>
  <c r="AD60" i="1"/>
  <c r="AQ52" i="1"/>
  <c r="AC47" i="11" s="1"/>
  <c r="AW52" i="1"/>
  <c r="AI47" i="11" s="1"/>
  <c r="AA47" i="11"/>
  <c r="AY52" i="1"/>
  <c r="AK47" i="11" s="1"/>
  <c r="BE52" i="1"/>
  <c r="AQ47" i="11" s="1"/>
  <c r="K53" i="1"/>
  <c r="S53" i="1"/>
  <c r="AL53" i="1"/>
  <c r="L53" i="1"/>
  <c r="AM53" i="1"/>
  <c r="N53" i="1"/>
  <c r="O53" i="1"/>
  <c r="AW48" i="11" s="1"/>
  <c r="AN53" i="1"/>
  <c r="P53" i="1"/>
  <c r="AO53" i="1"/>
  <c r="Q53" i="1"/>
  <c r="M53" i="1"/>
  <c r="R53" i="1"/>
  <c r="AP54" i="1"/>
  <c r="AB49" i="11" s="1"/>
  <c r="AT55" i="1"/>
  <c r="AF50" i="11" s="1"/>
  <c r="BC55" i="1"/>
  <c r="AO50" i="11" s="1"/>
  <c r="BI55" i="1"/>
  <c r="AU50" i="11" s="1"/>
  <c r="AZ55" i="1"/>
  <c r="AL50" i="11" s="1"/>
  <c r="AQ55" i="1"/>
  <c r="AC50" i="11" s="1"/>
  <c r="AW55" i="1"/>
  <c r="AI50" i="11" s="1"/>
  <c r="BF55" i="1"/>
  <c r="AR50" i="11" s="1"/>
  <c r="AA50" i="11"/>
  <c r="AD58" i="1"/>
  <c r="BH58" i="1"/>
  <c r="AW64" i="1"/>
  <c r="BF64" i="1"/>
  <c r="BC64" i="1"/>
  <c r="AQ64" i="1"/>
  <c r="AT64" i="1"/>
  <c r="BI64" i="1"/>
  <c r="AZ64" i="1"/>
  <c r="D13" i="19"/>
  <c r="Z19" i="1" l="1"/>
  <c r="AC52" i="1"/>
  <c r="AZ95" i="1"/>
  <c r="AQ95" i="1"/>
  <c r="AH19" i="1"/>
  <c r="BA173" i="1"/>
  <c r="BD173" i="1"/>
  <c r="BJ173" i="1"/>
  <c r="BG173" i="1"/>
  <c r="AB25" i="1"/>
  <c r="AR86" i="1"/>
  <c r="AA112" i="1"/>
  <c r="BC91" i="1"/>
  <c r="Y171" i="1"/>
  <c r="AQ60" i="1"/>
  <c r="X25" i="1"/>
  <c r="AI25" i="1" s="1"/>
  <c r="BJ86" i="1"/>
  <c r="Z25" i="1"/>
  <c r="BG86" i="1"/>
  <c r="Y112" i="1"/>
  <c r="BI91" i="1"/>
  <c r="AH25" i="1"/>
  <c r="W112" i="1"/>
  <c r="AZ91" i="1"/>
  <c r="AD25" i="1"/>
  <c r="BD86" i="1"/>
  <c r="U112" i="1"/>
  <c r="AW91" i="1"/>
  <c r="BA86" i="1"/>
  <c r="AE112" i="1"/>
  <c r="AT91" i="1"/>
  <c r="BC60" i="1"/>
  <c r="BE20" i="1"/>
  <c r="AQ15" i="11" s="1"/>
  <c r="AY173" i="1"/>
  <c r="AW86" i="1"/>
  <c r="BC95" i="1"/>
  <c r="AD71" i="1"/>
  <c r="X86" i="1"/>
  <c r="X71" i="1"/>
  <c r="BF60" i="1"/>
  <c r="AQ44" i="1"/>
  <c r="AC39" i="11" s="1"/>
  <c r="AY20" i="1"/>
  <c r="AK15" i="11" s="1"/>
  <c r="BC86" i="1"/>
  <c r="BE95" i="1"/>
  <c r="BJ44" i="1"/>
  <c r="AV39" i="11" s="1"/>
  <c r="BC43" i="1"/>
  <c r="AO38" i="11" s="1"/>
  <c r="AE44" i="1"/>
  <c r="BJ16" i="1"/>
  <c r="AV11" i="11" s="1"/>
  <c r="BH173" i="1"/>
  <c r="AW95" i="1"/>
  <c r="AY95" i="1"/>
  <c r="BG16" i="1"/>
  <c r="AS11" i="11" s="1"/>
  <c r="AP173" i="1"/>
  <c r="AZ71" i="1"/>
  <c r="V173" i="1"/>
  <c r="BI95" i="1"/>
  <c r="BD16" i="1"/>
  <c r="AP11" i="11" s="1"/>
  <c r="BE173" i="1"/>
  <c r="AB173" i="1"/>
  <c r="BF95" i="1"/>
  <c r="AZ60" i="1"/>
  <c r="BA16" i="1"/>
  <c r="AM11" i="11" s="1"/>
  <c r="BF44" i="1"/>
  <c r="AR39" i="11" s="1"/>
  <c r="AS110" i="1"/>
  <c r="AE110" i="1"/>
  <c r="AP52" i="1"/>
  <c r="AB47" i="11" s="1"/>
  <c r="BF52" i="1"/>
  <c r="AR47" i="11" s="1"/>
  <c r="BD44" i="1"/>
  <c r="AP39" i="11" s="1"/>
  <c r="AZ43" i="1"/>
  <c r="AL38" i="11" s="1"/>
  <c r="AW44" i="1"/>
  <c r="AI39" i="11" s="1"/>
  <c r="AV20" i="1"/>
  <c r="AH15" i="11" s="1"/>
  <c r="BD19" i="1"/>
  <c r="AP14" i="11" s="1"/>
  <c r="AA52" i="1"/>
  <c r="BG25" i="1"/>
  <c r="AS20" i="11" s="1"/>
  <c r="AH171" i="1"/>
  <c r="AP153" i="1"/>
  <c r="BH167" i="1"/>
  <c r="AT153" i="1"/>
  <c r="BB171" i="1"/>
  <c r="BI171" i="1"/>
  <c r="Z153" i="1"/>
  <c r="BA153" i="1"/>
  <c r="BB110" i="1"/>
  <c r="AC110" i="1"/>
  <c r="AT71" i="1"/>
  <c r="AB110" i="1"/>
  <c r="BG95" i="1"/>
  <c r="AY71" i="1"/>
  <c r="AU171" i="1"/>
  <c r="AH167" i="1"/>
  <c r="AQ86" i="1"/>
  <c r="BH84" i="1"/>
  <c r="V71" i="1"/>
  <c r="BF110" i="1"/>
  <c r="AQ80" i="1"/>
  <c r="U153" i="1"/>
  <c r="AH86" i="1"/>
  <c r="AU44" i="1"/>
  <c r="AG39" i="11" s="1"/>
  <c r="V110" i="1"/>
  <c r="BJ95" i="1"/>
  <c r="BH71" i="1"/>
  <c r="AR44" i="1"/>
  <c r="AD39" i="11" s="1"/>
  <c r="AQ43" i="1"/>
  <c r="AC38" i="11" s="1"/>
  <c r="AA39" i="11"/>
  <c r="AA44" i="1"/>
  <c r="BB20" i="1"/>
  <c r="AN15" i="11" s="1"/>
  <c r="BD52" i="1"/>
  <c r="AP47" i="11" s="1"/>
  <c r="AX19" i="1"/>
  <c r="AJ14" i="11" s="1"/>
  <c r="W52" i="1"/>
  <c r="AH52" i="1"/>
  <c r="BA25" i="1"/>
  <c r="AM20" i="11" s="1"/>
  <c r="AF171" i="1"/>
  <c r="AY153" i="1"/>
  <c r="AY167" i="1"/>
  <c r="AS171" i="1"/>
  <c r="AW171" i="1"/>
  <c r="AH153" i="1"/>
  <c r="AX153" i="1"/>
  <c r="AA167" i="1"/>
  <c r="AP110" i="1"/>
  <c r="U110" i="1"/>
  <c r="BF84" i="1"/>
  <c r="BI71" i="1"/>
  <c r="AF110" i="1"/>
  <c r="AU95" i="1"/>
  <c r="AS71" i="1"/>
  <c r="X173" i="1"/>
  <c r="AE171" i="1"/>
  <c r="AE153" i="1"/>
  <c r="AD167" i="1"/>
  <c r="AP95" i="1"/>
  <c r="BE84" i="1"/>
  <c r="AA86" i="1"/>
  <c r="W62" i="1"/>
  <c r="V62" i="1"/>
  <c r="AP148" i="1"/>
  <c r="AF86" i="1"/>
  <c r="W44" i="1"/>
  <c r="BB52" i="1"/>
  <c r="AN47" i="11" s="1"/>
  <c r="BC52" i="1"/>
  <c r="AO47" i="11" s="1"/>
  <c r="BG44" i="1"/>
  <c r="AS39" i="11" s="1"/>
  <c r="AT43" i="1"/>
  <c r="AF38" i="11" s="1"/>
  <c r="AZ44" i="1"/>
  <c r="AL39" i="11" s="1"/>
  <c r="U44" i="1"/>
  <c r="AS20" i="1"/>
  <c r="AE15" i="11" s="1"/>
  <c r="BA52" i="1"/>
  <c r="AM47" i="11" s="1"/>
  <c r="AU19" i="1"/>
  <c r="AG14" i="11" s="1"/>
  <c r="AG52" i="1"/>
  <c r="AD52" i="1"/>
  <c r="AR25" i="1"/>
  <c r="AD20" i="11" s="1"/>
  <c r="AB171" i="1"/>
  <c r="BH153" i="1"/>
  <c r="W153" i="1"/>
  <c r="AP167" i="1"/>
  <c r="BF153" i="1"/>
  <c r="AP171" i="1"/>
  <c r="BF171" i="1"/>
  <c r="AF153" i="1"/>
  <c r="BG153" i="1"/>
  <c r="W167" i="1"/>
  <c r="AA110" i="1"/>
  <c r="AZ84" i="1"/>
  <c r="BC71" i="1"/>
  <c r="X110" i="1"/>
  <c r="BB71" i="1"/>
  <c r="AH173" i="1"/>
  <c r="AA171" i="1"/>
  <c r="BD171" i="1"/>
  <c r="AF167" i="1"/>
  <c r="AT110" i="1"/>
  <c r="BI86" i="1"/>
  <c r="AG153" i="1"/>
  <c r="BB95" i="1"/>
  <c r="AY84" i="1"/>
  <c r="AH71" i="1"/>
  <c r="W86" i="1"/>
  <c r="AD86" i="1"/>
  <c r="AQ110" i="1"/>
  <c r="AA80" i="1"/>
  <c r="AB80" i="1"/>
  <c r="W16" i="1"/>
  <c r="Z86" i="1"/>
  <c r="AT171" i="1"/>
  <c r="BB84" i="1"/>
  <c r="AW43" i="1"/>
  <c r="AI38" i="11" s="1"/>
  <c r="BI44" i="1"/>
  <c r="AU39" i="11" s="1"/>
  <c r="AC44" i="1"/>
  <c r="AP20" i="1"/>
  <c r="AB15" i="11" s="1"/>
  <c r="AR52" i="1"/>
  <c r="AD47" i="11" s="1"/>
  <c r="AR19" i="1"/>
  <c r="AD14" i="11" s="1"/>
  <c r="Y52" i="1"/>
  <c r="V52" i="1"/>
  <c r="BJ25" i="1"/>
  <c r="AV20" i="11" s="1"/>
  <c r="AD171" i="1"/>
  <c r="BE153" i="1"/>
  <c r="BB167" i="1"/>
  <c r="BC153" i="1"/>
  <c r="BH171" i="1"/>
  <c r="AQ171" i="1"/>
  <c r="V153" i="1"/>
  <c r="AU153" i="1"/>
  <c r="Y167" i="1"/>
  <c r="AY110" i="1"/>
  <c r="Y110" i="1"/>
  <c r="BI84" i="1"/>
  <c r="AQ71" i="1"/>
  <c r="BD95" i="1"/>
  <c r="AP71" i="1"/>
  <c r="AD173" i="1"/>
  <c r="W171" i="1"/>
  <c r="AX171" i="1"/>
  <c r="V167" i="1"/>
  <c r="BC110" i="1"/>
  <c r="BF86" i="1"/>
  <c r="AV95" i="1"/>
  <c r="AB71" i="1"/>
  <c r="AE86" i="1"/>
  <c r="BD110" i="1"/>
  <c r="AZ110" i="1"/>
  <c r="AX110" i="1"/>
  <c r="BJ110" i="1"/>
  <c r="BI43" i="1"/>
  <c r="AU38" i="11" s="1"/>
  <c r="BG19" i="1"/>
  <c r="AS14" i="11" s="1"/>
  <c r="BH52" i="1"/>
  <c r="AT47" i="11" s="1"/>
  <c r="AZ52" i="1"/>
  <c r="AL47" i="11" s="1"/>
  <c r="AA38" i="11"/>
  <c r="AT44" i="1"/>
  <c r="AF39" i="11" s="1"/>
  <c r="AG44" i="1"/>
  <c r="BJ52" i="1"/>
  <c r="AV47" i="11" s="1"/>
  <c r="BA19" i="1"/>
  <c r="AM14" i="11" s="1"/>
  <c r="AB52" i="1"/>
  <c r="AX25" i="1"/>
  <c r="AJ20" i="11" s="1"/>
  <c r="Z171" i="1"/>
  <c r="AV153" i="1"/>
  <c r="AW153" i="1"/>
  <c r="AV171" i="1"/>
  <c r="AB153" i="1"/>
  <c r="BJ153" i="1"/>
  <c r="AG167" i="1"/>
  <c r="BH110" i="1"/>
  <c r="W110" i="1"/>
  <c r="AW84" i="1"/>
  <c r="BF71" i="1"/>
  <c r="Z110" i="1"/>
  <c r="BA95" i="1"/>
  <c r="BE71" i="1"/>
  <c r="Z173" i="1"/>
  <c r="AG171" i="1"/>
  <c r="BJ171" i="1"/>
  <c r="Z167" i="1"/>
  <c r="AW110" i="1"/>
  <c r="AT86" i="1"/>
  <c r="BH95" i="1"/>
  <c r="AP84" i="1"/>
  <c r="Z71" i="1"/>
  <c r="AC86" i="1"/>
  <c r="V86" i="1"/>
  <c r="AQ84" i="1"/>
  <c r="BG171" i="1"/>
  <c r="Y86" i="1"/>
  <c r="AS52" i="1"/>
  <c r="AE47" i="11" s="1"/>
  <c r="AT52" i="1"/>
  <c r="AF47" i="11" s="1"/>
  <c r="AX44" i="1"/>
  <c r="AJ39" i="11" s="1"/>
  <c r="AV52" i="1"/>
  <c r="AH47" i="11" s="1"/>
  <c r="BI52" i="1"/>
  <c r="AU47" i="11" s="1"/>
  <c r="AU52" i="1"/>
  <c r="AG47" i="11" s="1"/>
  <c r="AE52" i="1"/>
  <c r="X171" i="1"/>
  <c r="BB153" i="1"/>
  <c r="BE167" i="1"/>
  <c r="BI153" i="1"/>
  <c r="AY171" i="1"/>
  <c r="X153" i="1"/>
  <c r="U167" i="1"/>
  <c r="AV110" i="1"/>
  <c r="AG110" i="1"/>
  <c r="Y153" i="1"/>
  <c r="AR110" i="1"/>
  <c r="AV25" i="1"/>
  <c r="AH20" i="11" s="1"/>
  <c r="AS25" i="1"/>
  <c r="AE20" i="11" s="1"/>
  <c r="AP25" i="1"/>
  <c r="AB20" i="11" s="1"/>
  <c r="BH25" i="1"/>
  <c r="AT20" i="11" s="1"/>
  <c r="AY25" i="1"/>
  <c r="AK20" i="11" s="1"/>
  <c r="BE25" i="1"/>
  <c r="AQ20" i="11" s="1"/>
  <c r="AG16" i="1"/>
  <c r="AA16" i="1"/>
  <c r="AX173" i="1"/>
  <c r="AE16" i="1"/>
  <c r="AC16" i="1"/>
  <c r="AU173" i="1"/>
  <c r="U16" i="1"/>
  <c r="Y16" i="1"/>
  <c r="AV148" i="1"/>
  <c r="AF62" i="1"/>
  <c r="V16" i="1"/>
  <c r="X62" i="1"/>
  <c r="AX60" i="1"/>
  <c r="AF19" i="1"/>
  <c r="Y38" i="1"/>
  <c r="AS148" i="1"/>
  <c r="X19" i="1"/>
  <c r="AF16" i="1"/>
  <c r="AD19" i="1"/>
  <c r="AG38" i="1"/>
  <c r="BE148" i="1"/>
  <c r="AH16" i="1"/>
  <c r="X16" i="1"/>
  <c r="AH62" i="1"/>
  <c r="AB19" i="1"/>
  <c r="U38" i="1"/>
  <c r="AY148" i="1"/>
  <c r="AQ111" i="1"/>
  <c r="AD62" i="1"/>
  <c r="AE38" i="1"/>
  <c r="BH148" i="1"/>
  <c r="BC111" i="1"/>
  <c r="AA38" i="1"/>
  <c r="AE62" i="1"/>
  <c r="BH62" i="1"/>
  <c r="BG148" i="1"/>
  <c r="AF148" i="1"/>
  <c r="BF148" i="1"/>
  <c r="AC148" i="1"/>
  <c r="AX111" i="1"/>
  <c r="U99" i="1"/>
  <c r="AR99" i="1"/>
  <c r="AQ99" i="1"/>
  <c r="Z161" i="1"/>
  <c r="AR161" i="1"/>
  <c r="AQ161" i="1"/>
  <c r="AE43" i="1"/>
  <c r="Z44" i="1"/>
  <c r="V44" i="1"/>
  <c r="AI56" i="1"/>
  <c r="AD44" i="1"/>
  <c r="AB44" i="1"/>
  <c r="AD38" i="1"/>
  <c r="AF44" i="1"/>
  <c r="Z38" i="1"/>
  <c r="X44" i="1"/>
  <c r="AH38" i="1"/>
  <c r="AC43" i="1"/>
  <c r="AA43" i="1"/>
  <c r="V38" i="1"/>
  <c r="Y43" i="1"/>
  <c r="AB38" i="1"/>
  <c r="U43" i="1"/>
  <c r="AF38" i="1"/>
  <c r="AG43" i="1"/>
  <c r="W43" i="1"/>
  <c r="AY161" i="1"/>
  <c r="BJ60" i="1"/>
  <c r="U62" i="1"/>
  <c r="AG62" i="1"/>
  <c r="BI99" i="1"/>
  <c r="AC62" i="1"/>
  <c r="BC99" i="1"/>
  <c r="Y62" i="1"/>
  <c r="AA62" i="1"/>
  <c r="BD148" i="1"/>
  <c r="AF80" i="1"/>
  <c r="BE32" i="1"/>
  <c r="AQ27" i="11" s="1"/>
  <c r="X80" i="1"/>
  <c r="AP32" i="1"/>
  <c r="AB27" i="11" s="1"/>
  <c r="AD148" i="1"/>
  <c r="AH80" i="1"/>
  <c r="AH148" i="1"/>
  <c r="AD80" i="1"/>
  <c r="AH111" i="1"/>
  <c r="X148" i="1"/>
  <c r="Z80" i="1"/>
  <c r="AD111" i="1"/>
  <c r="AB148" i="1"/>
  <c r="V80" i="1"/>
  <c r="AF111" i="1"/>
  <c r="BC80" i="1"/>
  <c r="V148" i="1"/>
  <c r="Z148" i="1"/>
  <c r="BA148" i="1"/>
  <c r="AR148" i="1"/>
  <c r="AX148" i="1"/>
  <c r="BJ148" i="1"/>
  <c r="AS161" i="1"/>
  <c r="AV16" i="1"/>
  <c r="AH11" i="11" s="1"/>
  <c r="AP161" i="1"/>
  <c r="AW99" i="1"/>
  <c r="BH161" i="1"/>
  <c r="BF99" i="1"/>
  <c r="BE161" i="1"/>
  <c r="AZ99" i="1"/>
  <c r="AU148" i="1"/>
  <c r="AV161" i="1"/>
  <c r="AT99" i="1"/>
  <c r="BI32" i="1"/>
  <c r="AU27" i="11" s="1"/>
  <c r="BJ99" i="1"/>
  <c r="BE16" i="1"/>
  <c r="AQ11" i="11" s="1"/>
  <c r="AS16" i="1"/>
  <c r="AE11" i="11" s="1"/>
  <c r="AT29" i="1"/>
  <c r="AF24" i="11" s="1"/>
  <c r="AP16" i="1"/>
  <c r="AB11" i="11" s="1"/>
  <c r="AQ29" i="1"/>
  <c r="AC24" i="11" s="1"/>
  <c r="AZ29" i="1"/>
  <c r="AL24" i="11" s="1"/>
  <c r="BH16" i="1"/>
  <c r="AT11" i="11" s="1"/>
  <c r="BB16" i="1"/>
  <c r="AN11" i="11" s="1"/>
  <c r="AZ173" i="1"/>
  <c r="X161" i="1"/>
  <c r="AE19" i="1"/>
  <c r="AP62" i="1"/>
  <c r="AP91" i="1"/>
  <c r="AV62" i="1"/>
  <c r="AV91" i="1"/>
  <c r="BE62" i="1"/>
  <c r="BH91" i="1"/>
  <c r="BE91" i="1"/>
  <c r="AS91" i="1"/>
  <c r="AY91" i="1"/>
  <c r="BA111" i="1"/>
  <c r="AR111" i="1"/>
  <c r="BB62" i="1"/>
  <c r="AD28" i="1"/>
  <c r="AS62" i="1"/>
  <c r="AY62" i="1"/>
  <c r="AG148" i="1"/>
  <c r="AE173" i="1"/>
  <c r="AA82" i="1"/>
  <c r="W173" i="1"/>
  <c r="AT161" i="1"/>
  <c r="AA173" i="1"/>
  <c r="AG173" i="1"/>
  <c r="Y173" i="1"/>
  <c r="BB28" i="1"/>
  <c r="AN23" i="11" s="1"/>
  <c r="AC173" i="1"/>
  <c r="AV28" i="1"/>
  <c r="AH23" i="11" s="1"/>
  <c r="BF161" i="1"/>
  <c r="AE82" i="1"/>
  <c r="BC161" i="1"/>
  <c r="AW161" i="1"/>
  <c r="BI161" i="1"/>
  <c r="AZ161" i="1"/>
  <c r="BA161" i="1"/>
  <c r="AC80" i="1"/>
  <c r="AA99" i="1"/>
  <c r="BI148" i="1"/>
  <c r="AE80" i="1"/>
  <c r="AQ148" i="1"/>
  <c r="BC148" i="1"/>
  <c r="AE99" i="1"/>
  <c r="Y80" i="1"/>
  <c r="AT148" i="1"/>
  <c r="AZ148" i="1"/>
  <c r="W99" i="1"/>
  <c r="W80" i="1"/>
  <c r="Y99" i="1"/>
  <c r="AA20" i="1"/>
  <c r="U80" i="1"/>
  <c r="AC99" i="1"/>
  <c r="AG80" i="1"/>
  <c r="AW148" i="1"/>
  <c r="Y20" i="1"/>
  <c r="AE20" i="1"/>
  <c r="AG20" i="1"/>
  <c r="AC20" i="1"/>
  <c r="U20" i="1"/>
  <c r="AG99" i="1"/>
  <c r="AX161" i="1"/>
  <c r="BJ161" i="1"/>
  <c r="AX20" i="1"/>
  <c r="AJ15" i="11" s="1"/>
  <c r="AU20" i="1"/>
  <c r="AG15" i="11" s="1"/>
  <c r="BA20" i="1"/>
  <c r="AM15" i="11" s="1"/>
  <c r="BG20" i="1"/>
  <c r="AS15" i="11" s="1"/>
  <c r="AR20" i="1"/>
  <c r="AD15" i="11" s="1"/>
  <c r="BD20" i="1"/>
  <c r="AP15" i="11" s="1"/>
  <c r="BG161" i="1"/>
  <c r="AU161" i="1"/>
  <c r="BD161" i="1"/>
  <c r="W111" i="1"/>
  <c r="U91" i="1"/>
  <c r="BD99" i="1"/>
  <c r="BA99" i="1"/>
  <c r="AE91" i="1"/>
  <c r="AA91" i="1"/>
  <c r="BG99" i="1"/>
  <c r="W91" i="1"/>
  <c r="AG91" i="1"/>
  <c r="Y91" i="1"/>
  <c r="W19" i="1"/>
  <c r="AH161" i="1"/>
  <c r="BI173" i="1"/>
  <c r="AU91" i="1"/>
  <c r="V161" i="1"/>
  <c r="AQ173" i="1"/>
  <c r="BI20" i="1"/>
  <c r="AU15" i="11" s="1"/>
  <c r="AF161" i="1"/>
  <c r="BC173" i="1"/>
  <c r="BC20" i="1"/>
  <c r="AO15" i="11" s="1"/>
  <c r="AB161" i="1"/>
  <c r="BF20" i="1"/>
  <c r="AR15" i="11" s="1"/>
  <c r="BB60" i="1"/>
  <c r="AZ20" i="1"/>
  <c r="AL15" i="11" s="1"/>
  <c r="AQ20" i="1"/>
  <c r="AC15" i="11" s="1"/>
  <c r="BA91" i="1"/>
  <c r="AY60" i="1"/>
  <c r="AA19" i="1"/>
  <c r="AX91" i="1"/>
  <c r="BH60" i="1"/>
  <c r="AG19" i="1"/>
  <c r="AR91" i="1"/>
  <c r="Y19" i="1"/>
  <c r="BF173" i="1"/>
  <c r="BJ91" i="1"/>
  <c r="AT20" i="1"/>
  <c r="AF15" i="11" s="1"/>
  <c r="U19" i="1"/>
  <c r="AD161" i="1"/>
  <c r="AW173" i="1"/>
  <c r="BD91" i="1"/>
  <c r="AW20" i="1"/>
  <c r="AI15" i="11" s="1"/>
  <c r="AT60" i="1"/>
  <c r="AU16" i="1"/>
  <c r="AG11" i="11" s="1"/>
  <c r="BE19" i="1"/>
  <c r="AQ14" i="11" s="1"/>
  <c r="AV166" i="1"/>
  <c r="AX99" i="1"/>
  <c r="AA148" i="1"/>
  <c r="BI111" i="1"/>
  <c r="Z111" i="1"/>
  <c r="BJ111" i="1"/>
  <c r="X166" i="1"/>
  <c r="U148" i="1"/>
  <c r="BH111" i="1"/>
  <c r="AG111" i="1"/>
  <c r="AZ80" i="1"/>
  <c r="BD166" i="1"/>
  <c r="AP111" i="1"/>
  <c r="AC111" i="1"/>
  <c r="BI80" i="1"/>
  <c r="AD166" i="1"/>
  <c r="AU166" i="1"/>
  <c r="AE148" i="1"/>
  <c r="AA111" i="1"/>
  <c r="AT80" i="1"/>
  <c r="AY19" i="1"/>
  <c r="AK14" i="11" s="1"/>
  <c r="BB166" i="1"/>
  <c r="AU99" i="1"/>
  <c r="AW111" i="1"/>
  <c r="AB111" i="1"/>
  <c r="AU111" i="1"/>
  <c r="Z166" i="1"/>
  <c r="BG166" i="1"/>
  <c r="Y111" i="1"/>
  <c r="BF80" i="1"/>
  <c r="AX16" i="1"/>
  <c r="AJ11" i="11" s="1"/>
  <c r="AV19" i="1"/>
  <c r="AH14" i="11" s="1"/>
  <c r="AS166" i="1"/>
  <c r="Y148" i="1"/>
  <c r="BF111" i="1"/>
  <c r="BG111" i="1"/>
  <c r="AH166" i="1"/>
  <c r="BA166" i="1"/>
  <c r="AE111" i="1"/>
  <c r="BH166" i="1"/>
  <c r="AT111" i="1"/>
  <c r="V111" i="1"/>
  <c r="BD111" i="1"/>
  <c r="V166" i="1"/>
  <c r="AR166" i="1"/>
  <c r="AY111" i="1"/>
  <c r="U111" i="1"/>
  <c r="AW80" i="1"/>
  <c r="AB166" i="1"/>
  <c r="AX166" i="1"/>
  <c r="AV111" i="1"/>
  <c r="AS111" i="1"/>
  <c r="AY32" i="1"/>
  <c r="AK27" i="11" s="1"/>
  <c r="BH32" i="1"/>
  <c r="AT27" i="11" s="1"/>
  <c r="AV32" i="1"/>
  <c r="AH27" i="11" s="1"/>
  <c r="BB32" i="1"/>
  <c r="AN27" i="11" s="1"/>
  <c r="BA167" i="1"/>
  <c r="BG167" i="1"/>
  <c r="AX167" i="1"/>
  <c r="BJ167" i="1"/>
  <c r="AR167" i="1"/>
  <c r="AU167" i="1"/>
  <c r="BD167" i="1"/>
  <c r="BB111" i="1"/>
  <c r="AF99" i="1"/>
  <c r="AD99" i="1"/>
  <c r="AH99" i="1"/>
  <c r="AB99" i="1"/>
  <c r="V99" i="1"/>
  <c r="X99" i="1"/>
  <c r="Z99" i="1"/>
  <c r="AZ166" i="1"/>
  <c r="AQ166" i="1"/>
  <c r="BC166" i="1"/>
  <c r="BF166" i="1"/>
  <c r="AT166" i="1"/>
  <c r="AW166" i="1"/>
  <c r="BI166" i="1"/>
  <c r="AS28" i="1"/>
  <c r="AE23" i="11" s="1"/>
  <c r="BH28" i="1"/>
  <c r="AT23" i="11" s="1"/>
  <c r="BE28" i="1"/>
  <c r="AQ23" i="11" s="1"/>
  <c r="AY28" i="1"/>
  <c r="AK23" i="11" s="1"/>
  <c r="U166" i="1"/>
  <c r="AA166" i="1"/>
  <c r="W166" i="1"/>
  <c r="AG166" i="1"/>
  <c r="AE166" i="1"/>
  <c r="Y166" i="1"/>
  <c r="AC166" i="1"/>
  <c r="AW167" i="1"/>
  <c r="AT167" i="1"/>
  <c r="AQ167" i="1"/>
  <c r="BC167" i="1"/>
  <c r="BF167" i="1"/>
  <c r="BI167" i="1"/>
  <c r="AZ167" i="1"/>
  <c r="BD60" i="1"/>
  <c r="AU60" i="1"/>
  <c r="BG60" i="1"/>
  <c r="AR60" i="1"/>
  <c r="AB32" i="1"/>
  <c r="X32" i="1"/>
  <c r="Z32" i="1"/>
  <c r="AH32" i="1"/>
  <c r="AF32" i="1"/>
  <c r="AD32" i="1"/>
  <c r="V28" i="1"/>
  <c r="X28" i="1"/>
  <c r="Z28" i="1"/>
  <c r="AH28" i="1"/>
  <c r="AB28" i="1"/>
  <c r="BF82" i="1"/>
  <c r="BC82" i="1"/>
  <c r="AT82" i="1"/>
  <c r="AZ82" i="1"/>
  <c r="AW82" i="1"/>
  <c r="BI82" i="1"/>
  <c r="AA27" i="11"/>
  <c r="BF32" i="1"/>
  <c r="AR27" i="11" s="1"/>
  <c r="AQ32" i="1"/>
  <c r="AC27" i="11" s="1"/>
  <c r="BC32" i="1"/>
  <c r="AO27" i="11" s="1"/>
  <c r="AT32" i="1"/>
  <c r="AF27" i="11" s="1"/>
  <c r="AW32" i="1"/>
  <c r="AI27" i="11" s="1"/>
  <c r="AP60" i="1"/>
  <c r="AS60" i="1"/>
  <c r="BE60" i="1"/>
  <c r="W148" i="1"/>
  <c r="BG28" i="1"/>
  <c r="AS23" i="11" s="1"/>
  <c r="BD28" i="1"/>
  <c r="AP23" i="11" s="1"/>
  <c r="AR28" i="1"/>
  <c r="AD23" i="11" s="1"/>
  <c r="AX28" i="1"/>
  <c r="AJ23" i="11" s="1"/>
  <c r="BA28" i="1"/>
  <c r="AM23" i="11" s="1"/>
  <c r="BJ28" i="1"/>
  <c r="AV23" i="11" s="1"/>
  <c r="W82" i="1"/>
  <c r="U82" i="1"/>
  <c r="AG82" i="1"/>
  <c r="Y82" i="1"/>
  <c r="U161" i="1"/>
  <c r="AC161" i="1"/>
  <c r="AE161" i="1"/>
  <c r="AA161" i="1"/>
  <c r="W161" i="1"/>
  <c r="Y161" i="1"/>
  <c r="AG161" i="1"/>
  <c r="AR32" i="1"/>
  <c r="AD27" i="11" s="1"/>
  <c r="BD32" i="1"/>
  <c r="AP27" i="11" s="1"/>
  <c r="BG32" i="1"/>
  <c r="AS27" i="11" s="1"/>
  <c r="BJ32" i="1"/>
  <c r="AV27" i="11" s="1"/>
  <c r="AX32" i="1"/>
  <c r="AJ27" i="11" s="1"/>
  <c r="BA32" i="1"/>
  <c r="AM27" i="11" s="1"/>
  <c r="AF91" i="1"/>
  <c r="AH91" i="1"/>
  <c r="Z91" i="1"/>
  <c r="AB91" i="1"/>
  <c r="V91" i="1"/>
  <c r="X91" i="1"/>
  <c r="AD91" i="1"/>
  <c r="AA24" i="11"/>
  <c r="AW29" i="1"/>
  <c r="AI24" i="11" s="1"/>
  <c r="BF29" i="1"/>
  <c r="AR24" i="11" s="1"/>
  <c r="BC29" i="1"/>
  <c r="AO24" i="11" s="1"/>
  <c r="AI22" i="1"/>
  <c r="BK73" i="1"/>
  <c r="AI73" i="1"/>
  <c r="AI95" i="1"/>
  <c r="AI77" i="1"/>
  <c r="AI33" i="1"/>
  <c r="AI39" i="1"/>
  <c r="BK114" i="1"/>
  <c r="AI81" i="1"/>
  <c r="BK81" i="1"/>
  <c r="AI151" i="1"/>
  <c r="AI12" i="1"/>
  <c r="BK151" i="1"/>
  <c r="AI158" i="1"/>
  <c r="BK149" i="1"/>
  <c r="BK58" i="1"/>
  <c r="AI55" i="1"/>
  <c r="AI15" i="1"/>
  <c r="AI160" i="1"/>
  <c r="AI152" i="1"/>
  <c r="AI64" i="1"/>
  <c r="BK174" i="1"/>
  <c r="BK113" i="1"/>
  <c r="BK103" i="1"/>
  <c r="AI156" i="1"/>
  <c r="AI96" i="1"/>
  <c r="BK164" i="1"/>
  <c r="BK67" i="1"/>
  <c r="BK104" i="1"/>
  <c r="AI103" i="1"/>
  <c r="BK79" i="1"/>
  <c r="AI88" i="1"/>
  <c r="BK145" i="1"/>
  <c r="BK162" i="1"/>
  <c r="BK100" i="1"/>
  <c r="BK96" i="1"/>
  <c r="AI174" i="1"/>
  <c r="AI162" i="1"/>
  <c r="BK158" i="1"/>
  <c r="AI170" i="1"/>
  <c r="AI69" i="1"/>
  <c r="AI58" i="1"/>
  <c r="AI14" i="1"/>
  <c r="AI154" i="1"/>
  <c r="AI114" i="1"/>
  <c r="AI84" i="1"/>
  <c r="BK181" i="1"/>
  <c r="BK112" i="1"/>
  <c r="BK108" i="1"/>
  <c r="AI104" i="1"/>
  <c r="BK156" i="1"/>
  <c r="AI46" i="1"/>
  <c r="AI50" i="1"/>
  <c r="AI10" i="1"/>
  <c r="BK147" i="1"/>
  <c r="BK168" i="1"/>
  <c r="BK69" i="1"/>
  <c r="BK107" i="1"/>
  <c r="AI67" i="1"/>
  <c r="AI40" i="1"/>
  <c r="AI54" i="1"/>
  <c r="AI180" i="1"/>
  <c r="AI181" i="1"/>
  <c r="BK178" i="1"/>
  <c r="BK180" i="1"/>
  <c r="BK170" i="1"/>
  <c r="BK152" i="1"/>
  <c r="BK88" i="1"/>
  <c r="BK86" i="1"/>
  <c r="AI83" i="1"/>
  <c r="AI168" i="1"/>
  <c r="AI178" i="1"/>
  <c r="AI115" i="1"/>
  <c r="AI79" i="1"/>
  <c r="AI108" i="1"/>
  <c r="AI100" i="1"/>
  <c r="BK160" i="1"/>
  <c r="BK77" i="1"/>
  <c r="AI164" i="1"/>
  <c r="BK83" i="1"/>
  <c r="BK154" i="1"/>
  <c r="BK115" i="1"/>
  <c r="BK64" i="1"/>
  <c r="AI60" i="1"/>
  <c r="AI48" i="1"/>
  <c r="AI29" i="1"/>
  <c r="AI42" i="1"/>
  <c r="AI147" i="1"/>
  <c r="AI113" i="1"/>
  <c r="AI145" i="1"/>
  <c r="AI149" i="1"/>
  <c r="AI107" i="1"/>
  <c r="W128" i="1"/>
  <c r="AE128" i="1"/>
  <c r="AA128" i="1"/>
  <c r="AG128" i="1"/>
  <c r="U128" i="1"/>
  <c r="Y128" i="1"/>
  <c r="AC128" i="1"/>
  <c r="AA146" i="1"/>
  <c r="Y146" i="1"/>
  <c r="U146" i="1"/>
  <c r="W146" i="1"/>
  <c r="AC146" i="1"/>
  <c r="AE146" i="1"/>
  <c r="AG146" i="1"/>
  <c r="BE138" i="1"/>
  <c r="AS138" i="1"/>
  <c r="AY138" i="1"/>
  <c r="BB138" i="1"/>
  <c r="AP138" i="1"/>
  <c r="BH138" i="1"/>
  <c r="AV138" i="1"/>
  <c r="V142" i="1"/>
  <c r="AB142" i="1"/>
  <c r="AF142" i="1"/>
  <c r="X142" i="1"/>
  <c r="Z142" i="1"/>
  <c r="AD142" i="1"/>
  <c r="AH142" i="1"/>
  <c r="AQ92" i="1"/>
  <c r="BC92" i="1"/>
  <c r="AT92" i="1"/>
  <c r="BF92" i="1"/>
  <c r="BI92" i="1"/>
  <c r="AW92" i="1"/>
  <c r="AZ92" i="1"/>
  <c r="BC93" i="1"/>
  <c r="AQ93" i="1"/>
  <c r="BF93" i="1"/>
  <c r="AW93" i="1"/>
  <c r="BI93" i="1"/>
  <c r="AT93" i="1"/>
  <c r="AZ93" i="1"/>
  <c r="AY93" i="1"/>
  <c r="AV93" i="1"/>
  <c r="BH93" i="1"/>
  <c r="BB93" i="1"/>
  <c r="AP93" i="1"/>
  <c r="AS93" i="1"/>
  <c r="BE93" i="1"/>
  <c r="V102" i="1"/>
  <c r="AF102" i="1"/>
  <c r="X102" i="1"/>
  <c r="Z102" i="1"/>
  <c r="AB102" i="1"/>
  <c r="AD102" i="1"/>
  <c r="AH102" i="1"/>
  <c r="Y102" i="1"/>
  <c r="AG102" i="1"/>
  <c r="U102" i="1"/>
  <c r="AC102" i="1"/>
  <c r="AA102" i="1"/>
  <c r="W102" i="1"/>
  <c r="AE102" i="1"/>
  <c r="Y183" i="1"/>
  <c r="AG183" i="1"/>
  <c r="AE183" i="1"/>
  <c r="AA183" i="1"/>
  <c r="U183" i="1"/>
  <c r="W183" i="1"/>
  <c r="AC183" i="1"/>
  <c r="AS139" i="1"/>
  <c r="BE139" i="1"/>
  <c r="AV139" i="1"/>
  <c r="BB139" i="1"/>
  <c r="BH139" i="1"/>
  <c r="AY139" i="1"/>
  <c r="AP139" i="1"/>
  <c r="U184" i="1"/>
  <c r="AC184" i="1"/>
  <c r="Y184" i="1"/>
  <c r="AE184" i="1"/>
  <c r="AG184" i="1"/>
  <c r="AA184" i="1"/>
  <c r="W184" i="1"/>
  <c r="AT150" i="1"/>
  <c r="BF150" i="1"/>
  <c r="AZ150" i="1"/>
  <c r="BI150" i="1"/>
  <c r="AW150" i="1"/>
  <c r="BC150" i="1"/>
  <c r="AQ150" i="1"/>
  <c r="BA141" i="1"/>
  <c r="BG141" i="1"/>
  <c r="BD141" i="1"/>
  <c r="AR141" i="1"/>
  <c r="AX141" i="1"/>
  <c r="AU141" i="1"/>
  <c r="BJ141" i="1"/>
  <c r="BI141" i="1"/>
  <c r="AW141" i="1"/>
  <c r="AQ141" i="1"/>
  <c r="BF141" i="1"/>
  <c r="AT141" i="1"/>
  <c r="AZ141" i="1"/>
  <c r="BC141" i="1"/>
  <c r="V130" i="1"/>
  <c r="AB130" i="1"/>
  <c r="AD130" i="1"/>
  <c r="AF130" i="1"/>
  <c r="AH130" i="1"/>
  <c r="X130" i="1"/>
  <c r="Z130" i="1"/>
  <c r="AS131" i="1"/>
  <c r="BE131" i="1"/>
  <c r="AV131" i="1"/>
  <c r="BB131" i="1"/>
  <c r="AY131" i="1"/>
  <c r="AP131" i="1"/>
  <c r="BH131" i="1"/>
  <c r="AH143" i="1"/>
  <c r="X143" i="1"/>
  <c r="AD143" i="1"/>
  <c r="AB143" i="1"/>
  <c r="AF143" i="1"/>
  <c r="V143" i="1"/>
  <c r="Z143" i="1"/>
  <c r="X85" i="1"/>
  <c r="AB85" i="1"/>
  <c r="AD85" i="1"/>
  <c r="V85" i="1"/>
  <c r="AF85" i="1"/>
  <c r="Z85" i="1"/>
  <c r="AH85" i="1"/>
  <c r="BE134" i="1"/>
  <c r="AS134" i="1"/>
  <c r="AY134" i="1"/>
  <c r="AP134" i="1"/>
  <c r="AV134" i="1"/>
  <c r="BB134" i="1"/>
  <c r="BH134" i="1"/>
  <c r="AD126" i="1"/>
  <c r="V126" i="1"/>
  <c r="AB126" i="1"/>
  <c r="AF126" i="1"/>
  <c r="AH126" i="1"/>
  <c r="X126" i="1"/>
  <c r="Z126" i="1"/>
  <c r="AY101" i="1"/>
  <c r="BH101" i="1"/>
  <c r="BB101" i="1"/>
  <c r="AV101" i="1"/>
  <c r="AP101" i="1"/>
  <c r="BE101" i="1"/>
  <c r="AS101" i="1"/>
  <c r="Y98" i="1"/>
  <c r="AG98" i="1"/>
  <c r="U98" i="1"/>
  <c r="AC98" i="1"/>
  <c r="AA98" i="1"/>
  <c r="AE98" i="1"/>
  <c r="W98" i="1"/>
  <c r="AY90" i="1"/>
  <c r="BB90" i="1"/>
  <c r="AS90" i="1"/>
  <c r="AV90" i="1"/>
  <c r="BE90" i="1"/>
  <c r="BH90" i="1"/>
  <c r="AP90" i="1"/>
  <c r="AR68" i="1"/>
  <c r="BA68" i="1"/>
  <c r="BJ68" i="1"/>
  <c r="BD68" i="1"/>
  <c r="AU68" i="1"/>
  <c r="BG68" i="1"/>
  <c r="AX68" i="1"/>
  <c r="BH68" i="1"/>
  <c r="AS68" i="1"/>
  <c r="BB68" i="1"/>
  <c r="AY68" i="1"/>
  <c r="AP68" i="1"/>
  <c r="BE68" i="1"/>
  <c r="AV68" i="1"/>
  <c r="AA121" i="1"/>
  <c r="W121" i="1"/>
  <c r="AE121" i="1"/>
  <c r="AC121" i="1"/>
  <c r="AG121" i="1"/>
  <c r="Y121" i="1"/>
  <c r="U121" i="1"/>
  <c r="BE116" i="1"/>
  <c r="AS116" i="1"/>
  <c r="AV116" i="1"/>
  <c r="BH116" i="1"/>
  <c r="AY116" i="1"/>
  <c r="AP116" i="1"/>
  <c r="BB116" i="1"/>
  <c r="AZ66" i="1"/>
  <c r="BI66" i="1"/>
  <c r="AT66" i="1"/>
  <c r="BC66" i="1"/>
  <c r="AW66" i="1"/>
  <c r="AQ66" i="1"/>
  <c r="BF66" i="1"/>
  <c r="AU177" i="1"/>
  <c r="BG177" i="1"/>
  <c r="BD177" i="1"/>
  <c r="AX177" i="1"/>
  <c r="AR177" i="1"/>
  <c r="BJ177" i="1"/>
  <c r="BA177" i="1"/>
  <c r="AD129" i="1"/>
  <c r="V129" i="1"/>
  <c r="X129" i="1"/>
  <c r="Z129" i="1"/>
  <c r="AB129" i="1"/>
  <c r="AF129" i="1"/>
  <c r="AH129" i="1"/>
  <c r="BI72" i="1"/>
  <c r="AT72" i="1"/>
  <c r="BF72" i="1"/>
  <c r="AW72" i="1"/>
  <c r="AZ72" i="1"/>
  <c r="AQ72" i="1"/>
  <c r="BC72" i="1"/>
  <c r="AA144" i="1"/>
  <c r="W144" i="1"/>
  <c r="U144" i="1"/>
  <c r="AG144" i="1"/>
  <c r="Y144" i="1"/>
  <c r="AC144" i="1"/>
  <c r="AE144" i="1"/>
  <c r="W122" i="1"/>
  <c r="AE122" i="1"/>
  <c r="AA122" i="1"/>
  <c r="U122" i="1"/>
  <c r="AG122" i="1"/>
  <c r="Y122" i="1"/>
  <c r="AC122" i="1"/>
  <c r="BI74" i="1"/>
  <c r="AT74" i="1"/>
  <c r="AQ74" i="1"/>
  <c r="BF74" i="1"/>
  <c r="AZ74" i="1"/>
  <c r="BC74" i="1"/>
  <c r="AW74" i="1"/>
  <c r="BA128" i="1"/>
  <c r="BJ128" i="1"/>
  <c r="BD128" i="1"/>
  <c r="AU128" i="1"/>
  <c r="AX128" i="1"/>
  <c r="AR128" i="1"/>
  <c r="BG128" i="1"/>
  <c r="BJ146" i="1"/>
  <c r="AX146" i="1"/>
  <c r="AU146" i="1"/>
  <c r="BD146" i="1"/>
  <c r="BG146" i="1"/>
  <c r="AR146" i="1"/>
  <c r="BA146" i="1"/>
  <c r="W142" i="1"/>
  <c r="AE142" i="1"/>
  <c r="AA142" i="1"/>
  <c r="AG142" i="1"/>
  <c r="U142" i="1"/>
  <c r="Y142" i="1"/>
  <c r="AC142" i="1"/>
  <c r="AW142" i="1"/>
  <c r="BI142" i="1"/>
  <c r="AT142" i="1"/>
  <c r="AZ142" i="1"/>
  <c r="BC142" i="1"/>
  <c r="BF142" i="1"/>
  <c r="AQ142" i="1"/>
  <c r="BJ109" i="1"/>
  <c r="AX109" i="1"/>
  <c r="AR109" i="1"/>
  <c r="BD109" i="1"/>
  <c r="AU109" i="1"/>
  <c r="BA109" i="1"/>
  <c r="BG109" i="1"/>
  <c r="AH92" i="1"/>
  <c r="X92" i="1"/>
  <c r="AD92" i="1"/>
  <c r="Z92" i="1"/>
  <c r="AB92" i="1"/>
  <c r="AF92" i="1"/>
  <c r="V92" i="1"/>
  <c r="AD89" i="1"/>
  <c r="V89" i="1"/>
  <c r="AH89" i="1"/>
  <c r="X89" i="1"/>
  <c r="Z89" i="1"/>
  <c r="AB89" i="1"/>
  <c r="AF89" i="1"/>
  <c r="AU89" i="1"/>
  <c r="BG89" i="1"/>
  <c r="BA89" i="1"/>
  <c r="AR89" i="1"/>
  <c r="AX89" i="1"/>
  <c r="BD89" i="1"/>
  <c r="BJ89" i="1"/>
  <c r="Z172" i="1"/>
  <c r="X172" i="1"/>
  <c r="AB172" i="1"/>
  <c r="AD172" i="1"/>
  <c r="AF172" i="1"/>
  <c r="AH172" i="1"/>
  <c r="V172" i="1"/>
  <c r="BG172" i="1"/>
  <c r="AU172" i="1"/>
  <c r="AX172" i="1"/>
  <c r="AR172" i="1"/>
  <c r="BJ172" i="1"/>
  <c r="BA172" i="1"/>
  <c r="BD172" i="1"/>
  <c r="AD139" i="1"/>
  <c r="AB139" i="1"/>
  <c r="AF139" i="1"/>
  <c r="AH139" i="1"/>
  <c r="V139" i="1"/>
  <c r="X139" i="1"/>
  <c r="Z139" i="1"/>
  <c r="AZ70" i="1"/>
  <c r="BI70" i="1"/>
  <c r="AT70" i="1"/>
  <c r="BC70" i="1"/>
  <c r="AQ70" i="1"/>
  <c r="BF70" i="1"/>
  <c r="AW70" i="1"/>
  <c r="AH184" i="1"/>
  <c r="AD184" i="1"/>
  <c r="AF184" i="1"/>
  <c r="V184" i="1"/>
  <c r="Z184" i="1"/>
  <c r="X184" i="1"/>
  <c r="AB184" i="1"/>
  <c r="AB165" i="1"/>
  <c r="AD165" i="1"/>
  <c r="AH165" i="1"/>
  <c r="X165" i="1"/>
  <c r="Z165" i="1"/>
  <c r="AF165" i="1"/>
  <c r="V165" i="1"/>
  <c r="AD131" i="1"/>
  <c r="AH131" i="1"/>
  <c r="V131" i="1"/>
  <c r="X131" i="1"/>
  <c r="Z131" i="1"/>
  <c r="AB131" i="1"/>
  <c r="AF131" i="1"/>
  <c r="W169" i="1"/>
  <c r="AA169" i="1"/>
  <c r="AC169" i="1"/>
  <c r="U169" i="1"/>
  <c r="AG169" i="1"/>
  <c r="Y169" i="1"/>
  <c r="AE169" i="1"/>
  <c r="BJ169" i="1"/>
  <c r="BA169" i="1"/>
  <c r="AU169" i="1"/>
  <c r="BG169" i="1"/>
  <c r="AR169" i="1"/>
  <c r="AX169" i="1"/>
  <c r="BD169" i="1"/>
  <c r="AX143" i="1"/>
  <c r="BG143" i="1"/>
  <c r="BJ143" i="1"/>
  <c r="BA143" i="1"/>
  <c r="AR143" i="1"/>
  <c r="BD143" i="1"/>
  <c r="AU143" i="1"/>
  <c r="AW143" i="1"/>
  <c r="BC143" i="1"/>
  <c r="BF143" i="1"/>
  <c r="BI143" i="1"/>
  <c r="AQ143" i="1"/>
  <c r="AT143" i="1"/>
  <c r="AZ143" i="1"/>
  <c r="AB132" i="1"/>
  <c r="V132" i="1"/>
  <c r="Z132" i="1"/>
  <c r="AD132" i="1"/>
  <c r="AF132" i="1"/>
  <c r="AH132" i="1"/>
  <c r="X132" i="1"/>
  <c r="AY85" i="1"/>
  <c r="AV85" i="1"/>
  <c r="AP85" i="1"/>
  <c r="AS85" i="1"/>
  <c r="BB85" i="1"/>
  <c r="BE85" i="1"/>
  <c r="BH85" i="1"/>
  <c r="AB159" i="1"/>
  <c r="V159" i="1"/>
  <c r="Z159" i="1"/>
  <c r="AD159" i="1"/>
  <c r="AF159" i="1"/>
  <c r="AH159" i="1"/>
  <c r="X159" i="1"/>
  <c r="AE159" i="1"/>
  <c r="AA159" i="1"/>
  <c r="AC159" i="1"/>
  <c r="U159" i="1"/>
  <c r="AG159" i="1"/>
  <c r="W159" i="1"/>
  <c r="Y159" i="1"/>
  <c r="AW134" i="1"/>
  <c r="BI134" i="1"/>
  <c r="AT134" i="1"/>
  <c r="BC134" i="1"/>
  <c r="AQ134" i="1"/>
  <c r="BF134" i="1"/>
  <c r="AZ134" i="1"/>
  <c r="BI119" i="1"/>
  <c r="AW119" i="1"/>
  <c r="AT119" i="1"/>
  <c r="BF119" i="1"/>
  <c r="AZ119" i="1"/>
  <c r="AQ119" i="1"/>
  <c r="BC119" i="1"/>
  <c r="Z105" i="1"/>
  <c r="X105" i="1"/>
  <c r="AD105" i="1"/>
  <c r="AF105" i="1"/>
  <c r="AH105" i="1"/>
  <c r="V105" i="1"/>
  <c r="AB105" i="1"/>
  <c r="AY105" i="1"/>
  <c r="BB105" i="1"/>
  <c r="BH105" i="1"/>
  <c r="AP105" i="1"/>
  <c r="BE105" i="1"/>
  <c r="AV105" i="1"/>
  <c r="AS105" i="1"/>
  <c r="BC101" i="1"/>
  <c r="AQ101" i="1"/>
  <c r="AW101" i="1"/>
  <c r="AT101" i="1"/>
  <c r="BI101" i="1"/>
  <c r="AZ101" i="1"/>
  <c r="BF101" i="1"/>
  <c r="BI133" i="1"/>
  <c r="AW133" i="1"/>
  <c r="AQ133" i="1"/>
  <c r="AZ133" i="1"/>
  <c r="BF133" i="1"/>
  <c r="AT133" i="1"/>
  <c r="BC133" i="1"/>
  <c r="AB157" i="1"/>
  <c r="AH157" i="1"/>
  <c r="AD157" i="1"/>
  <c r="V157" i="1"/>
  <c r="X157" i="1"/>
  <c r="Z157" i="1"/>
  <c r="AF157" i="1"/>
  <c r="BI76" i="1"/>
  <c r="AT76" i="1"/>
  <c r="AQ76" i="1"/>
  <c r="BF76" i="1"/>
  <c r="AW76" i="1"/>
  <c r="AZ76" i="1"/>
  <c r="BC76" i="1"/>
  <c r="AS76" i="1"/>
  <c r="BB76" i="1"/>
  <c r="BH76" i="1"/>
  <c r="AP76" i="1"/>
  <c r="BE76" i="1"/>
  <c r="AY76" i="1"/>
  <c r="AV76" i="1"/>
  <c r="U177" i="1"/>
  <c r="AC177" i="1"/>
  <c r="Y177" i="1"/>
  <c r="AG177" i="1"/>
  <c r="AA177" i="1"/>
  <c r="AE177" i="1"/>
  <c r="W177" i="1"/>
  <c r="AY97" i="1"/>
  <c r="BB97" i="1"/>
  <c r="BH97" i="1"/>
  <c r="AP97" i="1"/>
  <c r="BE97" i="1"/>
  <c r="AS97" i="1"/>
  <c r="AV97" i="1"/>
  <c r="BA144" i="1"/>
  <c r="BJ144" i="1"/>
  <c r="AU144" i="1"/>
  <c r="BG144" i="1"/>
  <c r="AX144" i="1"/>
  <c r="AR144" i="1"/>
  <c r="BD144" i="1"/>
  <c r="AD175" i="1"/>
  <c r="X175" i="1"/>
  <c r="Z175" i="1"/>
  <c r="AB175" i="1"/>
  <c r="AF175" i="1"/>
  <c r="AH175" i="1"/>
  <c r="V175" i="1"/>
  <c r="BE136" i="1"/>
  <c r="AS136" i="1"/>
  <c r="AY136" i="1"/>
  <c r="BB136" i="1"/>
  <c r="AP136" i="1"/>
  <c r="BH136" i="1"/>
  <c r="AV136" i="1"/>
  <c r="AW120" i="1"/>
  <c r="BI120" i="1"/>
  <c r="AZ120" i="1"/>
  <c r="AQ120" i="1"/>
  <c r="BC120" i="1"/>
  <c r="AT120" i="1"/>
  <c r="BF120" i="1"/>
  <c r="AB125" i="1"/>
  <c r="AD125" i="1"/>
  <c r="AF125" i="1"/>
  <c r="AH125" i="1"/>
  <c r="V125" i="1"/>
  <c r="X125" i="1"/>
  <c r="Z125" i="1"/>
  <c r="AB136" i="1"/>
  <c r="V136" i="1"/>
  <c r="X136" i="1"/>
  <c r="Z136" i="1"/>
  <c r="AD136" i="1"/>
  <c r="AF136" i="1"/>
  <c r="AH136" i="1"/>
  <c r="AA127" i="1"/>
  <c r="W127" i="1"/>
  <c r="AE127" i="1"/>
  <c r="Y127" i="1"/>
  <c r="AC127" i="1"/>
  <c r="AG127" i="1"/>
  <c r="U127" i="1"/>
  <c r="AA74" i="1"/>
  <c r="AC74" i="1"/>
  <c r="W74" i="1"/>
  <c r="AG74" i="1"/>
  <c r="AE74" i="1"/>
  <c r="U74" i="1"/>
  <c r="Y74" i="1"/>
  <c r="BB155" i="1"/>
  <c r="AP155" i="1"/>
  <c r="AS155" i="1"/>
  <c r="BE155" i="1"/>
  <c r="AV155" i="1"/>
  <c r="BH155" i="1"/>
  <c r="AY155" i="1"/>
  <c r="AY175" i="1"/>
  <c r="AP175" i="1"/>
  <c r="BB175" i="1"/>
  <c r="AV175" i="1"/>
  <c r="AS175" i="1"/>
  <c r="BE175" i="1"/>
  <c r="BH175" i="1"/>
  <c r="AW136" i="1"/>
  <c r="BI136" i="1"/>
  <c r="AT136" i="1"/>
  <c r="BC136" i="1"/>
  <c r="AQ136" i="1"/>
  <c r="BF136" i="1"/>
  <c r="AZ136" i="1"/>
  <c r="V106" i="1"/>
  <c r="AF106" i="1"/>
  <c r="AD106" i="1"/>
  <c r="AH106" i="1"/>
  <c r="X106" i="1"/>
  <c r="Z106" i="1"/>
  <c r="AB106" i="1"/>
  <c r="BG94" i="1"/>
  <c r="AU94" i="1"/>
  <c r="AX94" i="1"/>
  <c r="BD94" i="1"/>
  <c r="BA94" i="1"/>
  <c r="AR94" i="1"/>
  <c r="BJ94" i="1"/>
  <c r="BA120" i="1"/>
  <c r="BG120" i="1"/>
  <c r="AX120" i="1"/>
  <c r="BJ120" i="1"/>
  <c r="AR120" i="1"/>
  <c r="BD120" i="1"/>
  <c r="AU120" i="1"/>
  <c r="BA117" i="1"/>
  <c r="BJ117" i="1"/>
  <c r="AR117" i="1"/>
  <c r="BD117" i="1"/>
  <c r="AU117" i="1"/>
  <c r="BG117" i="1"/>
  <c r="AX117" i="1"/>
  <c r="BG176" i="1"/>
  <c r="AU176" i="1"/>
  <c r="AR176" i="1"/>
  <c r="BA176" i="1"/>
  <c r="BD176" i="1"/>
  <c r="BJ176" i="1"/>
  <c r="AX176" i="1"/>
  <c r="BE128" i="1"/>
  <c r="AS128" i="1"/>
  <c r="AY128" i="1"/>
  <c r="BH128" i="1"/>
  <c r="AV128" i="1"/>
  <c r="BB128" i="1"/>
  <c r="AP128" i="1"/>
  <c r="AW128" i="1"/>
  <c r="BI128" i="1"/>
  <c r="AT128" i="1"/>
  <c r="AZ128" i="1"/>
  <c r="BC128" i="1"/>
  <c r="AQ128" i="1"/>
  <c r="BF128" i="1"/>
  <c r="BE142" i="1"/>
  <c r="AS142" i="1"/>
  <c r="AY142" i="1"/>
  <c r="AV142" i="1"/>
  <c r="AP142" i="1"/>
  <c r="BB142" i="1"/>
  <c r="BH142" i="1"/>
  <c r="X93" i="1"/>
  <c r="Z93" i="1"/>
  <c r="AB93" i="1"/>
  <c r="AD93" i="1"/>
  <c r="AF93" i="1"/>
  <c r="AH93" i="1"/>
  <c r="V93" i="1"/>
  <c r="AW75" i="1"/>
  <c r="BF75" i="1"/>
  <c r="AZ75" i="1"/>
  <c r="BC75" i="1"/>
  <c r="AT75" i="1"/>
  <c r="BI75" i="1"/>
  <c r="AQ75" i="1"/>
  <c r="AQ102" i="1"/>
  <c r="BC102" i="1"/>
  <c r="BI102" i="1"/>
  <c r="BF102" i="1"/>
  <c r="AT102" i="1"/>
  <c r="AW102" i="1"/>
  <c r="AZ102" i="1"/>
  <c r="BC89" i="1"/>
  <c r="AQ89" i="1"/>
  <c r="AT89" i="1"/>
  <c r="BF89" i="1"/>
  <c r="AW89" i="1"/>
  <c r="AZ89" i="1"/>
  <c r="BI89" i="1"/>
  <c r="AQ185" i="1"/>
  <c r="BC185" i="1"/>
  <c r="AW185" i="1"/>
  <c r="BI185" i="1"/>
  <c r="AT185" i="1"/>
  <c r="AZ185" i="1"/>
  <c r="BF185" i="1"/>
  <c r="Y172" i="1"/>
  <c r="AG172" i="1"/>
  <c r="U172" i="1"/>
  <c r="AC172" i="1"/>
  <c r="AA172" i="1"/>
  <c r="AE172" i="1"/>
  <c r="W172" i="1"/>
  <c r="BI139" i="1"/>
  <c r="AW139" i="1"/>
  <c r="AQ139" i="1"/>
  <c r="BF139" i="1"/>
  <c r="AT139" i="1"/>
  <c r="AZ139" i="1"/>
  <c r="BC139" i="1"/>
  <c r="Z70" i="1"/>
  <c r="AH70" i="1"/>
  <c r="AB70" i="1"/>
  <c r="X70" i="1"/>
  <c r="AD70" i="1"/>
  <c r="AF70" i="1"/>
  <c r="V70" i="1"/>
  <c r="BJ165" i="1"/>
  <c r="AX165" i="1"/>
  <c r="BG165" i="1"/>
  <c r="BA165" i="1"/>
  <c r="AU165" i="1"/>
  <c r="AR165" i="1"/>
  <c r="BD165" i="1"/>
  <c r="AB150" i="1"/>
  <c r="X150" i="1"/>
  <c r="AF150" i="1"/>
  <c r="AH150" i="1"/>
  <c r="V150" i="1"/>
  <c r="Z150" i="1"/>
  <c r="AD150" i="1"/>
  <c r="W130" i="1"/>
  <c r="AE130" i="1"/>
  <c r="AA130" i="1"/>
  <c r="AG130" i="1"/>
  <c r="AC130" i="1"/>
  <c r="U130" i="1"/>
  <c r="Y130" i="1"/>
  <c r="BI131" i="1"/>
  <c r="AW131" i="1"/>
  <c r="AQ131" i="1"/>
  <c r="AZ131" i="1"/>
  <c r="BC131" i="1"/>
  <c r="BF131" i="1"/>
  <c r="AT131" i="1"/>
  <c r="W132" i="1"/>
  <c r="AE132" i="1"/>
  <c r="AA132" i="1"/>
  <c r="AG132" i="1"/>
  <c r="AC132" i="1"/>
  <c r="U132" i="1"/>
  <c r="Y132" i="1"/>
  <c r="BA135" i="1"/>
  <c r="BG135" i="1"/>
  <c r="AU135" i="1"/>
  <c r="BJ135" i="1"/>
  <c r="AX135" i="1"/>
  <c r="BD135" i="1"/>
  <c r="AR135" i="1"/>
  <c r="AS135" i="1"/>
  <c r="BE135" i="1"/>
  <c r="AV135" i="1"/>
  <c r="BB135" i="1"/>
  <c r="AY135" i="1"/>
  <c r="AP135" i="1"/>
  <c r="BH135" i="1"/>
  <c r="AB140" i="1"/>
  <c r="V140" i="1"/>
  <c r="AH140" i="1"/>
  <c r="X140" i="1"/>
  <c r="Z140" i="1"/>
  <c r="AD140" i="1"/>
  <c r="AF140" i="1"/>
  <c r="AU85" i="1"/>
  <c r="BG85" i="1"/>
  <c r="AX85" i="1"/>
  <c r="BJ85" i="1"/>
  <c r="BA85" i="1"/>
  <c r="BD85" i="1"/>
  <c r="AR85" i="1"/>
  <c r="BJ159" i="1"/>
  <c r="AU159" i="1"/>
  <c r="BD159" i="1"/>
  <c r="BA159" i="1"/>
  <c r="AR159" i="1"/>
  <c r="BG159" i="1"/>
  <c r="AX159" i="1"/>
  <c r="BB159" i="1"/>
  <c r="AP159" i="1"/>
  <c r="AY159" i="1"/>
  <c r="BH159" i="1"/>
  <c r="BE159" i="1"/>
  <c r="AS159" i="1"/>
  <c r="AV159" i="1"/>
  <c r="AA133" i="1"/>
  <c r="W133" i="1"/>
  <c r="AE133" i="1"/>
  <c r="Y133" i="1"/>
  <c r="AG133" i="1"/>
  <c r="U133" i="1"/>
  <c r="AC133" i="1"/>
  <c r="V90" i="1"/>
  <c r="AF90" i="1"/>
  <c r="X90" i="1"/>
  <c r="Z90" i="1"/>
  <c r="AB90" i="1"/>
  <c r="AD90" i="1"/>
  <c r="AH90" i="1"/>
  <c r="BA118" i="1"/>
  <c r="AR118" i="1"/>
  <c r="BD118" i="1"/>
  <c r="AU118" i="1"/>
  <c r="BG118" i="1"/>
  <c r="AX118" i="1"/>
  <c r="BJ118" i="1"/>
  <c r="AW118" i="1"/>
  <c r="BI118" i="1"/>
  <c r="AQ118" i="1"/>
  <c r="BC118" i="1"/>
  <c r="AT118" i="1"/>
  <c r="BF118" i="1"/>
  <c r="AZ118" i="1"/>
  <c r="BJ157" i="1"/>
  <c r="AX157" i="1"/>
  <c r="BG157" i="1"/>
  <c r="BA157" i="1"/>
  <c r="BD157" i="1"/>
  <c r="AR157" i="1"/>
  <c r="AU157" i="1"/>
  <c r="BA124" i="1"/>
  <c r="BG124" i="1"/>
  <c r="BJ124" i="1"/>
  <c r="BD124" i="1"/>
  <c r="AX124" i="1"/>
  <c r="AR124" i="1"/>
  <c r="AU124" i="1"/>
  <c r="BE124" i="1"/>
  <c r="AS124" i="1"/>
  <c r="AV124" i="1"/>
  <c r="AY124" i="1"/>
  <c r="BB124" i="1"/>
  <c r="AP124" i="1"/>
  <c r="BH124" i="1"/>
  <c r="BA76" i="1"/>
  <c r="BJ76" i="1"/>
  <c r="AR76" i="1"/>
  <c r="BD76" i="1"/>
  <c r="AX76" i="1"/>
  <c r="AU76" i="1"/>
  <c r="BG76" i="1"/>
  <c r="BI129" i="1"/>
  <c r="AW129" i="1"/>
  <c r="AQ129" i="1"/>
  <c r="AZ129" i="1"/>
  <c r="BC129" i="1"/>
  <c r="BF129" i="1"/>
  <c r="AT129" i="1"/>
  <c r="BG179" i="1"/>
  <c r="AU179" i="1"/>
  <c r="AX179" i="1"/>
  <c r="BJ179" i="1"/>
  <c r="AR179" i="1"/>
  <c r="BD179" i="1"/>
  <c r="BA179" i="1"/>
  <c r="BA72" i="1"/>
  <c r="BJ72" i="1"/>
  <c r="AR72" i="1"/>
  <c r="BD72" i="1"/>
  <c r="AU72" i="1"/>
  <c r="BG72" i="1"/>
  <c r="AX72" i="1"/>
  <c r="AX78" i="1"/>
  <c r="BJ78" i="1"/>
  <c r="BG78" i="1"/>
  <c r="BA78" i="1"/>
  <c r="BD78" i="1"/>
  <c r="AR78" i="1"/>
  <c r="AU78" i="1"/>
  <c r="W78" i="1"/>
  <c r="Y78" i="1"/>
  <c r="AA78" i="1"/>
  <c r="AC78" i="1"/>
  <c r="AE78" i="1"/>
  <c r="AG78" i="1"/>
  <c r="U78" i="1"/>
  <c r="BJ155" i="1"/>
  <c r="AR155" i="1"/>
  <c r="BA155" i="1"/>
  <c r="BD155" i="1"/>
  <c r="AU155" i="1"/>
  <c r="BG155" i="1"/>
  <c r="AX155" i="1"/>
  <c r="BC175" i="1"/>
  <c r="AQ175" i="1"/>
  <c r="BF175" i="1"/>
  <c r="BI175" i="1"/>
  <c r="AT175" i="1"/>
  <c r="AW175" i="1"/>
  <c r="AZ175" i="1"/>
  <c r="AB128" i="1"/>
  <c r="V128" i="1"/>
  <c r="AD128" i="1"/>
  <c r="AF128" i="1"/>
  <c r="AH128" i="1"/>
  <c r="X128" i="1"/>
  <c r="Z128" i="1"/>
  <c r="AW122" i="1"/>
  <c r="BI122" i="1"/>
  <c r="AQ122" i="1"/>
  <c r="BC122" i="1"/>
  <c r="AT122" i="1"/>
  <c r="AZ122" i="1"/>
  <c r="BF122" i="1"/>
  <c r="Y94" i="1"/>
  <c r="AG94" i="1"/>
  <c r="U94" i="1"/>
  <c r="AC94" i="1"/>
  <c r="AA94" i="1"/>
  <c r="W94" i="1"/>
  <c r="AE94" i="1"/>
  <c r="AH146" i="1"/>
  <c r="AD146" i="1"/>
  <c r="AF146" i="1"/>
  <c r="Z146" i="1"/>
  <c r="V146" i="1"/>
  <c r="X146" i="1"/>
  <c r="AB146" i="1"/>
  <c r="BG92" i="1"/>
  <c r="AU92" i="1"/>
  <c r="BA92" i="1"/>
  <c r="AR92" i="1"/>
  <c r="BJ92" i="1"/>
  <c r="AX92" i="1"/>
  <c r="BD92" i="1"/>
  <c r="AY89" i="1"/>
  <c r="AP89" i="1"/>
  <c r="BB89" i="1"/>
  <c r="BE89" i="1"/>
  <c r="AV89" i="1"/>
  <c r="BH89" i="1"/>
  <c r="AS89" i="1"/>
  <c r="AQ183" i="1"/>
  <c r="AZ183" i="1"/>
  <c r="BI183" i="1"/>
  <c r="AT183" i="1"/>
  <c r="BF183" i="1"/>
  <c r="AW183" i="1"/>
  <c r="BC183" i="1"/>
  <c r="Y185" i="1"/>
  <c r="AG185" i="1"/>
  <c r="W185" i="1"/>
  <c r="AC185" i="1"/>
  <c r="U185" i="1"/>
  <c r="AA185" i="1"/>
  <c r="AE185" i="1"/>
  <c r="BA139" i="1"/>
  <c r="BG139" i="1"/>
  <c r="AR139" i="1"/>
  <c r="AU139" i="1"/>
  <c r="BJ139" i="1"/>
  <c r="BD139" i="1"/>
  <c r="AX139" i="1"/>
  <c r="U165" i="1"/>
  <c r="Y165" i="1"/>
  <c r="W165" i="1"/>
  <c r="AA165" i="1"/>
  <c r="AC165" i="1"/>
  <c r="AE165" i="1"/>
  <c r="AG165" i="1"/>
  <c r="BB150" i="1"/>
  <c r="AP150" i="1"/>
  <c r="BE150" i="1"/>
  <c r="AV150" i="1"/>
  <c r="AY150" i="1"/>
  <c r="AS150" i="1"/>
  <c r="BH150" i="1"/>
  <c r="AA141" i="1"/>
  <c r="W141" i="1"/>
  <c r="AE141" i="1"/>
  <c r="Y141" i="1"/>
  <c r="AC141" i="1"/>
  <c r="AG141" i="1"/>
  <c r="U141" i="1"/>
  <c r="BA130" i="1"/>
  <c r="BD130" i="1"/>
  <c r="BJ130" i="1"/>
  <c r="AR130" i="1"/>
  <c r="BG130" i="1"/>
  <c r="AU130" i="1"/>
  <c r="AX130" i="1"/>
  <c r="AA131" i="1"/>
  <c r="W131" i="1"/>
  <c r="AE131" i="1"/>
  <c r="Y131" i="1"/>
  <c r="U131" i="1"/>
  <c r="AC131" i="1"/>
  <c r="AG131" i="1"/>
  <c r="AB169" i="1"/>
  <c r="AF169" i="1"/>
  <c r="Z169" i="1"/>
  <c r="V169" i="1"/>
  <c r="X169" i="1"/>
  <c r="AD169" i="1"/>
  <c r="AH169" i="1"/>
  <c r="AB163" i="1"/>
  <c r="X163" i="1"/>
  <c r="AD163" i="1"/>
  <c r="AF163" i="1"/>
  <c r="V163" i="1"/>
  <c r="AH163" i="1"/>
  <c r="Z163" i="1"/>
  <c r="AD135" i="1"/>
  <c r="AF135" i="1"/>
  <c r="AH135" i="1"/>
  <c r="X135" i="1"/>
  <c r="Z135" i="1"/>
  <c r="AB135" i="1"/>
  <c r="V135" i="1"/>
  <c r="W140" i="1"/>
  <c r="AE140" i="1"/>
  <c r="AA140" i="1"/>
  <c r="AG140" i="1"/>
  <c r="U140" i="1"/>
  <c r="AC140" i="1"/>
  <c r="Y140" i="1"/>
  <c r="AW140" i="1"/>
  <c r="BI140" i="1"/>
  <c r="AT140" i="1"/>
  <c r="AZ140" i="1"/>
  <c r="AQ140" i="1"/>
  <c r="BF140" i="1"/>
  <c r="BC140" i="1"/>
  <c r="AS123" i="1"/>
  <c r="BE123" i="1"/>
  <c r="AV123" i="1"/>
  <c r="AY123" i="1"/>
  <c r="AP123" i="1"/>
  <c r="BB123" i="1"/>
  <c r="BH123" i="1"/>
  <c r="BC87" i="1"/>
  <c r="AQ87" i="1"/>
  <c r="BI87" i="1"/>
  <c r="BF87" i="1"/>
  <c r="AT87" i="1"/>
  <c r="AW87" i="1"/>
  <c r="AZ87" i="1"/>
  <c r="BC85" i="1"/>
  <c r="AQ85" i="1"/>
  <c r="BF85" i="1"/>
  <c r="BI85" i="1"/>
  <c r="AZ85" i="1"/>
  <c r="AT85" i="1"/>
  <c r="AW85" i="1"/>
  <c r="U85" i="1"/>
  <c r="AC85" i="1"/>
  <c r="Y85" i="1"/>
  <c r="AG85" i="1"/>
  <c r="AA85" i="1"/>
  <c r="W85" i="1"/>
  <c r="AE85" i="1"/>
  <c r="V134" i="1"/>
  <c r="AB134" i="1"/>
  <c r="Z134" i="1"/>
  <c r="AF134" i="1"/>
  <c r="AH134" i="1"/>
  <c r="X134" i="1"/>
  <c r="AD134" i="1"/>
  <c r="W126" i="1"/>
  <c r="AE126" i="1"/>
  <c r="AA126" i="1"/>
  <c r="AG126" i="1"/>
  <c r="U126" i="1"/>
  <c r="Y126" i="1"/>
  <c r="AC126" i="1"/>
  <c r="BA119" i="1"/>
  <c r="BD119" i="1"/>
  <c r="AU119" i="1"/>
  <c r="BG119" i="1"/>
  <c r="AX119" i="1"/>
  <c r="BJ119" i="1"/>
  <c r="AR119" i="1"/>
  <c r="AU101" i="1"/>
  <c r="BG101" i="1"/>
  <c r="AR101" i="1"/>
  <c r="BJ101" i="1"/>
  <c r="AX101" i="1"/>
  <c r="BA101" i="1"/>
  <c r="BD101" i="1"/>
  <c r="AQ90" i="1"/>
  <c r="BC90" i="1"/>
  <c r="BF90" i="1"/>
  <c r="BI90" i="1"/>
  <c r="AW90" i="1"/>
  <c r="AZ90" i="1"/>
  <c r="AT90" i="1"/>
  <c r="AB116" i="1"/>
  <c r="AD116" i="1"/>
  <c r="AH116" i="1"/>
  <c r="X116" i="1"/>
  <c r="Z116" i="1"/>
  <c r="AF116" i="1"/>
  <c r="V116" i="1"/>
  <c r="Y157" i="1"/>
  <c r="U157" i="1"/>
  <c r="AG157" i="1"/>
  <c r="W157" i="1"/>
  <c r="AA157" i="1"/>
  <c r="AC157" i="1"/>
  <c r="AE157" i="1"/>
  <c r="AB124" i="1"/>
  <c r="V124" i="1"/>
  <c r="AD124" i="1"/>
  <c r="AF124" i="1"/>
  <c r="AH124" i="1"/>
  <c r="X124" i="1"/>
  <c r="Z124" i="1"/>
  <c r="Z66" i="1"/>
  <c r="AH66" i="1"/>
  <c r="AB66" i="1"/>
  <c r="V66" i="1"/>
  <c r="AD66" i="1"/>
  <c r="X66" i="1"/>
  <c r="AF66" i="1"/>
  <c r="V177" i="1"/>
  <c r="AF177" i="1"/>
  <c r="AB177" i="1"/>
  <c r="AD177" i="1"/>
  <c r="AH177" i="1"/>
  <c r="X177" i="1"/>
  <c r="Z177" i="1"/>
  <c r="AS137" i="1"/>
  <c r="BE137" i="1"/>
  <c r="BB137" i="1"/>
  <c r="AV137" i="1"/>
  <c r="BH137" i="1"/>
  <c r="AP137" i="1"/>
  <c r="AY137" i="1"/>
  <c r="AA129" i="1"/>
  <c r="W129" i="1"/>
  <c r="AE129" i="1"/>
  <c r="Y129" i="1"/>
  <c r="AC129" i="1"/>
  <c r="AG129" i="1"/>
  <c r="U129" i="1"/>
  <c r="Y179" i="1"/>
  <c r="AG179" i="1"/>
  <c r="AC179" i="1"/>
  <c r="U179" i="1"/>
  <c r="W179" i="1"/>
  <c r="AE179" i="1"/>
  <c r="AA179" i="1"/>
  <c r="AP78" i="1"/>
  <c r="BB78" i="1"/>
  <c r="AV78" i="1"/>
  <c r="BE78" i="1"/>
  <c r="AS78" i="1"/>
  <c r="BH78" i="1"/>
  <c r="AY78" i="1"/>
  <c r="BA74" i="1"/>
  <c r="BJ74" i="1"/>
  <c r="AU74" i="1"/>
  <c r="AR74" i="1"/>
  <c r="BG74" i="1"/>
  <c r="AX74" i="1"/>
  <c r="BD74" i="1"/>
  <c r="AS74" i="1"/>
  <c r="BB74" i="1"/>
  <c r="AY74" i="1"/>
  <c r="BE74" i="1"/>
  <c r="AV74" i="1"/>
  <c r="BH74" i="1"/>
  <c r="AP74" i="1"/>
  <c r="Y176" i="1"/>
  <c r="AG176" i="1"/>
  <c r="U176" i="1"/>
  <c r="AC176" i="1"/>
  <c r="AE176" i="1"/>
  <c r="W176" i="1"/>
  <c r="AA176" i="1"/>
  <c r="W138" i="1"/>
  <c r="AE138" i="1"/>
  <c r="AA138" i="1"/>
  <c r="AG138" i="1"/>
  <c r="U138" i="1"/>
  <c r="Y138" i="1"/>
  <c r="AC138" i="1"/>
  <c r="U109" i="1"/>
  <c r="AE109" i="1"/>
  <c r="AG109" i="1"/>
  <c r="W109" i="1"/>
  <c r="AA109" i="1"/>
  <c r="AC109" i="1"/>
  <c r="Y109" i="1"/>
  <c r="W75" i="1"/>
  <c r="AE75" i="1"/>
  <c r="U75" i="1"/>
  <c r="Y75" i="1"/>
  <c r="AC75" i="1"/>
  <c r="AG75" i="1"/>
  <c r="AA75" i="1"/>
  <c r="BI125" i="1"/>
  <c r="AW125" i="1"/>
  <c r="AQ125" i="1"/>
  <c r="AZ125" i="1"/>
  <c r="BC125" i="1"/>
  <c r="BF125" i="1"/>
  <c r="AT125" i="1"/>
  <c r="BI117" i="1"/>
  <c r="AW117" i="1"/>
  <c r="AZ117" i="1"/>
  <c r="AQ117" i="1"/>
  <c r="BC117" i="1"/>
  <c r="AT117" i="1"/>
  <c r="BF117" i="1"/>
  <c r="AB109" i="1"/>
  <c r="X109" i="1"/>
  <c r="AF109" i="1"/>
  <c r="V109" i="1"/>
  <c r="AH109" i="1"/>
  <c r="Z109" i="1"/>
  <c r="AD109" i="1"/>
  <c r="AA70" i="1"/>
  <c r="Y70" i="1"/>
  <c r="AC70" i="1"/>
  <c r="AE70" i="1"/>
  <c r="U70" i="1"/>
  <c r="AG70" i="1"/>
  <c r="W70" i="1"/>
  <c r="BE130" i="1"/>
  <c r="AS130" i="1"/>
  <c r="AY130" i="1"/>
  <c r="BH130" i="1"/>
  <c r="AV130" i="1"/>
  <c r="BB130" i="1"/>
  <c r="AP130" i="1"/>
  <c r="W143" i="1"/>
  <c r="AE143" i="1"/>
  <c r="Y143" i="1"/>
  <c r="AC143" i="1"/>
  <c r="AA143" i="1"/>
  <c r="U143" i="1"/>
  <c r="AG143" i="1"/>
  <c r="BA132" i="1"/>
  <c r="BJ132" i="1"/>
  <c r="BD132" i="1"/>
  <c r="AR132" i="1"/>
  <c r="BG132" i="1"/>
  <c r="AU132" i="1"/>
  <c r="AX132" i="1"/>
  <c r="AA135" i="1"/>
  <c r="W135" i="1"/>
  <c r="AE135" i="1"/>
  <c r="Y135" i="1"/>
  <c r="AG135" i="1"/>
  <c r="U135" i="1"/>
  <c r="AC135" i="1"/>
  <c r="BI135" i="1"/>
  <c r="AW135" i="1"/>
  <c r="AQ135" i="1"/>
  <c r="BC135" i="1"/>
  <c r="BF135" i="1"/>
  <c r="AT135" i="1"/>
  <c r="AZ135" i="1"/>
  <c r="BA140" i="1"/>
  <c r="BJ140" i="1"/>
  <c r="BD140" i="1"/>
  <c r="AX140" i="1"/>
  <c r="AR140" i="1"/>
  <c r="BG140" i="1"/>
  <c r="AU140" i="1"/>
  <c r="V123" i="1"/>
  <c r="X123" i="1"/>
  <c r="AH123" i="1"/>
  <c r="AB123" i="1"/>
  <c r="AD123" i="1"/>
  <c r="Z123" i="1"/>
  <c r="AF123" i="1"/>
  <c r="AY87" i="1"/>
  <c r="AP87" i="1"/>
  <c r="AV87" i="1"/>
  <c r="BB87" i="1"/>
  <c r="BE87" i="1"/>
  <c r="BH87" i="1"/>
  <c r="AS87" i="1"/>
  <c r="W134" i="1"/>
  <c r="AE134" i="1"/>
  <c r="AA134" i="1"/>
  <c r="AG134" i="1"/>
  <c r="Y134" i="1"/>
  <c r="AC134" i="1"/>
  <c r="U134" i="1"/>
  <c r="BA126" i="1"/>
  <c r="BD126" i="1"/>
  <c r="BJ126" i="1"/>
  <c r="AX126" i="1"/>
  <c r="AR126" i="1"/>
  <c r="BG126" i="1"/>
  <c r="AU126" i="1"/>
  <c r="U101" i="1"/>
  <c r="AC101" i="1"/>
  <c r="Y101" i="1"/>
  <c r="AG101" i="1"/>
  <c r="AE101" i="1"/>
  <c r="W101" i="1"/>
  <c r="AA101" i="1"/>
  <c r="V98" i="1"/>
  <c r="AF98" i="1"/>
  <c r="AD98" i="1"/>
  <c r="AH98" i="1"/>
  <c r="X98" i="1"/>
  <c r="Z98" i="1"/>
  <c r="AB98" i="1"/>
  <c r="BA133" i="1"/>
  <c r="BG133" i="1"/>
  <c r="AX133" i="1"/>
  <c r="BD133" i="1"/>
  <c r="AR133" i="1"/>
  <c r="AU133" i="1"/>
  <c r="BJ133" i="1"/>
  <c r="BG90" i="1"/>
  <c r="AU90" i="1"/>
  <c r="AR90" i="1"/>
  <c r="BD90" i="1"/>
  <c r="AX90" i="1"/>
  <c r="BA90" i="1"/>
  <c r="BJ90" i="1"/>
  <c r="Z68" i="1"/>
  <c r="AH68" i="1"/>
  <c r="AB68" i="1"/>
  <c r="X68" i="1"/>
  <c r="AD68" i="1"/>
  <c r="AF68" i="1"/>
  <c r="V68" i="1"/>
  <c r="BE118" i="1"/>
  <c r="AS118" i="1"/>
  <c r="BB118" i="1"/>
  <c r="AV118" i="1"/>
  <c r="BH118" i="1"/>
  <c r="AY118" i="1"/>
  <c r="AP118" i="1"/>
  <c r="BA116" i="1"/>
  <c r="BG116" i="1"/>
  <c r="AX116" i="1"/>
  <c r="BJ116" i="1"/>
  <c r="AR116" i="1"/>
  <c r="BD116" i="1"/>
  <c r="AU116" i="1"/>
  <c r="AT157" i="1"/>
  <c r="BC157" i="1"/>
  <c r="AW157" i="1"/>
  <c r="BI157" i="1"/>
  <c r="AZ157" i="1"/>
  <c r="AQ157" i="1"/>
  <c r="BF157" i="1"/>
  <c r="AR66" i="1"/>
  <c r="BA66" i="1"/>
  <c r="BJ66" i="1"/>
  <c r="AU66" i="1"/>
  <c r="BD66" i="1"/>
  <c r="BG66" i="1"/>
  <c r="AX66" i="1"/>
  <c r="AA137" i="1"/>
  <c r="W137" i="1"/>
  <c r="AE137" i="1"/>
  <c r="Y137" i="1"/>
  <c r="AC137" i="1"/>
  <c r="AG137" i="1"/>
  <c r="U137" i="1"/>
  <c r="AD137" i="1"/>
  <c r="AF137" i="1"/>
  <c r="V137" i="1"/>
  <c r="X137" i="1"/>
  <c r="Z137" i="1"/>
  <c r="AB137" i="1"/>
  <c r="AH137" i="1"/>
  <c r="AY179" i="1"/>
  <c r="AS179" i="1"/>
  <c r="BB179" i="1"/>
  <c r="BH179" i="1"/>
  <c r="AV179" i="1"/>
  <c r="AP179" i="1"/>
  <c r="BE179" i="1"/>
  <c r="AB72" i="1"/>
  <c r="V72" i="1"/>
  <c r="AF72" i="1"/>
  <c r="X72" i="1"/>
  <c r="AH72" i="1"/>
  <c r="AD72" i="1"/>
  <c r="Z72" i="1"/>
  <c r="Z176" i="1"/>
  <c r="V176" i="1"/>
  <c r="X176" i="1"/>
  <c r="AB176" i="1"/>
  <c r="AD176" i="1"/>
  <c r="AF176" i="1"/>
  <c r="AH176" i="1"/>
  <c r="AY102" i="1"/>
  <c r="AS102" i="1"/>
  <c r="BB102" i="1"/>
  <c r="AP102" i="1"/>
  <c r="BE102" i="1"/>
  <c r="BH102" i="1"/>
  <c r="AV102" i="1"/>
  <c r="AB185" i="1"/>
  <c r="AF185" i="1"/>
  <c r="AD185" i="1"/>
  <c r="V185" i="1"/>
  <c r="X185" i="1"/>
  <c r="AH185" i="1"/>
  <c r="Z185" i="1"/>
  <c r="BI144" i="1"/>
  <c r="AQ144" i="1"/>
  <c r="AZ144" i="1"/>
  <c r="AT144" i="1"/>
  <c r="AW144" i="1"/>
  <c r="BC144" i="1"/>
  <c r="BF144" i="1"/>
  <c r="AS144" i="1"/>
  <c r="AV144" i="1"/>
  <c r="BE144" i="1"/>
  <c r="AY144" i="1"/>
  <c r="BB144" i="1"/>
  <c r="BH144" i="1"/>
  <c r="AP144" i="1"/>
  <c r="U175" i="1"/>
  <c r="AC175" i="1"/>
  <c r="Y175" i="1"/>
  <c r="AG175" i="1"/>
  <c r="AE175" i="1"/>
  <c r="AA175" i="1"/>
  <c r="W175" i="1"/>
  <c r="W136" i="1"/>
  <c r="AE136" i="1"/>
  <c r="AA136" i="1"/>
  <c r="AG136" i="1"/>
  <c r="Y136" i="1"/>
  <c r="U136" i="1"/>
  <c r="AC136" i="1"/>
  <c r="BA127" i="1"/>
  <c r="BG127" i="1"/>
  <c r="BD127" i="1"/>
  <c r="AR127" i="1"/>
  <c r="AU127" i="1"/>
  <c r="BJ127" i="1"/>
  <c r="AX127" i="1"/>
  <c r="AS127" i="1"/>
  <c r="BE127" i="1"/>
  <c r="AV127" i="1"/>
  <c r="BB127" i="1"/>
  <c r="AP127" i="1"/>
  <c r="BH127" i="1"/>
  <c r="AY127" i="1"/>
  <c r="BA122" i="1"/>
  <c r="AR122" i="1"/>
  <c r="BD122" i="1"/>
  <c r="BG122" i="1"/>
  <c r="AX122" i="1"/>
  <c r="BJ122" i="1"/>
  <c r="AU122" i="1"/>
  <c r="AQ106" i="1"/>
  <c r="BC106" i="1"/>
  <c r="BI106" i="1"/>
  <c r="AT106" i="1"/>
  <c r="AW106" i="1"/>
  <c r="AZ106" i="1"/>
  <c r="BF106" i="1"/>
  <c r="BG106" i="1"/>
  <c r="AU106" i="1"/>
  <c r="BD106" i="1"/>
  <c r="AX106" i="1"/>
  <c r="BJ106" i="1"/>
  <c r="BA106" i="1"/>
  <c r="AR106" i="1"/>
  <c r="W120" i="1"/>
  <c r="AE120" i="1"/>
  <c r="AA120" i="1"/>
  <c r="Y120" i="1"/>
  <c r="AC120" i="1"/>
  <c r="U120" i="1"/>
  <c r="AG120" i="1"/>
  <c r="BE120" i="1"/>
  <c r="AS120" i="1"/>
  <c r="AV120" i="1"/>
  <c r="BH120" i="1"/>
  <c r="AY120" i="1"/>
  <c r="AP120" i="1"/>
  <c r="BB120" i="1"/>
  <c r="AS117" i="1"/>
  <c r="BE117" i="1"/>
  <c r="AY117" i="1"/>
  <c r="AP117" i="1"/>
  <c r="BB117" i="1"/>
  <c r="AV117" i="1"/>
  <c r="BH117" i="1"/>
  <c r="AQ176" i="1"/>
  <c r="BC176" i="1"/>
  <c r="AW176" i="1"/>
  <c r="AZ176" i="1"/>
  <c r="BF176" i="1"/>
  <c r="AT176" i="1"/>
  <c r="BI176" i="1"/>
  <c r="AS146" i="1"/>
  <c r="BB146" i="1"/>
  <c r="BE146" i="1"/>
  <c r="AP146" i="1"/>
  <c r="BH146" i="1"/>
  <c r="AV146" i="1"/>
  <c r="AY146" i="1"/>
  <c r="AY92" i="1"/>
  <c r="BE92" i="1"/>
  <c r="AV92" i="1"/>
  <c r="AP92" i="1"/>
  <c r="AS92" i="1"/>
  <c r="BB92" i="1"/>
  <c r="BH92" i="1"/>
  <c r="Y92" i="1"/>
  <c r="AG92" i="1"/>
  <c r="U92" i="1"/>
  <c r="AC92" i="1"/>
  <c r="W92" i="1"/>
  <c r="AA92" i="1"/>
  <c r="AE92" i="1"/>
  <c r="AU93" i="1"/>
  <c r="BG93" i="1"/>
  <c r="AR93" i="1"/>
  <c r="BJ93" i="1"/>
  <c r="AX93" i="1"/>
  <c r="BA93" i="1"/>
  <c r="BD93" i="1"/>
  <c r="U89" i="1"/>
  <c r="AC89" i="1"/>
  <c r="Y89" i="1"/>
  <c r="AG89" i="1"/>
  <c r="AE89" i="1"/>
  <c r="W89" i="1"/>
  <c r="AA89" i="1"/>
  <c r="BG183" i="1"/>
  <c r="AU183" i="1"/>
  <c r="BD183" i="1"/>
  <c r="BJ183" i="1"/>
  <c r="AR183" i="1"/>
  <c r="AX183" i="1"/>
  <c r="BA183" i="1"/>
  <c r="BG185" i="1"/>
  <c r="AR185" i="1"/>
  <c r="BA185" i="1"/>
  <c r="BJ185" i="1"/>
  <c r="BD185" i="1"/>
  <c r="AX185" i="1"/>
  <c r="AU185" i="1"/>
  <c r="BC184" i="1"/>
  <c r="AT184" i="1"/>
  <c r="BF184" i="1"/>
  <c r="AZ184" i="1"/>
  <c r="BI184" i="1"/>
  <c r="AQ184" i="1"/>
  <c r="AW184" i="1"/>
  <c r="AU182" i="1"/>
  <c r="AR182" i="1"/>
  <c r="BA182" i="1"/>
  <c r="BJ182" i="1"/>
  <c r="AX182" i="1"/>
  <c r="BG182" i="1"/>
  <c r="BD182" i="1"/>
  <c r="BJ150" i="1"/>
  <c r="AX150" i="1"/>
  <c r="AU150" i="1"/>
  <c r="BA150" i="1"/>
  <c r="BD150" i="1"/>
  <c r="AR150" i="1"/>
  <c r="BG150" i="1"/>
  <c r="BB169" i="1"/>
  <c r="AV169" i="1"/>
  <c r="BE169" i="1"/>
  <c r="AP169" i="1"/>
  <c r="BH169" i="1"/>
  <c r="AS169" i="1"/>
  <c r="AY169" i="1"/>
  <c r="AT163" i="1"/>
  <c r="AW163" i="1"/>
  <c r="BF163" i="1"/>
  <c r="BC163" i="1"/>
  <c r="AQ163" i="1"/>
  <c r="BI163" i="1"/>
  <c r="AZ163" i="1"/>
  <c r="AT155" i="1"/>
  <c r="AW155" i="1"/>
  <c r="BF155" i="1"/>
  <c r="AZ155" i="1"/>
  <c r="BC155" i="1"/>
  <c r="AQ155" i="1"/>
  <c r="BI155" i="1"/>
  <c r="BA136" i="1"/>
  <c r="BJ136" i="1"/>
  <c r="BD136" i="1"/>
  <c r="AU136" i="1"/>
  <c r="AX136" i="1"/>
  <c r="AR136" i="1"/>
  <c r="BG136" i="1"/>
  <c r="AD127" i="1"/>
  <c r="X127" i="1"/>
  <c r="Z127" i="1"/>
  <c r="AB127" i="1"/>
  <c r="AF127" i="1"/>
  <c r="AH127" i="1"/>
  <c r="V127" i="1"/>
  <c r="AY106" i="1"/>
  <c r="AS106" i="1"/>
  <c r="BH106" i="1"/>
  <c r="AV106" i="1"/>
  <c r="BB106" i="1"/>
  <c r="AP106" i="1"/>
  <c r="BE106" i="1"/>
  <c r="Y106" i="1"/>
  <c r="AG106" i="1"/>
  <c r="U106" i="1"/>
  <c r="AC106" i="1"/>
  <c r="AA106" i="1"/>
  <c r="AE106" i="1"/>
  <c r="W106" i="1"/>
  <c r="AQ94" i="1"/>
  <c r="BC94" i="1"/>
  <c r="BI94" i="1"/>
  <c r="BF94" i="1"/>
  <c r="AT94" i="1"/>
  <c r="AW94" i="1"/>
  <c r="AZ94" i="1"/>
  <c r="Z120" i="1"/>
  <c r="AB120" i="1"/>
  <c r="AD120" i="1"/>
  <c r="AF120" i="1"/>
  <c r="V120" i="1"/>
  <c r="X120" i="1"/>
  <c r="AH120" i="1"/>
  <c r="AB117" i="1"/>
  <c r="AD117" i="1"/>
  <c r="AF117" i="1"/>
  <c r="V117" i="1"/>
  <c r="X117" i="1"/>
  <c r="AH117" i="1"/>
  <c r="Z117" i="1"/>
  <c r="AT146" i="1"/>
  <c r="BF146" i="1"/>
  <c r="AZ146" i="1"/>
  <c r="BC146" i="1"/>
  <c r="AQ146" i="1"/>
  <c r="BI146" i="1"/>
  <c r="AW146" i="1"/>
  <c r="AW138" i="1"/>
  <c r="BI138" i="1"/>
  <c r="AT138" i="1"/>
  <c r="AZ138" i="1"/>
  <c r="BC138" i="1"/>
  <c r="AQ138" i="1"/>
  <c r="BF138" i="1"/>
  <c r="AT109" i="1"/>
  <c r="BF109" i="1"/>
  <c r="BC109" i="1"/>
  <c r="AW109" i="1"/>
  <c r="BI109" i="1"/>
  <c r="AZ109" i="1"/>
  <c r="AQ109" i="1"/>
  <c r="BB109" i="1"/>
  <c r="AP109" i="1"/>
  <c r="AS109" i="1"/>
  <c r="BE109" i="1"/>
  <c r="BH109" i="1"/>
  <c r="AY109" i="1"/>
  <c r="AV109" i="1"/>
  <c r="U93" i="1"/>
  <c r="AC93" i="1"/>
  <c r="Y93" i="1"/>
  <c r="AG93" i="1"/>
  <c r="AE93" i="1"/>
  <c r="W93" i="1"/>
  <c r="AA93" i="1"/>
  <c r="AX75" i="1"/>
  <c r="AR75" i="1"/>
  <c r="BA75" i="1"/>
  <c r="BG75" i="1"/>
  <c r="AU75" i="1"/>
  <c r="BJ75" i="1"/>
  <c r="BD75" i="1"/>
  <c r="AY185" i="1"/>
  <c r="AV185" i="1"/>
  <c r="BE185" i="1"/>
  <c r="AP185" i="1"/>
  <c r="AS185" i="1"/>
  <c r="BH185" i="1"/>
  <c r="BB185" i="1"/>
  <c r="AR70" i="1"/>
  <c r="BA70" i="1"/>
  <c r="BJ70" i="1"/>
  <c r="BD70" i="1"/>
  <c r="AU70" i="1"/>
  <c r="BG70" i="1"/>
  <c r="AX70" i="1"/>
  <c r="BH70" i="1"/>
  <c r="AS70" i="1"/>
  <c r="BB70" i="1"/>
  <c r="AY70" i="1"/>
  <c r="AP70" i="1"/>
  <c r="BE70" i="1"/>
  <c r="AV70" i="1"/>
  <c r="BC182" i="1"/>
  <c r="AW182" i="1"/>
  <c r="BF182" i="1"/>
  <c r="BI182" i="1"/>
  <c r="AZ182" i="1"/>
  <c r="AT182" i="1"/>
  <c r="AQ182" i="1"/>
  <c r="U182" i="1"/>
  <c r="AC182" i="1"/>
  <c r="AG182" i="1"/>
  <c r="W182" i="1"/>
  <c r="Y182" i="1"/>
  <c r="AA182" i="1"/>
  <c r="AE182" i="1"/>
  <c r="AT165" i="1"/>
  <c r="BC165" i="1"/>
  <c r="AW165" i="1"/>
  <c r="BI165" i="1"/>
  <c r="AZ165" i="1"/>
  <c r="BF165" i="1"/>
  <c r="AQ165" i="1"/>
  <c r="AS141" i="1"/>
  <c r="BE141" i="1"/>
  <c r="BB141" i="1"/>
  <c r="AV141" i="1"/>
  <c r="AP141" i="1"/>
  <c r="BH141" i="1"/>
  <c r="AY141" i="1"/>
  <c r="AW130" i="1"/>
  <c r="BI130" i="1"/>
  <c r="AT130" i="1"/>
  <c r="AZ130" i="1"/>
  <c r="BC130" i="1"/>
  <c r="AQ130" i="1"/>
  <c r="BF130" i="1"/>
  <c r="BJ163" i="1"/>
  <c r="AR163" i="1"/>
  <c r="BA163" i="1"/>
  <c r="BD163" i="1"/>
  <c r="AU163" i="1"/>
  <c r="BG163" i="1"/>
  <c r="AX163" i="1"/>
  <c r="BB163" i="1"/>
  <c r="AP163" i="1"/>
  <c r="AS163" i="1"/>
  <c r="BE163" i="1"/>
  <c r="AY163" i="1"/>
  <c r="AV163" i="1"/>
  <c r="BH163" i="1"/>
  <c r="BE143" i="1"/>
  <c r="AS143" i="1"/>
  <c r="BB143" i="1"/>
  <c r="AY143" i="1"/>
  <c r="AP143" i="1"/>
  <c r="BH143" i="1"/>
  <c r="AV143" i="1"/>
  <c r="BE132" i="1"/>
  <c r="AS132" i="1"/>
  <c r="AY132" i="1"/>
  <c r="BH132" i="1"/>
  <c r="BB132" i="1"/>
  <c r="AP132" i="1"/>
  <c r="AV132" i="1"/>
  <c r="BE140" i="1"/>
  <c r="AS140" i="1"/>
  <c r="AY140" i="1"/>
  <c r="BB140" i="1"/>
  <c r="BH140" i="1"/>
  <c r="AP140" i="1"/>
  <c r="AV140" i="1"/>
  <c r="BA123" i="1"/>
  <c r="BD123" i="1"/>
  <c r="AU123" i="1"/>
  <c r="BG123" i="1"/>
  <c r="BJ123" i="1"/>
  <c r="AR123" i="1"/>
  <c r="AX123" i="1"/>
  <c r="AA123" i="1"/>
  <c r="W123" i="1"/>
  <c r="AE123" i="1"/>
  <c r="AG123" i="1"/>
  <c r="Y123" i="1"/>
  <c r="AC123" i="1"/>
  <c r="U123" i="1"/>
  <c r="AU87" i="1"/>
  <c r="BG87" i="1"/>
  <c r="AX87" i="1"/>
  <c r="BA87" i="1"/>
  <c r="BD87" i="1"/>
  <c r="AR87" i="1"/>
  <c r="BJ87" i="1"/>
  <c r="BE126" i="1"/>
  <c r="AS126" i="1"/>
  <c r="AY126" i="1"/>
  <c r="AV126" i="1"/>
  <c r="BB126" i="1"/>
  <c r="AP126" i="1"/>
  <c r="BH126" i="1"/>
  <c r="AS119" i="1"/>
  <c r="BE119" i="1"/>
  <c r="AV119" i="1"/>
  <c r="BH119" i="1"/>
  <c r="AY119" i="1"/>
  <c r="AP119" i="1"/>
  <c r="BB119" i="1"/>
  <c r="AU105" i="1"/>
  <c r="BG105" i="1"/>
  <c r="AR105" i="1"/>
  <c r="BA105" i="1"/>
  <c r="BD105" i="1"/>
  <c r="BJ105" i="1"/>
  <c r="AX105" i="1"/>
  <c r="Y90" i="1"/>
  <c r="AG90" i="1"/>
  <c r="U90" i="1"/>
  <c r="AC90" i="1"/>
  <c r="AE90" i="1"/>
  <c r="AA90" i="1"/>
  <c r="W90" i="1"/>
  <c r="AZ68" i="1"/>
  <c r="BI68" i="1"/>
  <c r="AT68" i="1"/>
  <c r="BC68" i="1"/>
  <c r="AQ68" i="1"/>
  <c r="BF68" i="1"/>
  <c r="AW68" i="1"/>
  <c r="BA121" i="1"/>
  <c r="BJ121" i="1"/>
  <c r="BD121" i="1"/>
  <c r="AU121" i="1"/>
  <c r="BG121" i="1"/>
  <c r="AR121" i="1"/>
  <c r="AX121" i="1"/>
  <c r="AD118" i="1"/>
  <c r="AF118" i="1"/>
  <c r="V118" i="1"/>
  <c r="X118" i="1"/>
  <c r="AH118" i="1"/>
  <c r="Z118" i="1"/>
  <c r="AB118" i="1"/>
  <c r="U116" i="1"/>
  <c r="Y116" i="1"/>
  <c r="W116" i="1"/>
  <c r="AA116" i="1"/>
  <c r="AC116" i="1"/>
  <c r="AE116" i="1"/>
  <c r="AG116" i="1"/>
  <c r="AW124" i="1"/>
  <c r="BI124" i="1"/>
  <c r="AT124" i="1"/>
  <c r="AZ124" i="1"/>
  <c r="BC124" i="1"/>
  <c r="BF124" i="1"/>
  <c r="AQ124" i="1"/>
  <c r="AB76" i="1"/>
  <c r="V76" i="1"/>
  <c r="AF76" i="1"/>
  <c r="Z76" i="1"/>
  <c r="AD76" i="1"/>
  <c r="AH76" i="1"/>
  <c r="X76" i="1"/>
  <c r="AA66" i="1"/>
  <c r="U66" i="1"/>
  <c r="AC66" i="1"/>
  <c r="W66" i="1"/>
  <c r="AE66" i="1"/>
  <c r="Y66" i="1"/>
  <c r="AG66" i="1"/>
  <c r="Z97" i="1"/>
  <c r="X97" i="1"/>
  <c r="AB97" i="1"/>
  <c r="AD97" i="1"/>
  <c r="AF97" i="1"/>
  <c r="AH97" i="1"/>
  <c r="V97" i="1"/>
  <c r="AU97" i="1"/>
  <c r="BG97" i="1"/>
  <c r="AR97" i="1"/>
  <c r="BA97" i="1"/>
  <c r="BD97" i="1"/>
  <c r="BJ97" i="1"/>
  <c r="AX97" i="1"/>
  <c r="X179" i="1"/>
  <c r="AH179" i="1"/>
  <c r="AF179" i="1"/>
  <c r="V179" i="1"/>
  <c r="Z179" i="1"/>
  <c r="AB179" i="1"/>
  <c r="AD179" i="1"/>
  <c r="AA72" i="1"/>
  <c r="W72" i="1"/>
  <c r="AG72" i="1"/>
  <c r="Y72" i="1"/>
  <c r="AC72" i="1"/>
  <c r="U72" i="1"/>
  <c r="AE72" i="1"/>
  <c r="X78" i="1"/>
  <c r="AF78" i="1"/>
  <c r="AB78" i="1"/>
  <c r="AD78" i="1"/>
  <c r="V78" i="1"/>
  <c r="Z78" i="1"/>
  <c r="AH78" i="1"/>
  <c r="AD122" i="1"/>
  <c r="AF122" i="1"/>
  <c r="V122" i="1"/>
  <c r="Z122" i="1"/>
  <c r="AB122" i="1"/>
  <c r="X122" i="1"/>
  <c r="AH122" i="1"/>
  <c r="AB74" i="1"/>
  <c r="Z74" i="1"/>
  <c r="AD74" i="1"/>
  <c r="AH74" i="1"/>
  <c r="V74" i="1"/>
  <c r="X74" i="1"/>
  <c r="AF74" i="1"/>
  <c r="AC155" i="1"/>
  <c r="AG155" i="1"/>
  <c r="AA155" i="1"/>
  <c r="AE155" i="1"/>
  <c r="U155" i="1"/>
  <c r="W155" i="1"/>
  <c r="Y155" i="1"/>
  <c r="BA125" i="1"/>
  <c r="BJ125" i="1"/>
  <c r="BG125" i="1"/>
  <c r="AX125" i="1"/>
  <c r="BD125" i="1"/>
  <c r="AR125" i="1"/>
  <c r="AU125" i="1"/>
  <c r="AU175" i="1"/>
  <c r="BG175" i="1"/>
  <c r="BA175" i="1"/>
  <c r="AR175" i="1"/>
  <c r="BJ175" i="1"/>
  <c r="AX175" i="1"/>
  <c r="BD175" i="1"/>
  <c r="V94" i="1"/>
  <c r="AF94" i="1"/>
  <c r="X94" i="1"/>
  <c r="Z94" i="1"/>
  <c r="AB94" i="1"/>
  <c r="AD94" i="1"/>
  <c r="AH94" i="1"/>
  <c r="AB155" i="1"/>
  <c r="X155" i="1"/>
  <c r="Z155" i="1"/>
  <c r="AD155" i="1"/>
  <c r="AF155" i="1"/>
  <c r="V155" i="1"/>
  <c r="AH155" i="1"/>
  <c r="AB144" i="1"/>
  <c r="AF144" i="1"/>
  <c r="X144" i="1"/>
  <c r="AD144" i="1"/>
  <c r="Z144" i="1"/>
  <c r="AH144" i="1"/>
  <c r="V144" i="1"/>
  <c r="AA125" i="1"/>
  <c r="W125" i="1"/>
  <c r="AE125" i="1"/>
  <c r="Y125" i="1"/>
  <c r="AG125" i="1"/>
  <c r="U125" i="1"/>
  <c r="AC125" i="1"/>
  <c r="BI127" i="1"/>
  <c r="AW127" i="1"/>
  <c r="AQ127" i="1"/>
  <c r="BC127" i="1"/>
  <c r="BF127" i="1"/>
  <c r="AT127" i="1"/>
  <c r="AZ127" i="1"/>
  <c r="BE122" i="1"/>
  <c r="AS122" i="1"/>
  <c r="BB122" i="1"/>
  <c r="AV122" i="1"/>
  <c r="BH122" i="1"/>
  <c r="AY122" i="1"/>
  <c r="AP122" i="1"/>
  <c r="AY94" i="1"/>
  <c r="AS94" i="1"/>
  <c r="BB94" i="1"/>
  <c r="AP94" i="1"/>
  <c r="BE94" i="1"/>
  <c r="BH94" i="1"/>
  <c r="AV94" i="1"/>
  <c r="AA117" i="1"/>
  <c r="W117" i="1"/>
  <c r="AE117" i="1"/>
  <c r="AC117" i="1"/>
  <c r="U117" i="1"/>
  <c r="AG117" i="1"/>
  <c r="Y117" i="1"/>
  <c r="V138" i="1"/>
  <c r="AB138" i="1"/>
  <c r="X138" i="1"/>
  <c r="AD138" i="1"/>
  <c r="AF138" i="1"/>
  <c r="Z138" i="1"/>
  <c r="AH138" i="1"/>
  <c r="BE75" i="1"/>
  <c r="AP75" i="1"/>
  <c r="BB75" i="1"/>
  <c r="AV75" i="1"/>
  <c r="BH75" i="1"/>
  <c r="AS75" i="1"/>
  <c r="AY75" i="1"/>
  <c r="V183" i="1"/>
  <c r="AF183" i="1"/>
  <c r="AH183" i="1"/>
  <c r="AB183" i="1"/>
  <c r="X183" i="1"/>
  <c r="Z183" i="1"/>
  <c r="AD183" i="1"/>
  <c r="AY183" i="1"/>
  <c r="AP183" i="1"/>
  <c r="AV183" i="1"/>
  <c r="BH183" i="1"/>
  <c r="BB183" i="1"/>
  <c r="AS183" i="1"/>
  <c r="BE183" i="1"/>
  <c r="AQ172" i="1"/>
  <c r="BC172" i="1"/>
  <c r="AW172" i="1"/>
  <c r="BI172" i="1"/>
  <c r="AT172" i="1"/>
  <c r="AZ172" i="1"/>
  <c r="BF172" i="1"/>
  <c r="AA139" i="1"/>
  <c r="W139" i="1"/>
  <c r="AE139" i="1"/>
  <c r="Y139" i="1"/>
  <c r="AC139" i="1"/>
  <c r="U139" i="1"/>
  <c r="AG139" i="1"/>
  <c r="AS184" i="1"/>
  <c r="BB184" i="1"/>
  <c r="BE184" i="1"/>
  <c r="AV184" i="1"/>
  <c r="BH184" i="1"/>
  <c r="AP184" i="1"/>
  <c r="AY184" i="1"/>
  <c r="AB182" i="1"/>
  <c r="X182" i="1"/>
  <c r="Z182" i="1"/>
  <c r="AF182" i="1"/>
  <c r="V182" i="1"/>
  <c r="AD182" i="1"/>
  <c r="AH182" i="1"/>
  <c r="BB165" i="1"/>
  <c r="AS165" i="1"/>
  <c r="AY165" i="1"/>
  <c r="AP165" i="1"/>
  <c r="BH165" i="1"/>
  <c r="AV165" i="1"/>
  <c r="BE165" i="1"/>
  <c r="AD141" i="1"/>
  <c r="Z141" i="1"/>
  <c r="AB141" i="1"/>
  <c r="AH141" i="1"/>
  <c r="V141" i="1"/>
  <c r="X141" i="1"/>
  <c r="AF141" i="1"/>
  <c r="BA131" i="1"/>
  <c r="BG131" i="1"/>
  <c r="BD131" i="1"/>
  <c r="AR131" i="1"/>
  <c r="AU131" i="1"/>
  <c r="BJ131" i="1"/>
  <c r="AX131" i="1"/>
  <c r="AG163" i="1"/>
  <c r="AC163" i="1"/>
  <c r="AA163" i="1"/>
  <c r="AE163" i="1"/>
  <c r="U163" i="1"/>
  <c r="Y163" i="1"/>
  <c r="W163" i="1"/>
  <c r="U87" i="1"/>
  <c r="AC87" i="1"/>
  <c r="Y87" i="1"/>
  <c r="AG87" i="1"/>
  <c r="AA87" i="1"/>
  <c r="W87" i="1"/>
  <c r="AE87" i="1"/>
  <c r="AT159" i="1"/>
  <c r="AQ159" i="1"/>
  <c r="BC159" i="1"/>
  <c r="BF159" i="1"/>
  <c r="AW159" i="1"/>
  <c r="BI159" i="1"/>
  <c r="AZ159" i="1"/>
  <c r="BA134" i="1"/>
  <c r="BD134" i="1"/>
  <c r="BJ134" i="1"/>
  <c r="AR134" i="1"/>
  <c r="BG134" i="1"/>
  <c r="AX134" i="1"/>
  <c r="AU134" i="1"/>
  <c r="AW126" i="1"/>
  <c r="BI126" i="1"/>
  <c r="AT126" i="1"/>
  <c r="AZ126" i="1"/>
  <c r="BC126" i="1"/>
  <c r="AQ126" i="1"/>
  <c r="BF126" i="1"/>
  <c r="V119" i="1"/>
  <c r="X119" i="1"/>
  <c r="AH119" i="1"/>
  <c r="Z119" i="1"/>
  <c r="AB119" i="1"/>
  <c r="AD119" i="1"/>
  <c r="AF119" i="1"/>
  <c r="U105" i="1"/>
  <c r="AC105" i="1"/>
  <c r="Y105" i="1"/>
  <c r="AG105" i="1"/>
  <c r="AE105" i="1"/>
  <c r="W105" i="1"/>
  <c r="AA105" i="1"/>
  <c r="AQ98" i="1"/>
  <c r="BC98" i="1"/>
  <c r="BI98" i="1"/>
  <c r="AT98" i="1"/>
  <c r="AW98" i="1"/>
  <c r="AZ98" i="1"/>
  <c r="BF98" i="1"/>
  <c r="AS133" i="1"/>
  <c r="BE133" i="1"/>
  <c r="BB133" i="1"/>
  <c r="AV133" i="1"/>
  <c r="AY133" i="1"/>
  <c r="AP133" i="1"/>
  <c r="BH133" i="1"/>
  <c r="AS121" i="1"/>
  <c r="BE121" i="1"/>
  <c r="AY121" i="1"/>
  <c r="AP121" i="1"/>
  <c r="BB121" i="1"/>
  <c r="AV121" i="1"/>
  <c r="BH121" i="1"/>
  <c r="BI121" i="1"/>
  <c r="AW121" i="1"/>
  <c r="AZ121" i="1"/>
  <c r="AQ121" i="1"/>
  <c r="AT121" i="1"/>
  <c r="BF121" i="1"/>
  <c r="BC121" i="1"/>
  <c r="W118" i="1"/>
  <c r="AE118" i="1"/>
  <c r="AA118" i="1"/>
  <c r="U118" i="1"/>
  <c r="AG118" i="1"/>
  <c r="Y118" i="1"/>
  <c r="AC118" i="1"/>
  <c r="BB157" i="1"/>
  <c r="AS157" i="1"/>
  <c r="AV157" i="1"/>
  <c r="BH157" i="1"/>
  <c r="AY157" i="1"/>
  <c r="AP157" i="1"/>
  <c r="BE157" i="1"/>
  <c r="W124" i="1"/>
  <c r="AE124" i="1"/>
  <c r="AA124" i="1"/>
  <c r="Y124" i="1"/>
  <c r="AG124" i="1"/>
  <c r="U124" i="1"/>
  <c r="AC124" i="1"/>
  <c r="AA76" i="1"/>
  <c r="Y76" i="1"/>
  <c r="AC76" i="1"/>
  <c r="AG76" i="1"/>
  <c r="U76" i="1"/>
  <c r="W76" i="1"/>
  <c r="AE76" i="1"/>
  <c r="BH66" i="1"/>
  <c r="AS66" i="1"/>
  <c r="BB66" i="1"/>
  <c r="AV66" i="1"/>
  <c r="BE66" i="1"/>
  <c r="AY66" i="1"/>
  <c r="AP66" i="1"/>
  <c r="BC177" i="1"/>
  <c r="AQ177" i="1"/>
  <c r="BI177" i="1"/>
  <c r="BF177" i="1"/>
  <c r="AT177" i="1"/>
  <c r="AW177" i="1"/>
  <c r="AZ177" i="1"/>
  <c r="BI137" i="1"/>
  <c r="AW137" i="1"/>
  <c r="AQ137" i="1"/>
  <c r="AT137" i="1"/>
  <c r="AZ137" i="1"/>
  <c r="BC137" i="1"/>
  <c r="BF137" i="1"/>
  <c r="U97" i="1"/>
  <c r="AC97" i="1"/>
  <c r="Y97" i="1"/>
  <c r="AG97" i="1"/>
  <c r="AE97" i="1"/>
  <c r="W97" i="1"/>
  <c r="AA97" i="1"/>
  <c r="BA129" i="1"/>
  <c r="BG129" i="1"/>
  <c r="BD129" i="1"/>
  <c r="AR129" i="1"/>
  <c r="AU129" i="1"/>
  <c r="BJ129" i="1"/>
  <c r="AX129" i="1"/>
  <c r="AQ179" i="1"/>
  <c r="AW179" i="1"/>
  <c r="BF179" i="1"/>
  <c r="BI179" i="1"/>
  <c r="AZ179" i="1"/>
  <c r="BC179" i="1"/>
  <c r="AT179" i="1"/>
  <c r="AS72" i="1"/>
  <c r="BB72" i="1"/>
  <c r="BE72" i="1"/>
  <c r="AV72" i="1"/>
  <c r="AY72" i="1"/>
  <c r="AP72" i="1"/>
  <c r="BH72" i="1"/>
  <c r="BF78" i="1"/>
  <c r="AT78" i="1"/>
  <c r="AQ78" i="1"/>
  <c r="BC78" i="1"/>
  <c r="BI78" i="1"/>
  <c r="AW78" i="1"/>
  <c r="AZ78" i="1"/>
  <c r="AS125" i="1"/>
  <c r="BE125" i="1"/>
  <c r="AY125" i="1"/>
  <c r="BB125" i="1"/>
  <c r="AV125" i="1"/>
  <c r="AP125" i="1"/>
  <c r="BH125" i="1"/>
  <c r="AY176" i="1"/>
  <c r="BB176" i="1"/>
  <c r="BH176" i="1"/>
  <c r="AP176" i="1"/>
  <c r="BE176" i="1"/>
  <c r="AS176" i="1"/>
  <c r="AV176" i="1"/>
  <c r="BA138" i="1"/>
  <c r="BD138" i="1"/>
  <c r="BJ138" i="1"/>
  <c r="AR138" i="1"/>
  <c r="BG138" i="1"/>
  <c r="AU138" i="1"/>
  <c r="AX138" i="1"/>
  <c r="BA142" i="1"/>
  <c r="BD142" i="1"/>
  <c r="BJ142" i="1"/>
  <c r="AR142" i="1"/>
  <c r="BG142" i="1"/>
  <c r="AU142" i="1"/>
  <c r="AX142" i="1"/>
  <c r="X75" i="1"/>
  <c r="AF75" i="1"/>
  <c r="AD75" i="1"/>
  <c r="Z75" i="1"/>
  <c r="V75" i="1"/>
  <c r="AB75" i="1"/>
  <c r="AH75" i="1"/>
  <c r="BG102" i="1"/>
  <c r="AU102" i="1"/>
  <c r="AX102" i="1"/>
  <c r="BD102" i="1"/>
  <c r="BA102" i="1"/>
  <c r="AR102" i="1"/>
  <c r="BJ102" i="1"/>
  <c r="AY172" i="1"/>
  <c r="BH172" i="1"/>
  <c r="BB172" i="1"/>
  <c r="AS172" i="1"/>
  <c r="AV172" i="1"/>
  <c r="BE172" i="1"/>
  <c r="AP172" i="1"/>
  <c r="AU184" i="1"/>
  <c r="AX184" i="1"/>
  <c r="BG184" i="1"/>
  <c r="AR184" i="1"/>
  <c r="BA184" i="1"/>
  <c r="BD184" i="1"/>
  <c r="BJ184" i="1"/>
  <c r="AY182" i="1"/>
  <c r="BB182" i="1"/>
  <c r="AS182" i="1"/>
  <c r="BE182" i="1"/>
  <c r="BH182" i="1"/>
  <c r="AP182" i="1"/>
  <c r="AV182" i="1"/>
  <c r="AC150" i="1"/>
  <c r="W150" i="1"/>
  <c r="AE150" i="1"/>
  <c r="AG150" i="1"/>
  <c r="U150" i="1"/>
  <c r="Y150" i="1"/>
  <c r="AA150" i="1"/>
  <c r="AT169" i="1"/>
  <c r="AQ169" i="1"/>
  <c r="AZ169" i="1"/>
  <c r="BI169" i="1"/>
  <c r="BC169" i="1"/>
  <c r="BF169" i="1"/>
  <c r="AW169" i="1"/>
  <c r="AW132" i="1"/>
  <c r="BI132" i="1"/>
  <c r="AT132" i="1"/>
  <c r="AQ132" i="1"/>
  <c r="BF132" i="1"/>
  <c r="AZ132" i="1"/>
  <c r="BC132" i="1"/>
  <c r="BI123" i="1"/>
  <c r="AW123" i="1"/>
  <c r="AT123" i="1"/>
  <c r="BF123" i="1"/>
  <c r="AZ123" i="1"/>
  <c r="AQ123" i="1"/>
  <c r="BC123" i="1"/>
  <c r="AD87" i="1"/>
  <c r="X87" i="1"/>
  <c r="AH87" i="1"/>
  <c r="V87" i="1"/>
  <c r="Z87" i="1"/>
  <c r="AB87" i="1"/>
  <c r="AF87" i="1"/>
  <c r="AA119" i="1"/>
  <c r="W119" i="1"/>
  <c r="AE119" i="1"/>
  <c r="AG119" i="1"/>
  <c r="Y119" i="1"/>
  <c r="AC119" i="1"/>
  <c r="U119" i="1"/>
  <c r="BC105" i="1"/>
  <c r="AQ105" i="1"/>
  <c r="AW105" i="1"/>
  <c r="AT105" i="1"/>
  <c r="BI105" i="1"/>
  <c r="AZ105" i="1"/>
  <c r="BF105" i="1"/>
  <c r="Z101" i="1"/>
  <c r="AD101" i="1"/>
  <c r="AF101" i="1"/>
  <c r="AH101" i="1"/>
  <c r="V101" i="1"/>
  <c r="X101" i="1"/>
  <c r="AB101" i="1"/>
  <c r="AY98" i="1"/>
  <c r="AS98" i="1"/>
  <c r="BH98" i="1"/>
  <c r="AV98" i="1"/>
  <c r="BB98" i="1"/>
  <c r="AP98" i="1"/>
  <c r="BE98" i="1"/>
  <c r="BG98" i="1"/>
  <c r="AU98" i="1"/>
  <c r="BD98" i="1"/>
  <c r="AX98" i="1"/>
  <c r="BJ98" i="1"/>
  <c r="BA98" i="1"/>
  <c r="AR98" i="1"/>
  <c r="AD133" i="1"/>
  <c r="AH133" i="1"/>
  <c r="V133" i="1"/>
  <c r="Z133" i="1"/>
  <c r="AB133" i="1"/>
  <c r="X133" i="1"/>
  <c r="AF133" i="1"/>
  <c r="AA68" i="1"/>
  <c r="U68" i="1"/>
  <c r="Y68" i="1"/>
  <c r="AC68" i="1"/>
  <c r="AE68" i="1"/>
  <c r="AG68" i="1"/>
  <c r="W68" i="1"/>
  <c r="AB121" i="1"/>
  <c r="AD121" i="1"/>
  <c r="V121" i="1"/>
  <c r="X121" i="1"/>
  <c r="AH121" i="1"/>
  <c r="Z121" i="1"/>
  <c r="AF121" i="1"/>
  <c r="AW116" i="1"/>
  <c r="BI116" i="1"/>
  <c r="AZ116" i="1"/>
  <c r="AQ116" i="1"/>
  <c r="BC116" i="1"/>
  <c r="AT116" i="1"/>
  <c r="BF116" i="1"/>
  <c r="AY177" i="1"/>
  <c r="AS177" i="1"/>
  <c r="BH177" i="1"/>
  <c r="AV177" i="1"/>
  <c r="BB177" i="1"/>
  <c r="AP177" i="1"/>
  <c r="BE177" i="1"/>
  <c r="BA137" i="1"/>
  <c r="BG137" i="1"/>
  <c r="AU137" i="1"/>
  <c r="BJ137" i="1"/>
  <c r="AX137" i="1"/>
  <c r="BD137" i="1"/>
  <c r="AR137" i="1"/>
  <c r="BC97" i="1"/>
  <c r="AQ97" i="1"/>
  <c r="AW97" i="1"/>
  <c r="BF97" i="1"/>
  <c r="AT97" i="1"/>
  <c r="BI97" i="1"/>
  <c r="AZ97" i="1"/>
  <c r="AS129" i="1"/>
  <c r="BE129" i="1"/>
  <c r="BB129" i="1"/>
  <c r="AV129" i="1"/>
  <c r="AP129" i="1"/>
  <c r="BH129" i="1"/>
  <c r="AY129" i="1"/>
  <c r="BJ47" i="1"/>
  <c r="AV42" i="11" s="1"/>
  <c r="AU47" i="1"/>
  <c r="AG42" i="11" s="1"/>
  <c r="BA47" i="1"/>
  <c r="AM42" i="11" s="1"/>
  <c r="AR47" i="1"/>
  <c r="AD42" i="11" s="1"/>
  <c r="BD47" i="1"/>
  <c r="AP42" i="11" s="1"/>
  <c r="AX47" i="1"/>
  <c r="AJ42" i="11" s="1"/>
  <c r="BG47" i="1"/>
  <c r="AS42" i="11" s="1"/>
  <c r="BI45" i="1"/>
  <c r="AU40" i="11" s="1"/>
  <c r="AT45" i="1"/>
  <c r="AF40" i="11" s="1"/>
  <c r="BC45" i="1"/>
  <c r="AO40" i="11" s="1"/>
  <c r="AQ45" i="1"/>
  <c r="AC40" i="11" s="1"/>
  <c r="BF45" i="1"/>
  <c r="AR40" i="11" s="1"/>
  <c r="AW45" i="1"/>
  <c r="AI40" i="11" s="1"/>
  <c r="AZ45" i="1"/>
  <c r="AL40" i="11" s="1"/>
  <c r="AA40" i="11"/>
  <c r="BK38" i="1"/>
  <c r="AZ37" i="1"/>
  <c r="AL32" i="11" s="1"/>
  <c r="BI37" i="1"/>
  <c r="AU32" i="11" s="1"/>
  <c r="AT37" i="1"/>
  <c r="AF32" i="11" s="1"/>
  <c r="AQ37" i="1"/>
  <c r="AC32" i="11" s="1"/>
  <c r="BF37" i="1"/>
  <c r="AR32" i="11" s="1"/>
  <c r="AW37" i="1"/>
  <c r="AI32" i="11" s="1"/>
  <c r="BC37" i="1"/>
  <c r="AO32" i="11" s="1"/>
  <c r="AA32" i="11"/>
  <c r="AB53" i="1"/>
  <c r="Z53" i="1"/>
  <c r="AD53" i="1"/>
  <c r="AH53" i="1"/>
  <c r="V53" i="1"/>
  <c r="X53" i="1"/>
  <c r="AF53" i="1"/>
  <c r="U53" i="1"/>
  <c r="AC53" i="1"/>
  <c r="Y53" i="1"/>
  <c r="AA53" i="1"/>
  <c r="AG53" i="1"/>
  <c r="W53" i="1"/>
  <c r="AE53" i="1"/>
  <c r="AB34" i="11"/>
  <c r="BK39" i="1"/>
  <c r="AB47" i="1"/>
  <c r="Z47" i="1"/>
  <c r="AD47" i="1"/>
  <c r="AF47" i="1"/>
  <c r="AH47" i="1"/>
  <c r="V47" i="1"/>
  <c r="X47" i="1"/>
  <c r="BB47" i="1"/>
  <c r="AN42" i="11" s="1"/>
  <c r="AY47" i="1"/>
  <c r="AK42" i="11" s="1"/>
  <c r="AP47" i="1"/>
  <c r="AB42" i="11" s="1"/>
  <c r="AV47" i="1"/>
  <c r="AH42" i="11" s="1"/>
  <c r="BH47" i="1"/>
  <c r="AT42" i="11" s="1"/>
  <c r="AS47" i="1"/>
  <c r="AE42" i="11" s="1"/>
  <c r="BE47" i="1"/>
  <c r="AQ42" i="11" s="1"/>
  <c r="BD36" i="1"/>
  <c r="AP31" i="11" s="1"/>
  <c r="AR36" i="1"/>
  <c r="AD31" i="11" s="1"/>
  <c r="AX36" i="1"/>
  <c r="AJ31" i="11" s="1"/>
  <c r="BA36" i="1"/>
  <c r="AM31" i="11" s="1"/>
  <c r="BG36" i="1"/>
  <c r="AS31" i="11" s="1"/>
  <c r="AU36" i="1"/>
  <c r="AG31" i="11" s="1"/>
  <c r="BJ36" i="1"/>
  <c r="AV31" i="11" s="1"/>
  <c r="AA37" i="1"/>
  <c r="AC37" i="1"/>
  <c r="AE37" i="1"/>
  <c r="AG37" i="1"/>
  <c r="U37" i="1"/>
  <c r="W37" i="1"/>
  <c r="Y37" i="1"/>
  <c r="Z24" i="1"/>
  <c r="AH24" i="1"/>
  <c r="V24" i="1"/>
  <c r="AF24" i="1"/>
  <c r="X24" i="1"/>
  <c r="AB24" i="1"/>
  <c r="AD24" i="1"/>
  <c r="BK14" i="1"/>
  <c r="AB17" i="1"/>
  <c r="Z17" i="1"/>
  <c r="AD17" i="1"/>
  <c r="V17" i="1"/>
  <c r="X17" i="1"/>
  <c r="AF17" i="1"/>
  <c r="AH17" i="1"/>
  <c r="AV34" i="1"/>
  <c r="AH29" i="11" s="1"/>
  <c r="BE34" i="1"/>
  <c r="AQ29" i="11" s="1"/>
  <c r="AY34" i="1"/>
  <c r="AK29" i="11" s="1"/>
  <c r="AS34" i="1"/>
  <c r="AE29" i="11" s="1"/>
  <c r="AP34" i="1"/>
  <c r="AB29" i="11" s="1"/>
  <c r="BB34" i="1"/>
  <c r="AN29" i="11" s="1"/>
  <c r="BH34" i="1"/>
  <c r="AT29" i="11" s="1"/>
  <c r="BI63" i="1"/>
  <c r="AT63" i="1"/>
  <c r="AZ63" i="1"/>
  <c r="AW63" i="1"/>
  <c r="BC63" i="1"/>
  <c r="AQ63" i="1"/>
  <c r="BF63" i="1"/>
  <c r="BH13" i="1"/>
  <c r="AT8" i="11" s="1"/>
  <c r="AS13" i="1"/>
  <c r="AE8" i="11" s="1"/>
  <c r="BB13" i="1"/>
  <c r="AN8" i="11" s="1"/>
  <c r="BE13" i="1"/>
  <c r="AQ8" i="11" s="1"/>
  <c r="AP13" i="1"/>
  <c r="AB8" i="11" s="1"/>
  <c r="AV13" i="1"/>
  <c r="AH8" i="11" s="1"/>
  <c r="AY13" i="1"/>
  <c r="AK8" i="11" s="1"/>
  <c r="BC31" i="1"/>
  <c r="AO26" i="11" s="1"/>
  <c r="BF31" i="1"/>
  <c r="AR26" i="11" s="1"/>
  <c r="AQ31" i="1"/>
  <c r="AC26" i="11" s="1"/>
  <c r="BI31" i="1"/>
  <c r="AU26" i="11" s="1"/>
  <c r="AT31" i="1"/>
  <c r="AF26" i="11" s="1"/>
  <c r="AW31" i="1"/>
  <c r="AI26" i="11" s="1"/>
  <c r="AZ31" i="1"/>
  <c r="AL26" i="11" s="1"/>
  <c r="AA26" i="11"/>
  <c r="BG30" i="1"/>
  <c r="AS25" i="11" s="1"/>
  <c r="AR30" i="1"/>
  <c r="AD25" i="11" s="1"/>
  <c r="AX30" i="1"/>
  <c r="AJ25" i="11" s="1"/>
  <c r="BA30" i="1"/>
  <c r="AM25" i="11" s="1"/>
  <c r="BJ30" i="1"/>
  <c r="AV25" i="11" s="1"/>
  <c r="AU30" i="1"/>
  <c r="AG25" i="11" s="1"/>
  <c r="BD30" i="1"/>
  <c r="AP25" i="11" s="1"/>
  <c r="AU27" i="1"/>
  <c r="AG22" i="11" s="1"/>
  <c r="BD27" i="1"/>
  <c r="AP22" i="11" s="1"/>
  <c r="AX27" i="1"/>
  <c r="AJ22" i="11" s="1"/>
  <c r="BG27" i="1"/>
  <c r="AS22" i="11" s="1"/>
  <c r="BJ27" i="1"/>
  <c r="AV22" i="11" s="1"/>
  <c r="BA27" i="1"/>
  <c r="AM22" i="11" s="1"/>
  <c r="AR27" i="1"/>
  <c r="AD22" i="11" s="1"/>
  <c r="BA65" i="1"/>
  <c r="BJ65" i="1"/>
  <c r="AR65" i="1"/>
  <c r="BD65" i="1"/>
  <c r="AU65" i="1"/>
  <c r="AX65" i="1"/>
  <c r="BG65" i="1"/>
  <c r="BB53" i="1"/>
  <c r="AN48" i="11" s="1"/>
  <c r="BH53" i="1"/>
  <c r="AT48" i="11" s="1"/>
  <c r="AY53" i="1"/>
  <c r="AK48" i="11" s="1"/>
  <c r="AP53" i="1"/>
  <c r="AB48" i="11" s="1"/>
  <c r="BE53" i="1"/>
  <c r="AQ48" i="11" s="1"/>
  <c r="AS53" i="1"/>
  <c r="AE48" i="11" s="1"/>
  <c r="AV53" i="1"/>
  <c r="AH48" i="11" s="1"/>
  <c r="BK50" i="1"/>
  <c r="BK42" i="1"/>
  <c r="AV36" i="1"/>
  <c r="AH31" i="11" s="1"/>
  <c r="BE36" i="1"/>
  <c r="AQ31" i="11" s="1"/>
  <c r="BB36" i="1"/>
  <c r="AN31" i="11" s="1"/>
  <c r="BH36" i="1"/>
  <c r="AT31" i="11" s="1"/>
  <c r="AP36" i="1"/>
  <c r="AB31" i="11" s="1"/>
  <c r="AS36" i="1"/>
  <c r="AE31" i="11" s="1"/>
  <c r="AY36" i="1"/>
  <c r="AK31" i="11" s="1"/>
  <c r="BH37" i="1"/>
  <c r="AT32" i="11" s="1"/>
  <c r="AS37" i="1"/>
  <c r="AE32" i="11" s="1"/>
  <c r="AV37" i="1"/>
  <c r="AH32" i="11" s="1"/>
  <c r="AY37" i="1"/>
  <c r="AK32" i="11" s="1"/>
  <c r="AP37" i="1"/>
  <c r="AB32" i="11" s="1"/>
  <c r="BE37" i="1"/>
  <c r="AQ32" i="11" s="1"/>
  <c r="BB37" i="1"/>
  <c r="AN32" i="11" s="1"/>
  <c r="AE24" i="1"/>
  <c r="W24" i="1"/>
  <c r="AG24" i="1"/>
  <c r="Y24" i="1"/>
  <c r="AA24" i="1"/>
  <c r="AC24" i="1"/>
  <c r="U24" i="1"/>
  <c r="AA35" i="1"/>
  <c r="AC35" i="1"/>
  <c r="W35" i="1"/>
  <c r="AG35" i="1"/>
  <c r="AE35" i="1"/>
  <c r="U35" i="1"/>
  <c r="Y35" i="1"/>
  <c r="AT17" i="1"/>
  <c r="AF12" i="11" s="1"/>
  <c r="AW17" i="1"/>
  <c r="AI12" i="11" s="1"/>
  <c r="BI17" i="1"/>
  <c r="AU12" i="11" s="1"/>
  <c r="AQ17" i="1"/>
  <c r="AC12" i="11" s="1"/>
  <c r="BC17" i="1"/>
  <c r="AO12" i="11" s="1"/>
  <c r="BF17" i="1"/>
  <c r="AR12" i="11" s="1"/>
  <c r="AZ17" i="1"/>
  <c r="AL12" i="11" s="1"/>
  <c r="AA12" i="11"/>
  <c r="BA61" i="1"/>
  <c r="BJ61" i="1"/>
  <c r="AU61" i="1"/>
  <c r="BG61" i="1"/>
  <c r="AR61" i="1"/>
  <c r="AX61" i="1"/>
  <c r="BD61" i="1"/>
  <c r="AR13" i="1"/>
  <c r="AD8" i="11" s="1"/>
  <c r="BA13" i="1"/>
  <c r="AM8" i="11" s="1"/>
  <c r="BJ13" i="1"/>
  <c r="AV8" i="11" s="1"/>
  <c r="BD13" i="1"/>
  <c r="AP8" i="11" s="1"/>
  <c r="BG13" i="1"/>
  <c r="AS8" i="11" s="1"/>
  <c r="AU13" i="1"/>
  <c r="AG8" i="11" s="1"/>
  <c r="AX13" i="1"/>
  <c r="AJ8" i="11" s="1"/>
  <c r="AB59" i="1"/>
  <c r="X59" i="1"/>
  <c r="AH59" i="1"/>
  <c r="V59" i="1"/>
  <c r="Z59" i="1"/>
  <c r="AD59" i="1"/>
  <c r="AF59" i="1"/>
  <c r="V31" i="1"/>
  <c r="AD31" i="1"/>
  <c r="AF31" i="1"/>
  <c r="Z31" i="1"/>
  <c r="AH31" i="1"/>
  <c r="X31" i="1"/>
  <c r="AB31" i="1"/>
  <c r="V23" i="1"/>
  <c r="AD23" i="1"/>
  <c r="X23" i="1"/>
  <c r="Z23" i="1"/>
  <c r="AB23" i="1"/>
  <c r="AF23" i="1"/>
  <c r="AH23" i="1"/>
  <c r="AY30" i="1"/>
  <c r="AK25" i="11" s="1"/>
  <c r="BH30" i="1"/>
  <c r="AT25" i="11" s="1"/>
  <c r="AP30" i="1"/>
  <c r="AB25" i="11" s="1"/>
  <c r="BB30" i="1"/>
  <c r="AN25" i="11" s="1"/>
  <c r="AS30" i="1"/>
  <c r="AE25" i="11" s="1"/>
  <c r="AV30" i="1"/>
  <c r="AH25" i="11" s="1"/>
  <c r="BE30" i="1"/>
  <c r="AQ25" i="11" s="1"/>
  <c r="AB21" i="1"/>
  <c r="V21" i="1"/>
  <c r="AD21" i="1"/>
  <c r="X21" i="1"/>
  <c r="AF21" i="1"/>
  <c r="Z21" i="1"/>
  <c r="AH21" i="1"/>
  <c r="AZ11" i="1"/>
  <c r="AL6" i="11" s="1"/>
  <c r="BI11" i="1"/>
  <c r="AU6" i="11" s="1"/>
  <c r="AT11" i="1"/>
  <c r="AF6" i="11" s="1"/>
  <c r="BC11" i="1"/>
  <c r="AO6" i="11" s="1"/>
  <c r="AW11" i="1"/>
  <c r="AI6" i="11" s="1"/>
  <c r="AQ11" i="1"/>
  <c r="AC6" i="11" s="1"/>
  <c r="BF11" i="1"/>
  <c r="AR6" i="11" s="1"/>
  <c r="AA6" i="11"/>
  <c r="Z26" i="1"/>
  <c r="AH26" i="1"/>
  <c r="AB26" i="1"/>
  <c r="AD26" i="1"/>
  <c r="X26" i="1"/>
  <c r="V26" i="1"/>
  <c r="AF26" i="1"/>
  <c r="BC27" i="1"/>
  <c r="AO22" i="11" s="1"/>
  <c r="BI27" i="1"/>
  <c r="AU22" i="11" s="1"/>
  <c r="AT27" i="1"/>
  <c r="AF22" i="11" s="1"/>
  <c r="AW27" i="1"/>
  <c r="AI22" i="11" s="1"/>
  <c r="AZ27" i="1"/>
  <c r="AL22" i="11" s="1"/>
  <c r="AQ27" i="1"/>
  <c r="AC22" i="11" s="1"/>
  <c r="BF27" i="1"/>
  <c r="AR22" i="11" s="1"/>
  <c r="AA22" i="11"/>
  <c r="U27" i="1"/>
  <c r="AC27" i="1"/>
  <c r="Y27" i="1"/>
  <c r="AA27" i="1"/>
  <c r="AE27" i="1"/>
  <c r="AG27" i="1"/>
  <c r="W27" i="1"/>
  <c r="AB45" i="1"/>
  <c r="Z45" i="1"/>
  <c r="AD45" i="1"/>
  <c r="AF45" i="1"/>
  <c r="V45" i="1"/>
  <c r="AH45" i="1"/>
  <c r="X45" i="1"/>
  <c r="Z35" i="1"/>
  <c r="AH35" i="1"/>
  <c r="AD35" i="1"/>
  <c r="AF35" i="1"/>
  <c r="V35" i="1"/>
  <c r="X35" i="1"/>
  <c r="AB35" i="1"/>
  <c r="AZ35" i="1"/>
  <c r="AL30" i="11" s="1"/>
  <c r="BI35" i="1"/>
  <c r="AU30" i="11" s="1"/>
  <c r="AT35" i="1"/>
  <c r="AF30" i="11" s="1"/>
  <c r="AW35" i="1"/>
  <c r="AI30" i="11" s="1"/>
  <c r="BC35" i="1"/>
  <c r="AO30" i="11" s="1"/>
  <c r="AQ35" i="1"/>
  <c r="AC30" i="11" s="1"/>
  <c r="BF35" i="1"/>
  <c r="AR30" i="11" s="1"/>
  <c r="AA30" i="11"/>
  <c r="W17" i="1"/>
  <c r="AE17" i="1"/>
  <c r="Y17" i="1"/>
  <c r="AA17" i="1"/>
  <c r="AG17" i="1"/>
  <c r="AC17" i="1"/>
  <c r="U17" i="1"/>
  <c r="Z9" i="1"/>
  <c r="AH9" i="1"/>
  <c r="AB9" i="1"/>
  <c r="V9" i="1"/>
  <c r="AD9" i="1"/>
  <c r="X9" i="1"/>
  <c r="AF9" i="1"/>
  <c r="BD34" i="1"/>
  <c r="AP29" i="11" s="1"/>
  <c r="BA34" i="1"/>
  <c r="AM29" i="11" s="1"/>
  <c r="AR34" i="1"/>
  <c r="AD29" i="11" s="1"/>
  <c r="BG34" i="1"/>
  <c r="AS29" i="11" s="1"/>
  <c r="AU34" i="1"/>
  <c r="AG29" i="11" s="1"/>
  <c r="BJ34" i="1"/>
  <c r="AV29" i="11" s="1"/>
  <c r="AX34" i="1"/>
  <c r="AJ29" i="11" s="1"/>
  <c r="BJ59" i="1"/>
  <c r="AU59" i="1"/>
  <c r="BG59" i="1"/>
  <c r="BD59" i="1"/>
  <c r="AR59" i="1"/>
  <c r="BA59" i="1"/>
  <c r="AX59" i="1"/>
  <c r="AV31" i="1"/>
  <c r="AH26" i="11" s="1"/>
  <c r="BB31" i="1"/>
  <c r="AN26" i="11" s="1"/>
  <c r="AS31" i="1"/>
  <c r="AE26" i="11" s="1"/>
  <c r="BE31" i="1"/>
  <c r="AQ26" i="11" s="1"/>
  <c r="AP31" i="1"/>
  <c r="AB26" i="11" s="1"/>
  <c r="BH31" i="1"/>
  <c r="AT26" i="11" s="1"/>
  <c r="AY31" i="1"/>
  <c r="AK26" i="11" s="1"/>
  <c r="AU31" i="1"/>
  <c r="AG26" i="11" s="1"/>
  <c r="BD31" i="1"/>
  <c r="AP26" i="11" s="1"/>
  <c r="AR31" i="1"/>
  <c r="AD26" i="11" s="1"/>
  <c r="BG31" i="1"/>
  <c r="AS26" i="11" s="1"/>
  <c r="AX31" i="1"/>
  <c r="AJ26" i="11" s="1"/>
  <c r="BJ31" i="1"/>
  <c r="AV26" i="11" s="1"/>
  <c r="BA31" i="1"/>
  <c r="AM26" i="11" s="1"/>
  <c r="AW23" i="1"/>
  <c r="AI18" i="11" s="1"/>
  <c r="BF23" i="1"/>
  <c r="AR18" i="11" s="1"/>
  <c r="AQ23" i="1"/>
  <c r="AC18" i="11" s="1"/>
  <c r="AZ23" i="1"/>
  <c r="AL18" i="11" s="1"/>
  <c r="AT23" i="1"/>
  <c r="AF18" i="11" s="1"/>
  <c r="BC23" i="1"/>
  <c r="AO18" i="11" s="1"/>
  <c r="BI23" i="1"/>
  <c r="AU18" i="11" s="1"/>
  <c r="AA18" i="11"/>
  <c r="X18" i="1"/>
  <c r="AF18" i="1"/>
  <c r="Z18" i="1"/>
  <c r="AB18" i="1"/>
  <c r="AH18" i="1"/>
  <c r="V18" i="1"/>
  <c r="AD18" i="1"/>
  <c r="AX18" i="1"/>
  <c r="AJ13" i="11" s="1"/>
  <c r="BA18" i="1"/>
  <c r="AM13" i="11" s="1"/>
  <c r="BJ18" i="1"/>
  <c r="AV13" i="11" s="1"/>
  <c r="AR18" i="1"/>
  <c r="AD13" i="11" s="1"/>
  <c r="AU18" i="1"/>
  <c r="AG13" i="11" s="1"/>
  <c r="BG18" i="1"/>
  <c r="AS13" i="11" s="1"/>
  <c r="BD18" i="1"/>
  <c r="AP13" i="11" s="1"/>
  <c r="AT21" i="1"/>
  <c r="AF16" i="11" s="1"/>
  <c r="BC21" i="1"/>
  <c r="AO16" i="11" s="1"/>
  <c r="BF21" i="1"/>
  <c r="AR16" i="11" s="1"/>
  <c r="AZ21" i="1"/>
  <c r="AL16" i="11" s="1"/>
  <c r="AW21" i="1"/>
  <c r="AI16" i="11" s="1"/>
  <c r="BI21" i="1"/>
  <c r="AU16" i="11" s="1"/>
  <c r="AQ21" i="1"/>
  <c r="AC16" i="11" s="1"/>
  <c r="AA16" i="11"/>
  <c r="BJ21" i="1"/>
  <c r="AV16" i="11" s="1"/>
  <c r="AU21" i="1"/>
  <c r="AG16" i="11" s="1"/>
  <c r="BD21" i="1"/>
  <c r="AP16" i="11" s="1"/>
  <c r="AX21" i="1"/>
  <c r="AJ16" i="11" s="1"/>
  <c r="AR21" i="1"/>
  <c r="AD16" i="11" s="1"/>
  <c r="BA21" i="1"/>
  <c r="AM16" i="11" s="1"/>
  <c r="BG21" i="1"/>
  <c r="AS16" i="11" s="1"/>
  <c r="AC26" i="1"/>
  <c r="U26" i="1"/>
  <c r="Y26" i="1"/>
  <c r="AA26" i="1"/>
  <c r="W26" i="1"/>
  <c r="AE26" i="1"/>
  <c r="AG26" i="1"/>
  <c r="BJ57" i="1"/>
  <c r="AV52" i="11" s="1"/>
  <c r="AU57" i="1"/>
  <c r="AG52" i="11" s="1"/>
  <c r="BA57" i="1"/>
  <c r="AM52" i="11" s="1"/>
  <c r="AR57" i="1"/>
  <c r="AD52" i="11" s="1"/>
  <c r="BD57" i="1"/>
  <c r="AP52" i="11" s="1"/>
  <c r="BG57" i="1"/>
  <c r="AS52" i="11" s="1"/>
  <c r="AX57" i="1"/>
  <c r="AJ52" i="11" s="1"/>
  <c r="W36" i="1"/>
  <c r="AE36" i="1"/>
  <c r="Y36" i="1"/>
  <c r="AA36" i="1"/>
  <c r="AC36" i="1"/>
  <c r="AG36" i="1"/>
  <c r="U36" i="1"/>
  <c r="AT53" i="1"/>
  <c r="AF48" i="11" s="1"/>
  <c r="BC53" i="1"/>
  <c r="AO48" i="11" s="1"/>
  <c r="AW53" i="1"/>
  <c r="AI48" i="11" s="1"/>
  <c r="BI53" i="1"/>
  <c r="AU48" i="11" s="1"/>
  <c r="AZ53" i="1"/>
  <c r="AL48" i="11" s="1"/>
  <c r="BF53" i="1"/>
  <c r="AR48" i="11" s="1"/>
  <c r="AQ53" i="1"/>
  <c r="AC48" i="11" s="1"/>
  <c r="AA48" i="11"/>
  <c r="AR9" i="1"/>
  <c r="AD4" i="11" s="1"/>
  <c r="BA9" i="1"/>
  <c r="AM4" i="11" s="1"/>
  <c r="BJ9" i="1"/>
  <c r="AV4" i="11" s="1"/>
  <c r="AU9" i="1"/>
  <c r="AG4" i="11" s="1"/>
  <c r="BD9" i="1"/>
  <c r="AP4" i="11" s="1"/>
  <c r="BG9" i="1"/>
  <c r="AS4" i="11" s="1"/>
  <c r="AX9" i="1"/>
  <c r="AJ4" i="11" s="1"/>
  <c r="BI61" i="1"/>
  <c r="AT61" i="1"/>
  <c r="BF61" i="1"/>
  <c r="AW61" i="1"/>
  <c r="AQ61" i="1"/>
  <c r="AZ61" i="1"/>
  <c r="BC61" i="1"/>
  <c r="U31" i="1"/>
  <c r="AC31" i="1"/>
  <c r="W31" i="1"/>
  <c r="AG31" i="1"/>
  <c r="AA31" i="1"/>
  <c r="AE31" i="1"/>
  <c r="Y31" i="1"/>
  <c r="BJ41" i="1"/>
  <c r="AV36" i="11" s="1"/>
  <c r="AX41" i="1"/>
  <c r="AJ36" i="11" s="1"/>
  <c r="BG41" i="1"/>
  <c r="AS36" i="11" s="1"/>
  <c r="BD41" i="1"/>
  <c r="AP36" i="11" s="1"/>
  <c r="AR41" i="1"/>
  <c r="AD36" i="11" s="1"/>
  <c r="AU41" i="1"/>
  <c r="AG36" i="11" s="1"/>
  <c r="BA41" i="1"/>
  <c r="AM36" i="11" s="1"/>
  <c r="AB49" i="1"/>
  <c r="V49" i="1"/>
  <c r="AF49" i="1"/>
  <c r="X49" i="1"/>
  <c r="AH49" i="1"/>
  <c r="Z49" i="1"/>
  <c r="AD49" i="1"/>
  <c r="AQ30" i="1"/>
  <c r="AC25" i="11" s="1"/>
  <c r="AZ30" i="1"/>
  <c r="AL25" i="11" s="1"/>
  <c r="BC30" i="1"/>
  <c r="AO25" i="11" s="1"/>
  <c r="AW30" i="1"/>
  <c r="AI25" i="11" s="1"/>
  <c r="AT30" i="1"/>
  <c r="AF25" i="11" s="1"/>
  <c r="BF30" i="1"/>
  <c r="AR25" i="11" s="1"/>
  <c r="BI30" i="1"/>
  <c r="AU25" i="11" s="1"/>
  <c r="AA25" i="11"/>
  <c r="U21" i="1"/>
  <c r="AC21" i="1"/>
  <c r="Y21" i="1"/>
  <c r="AA21" i="1"/>
  <c r="AE21" i="1"/>
  <c r="AG21" i="1"/>
  <c r="W21" i="1"/>
  <c r="AZ26" i="1"/>
  <c r="AL21" i="11" s="1"/>
  <c r="AW26" i="1"/>
  <c r="AI21" i="11" s="1"/>
  <c r="BF26" i="1"/>
  <c r="AR21" i="11" s="1"/>
  <c r="BC26" i="1"/>
  <c r="AO21" i="11" s="1"/>
  <c r="AQ26" i="1"/>
  <c r="AC21" i="11" s="1"/>
  <c r="BI26" i="1"/>
  <c r="AU21" i="11" s="1"/>
  <c r="AT26" i="1"/>
  <c r="AF21" i="11" s="1"/>
  <c r="AA21" i="11"/>
  <c r="AV27" i="1"/>
  <c r="AH22" i="11" s="1"/>
  <c r="BH27" i="1"/>
  <c r="AT22" i="11" s="1"/>
  <c r="AY27" i="1"/>
  <c r="AK22" i="11" s="1"/>
  <c r="AS27" i="1"/>
  <c r="AE22" i="11" s="1"/>
  <c r="AP27" i="1"/>
  <c r="AB22" i="11" s="1"/>
  <c r="BB27" i="1"/>
  <c r="AN22" i="11" s="1"/>
  <c r="BE27" i="1"/>
  <c r="AQ22" i="11" s="1"/>
  <c r="AB65" i="1"/>
  <c r="V65" i="1"/>
  <c r="AF65" i="1"/>
  <c r="AH65" i="1"/>
  <c r="X65" i="1"/>
  <c r="AD65" i="1"/>
  <c r="Z65" i="1"/>
  <c r="AA65" i="1"/>
  <c r="W65" i="1"/>
  <c r="AG65" i="1"/>
  <c r="AE65" i="1"/>
  <c r="U65" i="1"/>
  <c r="Y65" i="1"/>
  <c r="AC65" i="1"/>
  <c r="U57" i="1"/>
  <c r="AC57" i="1"/>
  <c r="AE57" i="1"/>
  <c r="W57" i="1"/>
  <c r="AG57" i="1"/>
  <c r="Y57" i="1"/>
  <c r="AA57" i="1"/>
  <c r="BJ53" i="1"/>
  <c r="AV48" i="11" s="1"/>
  <c r="AU53" i="1"/>
  <c r="AG48" i="11" s="1"/>
  <c r="BG53" i="1"/>
  <c r="AS48" i="11" s="1"/>
  <c r="AX53" i="1"/>
  <c r="AJ48" i="11" s="1"/>
  <c r="AR53" i="1"/>
  <c r="AD48" i="11" s="1"/>
  <c r="BD53" i="1"/>
  <c r="AP48" i="11" s="1"/>
  <c r="BA53" i="1"/>
  <c r="AM48" i="11" s="1"/>
  <c r="BB17" i="1"/>
  <c r="AN12" i="11" s="1"/>
  <c r="BE17" i="1"/>
  <c r="AQ12" i="11" s="1"/>
  <c r="AV17" i="1"/>
  <c r="AH12" i="11" s="1"/>
  <c r="BH17" i="1"/>
  <c r="AT12" i="11" s="1"/>
  <c r="AY17" i="1"/>
  <c r="AK12" i="11" s="1"/>
  <c r="AS17" i="1"/>
  <c r="AE12" i="11" s="1"/>
  <c r="AP17" i="1"/>
  <c r="AB12" i="11" s="1"/>
  <c r="AW36" i="1"/>
  <c r="AI31" i="11" s="1"/>
  <c r="BC36" i="1"/>
  <c r="AO31" i="11" s="1"/>
  <c r="AQ36" i="1"/>
  <c r="AC31" i="11" s="1"/>
  <c r="BF36" i="1"/>
  <c r="AR31" i="11" s="1"/>
  <c r="AT36" i="1"/>
  <c r="AF31" i="11" s="1"/>
  <c r="BI36" i="1"/>
  <c r="AU31" i="11" s="1"/>
  <c r="AZ36" i="1"/>
  <c r="AL31" i="11" s="1"/>
  <c r="AA31" i="11"/>
  <c r="BD23" i="1"/>
  <c r="AP18" i="11" s="1"/>
  <c r="AX23" i="1"/>
  <c r="AJ18" i="11" s="1"/>
  <c r="BG23" i="1"/>
  <c r="AS18" i="11" s="1"/>
  <c r="AU23" i="1"/>
  <c r="AG18" i="11" s="1"/>
  <c r="BA23" i="1"/>
  <c r="AM18" i="11" s="1"/>
  <c r="AR23" i="1"/>
  <c r="AD18" i="11" s="1"/>
  <c r="BJ23" i="1"/>
  <c r="AV18" i="11" s="1"/>
  <c r="AP18" i="1"/>
  <c r="AB13" i="11" s="1"/>
  <c r="AS18" i="1"/>
  <c r="AE13" i="11" s="1"/>
  <c r="BH18" i="1"/>
  <c r="AT13" i="11" s="1"/>
  <c r="AY18" i="1"/>
  <c r="AK13" i="11" s="1"/>
  <c r="BE18" i="1"/>
  <c r="AQ13" i="11" s="1"/>
  <c r="BB18" i="1"/>
  <c r="AN13" i="11" s="1"/>
  <c r="AV18" i="1"/>
  <c r="AH13" i="11" s="1"/>
  <c r="AB51" i="1"/>
  <c r="X51" i="1"/>
  <c r="AH51" i="1"/>
  <c r="Z51" i="1"/>
  <c r="AD51" i="1"/>
  <c r="AF51" i="1"/>
  <c r="V51" i="1"/>
  <c r="AT49" i="1"/>
  <c r="AF44" i="11" s="1"/>
  <c r="BC49" i="1"/>
  <c r="AO44" i="11" s="1"/>
  <c r="AQ49" i="1"/>
  <c r="AC44" i="11" s="1"/>
  <c r="BF49" i="1"/>
  <c r="AR44" i="11" s="1"/>
  <c r="AZ49" i="1"/>
  <c r="AL44" i="11" s="1"/>
  <c r="BI49" i="1"/>
  <c r="AU44" i="11" s="1"/>
  <c r="AW49" i="1"/>
  <c r="AI44" i="11" s="1"/>
  <c r="AA44" i="11"/>
  <c r="BK15" i="1"/>
  <c r="Y30" i="1"/>
  <c r="AG30" i="1"/>
  <c r="U30" i="1"/>
  <c r="AE30" i="1"/>
  <c r="W30" i="1"/>
  <c r="AC30" i="1"/>
  <c r="AA30" i="1"/>
  <c r="BB21" i="1"/>
  <c r="AN16" i="11" s="1"/>
  <c r="AV21" i="1"/>
  <c r="AH16" i="11" s="1"/>
  <c r="AP21" i="1"/>
  <c r="AB16" i="11" s="1"/>
  <c r="BH21" i="1"/>
  <c r="AT16" i="11" s="1"/>
  <c r="AY21" i="1"/>
  <c r="AK16" i="11" s="1"/>
  <c r="BE21" i="1"/>
  <c r="AQ16" i="11" s="1"/>
  <c r="AS21" i="1"/>
  <c r="AE16" i="11" s="1"/>
  <c r="Z11" i="1"/>
  <c r="AH11" i="1"/>
  <c r="AB11" i="1"/>
  <c r="V11" i="1"/>
  <c r="AD11" i="1"/>
  <c r="X11" i="1"/>
  <c r="AF11" i="1"/>
  <c r="AS65" i="1"/>
  <c r="BB65" i="1"/>
  <c r="BE65" i="1"/>
  <c r="AY65" i="1"/>
  <c r="AV65" i="1"/>
  <c r="BH65" i="1"/>
  <c r="AP65" i="1"/>
  <c r="BB57" i="1"/>
  <c r="AN52" i="11" s="1"/>
  <c r="AS57" i="1"/>
  <c r="AE52" i="11" s="1"/>
  <c r="BE57" i="1"/>
  <c r="AQ52" i="11" s="1"/>
  <c r="AP57" i="1"/>
  <c r="AB52" i="11" s="1"/>
  <c r="BH57" i="1"/>
  <c r="AT52" i="11" s="1"/>
  <c r="AV57" i="1"/>
  <c r="AH52" i="11" s="1"/>
  <c r="AY57" i="1"/>
  <c r="AK52" i="11" s="1"/>
  <c r="AS45" i="1"/>
  <c r="AE40" i="11" s="1"/>
  <c r="BB45" i="1"/>
  <c r="AN40" i="11" s="1"/>
  <c r="AP45" i="1"/>
  <c r="AB40" i="11" s="1"/>
  <c r="BE45" i="1"/>
  <c r="AQ40" i="11" s="1"/>
  <c r="AV45" i="1"/>
  <c r="AH40" i="11" s="1"/>
  <c r="BH45" i="1"/>
  <c r="AT40" i="11" s="1"/>
  <c r="AY45" i="1"/>
  <c r="AK40" i="11" s="1"/>
  <c r="AA47" i="1"/>
  <c r="U47" i="1"/>
  <c r="AC47" i="1"/>
  <c r="AE47" i="1"/>
  <c r="W47" i="1"/>
  <c r="Y47" i="1"/>
  <c r="AG47" i="1"/>
  <c r="V36" i="1"/>
  <c r="AD36" i="1"/>
  <c r="AF36" i="1"/>
  <c r="Z36" i="1"/>
  <c r="X36" i="1"/>
  <c r="AB36" i="1"/>
  <c r="AH36" i="1"/>
  <c r="AB61" i="1"/>
  <c r="X61" i="1"/>
  <c r="AH61" i="1"/>
  <c r="V61" i="1"/>
  <c r="Z61" i="1"/>
  <c r="AD61" i="1"/>
  <c r="AF61" i="1"/>
  <c r="BA63" i="1"/>
  <c r="BJ63" i="1"/>
  <c r="AX63" i="1"/>
  <c r="AR63" i="1"/>
  <c r="BG63" i="1"/>
  <c r="AU63" i="1"/>
  <c r="BD63" i="1"/>
  <c r="Z13" i="1"/>
  <c r="AH13" i="1"/>
  <c r="AB13" i="1"/>
  <c r="V13" i="1"/>
  <c r="X13" i="1"/>
  <c r="AD13" i="1"/>
  <c r="AF13" i="1"/>
  <c r="U59" i="1"/>
  <c r="AC59" i="1"/>
  <c r="W59" i="1"/>
  <c r="AG59" i="1"/>
  <c r="Y59" i="1"/>
  <c r="AA59" i="1"/>
  <c r="AE59" i="1"/>
  <c r="AT47" i="1"/>
  <c r="AF42" i="11" s="1"/>
  <c r="BC47" i="1"/>
  <c r="AO42" i="11" s="1"/>
  <c r="BI47" i="1"/>
  <c r="AU42" i="11" s="1"/>
  <c r="AZ47" i="1"/>
  <c r="AL42" i="11" s="1"/>
  <c r="AQ47" i="1"/>
  <c r="AC42" i="11" s="1"/>
  <c r="BF47" i="1"/>
  <c r="AR42" i="11" s="1"/>
  <c r="AW47" i="1"/>
  <c r="AI42" i="11" s="1"/>
  <c r="AA42" i="11"/>
  <c r="BA45" i="1"/>
  <c r="AM40" i="11" s="1"/>
  <c r="BJ45" i="1"/>
  <c r="AV40" i="11" s="1"/>
  <c r="AU45" i="1"/>
  <c r="AG40" i="11" s="1"/>
  <c r="BD45" i="1"/>
  <c r="AP40" i="11" s="1"/>
  <c r="AR45" i="1"/>
  <c r="AD40" i="11" s="1"/>
  <c r="BG45" i="1"/>
  <c r="AS40" i="11" s="1"/>
  <c r="AX45" i="1"/>
  <c r="AJ40" i="11" s="1"/>
  <c r="AR35" i="1"/>
  <c r="AD30" i="11" s="1"/>
  <c r="BA35" i="1"/>
  <c r="AM30" i="11" s="1"/>
  <c r="AU35" i="1"/>
  <c r="AG30" i="11" s="1"/>
  <c r="BG35" i="1"/>
  <c r="AS30" i="11" s="1"/>
  <c r="BJ35" i="1"/>
  <c r="AV30" i="11" s="1"/>
  <c r="AX35" i="1"/>
  <c r="AJ30" i="11" s="1"/>
  <c r="BD35" i="1"/>
  <c r="AP30" i="11" s="1"/>
  <c r="AA9" i="1"/>
  <c r="U9" i="1"/>
  <c r="AC9" i="1"/>
  <c r="W9" i="1"/>
  <c r="AE9" i="1"/>
  <c r="Y9" i="1"/>
  <c r="AG9" i="1"/>
  <c r="AW34" i="1"/>
  <c r="AI29" i="11" s="1"/>
  <c r="BI34" i="1"/>
  <c r="AU29" i="11" s="1"/>
  <c r="BC34" i="1"/>
  <c r="AO29" i="11" s="1"/>
  <c r="AQ34" i="1"/>
  <c r="AC29" i="11" s="1"/>
  <c r="BF34" i="1"/>
  <c r="AR29" i="11" s="1"/>
  <c r="AT34" i="1"/>
  <c r="AF29" i="11" s="1"/>
  <c r="AZ34" i="1"/>
  <c r="AL29" i="11" s="1"/>
  <c r="AA29" i="11"/>
  <c r="AA61" i="1"/>
  <c r="W61" i="1"/>
  <c r="AG61" i="1"/>
  <c r="Y61" i="1"/>
  <c r="AC61" i="1"/>
  <c r="AE61" i="1"/>
  <c r="U61" i="1"/>
  <c r="AS63" i="1"/>
  <c r="BB63" i="1"/>
  <c r="BH63" i="1"/>
  <c r="AY63" i="1"/>
  <c r="AP63" i="1"/>
  <c r="AV63" i="1"/>
  <c r="BE63" i="1"/>
  <c r="AA13" i="1"/>
  <c r="W13" i="1"/>
  <c r="AE13" i="1"/>
  <c r="Y13" i="1"/>
  <c r="AC13" i="1"/>
  <c r="U13" i="1"/>
  <c r="AG13" i="1"/>
  <c r="BB59" i="1"/>
  <c r="AS59" i="1"/>
  <c r="BE59" i="1"/>
  <c r="AV59" i="1"/>
  <c r="AP59" i="1"/>
  <c r="BH59" i="1"/>
  <c r="AY59" i="1"/>
  <c r="AA45" i="1"/>
  <c r="U45" i="1"/>
  <c r="AC45" i="1"/>
  <c r="AE45" i="1"/>
  <c r="AG45" i="1"/>
  <c r="W45" i="1"/>
  <c r="Y45" i="1"/>
  <c r="Z37" i="1"/>
  <c r="AH37" i="1"/>
  <c r="V37" i="1"/>
  <c r="AF37" i="1"/>
  <c r="AB37" i="1"/>
  <c r="AD37" i="1"/>
  <c r="X37" i="1"/>
  <c r="AR24" i="1"/>
  <c r="AD19" i="11" s="1"/>
  <c r="BA24" i="1"/>
  <c r="AM19" i="11" s="1"/>
  <c r="BJ24" i="1"/>
  <c r="AV19" i="11" s="1"/>
  <c r="BD24" i="1"/>
  <c r="AP19" i="11" s="1"/>
  <c r="AU24" i="1"/>
  <c r="AG19" i="11" s="1"/>
  <c r="AX24" i="1"/>
  <c r="AJ19" i="11" s="1"/>
  <c r="BG24" i="1"/>
  <c r="AS19" i="11" s="1"/>
  <c r="AZ24" i="1"/>
  <c r="AL19" i="11" s="1"/>
  <c r="BI24" i="1"/>
  <c r="AU19" i="11" s="1"/>
  <c r="AQ24" i="1"/>
  <c r="AC19" i="11" s="1"/>
  <c r="AT24" i="1"/>
  <c r="AF19" i="11" s="1"/>
  <c r="BF24" i="1"/>
  <c r="AR19" i="11" s="1"/>
  <c r="AW24" i="1"/>
  <c r="AI19" i="11" s="1"/>
  <c r="BC24" i="1"/>
  <c r="AO19" i="11" s="1"/>
  <c r="AA19" i="11"/>
  <c r="BH35" i="1"/>
  <c r="AT30" i="11" s="1"/>
  <c r="AS35" i="1"/>
  <c r="AE30" i="11" s="1"/>
  <c r="AY35" i="1"/>
  <c r="AK30" i="11" s="1"/>
  <c r="BE35" i="1"/>
  <c r="AQ30" i="11" s="1"/>
  <c r="AV35" i="1"/>
  <c r="AH30" i="11" s="1"/>
  <c r="BB35" i="1"/>
  <c r="AN30" i="11" s="1"/>
  <c r="AP35" i="1"/>
  <c r="AB30" i="11" s="1"/>
  <c r="AS61" i="1"/>
  <c r="BB61" i="1"/>
  <c r="BE61" i="1"/>
  <c r="AV61" i="1"/>
  <c r="AP61" i="1"/>
  <c r="BH61" i="1"/>
  <c r="AY61" i="1"/>
  <c r="AB63" i="1"/>
  <c r="Z63" i="1"/>
  <c r="AD63" i="1"/>
  <c r="X63" i="1"/>
  <c r="AF63" i="1"/>
  <c r="AH63" i="1"/>
  <c r="V63" i="1"/>
  <c r="AC23" i="1"/>
  <c r="AE23" i="1"/>
  <c r="Y23" i="1"/>
  <c r="AA23" i="1"/>
  <c r="AG23" i="1"/>
  <c r="U23" i="1"/>
  <c r="W23" i="1"/>
  <c r="AB41" i="1"/>
  <c r="X41" i="1"/>
  <c r="AF41" i="1"/>
  <c r="Z41" i="1"/>
  <c r="AH41" i="1"/>
  <c r="V41" i="1"/>
  <c r="AD41" i="1"/>
  <c r="AA18" i="1"/>
  <c r="AC18" i="1"/>
  <c r="U18" i="1"/>
  <c r="AE18" i="1"/>
  <c r="W18" i="1"/>
  <c r="AG18" i="1"/>
  <c r="Y18" i="1"/>
  <c r="BJ51" i="1"/>
  <c r="AV46" i="11" s="1"/>
  <c r="AU51" i="1"/>
  <c r="AG46" i="11" s="1"/>
  <c r="BG51" i="1"/>
  <c r="AS46" i="11" s="1"/>
  <c r="AX51" i="1"/>
  <c r="AJ46" i="11" s="1"/>
  <c r="BA51" i="1"/>
  <c r="AM46" i="11" s="1"/>
  <c r="BD51" i="1"/>
  <c r="AP46" i="11" s="1"/>
  <c r="AR51" i="1"/>
  <c r="AD46" i="11" s="1"/>
  <c r="BJ49" i="1"/>
  <c r="AV44" i="11" s="1"/>
  <c r="AU49" i="1"/>
  <c r="AG44" i="11" s="1"/>
  <c r="BA49" i="1"/>
  <c r="AM44" i="11" s="1"/>
  <c r="AR49" i="1"/>
  <c r="AD44" i="11" s="1"/>
  <c r="BD49" i="1"/>
  <c r="AP44" i="11" s="1"/>
  <c r="AX49" i="1"/>
  <c r="AJ44" i="11" s="1"/>
  <c r="BG49" i="1"/>
  <c r="AS44" i="11" s="1"/>
  <c r="BK40" i="1"/>
  <c r="BK48" i="1"/>
  <c r="BK54" i="1"/>
  <c r="BK46" i="1"/>
  <c r="AR37" i="1"/>
  <c r="AD32" i="11" s="1"/>
  <c r="BA37" i="1"/>
  <c r="AM32" i="11" s="1"/>
  <c r="BD37" i="1"/>
  <c r="AP32" i="11" s="1"/>
  <c r="AX37" i="1"/>
  <c r="AJ32" i="11" s="1"/>
  <c r="BJ37" i="1"/>
  <c r="AV32" i="11" s="1"/>
  <c r="AU37" i="1"/>
  <c r="AG32" i="11" s="1"/>
  <c r="BG37" i="1"/>
  <c r="AS32" i="11" s="1"/>
  <c r="BH24" i="1"/>
  <c r="AT19" i="11" s="1"/>
  <c r="AP24" i="1"/>
  <c r="AB19" i="11" s="1"/>
  <c r="AY24" i="1"/>
  <c r="AK19" i="11" s="1"/>
  <c r="AS24" i="1"/>
  <c r="AE19" i="11" s="1"/>
  <c r="BB24" i="1"/>
  <c r="AN19" i="11" s="1"/>
  <c r="BE24" i="1"/>
  <c r="AQ19" i="11" s="1"/>
  <c r="AV24" i="1"/>
  <c r="AH19" i="11" s="1"/>
  <c r="BJ17" i="1"/>
  <c r="AV12" i="11" s="1"/>
  <c r="BG17" i="1"/>
  <c r="AS12" i="11" s="1"/>
  <c r="AX17" i="1"/>
  <c r="AJ12" i="11" s="1"/>
  <c r="BA17" i="1"/>
  <c r="AM12" i="11" s="1"/>
  <c r="BD17" i="1"/>
  <c r="AP12" i="11" s="1"/>
  <c r="AR17" i="1"/>
  <c r="AD12" i="11" s="1"/>
  <c r="AU17" i="1"/>
  <c r="AG12" i="11" s="1"/>
  <c r="W34" i="1"/>
  <c r="AE34" i="1"/>
  <c r="AA34" i="1"/>
  <c r="U34" i="1"/>
  <c r="AG34" i="1"/>
  <c r="Y34" i="1"/>
  <c r="AC34" i="1"/>
  <c r="AA63" i="1"/>
  <c r="AC63" i="1"/>
  <c r="Y63" i="1"/>
  <c r="AE63" i="1"/>
  <c r="AG63" i="1"/>
  <c r="U63" i="1"/>
  <c r="W63" i="1"/>
  <c r="AC51" i="11"/>
  <c r="BK56" i="1"/>
  <c r="AZ13" i="1"/>
  <c r="AL8" i="11" s="1"/>
  <c r="BI13" i="1"/>
  <c r="AU8" i="11" s="1"/>
  <c r="AT13" i="1"/>
  <c r="AF8" i="11" s="1"/>
  <c r="AW13" i="1"/>
  <c r="AI8" i="11" s="1"/>
  <c r="BF13" i="1"/>
  <c r="AR8" i="11" s="1"/>
  <c r="AQ13" i="1"/>
  <c r="AC8" i="11" s="1"/>
  <c r="BC13" i="1"/>
  <c r="AO8" i="11" s="1"/>
  <c r="AA8" i="11"/>
  <c r="AT59" i="1"/>
  <c r="BC59" i="1"/>
  <c r="BF59" i="1"/>
  <c r="AW59" i="1"/>
  <c r="AQ59" i="1"/>
  <c r="BI59" i="1"/>
  <c r="AZ59" i="1"/>
  <c r="Y41" i="1"/>
  <c r="AA41" i="1"/>
  <c r="AC41" i="1"/>
  <c r="AG41" i="1"/>
  <c r="U41" i="1"/>
  <c r="W41" i="1"/>
  <c r="AE41" i="1"/>
  <c r="BF18" i="1"/>
  <c r="AR13" i="11" s="1"/>
  <c r="BI18" i="1"/>
  <c r="AU13" i="11" s="1"/>
  <c r="AW18" i="1"/>
  <c r="AI13" i="11" s="1"/>
  <c r="AZ18" i="1"/>
  <c r="AL13" i="11" s="1"/>
  <c r="BC18" i="1"/>
  <c r="AO13" i="11" s="1"/>
  <c r="AQ18" i="1"/>
  <c r="AC13" i="11" s="1"/>
  <c r="AT18" i="1"/>
  <c r="AF13" i="11" s="1"/>
  <c r="AA13" i="11"/>
  <c r="AT51" i="1"/>
  <c r="AF46" i="11" s="1"/>
  <c r="BC51" i="1"/>
  <c r="AO46" i="11" s="1"/>
  <c r="BF51" i="1"/>
  <c r="AR46" i="11" s="1"/>
  <c r="AW51" i="1"/>
  <c r="AI46" i="11" s="1"/>
  <c r="AZ51" i="1"/>
  <c r="AL46" i="11" s="1"/>
  <c r="BI51" i="1"/>
  <c r="AU46" i="11" s="1"/>
  <c r="AQ51" i="1"/>
  <c r="AC46" i="11" s="1"/>
  <c r="AA46" i="11"/>
  <c r="U51" i="1"/>
  <c r="AC51" i="1"/>
  <c r="W51" i="1"/>
  <c r="AG51" i="1"/>
  <c r="Y51" i="1"/>
  <c r="AA51" i="1"/>
  <c r="AE51" i="1"/>
  <c r="U49" i="1"/>
  <c r="AC49" i="1"/>
  <c r="AE49" i="1"/>
  <c r="W49" i="1"/>
  <c r="AG49" i="1"/>
  <c r="Y49" i="1"/>
  <c r="AA49" i="1"/>
  <c r="AA11" i="1"/>
  <c r="U11" i="1"/>
  <c r="AC11" i="1"/>
  <c r="W11" i="1"/>
  <c r="AE11" i="1"/>
  <c r="AG11" i="1"/>
  <c r="Y11" i="1"/>
  <c r="BH26" i="1"/>
  <c r="AT21" i="11" s="1"/>
  <c r="AV26" i="1"/>
  <c r="AH21" i="11" s="1"/>
  <c r="BE26" i="1"/>
  <c r="AQ21" i="11" s="1"/>
  <c r="AP26" i="1"/>
  <c r="AB21" i="11" s="1"/>
  <c r="AS26" i="1"/>
  <c r="AE21" i="11" s="1"/>
  <c r="AY26" i="1"/>
  <c r="AK21" i="11" s="1"/>
  <c r="BB26" i="1"/>
  <c r="AN21" i="11" s="1"/>
  <c r="BI65" i="1"/>
  <c r="AT65" i="1"/>
  <c r="AW65" i="1"/>
  <c r="AZ65" i="1"/>
  <c r="BC65" i="1"/>
  <c r="AQ65" i="1"/>
  <c r="BF65" i="1"/>
  <c r="AB57" i="1"/>
  <c r="V57" i="1"/>
  <c r="AF57" i="1"/>
  <c r="X57" i="1"/>
  <c r="Z57" i="1"/>
  <c r="AD57" i="1"/>
  <c r="AH57" i="1"/>
  <c r="V34" i="1"/>
  <c r="AD34" i="1"/>
  <c r="X34" i="1"/>
  <c r="Z34" i="1"/>
  <c r="AB34" i="1"/>
  <c r="AF34" i="1"/>
  <c r="AH34" i="1"/>
  <c r="BK22" i="1"/>
  <c r="AV23" i="1"/>
  <c r="AH18" i="11" s="1"/>
  <c r="AP23" i="1"/>
  <c r="AB18" i="11" s="1"/>
  <c r="AY23" i="1"/>
  <c r="AK18" i="11" s="1"/>
  <c r="BH23" i="1"/>
  <c r="AT18" i="11" s="1"/>
  <c r="BB23" i="1"/>
  <c r="AN18" i="11" s="1"/>
  <c r="AS23" i="1"/>
  <c r="AE18" i="11" s="1"/>
  <c r="BE23" i="1"/>
  <c r="AQ18" i="11" s="1"/>
  <c r="AT41" i="1"/>
  <c r="AF36" i="11" s="1"/>
  <c r="BF41" i="1"/>
  <c r="AR36" i="11" s="1"/>
  <c r="AW41" i="1"/>
  <c r="AI36" i="11" s="1"/>
  <c r="BI41" i="1"/>
  <c r="AU36" i="11" s="1"/>
  <c r="AZ41" i="1"/>
  <c r="AL36" i="11" s="1"/>
  <c r="AQ41" i="1"/>
  <c r="AC36" i="11" s="1"/>
  <c r="BC41" i="1"/>
  <c r="AO36" i="11" s="1"/>
  <c r="AA36" i="11"/>
  <c r="BB41" i="1"/>
  <c r="AN36" i="11" s="1"/>
  <c r="AP41" i="1"/>
  <c r="AB36" i="11" s="1"/>
  <c r="AV41" i="1"/>
  <c r="AH36" i="11" s="1"/>
  <c r="BH41" i="1"/>
  <c r="AT36" i="11" s="1"/>
  <c r="AY41" i="1"/>
  <c r="AK36" i="11" s="1"/>
  <c r="BE41" i="1"/>
  <c r="AQ36" i="11" s="1"/>
  <c r="AS41" i="1"/>
  <c r="AE36" i="11" s="1"/>
  <c r="BK33" i="1"/>
  <c r="BB51" i="1"/>
  <c r="AN46" i="11" s="1"/>
  <c r="AS51" i="1"/>
  <c r="AE46" i="11" s="1"/>
  <c r="BE51" i="1"/>
  <c r="AQ46" i="11" s="1"/>
  <c r="AV51" i="1"/>
  <c r="AH46" i="11" s="1"/>
  <c r="BH51" i="1"/>
  <c r="AT46" i="11" s="1"/>
  <c r="AY51" i="1"/>
  <c r="AK46" i="11" s="1"/>
  <c r="AP51" i="1"/>
  <c r="AB46" i="11" s="1"/>
  <c r="BB49" i="1"/>
  <c r="AN44" i="11" s="1"/>
  <c r="AS49" i="1"/>
  <c r="AE44" i="11" s="1"/>
  <c r="BE49" i="1"/>
  <c r="AQ44" i="11" s="1"/>
  <c r="AV49" i="1"/>
  <c r="AH44" i="11" s="1"/>
  <c r="BH49" i="1"/>
  <c r="AT44" i="11" s="1"/>
  <c r="AP49" i="1"/>
  <c r="AB44" i="11" s="1"/>
  <c r="AY49" i="1"/>
  <c r="AK44" i="11" s="1"/>
  <c r="Z30" i="1"/>
  <c r="AH30" i="1"/>
  <c r="AD30" i="1"/>
  <c r="V30" i="1"/>
  <c r="AB30" i="1"/>
  <c r="AF30" i="1"/>
  <c r="X30" i="1"/>
  <c r="BH11" i="1"/>
  <c r="AT6" i="11" s="1"/>
  <c r="AS11" i="1"/>
  <c r="AE6" i="11" s="1"/>
  <c r="BB11" i="1"/>
  <c r="AN6" i="11" s="1"/>
  <c r="AV11" i="1"/>
  <c r="AH6" i="11" s="1"/>
  <c r="BE11" i="1"/>
  <c r="AQ6" i="11" s="1"/>
  <c r="AP11" i="1"/>
  <c r="AB6" i="11" s="1"/>
  <c r="AY11" i="1"/>
  <c r="AK6" i="11" s="1"/>
  <c r="AR26" i="1"/>
  <c r="AD21" i="11" s="1"/>
  <c r="AX26" i="1"/>
  <c r="AJ21" i="11" s="1"/>
  <c r="BG26" i="1"/>
  <c r="AS21" i="11" s="1"/>
  <c r="BD26" i="1"/>
  <c r="AP21" i="11" s="1"/>
  <c r="AU26" i="1"/>
  <c r="AG21" i="11" s="1"/>
  <c r="BA26" i="1"/>
  <c r="AM21" i="11" s="1"/>
  <c r="BJ26" i="1"/>
  <c r="AV21" i="11" s="1"/>
  <c r="V27" i="1"/>
  <c r="AD27" i="1"/>
  <c r="Z27" i="1"/>
  <c r="AB27" i="1"/>
  <c r="AF27" i="1"/>
  <c r="AH27" i="1"/>
  <c r="X27" i="1"/>
  <c r="AT57" i="1"/>
  <c r="AF52" i="11" s="1"/>
  <c r="BC57" i="1"/>
  <c r="AO52" i="11" s="1"/>
  <c r="AQ57" i="1"/>
  <c r="AC52" i="11" s="1"/>
  <c r="BI57" i="1"/>
  <c r="AU52" i="11" s="1"/>
  <c r="AW57" i="1"/>
  <c r="AI52" i="11" s="1"/>
  <c r="BF57" i="1"/>
  <c r="AR52" i="11" s="1"/>
  <c r="AZ57" i="1"/>
  <c r="AL52" i="11" s="1"/>
  <c r="AA52" i="11"/>
  <c r="BK55" i="1"/>
  <c r="D3" i="56"/>
  <c r="D4" i="56"/>
  <c r="D5" i="56"/>
  <c r="D6" i="56"/>
  <c r="D7" i="56"/>
  <c r="D8" i="56"/>
  <c r="D9" i="56"/>
  <c r="D10" i="56"/>
  <c r="D11" i="56"/>
  <c r="D12" i="56"/>
  <c r="D13" i="56"/>
  <c r="D14" i="56"/>
  <c r="D15" i="56"/>
  <c r="D16" i="56"/>
  <c r="D17" i="56"/>
  <c r="D18" i="56"/>
  <c r="D19" i="56"/>
  <c r="D20" i="56"/>
  <c r="D21" i="56"/>
  <c r="D22" i="56"/>
  <c r="D23" i="56"/>
  <c r="D24" i="56"/>
  <c r="D25" i="56"/>
  <c r="D26" i="56"/>
  <c r="D27" i="56"/>
  <c r="D28" i="56"/>
  <c r="D29" i="56"/>
  <c r="D30" i="56"/>
  <c r="D31" i="56"/>
  <c r="D32" i="56"/>
  <c r="D33" i="56"/>
  <c r="D34" i="56"/>
  <c r="D35" i="56"/>
  <c r="D36" i="56"/>
  <c r="D37" i="56"/>
  <c r="D38" i="56"/>
  <c r="D39" i="56"/>
  <c r="D40" i="56"/>
  <c r="D41" i="56"/>
  <c r="D42" i="56"/>
  <c r="D43" i="56"/>
  <c r="D44" i="56"/>
  <c r="D45" i="56"/>
  <c r="D46" i="56"/>
  <c r="D47" i="56"/>
  <c r="D48" i="56"/>
  <c r="D49" i="56"/>
  <c r="D50" i="56"/>
  <c r="D51" i="56"/>
  <c r="D52" i="56"/>
  <c r="D53" i="56"/>
  <c r="D54" i="56"/>
  <c r="D55" i="56"/>
  <c r="D2" i="56"/>
  <c r="I13" i="27"/>
  <c r="I12" i="27"/>
  <c r="I11" i="27"/>
  <c r="I10" i="27"/>
  <c r="I9" i="27"/>
  <c r="I8" i="27"/>
  <c r="I7" i="27"/>
  <c r="I6" i="27"/>
  <c r="I5" i="27"/>
  <c r="I4" i="27"/>
  <c r="L12" i="29"/>
  <c r="L11" i="29"/>
  <c r="L10" i="29"/>
  <c r="L9" i="29"/>
  <c r="L8" i="29"/>
  <c r="L7" i="29"/>
  <c r="L6" i="29"/>
  <c r="L5" i="29"/>
  <c r="L4" i="29"/>
  <c r="L3" i="29"/>
  <c r="G11" i="31"/>
  <c r="G10" i="31"/>
  <c r="G9" i="31"/>
  <c r="Z14" i="55"/>
  <c r="Y14" i="55"/>
  <c r="X14" i="55"/>
  <c r="W14" i="55"/>
  <c r="U14" i="55"/>
  <c r="T14" i="55"/>
  <c r="S14" i="55"/>
  <c r="R14" i="55"/>
  <c r="Q14" i="55"/>
  <c r="P14" i="55"/>
  <c r="O14" i="55"/>
  <c r="Z13" i="55"/>
  <c r="Y13" i="55"/>
  <c r="X13" i="55"/>
  <c r="W13" i="55"/>
  <c r="U13" i="55"/>
  <c r="T13" i="55"/>
  <c r="S13" i="55"/>
  <c r="R13" i="55"/>
  <c r="Q13" i="55"/>
  <c r="P13" i="55"/>
  <c r="O13" i="55"/>
  <c r="Z12" i="55"/>
  <c r="Y12" i="55"/>
  <c r="X12" i="55"/>
  <c r="W12" i="55"/>
  <c r="U12" i="55"/>
  <c r="T12" i="55"/>
  <c r="S12" i="55"/>
  <c r="R12" i="55"/>
  <c r="Q12" i="55"/>
  <c r="P12" i="55"/>
  <c r="O12" i="55"/>
  <c r="Z11" i="55"/>
  <c r="Y11" i="55"/>
  <c r="X11" i="55"/>
  <c r="W11" i="55"/>
  <c r="U11" i="55"/>
  <c r="T11" i="55"/>
  <c r="S11" i="55"/>
  <c r="R11" i="55"/>
  <c r="Q11" i="55"/>
  <c r="P11" i="55"/>
  <c r="O11" i="55"/>
  <c r="Z10" i="55"/>
  <c r="Y10" i="55"/>
  <c r="X10" i="55"/>
  <c r="W10" i="55"/>
  <c r="U10" i="55"/>
  <c r="T10" i="55"/>
  <c r="S10" i="55"/>
  <c r="R10" i="55"/>
  <c r="Q10" i="55"/>
  <c r="P10" i="55"/>
  <c r="O10" i="55"/>
  <c r="Z9" i="55"/>
  <c r="Y9" i="55"/>
  <c r="X9" i="55"/>
  <c r="W9" i="55"/>
  <c r="U9" i="55"/>
  <c r="T9" i="55"/>
  <c r="S9" i="55"/>
  <c r="R9" i="55"/>
  <c r="Q9" i="55"/>
  <c r="P9" i="55"/>
  <c r="O9" i="55"/>
  <c r="Z8" i="55"/>
  <c r="Y8" i="55"/>
  <c r="X8" i="55"/>
  <c r="W8" i="55"/>
  <c r="U8" i="55"/>
  <c r="T8" i="55"/>
  <c r="S8" i="55"/>
  <c r="R8" i="55"/>
  <c r="Q8" i="55"/>
  <c r="P8" i="55"/>
  <c r="O8" i="55"/>
  <c r="Z7" i="55"/>
  <c r="Y7" i="55"/>
  <c r="X7" i="55"/>
  <c r="W7" i="55"/>
  <c r="U7" i="55"/>
  <c r="T7" i="55"/>
  <c r="S7" i="55"/>
  <c r="R7" i="55"/>
  <c r="Q7" i="55"/>
  <c r="P7" i="55"/>
  <c r="O7" i="55"/>
  <c r="Z6" i="55"/>
  <c r="Y6" i="55"/>
  <c r="X6" i="55"/>
  <c r="W6" i="55"/>
  <c r="U6" i="55"/>
  <c r="T6" i="55"/>
  <c r="S6" i="55"/>
  <c r="R6" i="55"/>
  <c r="Q6" i="55"/>
  <c r="P6" i="55"/>
  <c r="O6" i="55"/>
  <c r="Y5" i="55"/>
  <c r="X5" i="55"/>
  <c r="W5" i="55"/>
  <c r="U5" i="55"/>
  <c r="T5" i="55"/>
  <c r="S5" i="55"/>
  <c r="R5" i="55"/>
  <c r="Q5" i="55"/>
  <c r="P5" i="55"/>
  <c r="O5" i="55"/>
  <c r="F11" i="31"/>
  <c r="F10" i="31"/>
  <c r="F9" i="31"/>
  <c r="F4" i="31"/>
  <c r="V13" i="54"/>
  <c r="V12" i="54"/>
  <c r="V11" i="54"/>
  <c r="V10" i="54"/>
  <c r="V9" i="54"/>
  <c r="V8" i="54"/>
  <c r="V7" i="54"/>
  <c r="V6" i="54"/>
  <c r="V5" i="54"/>
  <c r="V4" i="54"/>
  <c r="G12" i="52"/>
  <c r="G11" i="52"/>
  <c r="G10" i="52"/>
  <c r="G9" i="52"/>
  <c r="G8" i="52"/>
  <c r="G7" i="52"/>
  <c r="G6" i="52"/>
  <c r="G5" i="52"/>
  <c r="G4" i="52"/>
  <c r="G3" i="52"/>
  <c r="R3" i="51"/>
  <c r="H13" i="27"/>
  <c r="H12" i="27"/>
  <c r="H11" i="27"/>
  <c r="H10" i="27"/>
  <c r="H9" i="27"/>
  <c r="H8" i="27"/>
  <c r="H7" i="27"/>
  <c r="H6" i="27"/>
  <c r="H5" i="27"/>
  <c r="H4" i="27"/>
  <c r="V14" i="43"/>
  <c r="V13" i="43"/>
  <c r="J17" i="36"/>
  <c r="J16" i="36"/>
  <c r="J15" i="36"/>
  <c r="J14" i="36"/>
  <c r="J13" i="36"/>
  <c r="G8" i="30"/>
  <c r="G7" i="30"/>
  <c r="G6" i="30"/>
  <c r="G5" i="30"/>
  <c r="J18" i="19"/>
  <c r="J17" i="19"/>
  <c r="J16" i="19"/>
  <c r="J15" i="19"/>
  <c r="J14" i="19"/>
  <c r="J13" i="19"/>
  <c r="BK25" i="1" l="1"/>
  <c r="AI171" i="1"/>
  <c r="AI112" i="1"/>
  <c r="BK84" i="1"/>
  <c r="AI86" i="1"/>
  <c r="AI167" i="1"/>
  <c r="BK110" i="1"/>
  <c r="BK171" i="1"/>
  <c r="AI110" i="1"/>
  <c r="BK153" i="1"/>
  <c r="AI153" i="1"/>
  <c r="BK95" i="1"/>
  <c r="AI52" i="1"/>
  <c r="AI71" i="1"/>
  <c r="BK71" i="1"/>
  <c r="BK52" i="1"/>
  <c r="BK43" i="1"/>
  <c r="BK44" i="1"/>
  <c r="AI16" i="1"/>
  <c r="AI43" i="1"/>
  <c r="AI44" i="1"/>
  <c r="AI38" i="1"/>
  <c r="AI62" i="1"/>
  <c r="AI173" i="1"/>
  <c r="BK62" i="1"/>
  <c r="AI80" i="1"/>
  <c r="BK148" i="1"/>
  <c r="AI20" i="1"/>
  <c r="AI82" i="1"/>
  <c r="BK161" i="1"/>
  <c r="BK91" i="1"/>
  <c r="BK173" i="1"/>
  <c r="BK111" i="1"/>
  <c r="BK99" i="1"/>
  <c r="BK80" i="1"/>
  <c r="AI19" i="1"/>
  <c r="BK29" i="1"/>
  <c r="AI148" i="1"/>
  <c r="BK20" i="1"/>
  <c r="BK28" i="1"/>
  <c r="AI111" i="1"/>
  <c r="BK16" i="1"/>
  <c r="BK19" i="1"/>
  <c r="AI91" i="1"/>
  <c r="BK60" i="1"/>
  <c r="BK82" i="1"/>
  <c r="AI28" i="1"/>
  <c r="BK167" i="1"/>
  <c r="AI166" i="1"/>
  <c r="AI99" i="1"/>
  <c r="BK166" i="1"/>
  <c r="AI161" i="1"/>
  <c r="AI32" i="1"/>
  <c r="BK32" i="1"/>
  <c r="AI106" i="1"/>
  <c r="BK144" i="1"/>
  <c r="AI76" i="1"/>
  <c r="AI89" i="1"/>
  <c r="BK117" i="1"/>
  <c r="AI134" i="1"/>
  <c r="AI85" i="1"/>
  <c r="AI72" i="1"/>
  <c r="BK87" i="1"/>
  <c r="AI105" i="1"/>
  <c r="AI123" i="1"/>
  <c r="BK109" i="1"/>
  <c r="BK163" i="1"/>
  <c r="BK116" i="1"/>
  <c r="AI121" i="1"/>
  <c r="AI68" i="1"/>
  <c r="BK128" i="1"/>
  <c r="AI142" i="1"/>
  <c r="BK137" i="1"/>
  <c r="AI11" i="1"/>
  <c r="BK34" i="1"/>
  <c r="AI141" i="1"/>
  <c r="AI66" i="1"/>
  <c r="AI120" i="1"/>
  <c r="AI23" i="1"/>
  <c r="BK61" i="1"/>
  <c r="BK45" i="1"/>
  <c r="BK97" i="1"/>
  <c r="BK123" i="1"/>
  <c r="BK75" i="1"/>
  <c r="AI57" i="1"/>
  <c r="AI51" i="1"/>
  <c r="AI41" i="1"/>
  <c r="AI9" i="1"/>
  <c r="AI47" i="1"/>
  <c r="BK177" i="1"/>
  <c r="BK142" i="1"/>
  <c r="AI139" i="1"/>
  <c r="AI116" i="1"/>
  <c r="BK119" i="1"/>
  <c r="BK141" i="1"/>
  <c r="BK93" i="1"/>
  <c r="BK118" i="1"/>
  <c r="AI75" i="1"/>
  <c r="AI165" i="1"/>
  <c r="BK159" i="1"/>
  <c r="AI159" i="1"/>
  <c r="BK130" i="1"/>
  <c r="AI163" i="1"/>
  <c r="AI169" i="1"/>
  <c r="AI131" i="1"/>
  <c r="BK150" i="1"/>
  <c r="BK72" i="1"/>
  <c r="AI172" i="1"/>
  <c r="BK184" i="1"/>
  <c r="AI101" i="1"/>
  <c r="AI146" i="1"/>
  <c r="BK17" i="1"/>
  <c r="AI53" i="1"/>
  <c r="BK182" i="1"/>
  <c r="BK129" i="1"/>
  <c r="BK157" i="1"/>
  <c r="BK183" i="1"/>
  <c r="BK127" i="1"/>
  <c r="BK90" i="1"/>
  <c r="AI98" i="1"/>
  <c r="BK65" i="1"/>
  <c r="AI18" i="1"/>
  <c r="AI59" i="1"/>
  <c r="BK102" i="1"/>
  <c r="BK78" i="1"/>
  <c r="BK66" i="1"/>
  <c r="AI124" i="1"/>
  <c r="AI118" i="1"/>
  <c r="AI78" i="1"/>
  <c r="BK132" i="1"/>
  <c r="BK143" i="1"/>
  <c r="BK70" i="1"/>
  <c r="BK138" i="1"/>
  <c r="BK169" i="1"/>
  <c r="BK92" i="1"/>
  <c r="BK146" i="1"/>
  <c r="AI143" i="1"/>
  <c r="BK89" i="1"/>
  <c r="BK124" i="1"/>
  <c r="BK139" i="1"/>
  <c r="AI177" i="1"/>
  <c r="AI61" i="1"/>
  <c r="BK121" i="1"/>
  <c r="AI182" i="1"/>
  <c r="AI109" i="1"/>
  <c r="AI94" i="1"/>
  <c r="BK68" i="1"/>
  <c r="AI31" i="1"/>
  <c r="BK98" i="1"/>
  <c r="AI183" i="1"/>
  <c r="AI155" i="1"/>
  <c r="AI122" i="1"/>
  <c r="AI34" i="1"/>
  <c r="BK24" i="1"/>
  <c r="BK37" i="1"/>
  <c r="AI37" i="1"/>
  <c r="AI45" i="1"/>
  <c r="AI30" i="1"/>
  <c r="AI65" i="1"/>
  <c r="AI26" i="1"/>
  <c r="AI150" i="1"/>
  <c r="BK125" i="1"/>
  <c r="AI97" i="1"/>
  <c r="AI87" i="1"/>
  <c r="BK105" i="1"/>
  <c r="BK140" i="1"/>
  <c r="BK94" i="1"/>
  <c r="BK136" i="1"/>
  <c r="AI137" i="1"/>
  <c r="AI138" i="1"/>
  <c r="AI157" i="1"/>
  <c r="AI126" i="1"/>
  <c r="AI185" i="1"/>
  <c r="AI130" i="1"/>
  <c r="BK155" i="1"/>
  <c r="BK131" i="1"/>
  <c r="AI184" i="1"/>
  <c r="AI175" i="1"/>
  <c r="AI176" i="1"/>
  <c r="AI135" i="1"/>
  <c r="AI70" i="1"/>
  <c r="BK85" i="1"/>
  <c r="BK135" i="1"/>
  <c r="BK175" i="1"/>
  <c r="AI127" i="1"/>
  <c r="BK101" i="1"/>
  <c r="BK36" i="1"/>
  <c r="BK172" i="1"/>
  <c r="AI140" i="1"/>
  <c r="AI132" i="1"/>
  <c r="AI129" i="1"/>
  <c r="AI128" i="1"/>
  <c r="AI36" i="1"/>
  <c r="AI21" i="1"/>
  <c r="BK176" i="1"/>
  <c r="BK165" i="1"/>
  <c r="AI90" i="1"/>
  <c r="AI49" i="1"/>
  <c r="AI17" i="1"/>
  <c r="AI119" i="1"/>
  <c r="BK133" i="1"/>
  <c r="BK134" i="1"/>
  <c r="AI117" i="1"/>
  <c r="AI125" i="1"/>
  <c r="AI93" i="1"/>
  <c r="BK106" i="1"/>
  <c r="BK120" i="1"/>
  <c r="AI27" i="1"/>
  <c r="BK59" i="1"/>
  <c r="AI63" i="1"/>
  <c r="AI13" i="1"/>
  <c r="BK63" i="1"/>
  <c r="AI35" i="1"/>
  <c r="AI24" i="1"/>
  <c r="AI133" i="1"/>
  <c r="BK122" i="1"/>
  <c r="BK126" i="1"/>
  <c r="AI92" i="1"/>
  <c r="AI136" i="1"/>
  <c r="BK179" i="1"/>
  <c r="BK74" i="1"/>
  <c r="AI179" i="1"/>
  <c r="BK76" i="1"/>
  <c r="BK185" i="1"/>
  <c r="AI74" i="1"/>
  <c r="AI144" i="1"/>
  <c r="AI102" i="1"/>
  <c r="BK26" i="1"/>
  <c r="BK30" i="1"/>
  <c r="BK27" i="1"/>
  <c r="BK49" i="1"/>
  <c r="BK13" i="1"/>
  <c r="BK47" i="1"/>
  <c r="BK53" i="1"/>
  <c r="BK35" i="1"/>
  <c r="BK51" i="1"/>
  <c r="BK21" i="1"/>
  <c r="BK18" i="1"/>
  <c r="BK57" i="1"/>
  <c r="BK41" i="1"/>
  <c r="BK23" i="1"/>
  <c r="BK31" i="1"/>
  <c r="C55" i="56"/>
  <c r="C54" i="56"/>
  <c r="C53" i="56"/>
  <c r="C52" i="56"/>
  <c r="C51" i="56"/>
  <c r="C50" i="56"/>
  <c r="C49" i="56"/>
  <c r="C48" i="56"/>
  <c r="C47" i="56"/>
  <c r="C46" i="56"/>
  <c r="C45" i="56"/>
  <c r="C44" i="56"/>
  <c r="C43" i="56"/>
  <c r="C42" i="56"/>
  <c r="C41" i="56"/>
  <c r="C40" i="56"/>
  <c r="C39" i="56"/>
  <c r="C38" i="56"/>
  <c r="C37" i="56"/>
  <c r="C36" i="56"/>
  <c r="C35" i="56"/>
  <c r="C34" i="56"/>
  <c r="C33" i="56"/>
  <c r="C32" i="56"/>
  <c r="C31" i="56"/>
  <c r="C30" i="56"/>
  <c r="C29" i="56"/>
  <c r="C28" i="56"/>
  <c r="C27" i="56"/>
  <c r="C26" i="56"/>
  <c r="C25" i="56"/>
  <c r="C24" i="56"/>
  <c r="C23" i="56"/>
  <c r="C22" i="56"/>
  <c r="C21" i="56"/>
  <c r="C20" i="56"/>
  <c r="C19" i="56"/>
  <c r="C18" i="56"/>
  <c r="C17" i="56"/>
  <c r="C16" i="56"/>
  <c r="C15" i="56"/>
  <c r="C14" i="56"/>
  <c r="C13" i="56"/>
  <c r="C12" i="56"/>
  <c r="C11" i="56"/>
  <c r="C10" i="56"/>
  <c r="C9" i="56"/>
  <c r="C8" i="56"/>
  <c r="C7" i="56"/>
  <c r="C6" i="56"/>
  <c r="C5" i="56"/>
  <c r="C4" i="56"/>
  <c r="C3" i="56"/>
  <c r="C2" i="56"/>
  <c r="M9" i="20"/>
  <c r="M10" i="20"/>
  <c r="M11" i="20"/>
  <c r="K5" i="12"/>
  <c r="K4" i="12"/>
  <c r="H5" i="12"/>
  <c r="H4" i="12"/>
  <c r="B5" i="31" l="1"/>
  <c r="D8" i="31"/>
  <c r="D7" i="31"/>
  <c r="D5" i="31"/>
  <c r="F5" i="31" s="1"/>
  <c r="D6" i="31"/>
  <c r="B6" i="31" l="1"/>
  <c r="Q2" i="30"/>
  <c r="B7" i="31" l="1"/>
  <c r="V31" i="59"/>
  <c r="V30" i="59"/>
  <c r="B8" i="31" l="1"/>
  <c r="S2" i="30"/>
  <c r="B9" i="31" l="1"/>
  <c r="B10" i="31" s="1"/>
  <c r="B11" i="31" s="1"/>
  <c r="R2" i="30"/>
  <c r="AM4" i="32"/>
  <c r="AN4" i="32"/>
  <c r="AM5" i="32"/>
  <c r="AN5" i="32"/>
  <c r="AM6" i="32"/>
  <c r="AN6" i="32"/>
  <c r="AM7" i="32"/>
  <c r="AN7" i="32"/>
  <c r="AM8" i="32"/>
  <c r="AN8" i="32"/>
  <c r="AM9" i="32"/>
  <c r="AN9" i="32"/>
  <c r="AM10" i="32"/>
  <c r="AN10" i="32"/>
  <c r="AM11" i="32"/>
  <c r="AN11" i="32"/>
  <c r="AM12" i="32"/>
  <c r="AN12" i="32"/>
  <c r="AM13" i="32"/>
  <c r="AN13" i="32"/>
  <c r="AM14" i="32"/>
  <c r="AN14" i="32"/>
  <c r="AM15" i="32"/>
  <c r="AN15" i="32"/>
  <c r="AM16" i="32"/>
  <c r="AN16" i="32"/>
  <c r="AM17" i="32"/>
  <c r="AN17" i="32"/>
  <c r="AM18" i="32"/>
  <c r="AN18" i="32"/>
  <c r="AM19" i="32"/>
  <c r="AN19" i="32"/>
  <c r="AM20" i="32"/>
  <c r="AN20" i="32"/>
  <c r="AM21" i="32"/>
  <c r="AN21" i="32"/>
  <c r="AM22" i="32"/>
  <c r="AN22" i="32"/>
  <c r="AM23" i="32"/>
  <c r="AN23" i="32"/>
  <c r="AM24" i="32"/>
  <c r="AN24" i="32"/>
  <c r="AM25" i="32"/>
  <c r="AN25" i="32"/>
  <c r="AM26" i="32"/>
  <c r="AN26" i="32"/>
  <c r="AM27" i="32"/>
  <c r="AN27" i="32"/>
  <c r="AM28" i="32"/>
  <c r="AN28" i="32"/>
  <c r="AM29" i="32"/>
  <c r="AN29" i="32"/>
  <c r="AM30" i="32"/>
  <c r="AN30" i="32"/>
  <c r="AM31" i="32"/>
  <c r="AN31" i="32"/>
  <c r="AM32" i="32"/>
  <c r="AN32" i="32"/>
  <c r="AM33" i="32"/>
  <c r="AN33" i="32"/>
  <c r="AM34" i="32"/>
  <c r="AN34" i="32"/>
  <c r="AM35" i="32"/>
  <c r="AN35" i="32"/>
  <c r="AM36" i="32"/>
  <c r="AN36" i="32"/>
  <c r="AM37" i="32"/>
  <c r="AN37" i="32"/>
  <c r="AM38" i="32"/>
  <c r="AN38" i="32"/>
  <c r="AM39" i="32"/>
  <c r="AN39" i="32"/>
  <c r="AM40" i="32"/>
  <c r="AN40" i="32"/>
  <c r="AM41" i="32"/>
  <c r="AN41" i="32"/>
  <c r="AM42" i="32"/>
  <c r="AN42" i="32"/>
  <c r="AM43" i="32"/>
  <c r="AN43" i="32"/>
  <c r="AM44" i="32"/>
  <c r="AN44" i="32"/>
  <c r="AM45" i="32"/>
  <c r="AN45" i="32"/>
  <c r="AM46" i="32"/>
  <c r="AN46" i="32"/>
  <c r="AM47" i="32"/>
  <c r="AN47" i="32"/>
  <c r="AM48" i="32"/>
  <c r="AN48" i="32"/>
  <c r="AM49" i="32"/>
  <c r="AN49" i="32"/>
  <c r="AM50" i="32"/>
  <c r="AN50" i="32"/>
  <c r="AM51" i="32"/>
  <c r="AN51" i="32"/>
  <c r="AM52" i="32"/>
  <c r="AN52" i="32"/>
  <c r="AM53" i="32"/>
  <c r="AN53" i="32"/>
  <c r="AO53" i="32"/>
  <c r="AM54" i="32"/>
  <c r="AN54" i="32"/>
  <c r="AO54" i="32"/>
  <c r="AM55" i="32"/>
  <c r="AN55" i="32"/>
  <c r="AO55" i="32"/>
  <c r="AM56" i="32"/>
  <c r="AN56" i="32"/>
  <c r="AO56" i="32"/>
  <c r="AM57" i="32"/>
  <c r="AN57" i="32"/>
  <c r="AO57" i="32"/>
  <c r="AM58" i="32"/>
  <c r="AN58" i="32"/>
  <c r="AO58" i="32"/>
  <c r="AM59" i="32"/>
  <c r="AN59" i="32"/>
  <c r="AO59" i="32"/>
  <c r="AM60" i="32"/>
  <c r="AN60" i="32"/>
  <c r="AO60" i="32"/>
  <c r="AM61" i="32"/>
  <c r="AN61" i="32"/>
  <c r="AO61" i="32"/>
  <c r="AM62" i="32"/>
  <c r="AN62" i="32"/>
  <c r="AO62" i="32"/>
  <c r="AM63" i="32"/>
  <c r="AN63" i="32"/>
  <c r="AO63" i="32"/>
  <c r="AM64" i="32"/>
  <c r="AN64" i="32"/>
  <c r="AO64" i="32"/>
  <c r="AM65" i="32"/>
  <c r="AN65" i="32"/>
  <c r="AO65" i="32"/>
  <c r="AM66" i="32"/>
  <c r="AN66" i="32"/>
  <c r="AO66" i="32"/>
  <c r="AM67" i="32"/>
  <c r="AN67" i="32"/>
  <c r="AO67" i="32"/>
  <c r="AM68" i="32"/>
  <c r="AN68" i="32"/>
  <c r="AO68" i="32"/>
  <c r="AM69" i="32"/>
  <c r="AN69" i="32"/>
  <c r="AO69" i="32"/>
  <c r="AM70" i="32"/>
  <c r="AN70" i="32"/>
  <c r="AO70" i="32"/>
  <c r="AM71" i="32"/>
  <c r="AN71" i="32"/>
  <c r="AO71" i="32"/>
  <c r="AM72" i="32"/>
  <c r="AN72" i="32"/>
  <c r="AO72" i="32"/>
  <c r="AM73" i="32"/>
  <c r="AN73" i="32"/>
  <c r="AO73" i="32"/>
  <c r="AM74" i="32"/>
  <c r="AN74" i="32"/>
  <c r="AO74" i="32"/>
  <c r="AM75" i="32"/>
  <c r="AN75" i="32"/>
  <c r="AO75" i="32"/>
  <c r="AM76" i="32"/>
  <c r="AN76" i="32"/>
  <c r="AO76" i="32"/>
  <c r="AM77" i="32"/>
  <c r="AN77" i="32"/>
  <c r="AO77" i="32"/>
  <c r="AM78" i="32"/>
  <c r="AN78" i="32"/>
  <c r="AO78" i="32"/>
  <c r="AM79" i="32"/>
  <c r="AN79" i="32"/>
  <c r="AO79" i="32"/>
  <c r="AM80" i="32"/>
  <c r="AN80" i="32"/>
  <c r="AO80" i="32"/>
  <c r="AM81" i="32"/>
  <c r="AN81" i="32"/>
  <c r="AO81" i="32"/>
  <c r="AM82" i="32"/>
  <c r="AN82" i="32"/>
  <c r="AO82" i="32"/>
  <c r="AM83" i="32"/>
  <c r="AN83" i="32"/>
  <c r="AO83" i="32"/>
  <c r="AM84" i="32"/>
  <c r="AN84" i="32"/>
  <c r="AO84" i="32"/>
  <c r="AM85" i="32"/>
  <c r="AN85" i="32"/>
  <c r="AO85" i="32"/>
  <c r="AM86" i="32"/>
  <c r="AN86" i="32"/>
  <c r="AO86" i="32"/>
  <c r="AM87" i="32"/>
  <c r="AN87" i="32"/>
  <c r="AO87" i="32"/>
  <c r="AM88" i="32"/>
  <c r="AN88" i="32"/>
  <c r="AO88" i="32"/>
  <c r="AM89" i="32"/>
  <c r="AN89" i="32"/>
  <c r="AO89" i="32"/>
  <c r="AM90" i="32"/>
  <c r="AN90" i="32"/>
  <c r="AO90" i="32"/>
  <c r="AM91" i="32"/>
  <c r="AN91" i="32"/>
  <c r="AO91" i="32"/>
  <c r="AM92" i="32"/>
  <c r="AN92" i="32"/>
  <c r="AO92" i="32"/>
  <c r="AM93" i="32"/>
  <c r="AN93" i="32"/>
  <c r="AO93" i="32"/>
  <c r="AM94" i="32"/>
  <c r="AN94" i="32"/>
  <c r="AO94" i="32"/>
  <c r="AM95" i="32"/>
  <c r="AN95" i="32"/>
  <c r="AO95" i="32"/>
  <c r="AM96" i="32"/>
  <c r="AN96" i="32"/>
  <c r="AO96" i="32"/>
  <c r="AM97" i="32"/>
  <c r="AN97" i="32"/>
  <c r="AO97" i="32"/>
  <c r="AM98" i="32"/>
  <c r="AN98" i="32"/>
  <c r="AO98" i="32"/>
  <c r="AM99" i="32"/>
  <c r="AN99" i="32"/>
  <c r="AO99" i="32"/>
  <c r="AM100" i="32"/>
  <c r="AN100" i="32"/>
  <c r="AO100" i="32"/>
  <c r="AM101" i="32"/>
  <c r="AN101" i="32"/>
  <c r="AO101" i="32"/>
  <c r="AM102" i="32"/>
  <c r="AN102" i="32"/>
  <c r="AO102" i="32"/>
  <c r="AM103" i="32"/>
  <c r="AN103" i="32"/>
  <c r="AO103" i="32"/>
  <c r="AM104" i="32"/>
  <c r="AN104" i="32"/>
  <c r="AO104" i="32"/>
  <c r="AM105" i="32"/>
  <c r="AN105" i="32"/>
  <c r="AO105" i="32"/>
  <c r="AM106" i="32"/>
  <c r="AN106" i="32"/>
  <c r="AO106" i="32"/>
  <c r="AM107" i="32"/>
  <c r="AN107" i="32"/>
  <c r="AO107" i="32"/>
  <c r="AM108" i="32"/>
  <c r="AN108" i="32"/>
  <c r="AO108" i="32"/>
  <c r="AM109" i="32"/>
  <c r="AN109" i="32"/>
  <c r="AO109" i="32"/>
  <c r="AM110" i="32"/>
  <c r="AN110" i="32"/>
  <c r="AO110" i="32"/>
  <c r="AM111" i="32"/>
  <c r="AN111" i="32"/>
  <c r="AO111" i="32"/>
  <c r="AM112" i="32"/>
  <c r="AN112" i="32"/>
  <c r="AO112" i="32"/>
  <c r="AM113" i="32"/>
  <c r="AN113" i="32"/>
  <c r="AO113" i="32"/>
  <c r="AM114" i="32"/>
  <c r="AN114" i="32"/>
  <c r="AO114" i="32"/>
  <c r="AM115" i="32"/>
  <c r="AN115" i="32"/>
  <c r="AO115" i="32"/>
  <c r="AM116" i="32"/>
  <c r="AN116" i="32"/>
  <c r="AO116" i="32"/>
  <c r="AM117" i="32"/>
  <c r="AN117" i="32"/>
  <c r="AO117" i="32"/>
  <c r="AM118" i="32"/>
  <c r="AN118" i="32"/>
  <c r="AO118" i="32"/>
  <c r="AM119" i="32"/>
  <c r="AN119" i="32"/>
  <c r="AO119" i="32"/>
  <c r="AM120" i="32"/>
  <c r="AN120" i="32"/>
  <c r="AO120" i="32"/>
  <c r="AM121" i="32"/>
  <c r="AN121" i="32"/>
  <c r="AO121" i="32"/>
  <c r="AM122" i="32"/>
  <c r="AN122" i="32"/>
  <c r="AO122" i="32"/>
  <c r="AM123" i="32"/>
  <c r="AN123" i="32"/>
  <c r="AO123" i="32"/>
  <c r="AM124" i="32"/>
  <c r="AN124" i="32"/>
  <c r="AO124" i="32"/>
  <c r="AM125" i="32"/>
  <c r="AN125" i="32"/>
  <c r="AO125" i="32"/>
  <c r="AM126" i="32"/>
  <c r="AN126" i="32"/>
  <c r="AO126" i="32"/>
  <c r="AM127" i="32"/>
  <c r="AN127" i="32"/>
  <c r="AO127" i="32"/>
  <c r="AM128" i="32"/>
  <c r="AN128" i="32"/>
  <c r="AO128" i="32"/>
  <c r="AM129" i="32"/>
  <c r="AN129" i="32"/>
  <c r="AO129" i="32"/>
  <c r="AM130" i="32"/>
  <c r="AN130" i="32"/>
  <c r="AO130" i="32"/>
  <c r="AM131" i="32"/>
  <c r="AN131" i="32"/>
  <c r="AO131" i="32"/>
  <c r="AM132" i="32"/>
  <c r="AN132" i="32"/>
  <c r="AO132" i="32"/>
  <c r="AM133" i="32"/>
  <c r="AN133" i="32"/>
  <c r="AO133" i="32"/>
  <c r="AM134" i="32"/>
  <c r="AN134" i="32"/>
  <c r="AO134" i="32"/>
  <c r="AM135" i="32"/>
  <c r="AN135" i="32"/>
  <c r="AO135" i="32"/>
  <c r="AM136" i="32"/>
  <c r="AN136" i="32"/>
  <c r="AO136" i="32"/>
  <c r="AM137" i="32"/>
  <c r="AN137" i="32"/>
  <c r="AO137" i="32"/>
  <c r="AM138" i="32"/>
  <c r="AN138" i="32"/>
  <c r="AO138" i="32"/>
  <c r="AM139" i="32"/>
  <c r="AN139" i="32"/>
  <c r="AO139" i="32"/>
  <c r="AM140" i="32"/>
  <c r="AN140" i="32"/>
  <c r="AO140" i="32"/>
  <c r="AM141" i="32"/>
  <c r="AN141" i="32"/>
  <c r="AO141" i="32"/>
  <c r="AM142" i="32"/>
  <c r="AN142" i="32"/>
  <c r="AO142" i="32"/>
  <c r="AM143" i="32"/>
  <c r="AN143" i="32"/>
  <c r="AO143" i="32"/>
  <c r="AM144" i="32"/>
  <c r="AN144" i="32"/>
  <c r="AO144" i="32"/>
  <c r="AM145" i="32"/>
  <c r="AN145" i="32"/>
  <c r="AO145" i="32"/>
  <c r="AM146" i="32"/>
  <c r="AN146" i="32"/>
  <c r="AO146" i="32"/>
  <c r="AM147" i="32"/>
  <c r="AN147" i="32"/>
  <c r="AO147" i="32"/>
  <c r="AM148" i="32"/>
  <c r="AN148" i="32"/>
  <c r="AO148" i="32"/>
  <c r="AM149" i="32"/>
  <c r="AN149" i="32"/>
  <c r="AO149" i="32"/>
  <c r="AM150" i="32"/>
  <c r="AN150" i="32"/>
  <c r="AO150" i="32"/>
  <c r="AM151" i="32"/>
  <c r="AN151" i="32"/>
  <c r="AO151" i="32"/>
  <c r="AM152" i="32"/>
  <c r="AN152" i="32"/>
  <c r="AO152" i="32"/>
  <c r="AM153" i="32"/>
  <c r="AN153" i="32"/>
  <c r="AO153" i="32"/>
  <c r="AM154" i="32"/>
  <c r="AN154" i="32"/>
  <c r="AO154" i="32"/>
  <c r="AM155" i="32"/>
  <c r="AN155" i="32"/>
  <c r="AO155" i="32"/>
  <c r="AM156" i="32"/>
  <c r="AN156" i="32"/>
  <c r="AO156" i="32"/>
  <c r="AM157" i="32"/>
  <c r="AN157" i="32"/>
  <c r="AO157" i="32"/>
  <c r="AM158" i="32"/>
  <c r="AN158" i="32"/>
  <c r="AO158" i="32"/>
  <c r="AM159" i="32"/>
  <c r="AN159" i="32"/>
  <c r="AO159" i="32"/>
  <c r="AM160" i="32"/>
  <c r="AN160" i="32"/>
  <c r="AO160" i="32"/>
  <c r="AM161" i="32"/>
  <c r="AN161" i="32"/>
  <c r="AO161" i="32"/>
  <c r="AM162" i="32"/>
  <c r="AN162" i="32"/>
  <c r="AO162" i="32"/>
  <c r="AM163" i="32"/>
  <c r="AN163" i="32"/>
  <c r="AO163" i="32"/>
  <c r="AM164" i="32"/>
  <c r="AN164" i="32"/>
  <c r="AO164" i="32"/>
  <c r="AM165" i="32"/>
  <c r="AN165" i="32"/>
  <c r="AO165" i="32"/>
  <c r="AM166" i="32"/>
  <c r="AN166" i="32"/>
  <c r="AO166" i="32"/>
  <c r="AM167" i="32"/>
  <c r="AN167" i="32"/>
  <c r="AO167" i="32"/>
  <c r="AM168" i="32"/>
  <c r="AN168" i="32"/>
  <c r="AO168" i="32"/>
  <c r="AM169" i="32"/>
  <c r="AN169" i="32"/>
  <c r="AO169" i="32"/>
  <c r="AM170" i="32"/>
  <c r="AN170" i="32"/>
  <c r="AO170" i="32"/>
  <c r="AM171" i="32"/>
  <c r="AN171" i="32"/>
  <c r="AO171" i="32"/>
  <c r="AM172" i="32"/>
  <c r="AN172" i="32"/>
  <c r="AO172" i="32"/>
  <c r="AM173" i="32"/>
  <c r="AN173" i="32"/>
  <c r="AO173" i="32"/>
  <c r="AM174" i="32"/>
  <c r="AN174" i="32"/>
  <c r="AO174" i="32"/>
  <c r="AM175" i="32"/>
  <c r="AN175" i="32"/>
  <c r="AO175" i="32"/>
  <c r="AM176" i="32"/>
  <c r="AN176" i="32"/>
  <c r="AO176" i="32"/>
  <c r="AM177" i="32"/>
  <c r="AN177" i="32"/>
  <c r="AO177" i="32"/>
  <c r="AM178" i="32"/>
  <c r="AN178" i="32"/>
  <c r="AO178" i="32"/>
  <c r="AM179" i="32"/>
  <c r="AN179" i="32"/>
  <c r="AO179" i="32"/>
  <c r="AM180" i="32"/>
  <c r="AN180" i="32"/>
  <c r="AO180" i="32"/>
  <c r="AM181" i="32"/>
  <c r="AN181" i="32"/>
  <c r="AO181" i="32"/>
  <c r="AM182" i="32"/>
  <c r="AN182" i="32"/>
  <c r="AO182" i="32"/>
  <c r="AM183" i="32"/>
  <c r="AN183" i="32"/>
  <c r="AO183" i="32"/>
  <c r="AM184" i="32"/>
  <c r="AN184" i="32"/>
  <c r="AO184" i="32"/>
  <c r="AM185" i="32"/>
  <c r="AN185" i="32"/>
  <c r="AO185" i="32"/>
  <c r="AM186" i="32"/>
  <c r="AN186" i="32"/>
  <c r="AO186" i="32"/>
  <c r="AM187" i="32"/>
  <c r="AN187" i="32"/>
  <c r="AO187" i="32"/>
  <c r="AM188" i="32"/>
  <c r="AN188" i="32"/>
  <c r="AO188" i="32"/>
  <c r="AM189" i="32"/>
  <c r="AN189" i="32"/>
  <c r="AO189" i="32"/>
  <c r="AM190" i="32"/>
  <c r="AN190" i="32"/>
  <c r="AO190" i="32"/>
  <c r="AM191" i="32"/>
  <c r="AN191" i="32"/>
  <c r="AO191" i="32"/>
  <c r="AM192" i="32"/>
  <c r="AN192" i="32"/>
  <c r="AO192" i="32"/>
  <c r="AM193" i="32"/>
  <c r="AN193" i="32"/>
  <c r="AO193" i="32"/>
  <c r="AM194" i="32"/>
  <c r="AN194" i="32"/>
  <c r="AO194" i="32"/>
  <c r="AM195" i="32"/>
  <c r="AN195" i="32"/>
  <c r="AO195" i="32"/>
  <c r="AM196" i="32"/>
  <c r="AN196" i="32"/>
  <c r="AO196" i="32"/>
  <c r="AM197" i="32"/>
  <c r="AN197" i="32"/>
  <c r="AO197" i="32"/>
  <c r="AM198" i="32"/>
  <c r="AN198" i="32"/>
  <c r="AO198" i="32"/>
  <c r="AM199" i="32"/>
  <c r="AN199" i="32"/>
  <c r="AO199" i="32"/>
  <c r="AM200" i="32"/>
  <c r="AN200" i="32"/>
  <c r="AO200" i="32"/>
  <c r="AM201" i="32"/>
  <c r="AN201" i="32"/>
  <c r="AO201" i="32"/>
  <c r="AM202" i="32"/>
  <c r="AN202" i="32"/>
  <c r="AO202" i="32"/>
  <c r="AM203" i="32"/>
  <c r="AN203" i="32"/>
  <c r="AO203" i="32"/>
  <c r="AM204" i="32"/>
  <c r="AN204" i="32"/>
  <c r="AO204" i="32"/>
  <c r="AM205" i="32"/>
  <c r="AN205" i="32"/>
  <c r="AO205" i="32"/>
  <c r="AM206" i="32"/>
  <c r="AN206" i="32"/>
  <c r="AO206" i="32"/>
  <c r="AM207" i="32"/>
  <c r="AN207" i="32"/>
  <c r="AO207" i="32"/>
  <c r="AM208" i="32"/>
  <c r="AN208" i="32"/>
  <c r="AO208" i="32"/>
  <c r="AM209" i="32"/>
  <c r="AN209" i="32"/>
  <c r="AO209" i="32"/>
  <c r="AM210" i="32"/>
  <c r="AN210" i="32"/>
  <c r="AO210" i="32"/>
  <c r="AM211" i="32"/>
  <c r="AN211" i="32"/>
  <c r="AO211" i="32"/>
  <c r="AM212" i="32"/>
  <c r="AN212" i="32"/>
  <c r="AO212" i="32"/>
  <c r="AM213" i="32"/>
  <c r="AN213" i="32"/>
  <c r="AO213" i="32"/>
  <c r="AM214" i="32"/>
  <c r="AN214" i="32"/>
  <c r="AO214" i="32"/>
  <c r="AM215" i="32"/>
  <c r="AN215" i="32"/>
  <c r="AO215" i="32"/>
  <c r="AM216" i="32"/>
  <c r="AN216" i="32"/>
  <c r="AO216" i="32"/>
  <c r="AM217" i="32"/>
  <c r="AN217" i="32"/>
  <c r="AO217" i="32"/>
  <c r="AM218" i="32"/>
  <c r="AN218" i="32"/>
  <c r="AO218" i="32"/>
  <c r="AM219" i="32"/>
  <c r="AN219" i="32"/>
  <c r="AO219" i="32"/>
  <c r="AM220" i="32"/>
  <c r="AN220" i="32"/>
  <c r="AO220" i="32"/>
  <c r="AM221" i="32"/>
  <c r="AN221" i="32"/>
  <c r="AO221" i="32"/>
  <c r="AM222" i="32"/>
  <c r="AN222" i="32"/>
  <c r="AO222" i="32"/>
  <c r="AM223" i="32"/>
  <c r="AN223" i="32"/>
  <c r="AO223" i="32"/>
  <c r="AM224" i="32"/>
  <c r="AN224" i="32"/>
  <c r="AO224" i="32"/>
  <c r="AM225" i="32"/>
  <c r="AN225" i="32"/>
  <c r="AO225" i="32"/>
  <c r="AM226" i="32"/>
  <c r="AN226" i="32"/>
  <c r="AO226" i="32"/>
  <c r="AM227" i="32"/>
  <c r="AN227" i="32"/>
  <c r="AO227" i="32"/>
  <c r="AM228" i="32"/>
  <c r="AN228" i="32"/>
  <c r="AO228" i="32"/>
  <c r="AM229" i="32"/>
  <c r="AN229" i="32"/>
  <c r="AO229" i="32"/>
  <c r="AM230" i="32"/>
  <c r="AN230" i="32"/>
  <c r="AO230" i="32"/>
  <c r="AM231" i="32"/>
  <c r="AN231" i="32"/>
  <c r="AO231" i="32"/>
  <c r="AM232" i="32"/>
  <c r="AN232" i="32"/>
  <c r="AO232" i="32"/>
  <c r="AM233" i="32"/>
  <c r="AN233" i="32"/>
  <c r="AO233" i="32"/>
  <c r="AM234" i="32"/>
  <c r="AN234" i="32"/>
  <c r="AO234" i="32"/>
  <c r="AM235" i="32"/>
  <c r="AN235" i="32"/>
  <c r="AO235" i="32"/>
  <c r="AM236" i="32"/>
  <c r="AN236" i="32"/>
  <c r="AO236" i="32"/>
  <c r="AM237" i="32"/>
  <c r="AN237" i="32"/>
  <c r="AO237" i="32"/>
  <c r="AM238" i="32"/>
  <c r="AN238" i="32"/>
  <c r="AO238" i="32"/>
  <c r="AM239" i="32"/>
  <c r="AN239" i="32"/>
  <c r="AO239" i="32"/>
  <c r="AM240" i="32"/>
  <c r="AN240" i="32"/>
  <c r="AO240" i="32"/>
  <c r="AM241" i="32"/>
  <c r="AN241" i="32"/>
  <c r="AO241" i="32"/>
  <c r="AM242" i="32"/>
  <c r="AN242" i="32"/>
  <c r="AO242" i="32"/>
  <c r="AM243" i="32"/>
  <c r="AN243" i="32"/>
  <c r="AO243" i="32"/>
  <c r="AM244" i="32"/>
  <c r="AN244" i="32"/>
  <c r="AO244" i="32"/>
  <c r="AM245" i="32"/>
  <c r="AN245" i="32"/>
  <c r="AO245" i="32"/>
  <c r="AM246" i="32"/>
  <c r="AN246" i="32"/>
  <c r="AO246" i="32"/>
  <c r="AM247" i="32"/>
  <c r="AN247" i="32"/>
  <c r="AO247" i="32"/>
  <c r="AM248" i="32"/>
  <c r="AN248" i="32"/>
  <c r="AO248" i="32"/>
  <c r="AM249" i="32"/>
  <c r="AN249" i="32"/>
  <c r="AO249" i="32"/>
  <c r="AM250" i="32"/>
  <c r="AN250" i="32"/>
  <c r="AO250" i="32"/>
  <c r="AM251" i="32"/>
  <c r="AN251" i="32"/>
  <c r="AO251" i="32"/>
  <c r="AM252" i="32"/>
  <c r="AN252" i="32"/>
  <c r="AO252" i="32"/>
  <c r="AM253" i="32"/>
  <c r="AN253" i="32"/>
  <c r="AO253" i="32"/>
  <c r="AM254" i="32"/>
  <c r="AN254" i="32"/>
  <c r="AO254" i="32"/>
  <c r="AM255" i="32"/>
  <c r="AN255" i="32"/>
  <c r="AO255" i="32"/>
  <c r="AM256" i="32"/>
  <c r="AN256" i="32"/>
  <c r="AO256" i="32"/>
  <c r="AM257" i="32"/>
  <c r="AN257" i="32"/>
  <c r="AO257" i="32"/>
  <c r="AM258" i="32"/>
  <c r="AN258" i="32"/>
  <c r="AO258" i="32"/>
  <c r="AM259" i="32"/>
  <c r="AN259" i="32"/>
  <c r="AO259" i="32"/>
  <c r="AM260" i="32"/>
  <c r="AN260" i="32"/>
  <c r="AO260" i="32"/>
  <c r="AM261" i="32"/>
  <c r="AN261" i="32"/>
  <c r="AO261" i="32"/>
  <c r="AM262" i="32"/>
  <c r="AN262" i="32"/>
  <c r="AO262" i="32"/>
  <c r="AM263" i="32"/>
  <c r="AN263" i="32"/>
  <c r="AO263" i="32"/>
  <c r="AM264" i="32"/>
  <c r="AN264" i="32"/>
  <c r="AO264" i="32"/>
  <c r="AM265" i="32"/>
  <c r="AN265" i="32"/>
  <c r="AO265" i="32"/>
  <c r="AM266" i="32"/>
  <c r="AN266" i="32"/>
  <c r="AO266" i="32"/>
  <c r="AM267" i="32"/>
  <c r="AN267" i="32"/>
  <c r="AO267" i="32"/>
  <c r="AM268" i="32"/>
  <c r="AN268" i="32"/>
  <c r="AO268" i="32"/>
  <c r="AM269" i="32"/>
  <c r="AN269" i="32"/>
  <c r="AO269" i="32"/>
  <c r="AM270" i="32"/>
  <c r="AN270" i="32"/>
  <c r="AO270" i="32"/>
  <c r="AM271" i="32"/>
  <c r="AN271" i="32"/>
  <c r="AO271" i="32"/>
  <c r="AM272" i="32"/>
  <c r="AN272" i="32"/>
  <c r="AO272" i="32"/>
  <c r="AM273" i="32"/>
  <c r="AN273" i="32"/>
  <c r="AO273" i="32"/>
  <c r="AM274" i="32"/>
  <c r="AN274" i="32"/>
  <c r="AO274" i="32"/>
  <c r="AM275" i="32"/>
  <c r="AN275" i="32"/>
  <c r="AO275" i="32"/>
  <c r="AM276" i="32"/>
  <c r="AN276" i="32"/>
  <c r="AO276" i="32"/>
  <c r="AM277" i="32"/>
  <c r="AN277" i="32"/>
  <c r="AO277" i="32"/>
  <c r="AM278" i="32"/>
  <c r="AN278" i="32"/>
  <c r="AO278" i="32"/>
  <c r="AM279" i="32"/>
  <c r="AN279" i="32"/>
  <c r="AO279" i="32"/>
  <c r="AM280" i="32"/>
  <c r="AN280" i="32"/>
  <c r="AO280" i="32"/>
  <c r="AM281" i="32"/>
  <c r="AN281" i="32"/>
  <c r="AO281" i="32"/>
  <c r="AM282" i="32"/>
  <c r="AN282" i="32"/>
  <c r="AO282" i="32"/>
  <c r="AM283" i="32"/>
  <c r="AN283" i="32"/>
  <c r="AO283" i="32"/>
  <c r="AM284" i="32"/>
  <c r="AN284" i="32"/>
  <c r="AO284" i="32"/>
  <c r="AM285" i="32"/>
  <c r="AN285" i="32"/>
  <c r="AO285" i="32"/>
  <c r="AM286" i="32"/>
  <c r="AN286" i="32"/>
  <c r="AO286" i="32"/>
  <c r="AM287" i="32"/>
  <c r="AN287" i="32"/>
  <c r="AO287" i="32"/>
  <c r="AM288" i="32"/>
  <c r="AN288" i="32"/>
  <c r="AO288" i="32"/>
  <c r="AM289" i="32"/>
  <c r="AN289" i="32"/>
  <c r="AO289" i="32"/>
  <c r="AM290" i="32"/>
  <c r="AN290" i="32"/>
  <c r="AO290" i="32"/>
  <c r="AM291" i="32"/>
  <c r="AN291" i="32"/>
  <c r="AO291" i="32"/>
  <c r="AM292" i="32"/>
  <c r="AN292" i="32"/>
  <c r="AO292" i="32"/>
  <c r="AM293" i="32"/>
  <c r="AN293" i="32"/>
  <c r="AO293" i="32"/>
  <c r="AM294" i="32"/>
  <c r="AN294" i="32"/>
  <c r="AO294" i="32"/>
  <c r="AM295" i="32"/>
  <c r="AN295" i="32"/>
  <c r="AO295" i="32"/>
  <c r="AM296" i="32"/>
  <c r="AN296" i="32"/>
  <c r="AO296" i="32"/>
  <c r="AM297" i="32"/>
  <c r="AN297" i="32"/>
  <c r="AO297" i="32"/>
  <c r="AM298" i="32"/>
  <c r="AN298" i="32"/>
  <c r="AO298" i="32"/>
  <c r="AM299" i="32"/>
  <c r="AN299" i="32"/>
  <c r="AO299" i="32"/>
  <c r="AM300" i="32"/>
  <c r="AN300" i="32"/>
  <c r="AO300" i="32"/>
  <c r="AM301" i="32"/>
  <c r="AN301" i="32"/>
  <c r="AO301" i="32"/>
  <c r="AM302" i="32"/>
  <c r="AN302" i="32"/>
  <c r="AO302" i="32"/>
  <c r="AM303" i="32"/>
  <c r="AN303" i="32"/>
  <c r="AO303" i="32"/>
  <c r="AM304" i="32"/>
  <c r="AN304" i="32"/>
  <c r="AO304" i="32"/>
  <c r="AM305" i="32"/>
  <c r="AN305" i="32"/>
  <c r="AO305" i="32"/>
  <c r="AM306" i="32"/>
  <c r="AN306" i="32"/>
  <c r="AO306" i="32"/>
  <c r="AM307" i="32"/>
  <c r="AN307" i="32"/>
  <c r="AO307" i="32"/>
  <c r="AM308" i="32"/>
  <c r="AN308" i="32"/>
  <c r="AO308" i="32"/>
  <c r="AM309" i="32"/>
  <c r="AN309" i="32"/>
  <c r="AO309" i="32"/>
  <c r="AM310" i="32"/>
  <c r="AN310" i="32"/>
  <c r="AO310" i="32"/>
  <c r="AM311" i="32"/>
  <c r="AN311" i="32"/>
  <c r="AO311" i="32"/>
  <c r="AM312" i="32"/>
  <c r="AN312" i="32"/>
  <c r="AO312" i="32"/>
  <c r="AM313" i="32"/>
  <c r="AN313" i="32"/>
  <c r="AO313" i="32"/>
  <c r="AM314" i="32"/>
  <c r="AN314" i="32"/>
  <c r="AO314" i="32"/>
  <c r="AM315" i="32"/>
  <c r="AN315" i="32"/>
  <c r="AO315" i="32"/>
  <c r="AM316" i="32"/>
  <c r="AN316" i="32"/>
  <c r="AO316" i="32"/>
  <c r="AM317" i="32"/>
  <c r="AN317" i="32"/>
  <c r="AO317" i="32"/>
  <c r="AM318" i="32"/>
  <c r="AN318" i="32"/>
  <c r="AO318" i="32"/>
  <c r="AM319" i="32"/>
  <c r="AN319" i="32"/>
  <c r="AO319" i="32"/>
  <c r="AM320" i="32"/>
  <c r="AN320" i="32"/>
  <c r="AO320" i="32"/>
  <c r="AM321" i="32"/>
  <c r="AN321" i="32"/>
  <c r="AO321" i="32"/>
  <c r="AM322" i="32"/>
  <c r="AN322" i="32"/>
  <c r="AO322" i="32"/>
  <c r="AM323" i="32"/>
  <c r="AN323" i="32"/>
  <c r="AO323" i="32"/>
  <c r="AM324" i="32"/>
  <c r="AN324" i="32"/>
  <c r="AO324" i="32"/>
  <c r="AM325" i="32"/>
  <c r="AN325" i="32"/>
  <c r="AO325" i="32"/>
  <c r="AM326" i="32"/>
  <c r="AN326" i="32"/>
  <c r="AO326" i="32"/>
  <c r="AM327" i="32"/>
  <c r="AN327" i="32"/>
  <c r="AO327" i="32"/>
  <c r="AM328" i="32"/>
  <c r="AN328" i="32"/>
  <c r="AO328" i="32"/>
  <c r="AM329" i="32"/>
  <c r="AN329" i="32"/>
  <c r="AO329" i="32"/>
  <c r="AM330" i="32"/>
  <c r="AN330" i="32"/>
  <c r="AO330" i="32"/>
  <c r="AM331" i="32"/>
  <c r="AN331" i="32"/>
  <c r="AO331" i="32"/>
  <c r="AM332" i="32"/>
  <c r="AN332" i="32"/>
  <c r="AO332" i="32"/>
  <c r="AM333" i="32"/>
  <c r="AN333" i="32"/>
  <c r="AO333" i="32"/>
  <c r="AM334" i="32"/>
  <c r="AN334" i="32"/>
  <c r="AO334" i="32"/>
  <c r="AM335" i="32"/>
  <c r="AN335" i="32"/>
  <c r="AO335" i="32"/>
  <c r="AM336" i="32"/>
  <c r="AN336" i="32"/>
  <c r="AO336" i="32"/>
  <c r="AM337" i="32"/>
  <c r="AN337" i="32"/>
  <c r="AO337" i="32"/>
  <c r="AM338" i="32"/>
  <c r="AN338" i="32"/>
  <c r="AO338" i="32"/>
  <c r="AM339" i="32"/>
  <c r="AN339" i="32"/>
  <c r="AO339" i="32"/>
  <c r="AM340" i="32"/>
  <c r="AN340" i="32"/>
  <c r="AO340" i="32"/>
  <c r="AM341" i="32"/>
  <c r="AN341" i="32"/>
  <c r="AO341" i="32"/>
  <c r="AM342" i="32"/>
  <c r="AN342" i="32"/>
  <c r="AO342" i="32"/>
  <c r="AM343" i="32"/>
  <c r="AN343" i="32"/>
  <c r="AO343" i="32"/>
  <c r="AM344" i="32"/>
  <c r="AN344" i="32"/>
  <c r="AO344" i="32"/>
  <c r="AM345" i="32"/>
  <c r="AN345" i="32"/>
  <c r="AO345" i="32"/>
  <c r="AM346" i="32"/>
  <c r="AN346" i="32"/>
  <c r="AO346" i="32"/>
  <c r="AM347" i="32"/>
  <c r="AN347" i="32"/>
  <c r="AO347" i="32"/>
  <c r="AM348" i="32"/>
  <c r="AN348" i="32"/>
  <c r="AO348" i="32"/>
  <c r="AM349" i="32"/>
  <c r="AN349" i="32"/>
  <c r="AO349" i="32"/>
  <c r="AM350" i="32"/>
  <c r="AN350" i="32"/>
  <c r="AO350" i="32"/>
  <c r="AM351" i="32"/>
  <c r="AN351" i="32"/>
  <c r="AO351" i="32"/>
  <c r="AM352" i="32"/>
  <c r="AN352" i="32"/>
  <c r="AO352" i="32"/>
  <c r="AM353" i="32"/>
  <c r="AN353" i="32"/>
  <c r="AO353" i="32"/>
  <c r="AM354" i="32"/>
  <c r="AN354" i="32"/>
  <c r="AO354" i="32"/>
  <c r="AM355" i="32"/>
  <c r="AN355" i="32"/>
  <c r="AO355" i="32"/>
  <c r="AM356" i="32"/>
  <c r="AN356" i="32"/>
  <c r="AO356" i="32"/>
  <c r="AM357" i="32"/>
  <c r="AN357" i="32"/>
  <c r="AO357" i="32"/>
  <c r="AM358" i="32"/>
  <c r="AN358" i="32"/>
  <c r="AO358" i="32"/>
  <c r="AM359" i="32"/>
  <c r="AN359" i="32"/>
  <c r="AO359" i="32"/>
  <c r="AM360" i="32"/>
  <c r="AN360" i="32"/>
  <c r="AO360" i="32"/>
  <c r="AM361" i="32"/>
  <c r="AN361" i="32"/>
  <c r="AO361" i="32"/>
  <c r="AM362" i="32"/>
  <c r="AN362" i="32"/>
  <c r="AO362" i="32"/>
  <c r="AM363" i="32"/>
  <c r="AN363" i="32"/>
  <c r="AO363" i="32"/>
  <c r="AM364" i="32"/>
  <c r="AN364" i="32"/>
  <c r="AO364" i="32"/>
  <c r="AM365" i="32"/>
  <c r="AN365" i="32"/>
  <c r="AO365" i="32"/>
  <c r="AM366" i="32"/>
  <c r="AN366" i="32"/>
  <c r="AO366" i="32"/>
  <c r="AM367" i="32"/>
  <c r="AN367" i="32"/>
  <c r="AO367" i="32"/>
  <c r="AM368" i="32"/>
  <c r="AN368" i="32"/>
  <c r="AO368" i="32"/>
  <c r="AM369" i="32"/>
  <c r="AN369" i="32"/>
  <c r="AO369" i="32"/>
  <c r="AM370" i="32"/>
  <c r="AN370" i="32"/>
  <c r="AO370" i="32"/>
  <c r="AM371" i="32"/>
  <c r="AN371" i="32"/>
  <c r="AO371" i="32"/>
  <c r="AM372" i="32"/>
  <c r="AN372" i="32"/>
  <c r="AO372" i="32"/>
  <c r="AM373" i="32"/>
  <c r="AN373" i="32"/>
  <c r="AO373" i="32"/>
  <c r="AM374" i="32"/>
  <c r="AN374" i="32"/>
  <c r="AO374" i="32"/>
  <c r="AM375" i="32"/>
  <c r="AN375" i="32"/>
  <c r="AO375" i="32"/>
  <c r="AM376" i="32"/>
  <c r="AN376" i="32"/>
  <c r="AO376" i="32"/>
  <c r="AM377" i="32"/>
  <c r="AN377" i="32"/>
  <c r="AO377" i="32"/>
  <c r="AM378" i="32"/>
  <c r="AN378" i="32"/>
  <c r="AO378" i="32"/>
  <c r="AM379" i="32"/>
  <c r="AN379" i="32"/>
  <c r="AO379" i="32"/>
  <c r="AM380" i="32"/>
  <c r="AN380" i="32"/>
  <c r="AO380" i="32"/>
  <c r="AM381" i="32"/>
  <c r="AN381" i="32"/>
  <c r="AO381" i="32"/>
  <c r="AM382" i="32"/>
  <c r="AN382" i="32"/>
  <c r="AO382" i="32"/>
  <c r="AM383" i="32"/>
  <c r="AN383" i="32"/>
  <c r="AO383" i="32"/>
  <c r="AM384" i="32"/>
  <c r="AN384" i="32"/>
  <c r="AO384" i="32"/>
  <c r="AM385" i="32"/>
  <c r="AN385" i="32"/>
  <c r="AO385" i="32"/>
  <c r="AM386" i="32"/>
  <c r="AN386" i="32"/>
  <c r="AO386" i="32"/>
  <c r="AM387" i="32"/>
  <c r="AN387" i="32"/>
  <c r="AO387" i="32"/>
  <c r="AM388" i="32"/>
  <c r="AN388" i="32"/>
  <c r="AO388" i="32"/>
  <c r="AM389" i="32"/>
  <c r="AN389" i="32"/>
  <c r="AO389" i="32"/>
  <c r="AM390" i="32"/>
  <c r="AN390" i="32"/>
  <c r="AO390" i="32"/>
  <c r="AM391" i="32"/>
  <c r="AN391" i="32"/>
  <c r="AO391" i="32"/>
  <c r="AM392" i="32"/>
  <c r="AN392" i="32"/>
  <c r="AO392" i="32"/>
  <c r="AM393" i="32"/>
  <c r="AN393" i="32"/>
  <c r="AO393" i="32"/>
  <c r="AM394" i="32"/>
  <c r="AN394" i="32"/>
  <c r="AO394" i="32"/>
  <c r="AM395" i="32"/>
  <c r="AN395" i="32"/>
  <c r="AO395" i="32"/>
  <c r="AM396" i="32"/>
  <c r="AN396" i="32"/>
  <c r="AO396" i="32"/>
  <c r="AM397" i="32"/>
  <c r="AN397" i="32"/>
  <c r="AO397" i="32"/>
  <c r="AM398" i="32"/>
  <c r="AN398" i="32"/>
  <c r="AO398" i="32"/>
  <c r="AM399" i="32"/>
  <c r="AN399" i="32"/>
  <c r="AO399" i="32"/>
  <c r="AM400" i="32"/>
  <c r="AN400" i="32"/>
  <c r="AO400" i="32"/>
  <c r="AM401" i="32"/>
  <c r="AN401" i="32"/>
  <c r="AO401" i="32"/>
  <c r="AM402" i="32"/>
  <c r="AN402" i="32"/>
  <c r="AO402" i="32"/>
  <c r="AM403" i="32"/>
  <c r="AN403" i="32"/>
  <c r="AO403" i="32"/>
  <c r="AM404" i="32"/>
  <c r="AN404" i="32"/>
  <c r="AO404" i="32"/>
  <c r="AM405" i="32"/>
  <c r="AN405" i="32"/>
  <c r="AO405" i="32"/>
  <c r="AM406" i="32"/>
  <c r="AN406" i="32"/>
  <c r="AO406" i="32"/>
  <c r="AM407" i="32"/>
  <c r="AN407" i="32"/>
  <c r="AO407" i="32"/>
  <c r="AM408" i="32"/>
  <c r="AN408" i="32"/>
  <c r="AO408" i="32"/>
  <c r="AM409" i="32"/>
  <c r="AN409" i="32"/>
  <c r="AO409" i="32"/>
  <c r="AM410" i="32"/>
  <c r="AN410" i="32"/>
  <c r="AO410" i="32"/>
  <c r="AM411" i="32"/>
  <c r="AN411" i="32"/>
  <c r="AO411" i="32"/>
  <c r="AM412" i="32"/>
  <c r="AN412" i="32"/>
  <c r="AO412" i="32"/>
  <c r="AM413" i="32"/>
  <c r="AN413" i="32"/>
  <c r="AO413" i="32"/>
  <c r="AM414" i="32"/>
  <c r="AN414" i="32"/>
  <c r="AO414" i="32"/>
  <c r="AM415" i="32"/>
  <c r="AN415" i="32"/>
  <c r="AO415" i="32"/>
  <c r="AM416" i="32"/>
  <c r="AN416" i="32"/>
  <c r="AO416" i="32"/>
  <c r="AM417" i="32"/>
  <c r="AN417" i="32"/>
  <c r="AO417" i="32"/>
  <c r="AM418" i="32"/>
  <c r="AN418" i="32"/>
  <c r="AO418" i="32"/>
  <c r="AM419" i="32"/>
  <c r="AN419" i="32"/>
  <c r="AO419" i="32"/>
  <c r="AM420" i="32"/>
  <c r="AN420" i="32"/>
  <c r="AO420" i="32"/>
  <c r="AM421" i="32"/>
  <c r="AN421" i="32"/>
  <c r="AO421" i="32"/>
  <c r="AM422" i="32"/>
  <c r="AN422" i="32"/>
  <c r="AO422" i="32"/>
  <c r="AM423" i="32"/>
  <c r="AN423" i="32"/>
  <c r="AO423" i="32"/>
  <c r="AM424" i="32"/>
  <c r="AN424" i="32"/>
  <c r="AO424" i="32"/>
  <c r="AM425" i="32"/>
  <c r="AN425" i="32"/>
  <c r="AO425" i="32"/>
  <c r="AM426" i="32"/>
  <c r="AN426" i="32"/>
  <c r="AO426" i="32"/>
  <c r="AM427" i="32"/>
  <c r="AN427" i="32"/>
  <c r="AO427" i="32"/>
  <c r="AM428" i="32"/>
  <c r="AN428" i="32"/>
  <c r="AO428" i="32"/>
  <c r="AM429" i="32"/>
  <c r="AN429" i="32"/>
  <c r="AO429" i="32"/>
  <c r="AM430" i="32"/>
  <c r="AN430" i="32"/>
  <c r="AO430" i="32"/>
  <c r="AM431" i="32"/>
  <c r="AN431" i="32"/>
  <c r="AO431" i="32"/>
  <c r="AM432" i="32"/>
  <c r="AN432" i="32"/>
  <c r="AO432" i="32"/>
  <c r="AM433" i="32"/>
  <c r="AN433" i="32"/>
  <c r="AO433" i="32"/>
  <c r="AM434" i="32"/>
  <c r="AN434" i="32"/>
  <c r="AO434" i="32"/>
  <c r="AM435" i="32"/>
  <c r="AN435" i="32"/>
  <c r="AO435" i="32"/>
  <c r="AM436" i="32"/>
  <c r="AN436" i="32"/>
  <c r="AO436" i="32"/>
  <c r="AM437" i="32"/>
  <c r="AN437" i="32"/>
  <c r="AO437" i="32"/>
  <c r="AM438" i="32"/>
  <c r="AN438" i="32"/>
  <c r="AO438" i="32"/>
  <c r="AM439" i="32"/>
  <c r="AN439" i="32"/>
  <c r="AO439" i="32"/>
  <c r="AM440" i="32"/>
  <c r="AN440" i="32"/>
  <c r="AO440" i="32"/>
  <c r="AM441" i="32"/>
  <c r="AN441" i="32"/>
  <c r="AO441" i="32"/>
  <c r="AM442" i="32"/>
  <c r="AN442" i="32"/>
  <c r="AO442" i="32"/>
  <c r="AM443" i="32"/>
  <c r="AN443" i="32"/>
  <c r="AO443" i="32"/>
  <c r="AM444" i="32"/>
  <c r="AN444" i="32"/>
  <c r="AO444" i="32"/>
  <c r="AM445" i="32"/>
  <c r="AN445" i="32"/>
  <c r="AO445" i="32"/>
  <c r="AM446" i="32"/>
  <c r="AN446" i="32"/>
  <c r="AO446" i="32"/>
  <c r="AM447" i="32"/>
  <c r="AN447" i="32"/>
  <c r="AO447" i="32"/>
  <c r="AM448" i="32"/>
  <c r="AN448" i="32"/>
  <c r="AO448" i="32"/>
  <c r="AM449" i="32"/>
  <c r="AN449" i="32"/>
  <c r="AO449" i="32"/>
  <c r="AM450" i="32"/>
  <c r="AN450" i="32"/>
  <c r="AO450" i="32"/>
  <c r="AM451" i="32"/>
  <c r="AN451" i="32"/>
  <c r="AO451" i="32"/>
  <c r="AM452" i="32"/>
  <c r="AN452" i="32"/>
  <c r="AO452" i="32"/>
  <c r="AM453" i="32"/>
  <c r="AN453" i="32"/>
  <c r="AO453" i="32"/>
  <c r="AM454" i="32"/>
  <c r="AN454" i="32"/>
  <c r="AO454" i="32"/>
  <c r="AM455" i="32"/>
  <c r="AN455" i="32"/>
  <c r="AO455" i="32"/>
  <c r="AM456" i="32"/>
  <c r="AN456" i="32"/>
  <c r="AO456" i="32"/>
  <c r="AM457" i="32"/>
  <c r="AN457" i="32"/>
  <c r="AO457" i="32"/>
  <c r="AM458" i="32"/>
  <c r="AN458" i="32"/>
  <c r="AO458" i="32"/>
  <c r="AM459" i="32"/>
  <c r="AN459" i="32"/>
  <c r="AO459" i="32"/>
  <c r="AM460" i="32"/>
  <c r="AN460" i="32"/>
  <c r="AO460" i="32"/>
  <c r="AM461" i="32"/>
  <c r="AN461" i="32"/>
  <c r="AO461" i="32"/>
  <c r="AM462" i="32"/>
  <c r="AN462" i="32"/>
  <c r="AO462" i="32"/>
  <c r="AM463" i="32"/>
  <c r="AN463" i="32"/>
  <c r="AO463" i="32"/>
  <c r="AM464" i="32"/>
  <c r="AN464" i="32"/>
  <c r="AO464" i="32"/>
  <c r="AM465" i="32"/>
  <c r="AN465" i="32"/>
  <c r="AO465" i="32"/>
  <c r="AM466" i="32"/>
  <c r="AN466" i="32"/>
  <c r="AO466" i="32"/>
  <c r="AM467" i="32"/>
  <c r="AN467" i="32"/>
  <c r="AO467" i="32"/>
  <c r="AM468" i="32"/>
  <c r="AN468" i="32"/>
  <c r="AO468" i="32"/>
  <c r="AM469" i="32"/>
  <c r="AN469" i="32"/>
  <c r="AO469" i="32"/>
  <c r="AM470" i="32"/>
  <c r="AN470" i="32"/>
  <c r="AO470" i="32"/>
  <c r="AM471" i="32"/>
  <c r="AN471" i="32"/>
  <c r="AO471" i="32"/>
  <c r="AM472" i="32"/>
  <c r="AN472" i="32"/>
  <c r="AO472" i="32"/>
  <c r="AM473" i="32"/>
  <c r="AN473" i="32"/>
  <c r="AO473" i="32"/>
  <c r="AM474" i="32"/>
  <c r="AN474" i="32"/>
  <c r="AO474" i="32"/>
  <c r="AM475" i="32"/>
  <c r="AN475" i="32"/>
  <c r="AO475" i="32"/>
  <c r="AM476" i="32"/>
  <c r="AN476" i="32"/>
  <c r="AO476" i="32"/>
  <c r="AM477" i="32"/>
  <c r="AN477" i="32"/>
  <c r="AO477" i="32"/>
  <c r="AM478" i="32"/>
  <c r="AN478" i="32"/>
  <c r="AO478" i="32"/>
  <c r="AM479" i="32"/>
  <c r="AN479" i="32"/>
  <c r="AO479" i="32"/>
  <c r="AM480" i="32"/>
  <c r="AN480" i="32"/>
  <c r="AO480" i="32"/>
  <c r="AM481" i="32"/>
  <c r="AN481" i="32"/>
  <c r="AO481" i="32"/>
  <c r="AM482" i="32"/>
  <c r="AN482" i="32"/>
  <c r="AO482" i="32"/>
  <c r="AM483" i="32"/>
  <c r="AN483" i="32"/>
  <c r="AO483" i="32"/>
  <c r="AM484" i="32"/>
  <c r="AN484" i="32"/>
  <c r="AO484" i="32"/>
  <c r="AM485" i="32"/>
  <c r="AN485" i="32"/>
  <c r="AO485" i="32"/>
  <c r="AM486" i="32"/>
  <c r="AN486" i="32"/>
  <c r="AO486" i="32"/>
  <c r="AM487" i="32"/>
  <c r="AN487" i="32"/>
  <c r="AO487" i="32"/>
  <c r="AM488" i="32"/>
  <c r="AN488" i="32"/>
  <c r="AO488" i="32"/>
  <c r="AM489" i="32"/>
  <c r="AN489" i="32"/>
  <c r="AO489" i="32"/>
  <c r="AM490" i="32"/>
  <c r="AN490" i="32"/>
  <c r="AO490" i="32"/>
  <c r="AM491" i="32"/>
  <c r="AN491" i="32"/>
  <c r="AO491" i="32"/>
  <c r="AM492" i="32"/>
  <c r="AN492" i="32"/>
  <c r="AO492" i="32"/>
  <c r="AM493" i="32"/>
  <c r="AN493" i="32"/>
  <c r="AO493" i="32"/>
  <c r="AM494" i="32"/>
  <c r="AN494" i="32"/>
  <c r="AO494" i="32"/>
  <c r="AM495" i="32"/>
  <c r="AN495" i="32"/>
  <c r="AO495" i="32"/>
  <c r="AM496" i="32"/>
  <c r="AN496" i="32"/>
  <c r="AO496" i="32"/>
  <c r="AM497" i="32"/>
  <c r="AN497" i="32"/>
  <c r="AO497" i="32"/>
  <c r="AM498" i="32"/>
  <c r="AN498" i="32"/>
  <c r="AO498" i="32"/>
  <c r="AM499" i="32"/>
  <c r="AN499" i="32"/>
  <c r="AO499" i="32"/>
  <c r="AM500" i="32"/>
  <c r="AN500" i="32"/>
  <c r="AO500" i="32"/>
  <c r="AM501" i="32"/>
  <c r="AN501" i="32"/>
  <c r="AO501" i="32"/>
  <c r="AM502" i="32"/>
  <c r="AN502" i="32"/>
  <c r="AO502" i="32"/>
  <c r="AM503" i="32"/>
  <c r="AN503" i="32"/>
  <c r="AO503" i="32"/>
  <c r="AM504" i="32"/>
  <c r="AN504" i="32"/>
  <c r="AO504" i="32"/>
  <c r="AM505" i="32"/>
  <c r="AN505" i="32"/>
  <c r="AO505" i="32"/>
  <c r="AM506" i="32"/>
  <c r="AN506" i="32"/>
  <c r="AO506" i="32"/>
  <c r="AM507" i="32"/>
  <c r="AN507" i="32"/>
  <c r="AO507" i="32"/>
  <c r="AM508" i="32"/>
  <c r="AN508" i="32"/>
  <c r="AO508" i="32"/>
  <c r="AM509" i="32"/>
  <c r="AN509" i="32"/>
  <c r="AO509" i="32"/>
  <c r="AM510" i="32"/>
  <c r="AN510" i="32"/>
  <c r="AO510" i="32"/>
  <c r="AM511" i="32"/>
  <c r="AN511" i="32"/>
  <c r="AO511" i="32"/>
  <c r="AM512" i="32"/>
  <c r="AN512" i="32"/>
  <c r="AO512" i="32"/>
  <c r="AM513" i="32"/>
  <c r="AN513" i="32"/>
  <c r="AO513" i="32"/>
  <c r="AM514" i="32"/>
  <c r="AN514" i="32"/>
  <c r="AO514" i="32"/>
  <c r="AM515" i="32"/>
  <c r="AN515" i="32"/>
  <c r="AO515" i="32"/>
  <c r="AM516" i="32"/>
  <c r="AN516" i="32"/>
  <c r="AO516" i="32"/>
  <c r="AM517" i="32"/>
  <c r="AN517" i="32"/>
  <c r="AO517" i="32"/>
  <c r="AM518" i="32"/>
  <c r="AN518" i="32"/>
  <c r="AO518" i="32"/>
  <c r="AM519" i="32"/>
  <c r="AN519" i="32"/>
  <c r="AO519" i="32"/>
  <c r="AM520" i="32"/>
  <c r="AN520" i="32"/>
  <c r="AO520" i="32"/>
  <c r="AM521" i="32"/>
  <c r="AN521" i="32"/>
  <c r="AO521" i="32"/>
  <c r="AM522" i="32"/>
  <c r="AN522" i="32"/>
  <c r="AO522" i="32"/>
  <c r="AM523" i="32"/>
  <c r="AN523" i="32"/>
  <c r="AO523" i="32"/>
  <c r="AM524" i="32"/>
  <c r="AN524" i="32"/>
  <c r="AO524" i="32"/>
  <c r="AM525" i="32"/>
  <c r="AN525" i="32"/>
  <c r="AO525" i="32"/>
  <c r="AM526" i="32"/>
  <c r="AN526" i="32"/>
  <c r="AO526" i="32"/>
  <c r="AM527" i="32"/>
  <c r="AN527" i="32"/>
  <c r="AO527" i="32"/>
  <c r="AM528" i="32"/>
  <c r="AN528" i="32"/>
  <c r="AO528" i="32"/>
  <c r="AM529" i="32"/>
  <c r="AN529" i="32"/>
  <c r="AO529" i="32"/>
  <c r="AM530" i="32"/>
  <c r="AN530" i="32"/>
  <c r="AO530" i="32"/>
  <c r="AM531" i="32"/>
  <c r="AN531" i="32"/>
  <c r="AO531" i="32"/>
  <c r="AM532" i="32"/>
  <c r="AN532" i="32"/>
  <c r="AO532" i="32"/>
  <c r="AM533" i="32"/>
  <c r="AN533" i="32"/>
  <c r="AO533" i="32"/>
  <c r="AM534" i="32"/>
  <c r="AN534" i="32"/>
  <c r="AO534" i="32"/>
  <c r="AM535" i="32"/>
  <c r="AN535" i="32"/>
  <c r="AO535" i="32"/>
  <c r="AM536" i="32"/>
  <c r="AN536" i="32"/>
  <c r="AO536" i="32"/>
  <c r="AM537" i="32"/>
  <c r="AN537" i="32"/>
  <c r="AO537" i="32"/>
  <c r="AM538" i="32"/>
  <c r="AN538" i="32"/>
  <c r="AO538" i="32"/>
  <c r="AM539" i="32"/>
  <c r="AN539" i="32"/>
  <c r="AO539" i="32"/>
  <c r="AM540" i="32"/>
  <c r="AN540" i="32"/>
  <c r="AO540" i="32"/>
  <c r="AM541" i="32"/>
  <c r="AN541" i="32"/>
  <c r="AO541" i="32"/>
  <c r="AM542" i="32"/>
  <c r="AN542" i="32"/>
  <c r="AO542" i="32"/>
  <c r="AM543" i="32"/>
  <c r="AN543" i="32"/>
  <c r="AO543" i="32"/>
  <c r="AM544" i="32"/>
  <c r="AN544" i="32"/>
  <c r="AO544" i="32"/>
  <c r="AM545" i="32"/>
  <c r="AN545" i="32"/>
  <c r="AO545" i="32"/>
  <c r="AM546" i="32"/>
  <c r="AN546" i="32"/>
  <c r="AO546" i="32"/>
  <c r="AM547" i="32"/>
  <c r="AN547" i="32"/>
  <c r="AO547" i="32"/>
  <c r="AM548" i="32"/>
  <c r="AN548" i="32"/>
  <c r="AO548" i="32"/>
  <c r="AM549" i="32"/>
  <c r="AN549" i="32"/>
  <c r="AO549" i="32"/>
  <c r="AM550" i="32"/>
  <c r="AN550" i="32"/>
  <c r="AO550" i="32"/>
  <c r="AM551" i="32"/>
  <c r="AN551" i="32"/>
  <c r="AO551" i="32"/>
  <c r="AM552" i="32"/>
  <c r="AN552" i="32"/>
  <c r="AO552" i="32"/>
  <c r="AM553" i="32"/>
  <c r="AN553" i="32"/>
  <c r="AO553" i="32"/>
  <c r="AM554" i="32"/>
  <c r="AN554" i="32"/>
  <c r="AO554" i="32"/>
  <c r="AM555" i="32"/>
  <c r="AN555" i="32"/>
  <c r="AO555" i="32"/>
  <c r="AM556" i="32"/>
  <c r="AN556" i="32"/>
  <c r="AO556" i="32"/>
  <c r="AM557" i="32"/>
  <c r="AN557" i="32"/>
  <c r="AO557" i="32"/>
  <c r="AM558" i="32"/>
  <c r="AN558" i="32"/>
  <c r="AO558" i="32"/>
  <c r="AM559" i="32"/>
  <c r="AN559" i="32"/>
  <c r="AO559" i="32"/>
  <c r="AM560" i="32"/>
  <c r="AN560" i="32"/>
  <c r="AO560" i="32"/>
  <c r="AM561" i="32"/>
  <c r="AN561" i="32"/>
  <c r="AO561" i="32"/>
  <c r="AM562" i="32"/>
  <c r="AN562" i="32"/>
  <c r="AO562" i="32"/>
  <c r="AM563" i="32"/>
  <c r="AN563" i="32"/>
  <c r="AO563" i="32"/>
  <c r="AM564" i="32"/>
  <c r="AN564" i="32"/>
  <c r="AO564" i="32"/>
  <c r="AM565" i="32"/>
  <c r="AN565" i="32"/>
  <c r="AO565" i="32"/>
  <c r="AM566" i="32"/>
  <c r="AN566" i="32"/>
  <c r="AO566" i="32"/>
  <c r="AM567" i="32"/>
  <c r="AN567" i="32"/>
  <c r="AO567" i="32"/>
  <c r="AM568" i="32"/>
  <c r="AN568" i="32"/>
  <c r="AO568" i="32"/>
  <c r="AM569" i="32"/>
  <c r="AN569" i="32"/>
  <c r="AO569" i="32"/>
  <c r="AM570" i="32"/>
  <c r="AN570" i="32"/>
  <c r="AO570" i="32"/>
  <c r="AM571" i="32"/>
  <c r="AN571" i="32"/>
  <c r="AO571" i="32"/>
  <c r="AM572" i="32"/>
  <c r="AN572" i="32"/>
  <c r="AO572" i="32"/>
  <c r="AM573" i="32"/>
  <c r="AN573" i="32"/>
  <c r="AO573" i="32"/>
  <c r="AM574" i="32"/>
  <c r="AN574" i="32"/>
  <c r="AO574" i="32"/>
  <c r="AM575" i="32"/>
  <c r="AN575" i="32"/>
  <c r="AO575" i="32"/>
  <c r="AM576" i="32"/>
  <c r="AN576" i="32"/>
  <c r="AO576" i="32"/>
  <c r="AM577" i="32"/>
  <c r="AN577" i="32"/>
  <c r="AO577" i="32"/>
  <c r="AM578" i="32"/>
  <c r="AN578" i="32"/>
  <c r="AO578" i="32"/>
  <c r="AM579" i="32"/>
  <c r="AN579" i="32"/>
  <c r="AO579" i="32"/>
  <c r="AM580" i="32"/>
  <c r="AN580" i="32"/>
  <c r="AO580" i="32"/>
  <c r="AM581" i="32"/>
  <c r="AN581" i="32"/>
  <c r="AO581" i="32"/>
  <c r="AM582" i="32"/>
  <c r="AN582" i="32"/>
  <c r="AO582" i="32"/>
  <c r="AM583" i="32"/>
  <c r="AN583" i="32"/>
  <c r="AO583" i="32"/>
  <c r="AM584" i="32"/>
  <c r="AN584" i="32"/>
  <c r="AO584" i="32"/>
  <c r="AM585" i="32"/>
  <c r="AN585" i="32"/>
  <c r="AO585" i="32"/>
  <c r="AM586" i="32"/>
  <c r="AN586" i="32"/>
  <c r="AO586" i="32"/>
  <c r="AM587" i="32"/>
  <c r="AN587" i="32"/>
  <c r="AO587" i="32"/>
  <c r="AM588" i="32"/>
  <c r="AN588" i="32"/>
  <c r="AO588" i="32"/>
  <c r="AM589" i="32"/>
  <c r="AN589" i="32"/>
  <c r="AO589" i="32"/>
  <c r="AM590" i="32"/>
  <c r="AN590" i="32"/>
  <c r="AO590" i="32"/>
  <c r="AM591" i="32"/>
  <c r="AN591" i="32"/>
  <c r="AO591" i="32"/>
  <c r="AM592" i="32"/>
  <c r="AN592" i="32"/>
  <c r="AO592" i="32"/>
  <c r="AM593" i="32"/>
  <c r="AN593" i="32"/>
  <c r="AO593" i="32"/>
  <c r="AM594" i="32"/>
  <c r="AN594" i="32"/>
  <c r="AO594" i="32"/>
  <c r="AM595" i="32"/>
  <c r="AN595" i="32"/>
  <c r="AO595" i="32"/>
  <c r="AM596" i="32"/>
  <c r="AN596" i="32"/>
  <c r="AO596" i="32"/>
  <c r="AM597" i="32"/>
  <c r="AN597" i="32"/>
  <c r="AO597" i="32"/>
  <c r="AM598" i="32"/>
  <c r="AN598" i="32"/>
  <c r="AO598" i="32"/>
  <c r="AM599" i="32"/>
  <c r="AN599" i="32"/>
  <c r="AO599" i="32"/>
  <c r="AM600" i="32"/>
  <c r="AN600" i="32"/>
  <c r="AO600" i="32"/>
  <c r="AM601" i="32"/>
  <c r="AN601" i="32"/>
  <c r="AO601" i="32"/>
  <c r="AM602" i="32"/>
  <c r="AN602" i="32"/>
  <c r="AO602" i="32"/>
  <c r="AM603" i="32"/>
  <c r="AN603" i="32"/>
  <c r="AO603" i="32"/>
  <c r="AM604" i="32"/>
  <c r="AN604" i="32"/>
  <c r="AO604" i="32"/>
  <c r="AM605" i="32"/>
  <c r="AN605" i="32"/>
  <c r="AO605" i="32"/>
  <c r="AM606" i="32"/>
  <c r="AN606" i="32"/>
  <c r="AO606" i="32"/>
  <c r="AM607" i="32"/>
  <c r="AN607" i="32"/>
  <c r="AO607" i="32"/>
  <c r="AM608" i="32"/>
  <c r="AN608" i="32"/>
  <c r="AO608" i="32"/>
  <c r="AM609" i="32"/>
  <c r="AN609" i="32"/>
  <c r="AO609" i="32"/>
  <c r="AM610" i="32"/>
  <c r="AN610" i="32"/>
  <c r="AO610" i="32"/>
  <c r="AM611" i="32"/>
  <c r="AN611" i="32"/>
  <c r="AO611" i="32"/>
  <c r="AM612" i="32"/>
  <c r="AN612" i="32"/>
  <c r="AO612" i="32"/>
  <c r="AM613" i="32"/>
  <c r="AN613" i="32"/>
  <c r="AO613" i="32"/>
  <c r="AM614" i="32"/>
  <c r="AN614" i="32"/>
  <c r="AO614" i="32"/>
  <c r="AM615" i="32"/>
  <c r="AN615" i="32"/>
  <c r="AO615" i="32"/>
  <c r="AM616" i="32"/>
  <c r="AN616" i="32"/>
  <c r="AO616" i="32"/>
  <c r="AM617" i="32"/>
  <c r="AN617" i="32"/>
  <c r="AO617" i="32"/>
  <c r="AM618" i="32"/>
  <c r="AN618" i="32"/>
  <c r="AO618" i="32"/>
  <c r="AM619" i="32"/>
  <c r="AN619" i="32"/>
  <c r="AO619" i="32"/>
  <c r="AM620" i="32"/>
  <c r="AN620" i="32"/>
  <c r="AO620" i="32"/>
  <c r="AM621" i="32"/>
  <c r="AN621" i="32"/>
  <c r="AO621" i="32"/>
  <c r="AM622" i="32"/>
  <c r="AN622" i="32"/>
  <c r="AO622" i="32"/>
  <c r="AM623" i="32"/>
  <c r="AN623" i="32"/>
  <c r="AO623" i="32"/>
  <c r="AM624" i="32"/>
  <c r="AN624" i="32"/>
  <c r="AO624" i="32"/>
  <c r="AM625" i="32"/>
  <c r="AN625" i="32"/>
  <c r="AO625" i="32"/>
  <c r="AM626" i="32"/>
  <c r="AN626" i="32"/>
  <c r="AO626" i="32"/>
  <c r="AM627" i="32"/>
  <c r="AN627" i="32"/>
  <c r="AO627" i="32"/>
  <c r="AM628" i="32"/>
  <c r="AN628" i="32"/>
  <c r="AO628" i="32"/>
  <c r="AM629" i="32"/>
  <c r="AN629" i="32"/>
  <c r="AO629" i="32"/>
  <c r="AM630" i="32"/>
  <c r="AN630" i="32"/>
  <c r="AO630" i="32"/>
  <c r="AM631" i="32"/>
  <c r="AN631" i="32"/>
  <c r="AO631" i="32"/>
  <c r="AM632" i="32"/>
  <c r="AN632" i="32"/>
  <c r="AO632" i="32"/>
  <c r="AM633" i="32"/>
  <c r="AN633" i="32"/>
  <c r="AO633" i="32"/>
  <c r="CY3" i="49" l="1"/>
  <c r="CY4" i="49"/>
  <c r="CY5" i="49"/>
  <c r="CY6" i="49"/>
  <c r="CY7" i="49"/>
  <c r="CY8" i="49"/>
  <c r="CY9" i="49"/>
  <c r="CY10" i="49"/>
  <c r="CY11" i="49"/>
  <c r="CY12" i="49"/>
  <c r="CY13" i="49"/>
  <c r="CY14" i="49"/>
  <c r="CY2" i="49"/>
  <c r="B3" i="11" l="1"/>
  <c r="B4" i="11" s="1"/>
  <c r="B9" i="1" s="1"/>
  <c r="C6" i="40"/>
  <c r="C5" i="40"/>
  <c r="C4" i="40"/>
  <c r="B5" i="11" l="1"/>
  <c r="B10" i="1" s="1"/>
  <c r="AO4" i="32"/>
  <c r="S14" i="36"/>
  <c r="S15" i="36"/>
  <c r="S16" i="36"/>
  <c r="S17" i="36"/>
  <c r="S13" i="36"/>
  <c r="S14" i="19"/>
  <c r="S15" i="19"/>
  <c r="S16" i="19"/>
  <c r="S17" i="19"/>
  <c r="S18" i="19"/>
  <c r="B6" i="11" l="1"/>
  <c r="B11" i="1" s="1"/>
  <c r="AO5" i="32"/>
  <c r="B7" i="11" l="1"/>
  <c r="B12" i="1" s="1"/>
  <c r="AO6" i="32"/>
  <c r="K8" i="48"/>
  <c r="K9" i="48"/>
  <c r="K10" i="48"/>
  <c r="K11" i="48"/>
  <c r="K12" i="48"/>
  <c r="K13" i="48"/>
  <c r="K14" i="48"/>
  <c r="K15" i="48"/>
  <c r="K16" i="48"/>
  <c r="K7" i="48"/>
  <c r="B8" i="11" l="1"/>
  <c r="B13" i="1" s="1"/>
  <c r="AO7" i="32"/>
  <c r="B9" i="11" l="1"/>
  <c r="B14" i="1" s="1"/>
  <c r="AO8" i="32"/>
  <c r="B10" i="11" l="1"/>
  <c r="B15" i="1" s="1"/>
  <c r="AO9" i="32"/>
  <c r="C412" i="32"/>
  <c r="C413" i="32"/>
  <c r="C414" i="32"/>
  <c r="C415" i="32"/>
  <c r="C416" i="32"/>
  <c r="C417" i="32"/>
  <c r="C418" i="32"/>
  <c r="C419" i="32"/>
  <c r="C420" i="32"/>
  <c r="C421" i="32"/>
  <c r="C422" i="32"/>
  <c r="C423" i="32"/>
  <c r="C424" i="32"/>
  <c r="C425" i="32"/>
  <c r="C426" i="32"/>
  <c r="C427" i="32"/>
  <c r="C428" i="32"/>
  <c r="C429" i="32"/>
  <c r="C430" i="32"/>
  <c r="C431" i="32"/>
  <c r="C432" i="32"/>
  <c r="C433" i="32"/>
  <c r="C434" i="32"/>
  <c r="C435" i="32"/>
  <c r="C436" i="32"/>
  <c r="C437" i="32"/>
  <c r="C438" i="32"/>
  <c r="C439" i="32"/>
  <c r="C440" i="32"/>
  <c r="C441" i="32"/>
  <c r="C442" i="32"/>
  <c r="C443" i="32"/>
  <c r="C444" i="32"/>
  <c r="C445" i="32"/>
  <c r="C446" i="32"/>
  <c r="C447" i="32"/>
  <c r="C448" i="32"/>
  <c r="C449" i="32"/>
  <c r="C450" i="32"/>
  <c r="C451" i="32"/>
  <c r="C452" i="32"/>
  <c r="C453" i="32"/>
  <c r="C454" i="32"/>
  <c r="C455" i="32"/>
  <c r="C456" i="32"/>
  <c r="C457" i="32"/>
  <c r="C458" i="32"/>
  <c r="C459" i="32"/>
  <c r="C460" i="32"/>
  <c r="C461" i="32"/>
  <c r="C462" i="32"/>
  <c r="C463" i="32"/>
  <c r="C464" i="32"/>
  <c r="C465" i="32"/>
  <c r="C466" i="32"/>
  <c r="C467" i="32"/>
  <c r="C468" i="32"/>
  <c r="C469" i="32"/>
  <c r="C470" i="32"/>
  <c r="C471" i="32"/>
  <c r="C472" i="32"/>
  <c r="C473" i="32"/>
  <c r="C474" i="32"/>
  <c r="C475" i="32"/>
  <c r="C476" i="32"/>
  <c r="C477" i="32"/>
  <c r="C478" i="32"/>
  <c r="C479" i="32"/>
  <c r="C480" i="32"/>
  <c r="C481" i="32"/>
  <c r="C482" i="32"/>
  <c r="C483" i="32"/>
  <c r="C484" i="32"/>
  <c r="C485" i="32"/>
  <c r="C486" i="32"/>
  <c r="C487" i="32"/>
  <c r="C488" i="32"/>
  <c r="C489" i="32"/>
  <c r="C490" i="32"/>
  <c r="C491" i="32"/>
  <c r="C492" i="32"/>
  <c r="C493" i="32"/>
  <c r="C494" i="32"/>
  <c r="C495" i="32"/>
  <c r="C496" i="32"/>
  <c r="C497" i="32"/>
  <c r="C498" i="32"/>
  <c r="C499" i="32"/>
  <c r="C500" i="32"/>
  <c r="C501" i="32"/>
  <c r="C502" i="32"/>
  <c r="C503" i="32"/>
  <c r="C504" i="32"/>
  <c r="C505" i="32"/>
  <c r="C506" i="32"/>
  <c r="C507" i="32"/>
  <c r="C508" i="32"/>
  <c r="C509" i="32"/>
  <c r="C510" i="32"/>
  <c r="C511" i="32"/>
  <c r="C512" i="32"/>
  <c r="C513" i="32"/>
  <c r="C514" i="32"/>
  <c r="C515" i="32"/>
  <c r="C516" i="32"/>
  <c r="C517" i="32"/>
  <c r="C518" i="32"/>
  <c r="C519" i="32"/>
  <c r="C520" i="32"/>
  <c r="C521" i="32"/>
  <c r="C522" i="32"/>
  <c r="C523" i="32"/>
  <c r="C524" i="32"/>
  <c r="C525" i="32"/>
  <c r="C526" i="32"/>
  <c r="C527" i="32"/>
  <c r="C528" i="32"/>
  <c r="C529" i="32"/>
  <c r="C530" i="32"/>
  <c r="C531" i="32"/>
  <c r="C532" i="32"/>
  <c r="C533" i="32"/>
  <c r="C534" i="32"/>
  <c r="C535" i="32"/>
  <c r="C536" i="32"/>
  <c r="C537" i="32"/>
  <c r="C538" i="32"/>
  <c r="C539" i="32"/>
  <c r="C540" i="32"/>
  <c r="C541" i="32"/>
  <c r="C542" i="32"/>
  <c r="C543" i="32"/>
  <c r="C544" i="32"/>
  <c r="C545" i="32"/>
  <c r="C546" i="32"/>
  <c r="C547" i="32"/>
  <c r="C548" i="32"/>
  <c r="C549" i="32"/>
  <c r="C550" i="32"/>
  <c r="C551" i="32"/>
  <c r="C552" i="32"/>
  <c r="C553" i="32"/>
  <c r="C554" i="32"/>
  <c r="C555" i="32"/>
  <c r="C556" i="32"/>
  <c r="C557" i="32"/>
  <c r="C558" i="32"/>
  <c r="C559" i="32"/>
  <c r="C560" i="32"/>
  <c r="C561" i="32"/>
  <c r="C562" i="32"/>
  <c r="C563" i="32"/>
  <c r="C564" i="32"/>
  <c r="C565" i="32"/>
  <c r="C566" i="32"/>
  <c r="C567" i="32"/>
  <c r="C568" i="32"/>
  <c r="C569" i="32"/>
  <c r="C570" i="32"/>
  <c r="C571" i="32"/>
  <c r="C572" i="32"/>
  <c r="C573" i="32"/>
  <c r="C574" i="32"/>
  <c r="C575" i="32"/>
  <c r="C576" i="32"/>
  <c r="C577" i="32"/>
  <c r="C578" i="32"/>
  <c r="C579" i="32"/>
  <c r="C580" i="32"/>
  <c r="C581" i="32"/>
  <c r="C582" i="32"/>
  <c r="C583" i="32"/>
  <c r="C584" i="32"/>
  <c r="C585" i="32"/>
  <c r="C586" i="32"/>
  <c r="C587" i="32"/>
  <c r="C588" i="32"/>
  <c r="C589" i="32"/>
  <c r="C590" i="32"/>
  <c r="C591" i="32"/>
  <c r="C592" i="32"/>
  <c r="C593" i="32"/>
  <c r="C594" i="32"/>
  <c r="C595" i="32"/>
  <c r="C596" i="32"/>
  <c r="C597" i="32"/>
  <c r="C598" i="32"/>
  <c r="C599" i="32"/>
  <c r="C600" i="32"/>
  <c r="C601" i="32"/>
  <c r="C602" i="32"/>
  <c r="C603" i="32"/>
  <c r="C604" i="32"/>
  <c r="C605" i="32"/>
  <c r="C606" i="32"/>
  <c r="C607" i="32"/>
  <c r="C608" i="32"/>
  <c r="C609" i="32"/>
  <c r="C610" i="32"/>
  <c r="C611" i="32"/>
  <c r="C612" i="32"/>
  <c r="C613" i="32"/>
  <c r="C614" i="32"/>
  <c r="C615" i="32"/>
  <c r="C616" i="32"/>
  <c r="C617" i="32"/>
  <c r="C618" i="32"/>
  <c r="C619" i="32"/>
  <c r="C620" i="32"/>
  <c r="C621" i="32"/>
  <c r="C622" i="32"/>
  <c r="C623" i="32"/>
  <c r="C624" i="32"/>
  <c r="C625" i="32"/>
  <c r="C626" i="32"/>
  <c r="C627" i="32"/>
  <c r="C628" i="32"/>
  <c r="C629" i="32"/>
  <c r="C630" i="32"/>
  <c r="C631" i="32"/>
  <c r="C632" i="32"/>
  <c r="C633" i="32"/>
  <c r="B11" i="11" l="1"/>
  <c r="B16" i="1" s="1"/>
  <c r="AO10" i="32"/>
  <c r="D4" i="12"/>
  <c r="C4" i="12"/>
  <c r="L5" i="12"/>
  <c r="L4" i="12"/>
  <c r="B5" i="12"/>
  <c r="C5" i="12" s="1"/>
  <c r="B12" i="11" l="1"/>
  <c r="B17" i="1" s="1"/>
  <c r="AO11" i="32"/>
  <c r="D5" i="12"/>
  <c r="B13" i="11" l="1"/>
  <c r="B18" i="1" s="1"/>
  <c r="AO12" i="32"/>
  <c r="I3" i="52"/>
  <c r="P3" i="52"/>
  <c r="R3" i="52" s="1"/>
  <c r="S3" i="52"/>
  <c r="U3" i="52"/>
  <c r="V3" i="52"/>
  <c r="I4" i="52"/>
  <c r="U4" i="52" s="1"/>
  <c r="P4" i="52"/>
  <c r="R4" i="52" s="1"/>
  <c r="S4" i="52"/>
  <c r="J16" i="45"/>
  <c r="J15" i="45"/>
  <c r="D14" i="19"/>
  <c r="O14" i="19"/>
  <c r="P14" i="19" s="1"/>
  <c r="R14" i="19"/>
  <c r="U14" i="19" s="1"/>
  <c r="T14" i="19"/>
  <c r="X14" i="19"/>
  <c r="AC14" i="19"/>
  <c r="AD14" i="19"/>
  <c r="D15" i="19"/>
  <c r="I15" i="19" s="1"/>
  <c r="O15" i="19"/>
  <c r="P15" i="19" s="1"/>
  <c r="R15" i="19"/>
  <c r="U15" i="19" s="1"/>
  <c r="T15" i="19"/>
  <c r="X15" i="19"/>
  <c r="AC15" i="19"/>
  <c r="AD15" i="19"/>
  <c r="AE15" i="19" s="1"/>
  <c r="AG15" i="19" s="1"/>
  <c r="D16" i="19"/>
  <c r="F16" i="19" s="1"/>
  <c r="O16" i="19"/>
  <c r="P16" i="19" s="1"/>
  <c r="R16" i="19"/>
  <c r="U16" i="19" s="1"/>
  <c r="T16" i="19"/>
  <c r="X16" i="19"/>
  <c r="AC16" i="19"/>
  <c r="AD16" i="19"/>
  <c r="AE16" i="19" s="1"/>
  <c r="AG16" i="19" s="1"/>
  <c r="D17" i="19"/>
  <c r="F17" i="19" s="1"/>
  <c r="O17" i="19"/>
  <c r="P17" i="19" s="1"/>
  <c r="R17" i="19"/>
  <c r="U17" i="19" s="1"/>
  <c r="T17" i="19"/>
  <c r="X17" i="19"/>
  <c r="AC17" i="19"/>
  <c r="AD17" i="19"/>
  <c r="AE17" i="19"/>
  <c r="AG17" i="19" s="1"/>
  <c r="D18" i="19"/>
  <c r="I18" i="19" s="1"/>
  <c r="O18" i="19"/>
  <c r="P18" i="19" s="1"/>
  <c r="R18" i="19"/>
  <c r="T18" i="19"/>
  <c r="U18" i="19"/>
  <c r="X18" i="19"/>
  <c r="AC18" i="19"/>
  <c r="AD18" i="19"/>
  <c r="AE18" i="19" s="1"/>
  <c r="AG18" i="19" s="1"/>
  <c r="I14" i="19" l="1"/>
  <c r="AG14" i="19" s="1"/>
  <c r="J5" i="20"/>
  <c r="B14" i="11"/>
  <c r="B19" i="1" s="1"/>
  <c r="AO13" i="32"/>
  <c r="T4" i="52"/>
  <c r="T3" i="52"/>
  <c r="W3" i="52" s="1"/>
  <c r="V15" i="19"/>
  <c r="Y15" i="19" s="1"/>
  <c r="V18" i="19"/>
  <c r="Y18" i="19" s="1"/>
  <c r="G14" i="19"/>
  <c r="G18" i="19"/>
  <c r="AI18" i="19" s="1"/>
  <c r="AJ18" i="19" s="1"/>
  <c r="G15" i="19"/>
  <c r="AI15" i="19" s="1"/>
  <c r="AJ15" i="19" s="1"/>
  <c r="F15" i="19"/>
  <c r="E15" i="19"/>
  <c r="F14" i="19"/>
  <c r="F18" i="19"/>
  <c r="J3" i="52"/>
  <c r="V14" i="19"/>
  <c r="Y14" i="19" s="1"/>
  <c r="I17" i="19"/>
  <c r="V17" i="19" s="1"/>
  <c r="Y17" i="19" s="1"/>
  <c r="E17" i="19"/>
  <c r="E16" i="19"/>
  <c r="J4" i="52"/>
  <c r="V4" i="52"/>
  <c r="E18" i="19"/>
  <c r="G17" i="19"/>
  <c r="E14" i="19"/>
  <c r="I16" i="19"/>
  <c r="V16" i="19" s="1"/>
  <c r="Y16" i="19" s="1"/>
  <c r="G16" i="19"/>
  <c r="T29" i="59"/>
  <c r="U29" i="59" s="1"/>
  <c r="V29" i="59" s="1"/>
  <c r="T25" i="59"/>
  <c r="Y29" i="59"/>
  <c r="Z29" i="59" s="1"/>
  <c r="AC29" i="59"/>
  <c r="AH29" i="59"/>
  <c r="AI29" i="59"/>
  <c r="AJ29" i="59"/>
  <c r="AK29" i="59"/>
  <c r="AL29" i="59"/>
  <c r="AO29" i="59" s="1"/>
  <c r="AT29" i="59"/>
  <c r="AU29" i="59"/>
  <c r="AV29" i="59"/>
  <c r="AW29" i="59"/>
  <c r="AX29" i="59"/>
  <c r="BA29" i="59"/>
  <c r="BF29" i="59"/>
  <c r="BG29" i="59"/>
  <c r="BH29" i="59"/>
  <c r="BP29" i="59"/>
  <c r="BQ29" i="59"/>
  <c r="BR29" i="59"/>
  <c r="BY29" i="59"/>
  <c r="BZ29" i="59"/>
  <c r="CA29" i="59"/>
  <c r="CI29" i="59"/>
  <c r="CJ29" i="59"/>
  <c r="CK29" i="59"/>
  <c r="CN29" i="59"/>
  <c r="CO29" i="59"/>
  <c r="CP29" i="59" s="1"/>
  <c r="CV29" i="59"/>
  <c r="CW29" i="59"/>
  <c r="CX29" i="59"/>
  <c r="DB29" i="59"/>
  <c r="DH29" i="59"/>
  <c r="DI29" i="59"/>
  <c r="DM29" i="59"/>
  <c r="DN29" i="59"/>
  <c r="DS29" i="59"/>
  <c r="DX29" i="59" s="1"/>
  <c r="DT29" i="59"/>
  <c r="DY29" i="59"/>
  <c r="EE29" i="59"/>
  <c r="EF29" i="59"/>
  <c r="EF30" i="59"/>
  <c r="EE30" i="59"/>
  <c r="EH30" i="59" s="1"/>
  <c r="EJ30" i="59" s="1"/>
  <c r="DY30" i="59"/>
  <c r="DT30" i="59"/>
  <c r="DS30" i="59"/>
  <c r="DX30" i="59" s="1"/>
  <c r="DN30" i="59"/>
  <c r="DI30" i="59"/>
  <c r="DH30" i="59"/>
  <c r="DM30" i="59" s="1"/>
  <c r="DB30" i="59"/>
  <c r="CX30" i="59"/>
  <c r="CW30" i="59"/>
  <c r="CV30" i="59"/>
  <c r="CO30" i="59"/>
  <c r="CP30" i="59" s="1"/>
  <c r="CN30" i="59"/>
  <c r="CK30" i="59"/>
  <c r="CJ30" i="59"/>
  <c r="CI30" i="59"/>
  <c r="CA30" i="59"/>
  <c r="BZ30" i="59"/>
  <c r="BY30" i="59"/>
  <c r="BR30" i="59"/>
  <c r="BQ30" i="59"/>
  <c r="BP30" i="59"/>
  <c r="BH30" i="59"/>
  <c r="BG30" i="59"/>
  <c r="BF30" i="59"/>
  <c r="AX30" i="59"/>
  <c r="BA30" i="59" s="1"/>
  <c r="AW30" i="59"/>
  <c r="AV30" i="59"/>
  <c r="AU30" i="59"/>
  <c r="AT30" i="59"/>
  <c r="AL30" i="59"/>
  <c r="AO30" i="59" s="1"/>
  <c r="AK30" i="59"/>
  <c r="AJ30" i="59"/>
  <c r="AI30" i="59"/>
  <c r="AH30" i="59"/>
  <c r="AC30" i="59"/>
  <c r="Y30" i="59"/>
  <c r="Z30" i="59" s="1"/>
  <c r="DZ30" i="59" l="1"/>
  <c r="EB30" i="59" s="1"/>
  <c r="AI14" i="19"/>
  <c r="AJ14" i="19" s="1"/>
  <c r="W4" i="52"/>
  <c r="X4" i="52" s="1"/>
  <c r="B15" i="11"/>
  <c r="B20" i="1" s="1"/>
  <c r="AO14" i="32"/>
  <c r="X3" i="52"/>
  <c r="EH29" i="59"/>
  <c r="EJ29" i="59" s="1"/>
  <c r="DZ29" i="59"/>
  <c r="EB29" i="59" s="1"/>
  <c r="DO29" i="59"/>
  <c r="DQ29" i="59" s="1"/>
  <c r="Z18" i="19"/>
  <c r="AA18" i="19" s="1"/>
  <c r="AB18" i="19" s="1"/>
  <c r="Z17" i="19"/>
  <c r="AA17" i="19" s="1"/>
  <c r="AB17" i="19" s="1"/>
  <c r="Z15" i="19"/>
  <c r="AA15" i="19" s="1"/>
  <c r="AB15" i="19" s="1"/>
  <c r="Z14" i="19"/>
  <c r="AA14" i="19" s="1"/>
  <c r="AB14" i="19" s="1"/>
  <c r="Z16" i="19"/>
  <c r="AA16" i="19" s="1"/>
  <c r="AB16" i="19" s="1"/>
  <c r="AI17" i="19"/>
  <c r="AJ17" i="19" s="1"/>
  <c r="AI16" i="19"/>
  <c r="AJ16" i="19" s="1"/>
  <c r="DO30" i="59"/>
  <c r="DQ30" i="59" s="1"/>
  <c r="B16" i="11" l="1"/>
  <c r="B21" i="1" s="1"/>
  <c r="AO15" i="32"/>
  <c r="G20" i="12"/>
  <c r="G21" i="12"/>
  <c r="J19" i="12"/>
  <c r="K19" i="12" s="1"/>
  <c r="J20" i="12"/>
  <c r="K20" i="12" s="1"/>
  <c r="J21" i="12"/>
  <c r="K21" i="12" s="1"/>
  <c r="G19" i="12"/>
  <c r="B17" i="11" l="1"/>
  <c r="B22" i="1" s="1"/>
  <c r="AO16" i="32"/>
  <c r="L19" i="12"/>
  <c r="L21" i="12"/>
  <c r="L20" i="12"/>
  <c r="G18" i="12"/>
  <c r="M5" i="55" s="1"/>
  <c r="Z5" i="55" s="1"/>
  <c r="B18" i="11" l="1"/>
  <c r="B23" i="1" s="1"/>
  <c r="AO17" i="32"/>
  <c r="E15" i="45"/>
  <c r="H15" i="45" s="1"/>
  <c r="E16" i="45"/>
  <c r="E17" i="45"/>
  <c r="G17" i="45" s="1"/>
  <c r="J17" i="45"/>
  <c r="B19" i="11" l="1"/>
  <c r="B24" i="1" s="1"/>
  <c r="AO18" i="32"/>
  <c r="H17" i="45"/>
  <c r="G16" i="45"/>
  <c r="F17" i="45"/>
  <c r="H16" i="45"/>
  <c r="G15" i="45"/>
  <c r="F16" i="45"/>
  <c r="F15" i="45"/>
  <c r="T17" i="45"/>
  <c r="U17" i="45" s="1"/>
  <c r="V17" i="45" s="1"/>
  <c r="B20" i="11" l="1"/>
  <c r="B25" i="1" s="1"/>
  <c r="AO19" i="32"/>
  <c r="T15" i="45"/>
  <c r="AQ18" i="19"/>
  <c r="AP18" i="19"/>
  <c r="AL18" i="19"/>
  <c r="AK18" i="19"/>
  <c r="AQ17" i="19"/>
  <c r="AP17" i="19"/>
  <c r="AL17" i="19"/>
  <c r="AK17" i="19"/>
  <c r="AQ16" i="19"/>
  <c r="AP16" i="19"/>
  <c r="AL16" i="19"/>
  <c r="AK16" i="19"/>
  <c r="AQ15" i="19"/>
  <c r="AP15" i="19"/>
  <c r="AL15" i="19"/>
  <c r="AK15" i="19"/>
  <c r="AQ14" i="19"/>
  <c r="AP14" i="19"/>
  <c r="AL14" i="19"/>
  <c r="AK14" i="19"/>
  <c r="AQ13" i="19"/>
  <c r="AP13" i="19"/>
  <c r="AL13" i="19"/>
  <c r="AK13" i="19"/>
  <c r="B21" i="11" l="1"/>
  <c r="B26" i="1" s="1"/>
  <c r="AO20" i="32"/>
  <c r="U15" i="45"/>
  <c r="B22" i="11" l="1"/>
  <c r="B27" i="1" s="1"/>
  <c r="AO21" i="32"/>
  <c r="B23" i="11" l="1"/>
  <c r="B28" i="1" s="1"/>
  <c r="AO22" i="32"/>
  <c r="B24" i="11" l="1"/>
  <c r="B29" i="1" s="1"/>
  <c r="AO23" i="32"/>
  <c r="T15" i="36"/>
  <c r="T14" i="36"/>
  <c r="B25" i="11" l="1"/>
  <c r="B30" i="1" s="1"/>
  <c r="AO24" i="32"/>
  <c r="AS15" i="19"/>
  <c r="AW15" i="19"/>
  <c r="BA15" i="19" s="1"/>
  <c r="BE15" i="19" s="1"/>
  <c r="AY15" i="19"/>
  <c r="BC15" i="19" s="1"/>
  <c r="AU15" i="19"/>
  <c r="AO16" i="19"/>
  <c r="AN16" i="19"/>
  <c r="AX16" i="19"/>
  <c r="BB16" i="19" s="1"/>
  <c r="AV16" i="19"/>
  <c r="AR16" i="19"/>
  <c r="AT16" i="19"/>
  <c r="AN15" i="19"/>
  <c r="AT15" i="19"/>
  <c r="AV15" i="19"/>
  <c r="AZ15" i="19" s="1"/>
  <c r="AO15" i="19"/>
  <c r="AX15" i="19"/>
  <c r="BB15" i="19" s="1"/>
  <c r="AM15" i="19"/>
  <c r="AR15" i="19"/>
  <c r="AN14" i="19"/>
  <c r="AV14" i="19"/>
  <c r="AZ14" i="19" s="1"/>
  <c r="AX14" i="19"/>
  <c r="BB14" i="19" s="1"/>
  <c r="AT14" i="19"/>
  <c r="AR14" i="19"/>
  <c r="AO14" i="19"/>
  <c r="AM14" i="19"/>
  <c r="B26" i="11" l="1"/>
  <c r="B31" i="1" s="1"/>
  <c r="AO25" i="32"/>
  <c r="BD15" i="19"/>
  <c r="BF16" i="19"/>
  <c r="BG15" i="19"/>
  <c r="BF14" i="19"/>
  <c r="AW16" i="19"/>
  <c r="BA16" i="19" s="1"/>
  <c r="AY16" i="19"/>
  <c r="BC16" i="19" s="1"/>
  <c r="AS16" i="19"/>
  <c r="AU16" i="19"/>
  <c r="BH15" i="19"/>
  <c r="BI15" i="19" s="1"/>
  <c r="AU14" i="19"/>
  <c r="AW14" i="19"/>
  <c r="BA14" i="19" s="1"/>
  <c r="AS14" i="19"/>
  <c r="AY14" i="19"/>
  <c r="BC14" i="19" s="1"/>
  <c r="AM16" i="19"/>
  <c r="BD14" i="19"/>
  <c r="BF15" i="19"/>
  <c r="AZ16" i="19"/>
  <c r="BD16" i="19" s="1"/>
  <c r="BE16" i="19" l="1"/>
  <c r="B27" i="11"/>
  <c r="B32" i="1" s="1"/>
  <c r="AO26" i="32"/>
  <c r="BE14" i="19"/>
  <c r="BJ15" i="19"/>
  <c r="BK15" i="19" s="1"/>
  <c r="BH16" i="19"/>
  <c r="BI16" i="19" s="1"/>
  <c r="BJ16" i="19"/>
  <c r="BH14" i="19"/>
  <c r="BI14" i="19" s="1"/>
  <c r="BG16" i="19"/>
  <c r="BG14" i="19"/>
  <c r="BJ14" i="19" l="1"/>
  <c r="BK14" i="19" s="1"/>
  <c r="B28" i="11"/>
  <c r="B33" i="1" s="1"/>
  <c r="AO27" i="32"/>
  <c r="BK16" i="19"/>
  <c r="B29" i="11" l="1"/>
  <c r="B34" i="1" s="1"/>
  <c r="AO28" i="32"/>
  <c r="T16" i="45"/>
  <c r="U16" i="45" s="1"/>
  <c r="B30" i="11" l="1"/>
  <c r="B35" i="1" s="1"/>
  <c r="AO29" i="32"/>
  <c r="B8" i="48"/>
  <c r="B9" i="48"/>
  <c r="B10" i="48"/>
  <c r="B11" i="48"/>
  <c r="B12" i="48"/>
  <c r="B13" i="48"/>
  <c r="B14" i="48"/>
  <c r="B15" i="48"/>
  <c r="B16" i="48"/>
  <c r="B31" i="11" l="1"/>
  <c r="B36" i="1" s="1"/>
  <c r="AO30" i="32"/>
  <c r="T13" i="19"/>
  <c r="B32" i="11" l="1"/>
  <c r="B37" i="1" s="1"/>
  <c r="AO31" i="32"/>
  <c r="Y26" i="59"/>
  <c r="Z26" i="59" s="1"/>
  <c r="AC26" i="59"/>
  <c r="AH26" i="59"/>
  <c r="AI26" i="59"/>
  <c r="AJ26" i="59"/>
  <c r="AK26" i="59"/>
  <c r="AL26" i="59"/>
  <c r="AO26" i="59" s="1"/>
  <c r="AT26" i="59"/>
  <c r="AU26" i="59"/>
  <c r="AV26" i="59"/>
  <c r="AW26" i="59"/>
  <c r="AX26" i="59"/>
  <c r="BA26" i="59" s="1"/>
  <c r="BF26" i="59"/>
  <c r="BG26" i="59"/>
  <c r="BH26" i="59"/>
  <c r="BP26" i="59"/>
  <c r="BQ26" i="59"/>
  <c r="BR26" i="59"/>
  <c r="BY26" i="59"/>
  <c r="BZ26" i="59"/>
  <c r="CA26" i="59"/>
  <c r="CI26" i="59"/>
  <c r="CJ26" i="59"/>
  <c r="CK26" i="59"/>
  <c r="CN26" i="59"/>
  <c r="CO26" i="59"/>
  <c r="CP26" i="59" s="1"/>
  <c r="CV26" i="59"/>
  <c r="CW26" i="59"/>
  <c r="CX26" i="59"/>
  <c r="DB26" i="59"/>
  <c r="DH26" i="59"/>
  <c r="DM26" i="59" s="1"/>
  <c r="DI26" i="59"/>
  <c r="DN26" i="59"/>
  <c r="DS26" i="59"/>
  <c r="DX26" i="59" s="1"/>
  <c r="DT26" i="59"/>
  <c r="DY26" i="59"/>
  <c r="EE26" i="59"/>
  <c r="EF26" i="59"/>
  <c r="Y27" i="59"/>
  <c r="Z27" i="59" s="1"/>
  <c r="AC27" i="59"/>
  <c r="AH27" i="59"/>
  <c r="AI27" i="59"/>
  <c r="AJ27" i="59"/>
  <c r="AK27" i="59"/>
  <c r="AL27" i="59"/>
  <c r="AO27" i="59" s="1"/>
  <c r="AT27" i="59"/>
  <c r="AU27" i="59"/>
  <c r="AV27" i="59"/>
  <c r="AW27" i="59"/>
  <c r="AX27" i="59"/>
  <c r="BA27" i="59" s="1"/>
  <c r="BF27" i="59"/>
  <c r="BG27" i="59"/>
  <c r="BH27" i="59"/>
  <c r="BP27" i="59"/>
  <c r="BQ27" i="59"/>
  <c r="BR27" i="59"/>
  <c r="BY27" i="59"/>
  <c r="BZ27" i="59"/>
  <c r="CA27" i="59"/>
  <c r="CI27" i="59"/>
  <c r="CJ27" i="59"/>
  <c r="CK27" i="59"/>
  <c r="CN27" i="59"/>
  <c r="CO27" i="59"/>
  <c r="CP27" i="59" s="1"/>
  <c r="CV27" i="59"/>
  <c r="CW27" i="59"/>
  <c r="CX27" i="59"/>
  <c r="DB27" i="59"/>
  <c r="DH27" i="59"/>
  <c r="DM27" i="59" s="1"/>
  <c r="DI27" i="59"/>
  <c r="DN27" i="59"/>
  <c r="DS27" i="59"/>
  <c r="DX27" i="59" s="1"/>
  <c r="DT27" i="59"/>
  <c r="DY27" i="59"/>
  <c r="EE27" i="59"/>
  <c r="EF27" i="59"/>
  <c r="Y28" i="59"/>
  <c r="Z28" i="59" s="1"/>
  <c r="AC28" i="59"/>
  <c r="AH28" i="59"/>
  <c r="AI28" i="59"/>
  <c r="AJ28" i="59"/>
  <c r="AK28" i="59"/>
  <c r="AL28" i="59"/>
  <c r="AO28" i="59" s="1"/>
  <c r="AT28" i="59"/>
  <c r="AU28" i="59"/>
  <c r="AV28" i="59"/>
  <c r="AW28" i="59"/>
  <c r="AX28" i="59"/>
  <c r="BA28" i="59" s="1"/>
  <c r="BF28" i="59"/>
  <c r="BG28" i="59"/>
  <c r="BH28" i="59"/>
  <c r="BP28" i="59"/>
  <c r="BQ28" i="59"/>
  <c r="BR28" i="59"/>
  <c r="BY28" i="59"/>
  <c r="BZ28" i="59"/>
  <c r="CA28" i="59"/>
  <c r="CI28" i="59"/>
  <c r="CJ28" i="59"/>
  <c r="CK28" i="59"/>
  <c r="CN28" i="59"/>
  <c r="CO28" i="59"/>
  <c r="CP28" i="59" s="1"/>
  <c r="CV28" i="59"/>
  <c r="CW28" i="59"/>
  <c r="CX28" i="59"/>
  <c r="DB28" i="59"/>
  <c r="DH28" i="59"/>
  <c r="DM28" i="59" s="1"/>
  <c r="DI28" i="59"/>
  <c r="DN28" i="59"/>
  <c r="DS28" i="59"/>
  <c r="DX28" i="59" s="1"/>
  <c r="DT28" i="59"/>
  <c r="DY28" i="59"/>
  <c r="EE28" i="59"/>
  <c r="EF28" i="59"/>
  <c r="Y31" i="59"/>
  <c r="Z31" i="59" s="1"/>
  <c r="AC31" i="59"/>
  <c r="AH31" i="59"/>
  <c r="AI31" i="59"/>
  <c r="AJ31" i="59"/>
  <c r="AK31" i="59"/>
  <c r="AL31" i="59"/>
  <c r="AO31" i="59" s="1"/>
  <c r="AT31" i="59"/>
  <c r="AU31" i="59"/>
  <c r="AV31" i="59"/>
  <c r="AW31" i="59"/>
  <c r="AX31" i="59"/>
  <c r="BA31" i="59" s="1"/>
  <c r="BF31" i="59"/>
  <c r="BG31" i="59"/>
  <c r="BH31" i="59"/>
  <c r="BP31" i="59"/>
  <c r="BQ31" i="59"/>
  <c r="BR31" i="59"/>
  <c r="BY31" i="59"/>
  <c r="BZ31" i="59"/>
  <c r="CA31" i="59"/>
  <c r="CI31" i="59"/>
  <c r="CJ31" i="59"/>
  <c r="CK31" i="59"/>
  <c r="CN31" i="59"/>
  <c r="CO31" i="59"/>
  <c r="CP31" i="59" s="1"/>
  <c r="CV31" i="59"/>
  <c r="CW31" i="59"/>
  <c r="CX31" i="59"/>
  <c r="DB31" i="59"/>
  <c r="DH31" i="59"/>
  <c r="DM31" i="59" s="1"/>
  <c r="DI31" i="59"/>
  <c r="DN31" i="59"/>
  <c r="DS31" i="59"/>
  <c r="DX31" i="59" s="1"/>
  <c r="DT31" i="59"/>
  <c r="DY31" i="59"/>
  <c r="EE31" i="59"/>
  <c r="EF31" i="59"/>
  <c r="T6" i="30"/>
  <c r="T7" i="30"/>
  <c r="T8" i="30"/>
  <c r="B33" i="11" l="1"/>
  <c r="B38" i="1" s="1"/>
  <c r="AO32" i="32"/>
  <c r="DO28" i="59"/>
  <c r="DQ28" i="59" s="1"/>
  <c r="DZ28" i="59"/>
  <c r="EB28" i="59" s="1"/>
  <c r="EH31" i="59"/>
  <c r="EJ31" i="59" s="1"/>
  <c r="DZ26" i="59"/>
  <c r="EB26" i="59" s="1"/>
  <c r="DO26" i="59"/>
  <c r="DQ26" i="59" s="1"/>
  <c r="DO27" i="59"/>
  <c r="DQ27" i="59" s="1"/>
  <c r="DZ31" i="59"/>
  <c r="EB31" i="59" s="1"/>
  <c r="EH27" i="59"/>
  <c r="EJ27" i="59" s="1"/>
  <c r="EH26" i="59"/>
  <c r="EJ26" i="59" s="1"/>
  <c r="DZ27" i="59"/>
  <c r="EB27" i="59" s="1"/>
  <c r="EH28" i="59"/>
  <c r="EJ28" i="59" s="1"/>
  <c r="DO31" i="59"/>
  <c r="DQ31" i="59" s="1"/>
  <c r="T5" i="30"/>
  <c r="B34" i="11" l="1"/>
  <c r="B39" i="1" s="1"/>
  <c r="AO33" i="32"/>
  <c r="B6" i="20"/>
  <c r="J6" i="20" s="1"/>
  <c r="B35" i="11" l="1"/>
  <c r="B40" i="1" s="1"/>
  <c r="AO34" i="32"/>
  <c r="B7" i="20"/>
  <c r="J7" i="20" s="1"/>
  <c r="R5" i="27"/>
  <c r="R6" i="27"/>
  <c r="R7" i="27"/>
  <c r="R8" i="27"/>
  <c r="R9" i="27"/>
  <c r="R10" i="27"/>
  <c r="R11" i="27"/>
  <c r="R12" i="27"/>
  <c r="R13" i="27"/>
  <c r="R4" i="27"/>
  <c r="Q5" i="27"/>
  <c r="Q6" i="27"/>
  <c r="Q7" i="27"/>
  <c r="Q8" i="27"/>
  <c r="Q9" i="27"/>
  <c r="Q10" i="27"/>
  <c r="Q11" i="27"/>
  <c r="Q12" i="27"/>
  <c r="Q13" i="27"/>
  <c r="Q4" i="27"/>
  <c r="O5" i="27"/>
  <c r="O6" i="27"/>
  <c r="O7" i="27"/>
  <c r="O8" i="27"/>
  <c r="O9" i="27"/>
  <c r="O10" i="27"/>
  <c r="O11" i="27"/>
  <c r="O12" i="27"/>
  <c r="O13" i="27"/>
  <c r="O4" i="27"/>
  <c r="K5" i="27"/>
  <c r="L5" i="27" s="1"/>
  <c r="K6" i="27"/>
  <c r="L6" i="27" s="1"/>
  <c r="M6" i="27" s="1"/>
  <c r="N6" i="27" s="1"/>
  <c r="P6" i="27" s="1"/>
  <c r="K7" i="27"/>
  <c r="L7" i="27" s="1"/>
  <c r="M7" i="27" s="1"/>
  <c r="N7" i="27" s="1"/>
  <c r="P7" i="27" s="1"/>
  <c r="K8" i="27"/>
  <c r="L8" i="27" s="1"/>
  <c r="K9" i="27"/>
  <c r="L9" i="27" s="1"/>
  <c r="M9" i="27" s="1"/>
  <c r="N9" i="27" s="1"/>
  <c r="P9" i="27" s="1"/>
  <c r="K10" i="27"/>
  <c r="L10" i="27" s="1"/>
  <c r="K11" i="27"/>
  <c r="L11" i="27" s="1"/>
  <c r="K12" i="27"/>
  <c r="L12" i="27" s="1"/>
  <c r="K13" i="27"/>
  <c r="L13" i="27" s="1"/>
  <c r="K4" i="27"/>
  <c r="L4" i="27" s="1"/>
  <c r="D5" i="27"/>
  <c r="D6" i="27"/>
  <c r="D7" i="27"/>
  <c r="D8" i="27"/>
  <c r="D9" i="27"/>
  <c r="D10" i="27"/>
  <c r="D11" i="27"/>
  <c r="D12" i="27"/>
  <c r="D13" i="27"/>
  <c r="D4" i="27"/>
  <c r="M8" i="27" l="1"/>
  <c r="N8" i="27" s="1"/>
  <c r="P8" i="27" s="1"/>
  <c r="M13" i="27"/>
  <c r="N13" i="27" s="1"/>
  <c r="P13" i="27" s="1"/>
  <c r="M5" i="27"/>
  <c r="N5" i="27" s="1"/>
  <c r="P5" i="27" s="1"/>
  <c r="B36" i="11"/>
  <c r="B41" i="1" s="1"/>
  <c r="AO35" i="32"/>
  <c r="B8" i="20"/>
  <c r="J8" i="20" s="1"/>
  <c r="M10" i="27"/>
  <c r="N10" i="27" s="1"/>
  <c r="P10" i="27" s="1"/>
  <c r="M12" i="27"/>
  <c r="N12" i="27" s="1"/>
  <c r="P12" i="27" s="1"/>
  <c r="M11" i="27"/>
  <c r="N11" i="27" s="1"/>
  <c r="P11" i="27" s="1"/>
  <c r="M4" i="27"/>
  <c r="N4" i="27" s="1"/>
  <c r="P4" i="27" s="1"/>
  <c r="C3" i="39"/>
  <c r="B37" i="11" l="1"/>
  <c r="B42" i="1" s="1"/>
  <c r="AO36" i="32"/>
  <c r="B9" i="20"/>
  <c r="E5" i="27"/>
  <c r="F5" i="27"/>
  <c r="E6" i="27"/>
  <c r="F6" i="27"/>
  <c r="E7" i="27"/>
  <c r="F7" i="27"/>
  <c r="E8" i="27"/>
  <c r="F8" i="27"/>
  <c r="E9" i="27"/>
  <c r="F9" i="27"/>
  <c r="E10" i="27"/>
  <c r="F10" i="27"/>
  <c r="E11" i="27"/>
  <c r="F11" i="27"/>
  <c r="E12" i="27"/>
  <c r="F12" i="27"/>
  <c r="E13" i="27"/>
  <c r="F13" i="27"/>
  <c r="F4" i="27"/>
  <c r="E4" i="27"/>
  <c r="B38" i="11" l="1"/>
  <c r="B43" i="1" s="1"/>
  <c r="AO37" i="32"/>
  <c r="B10" i="20"/>
  <c r="B39" i="11" l="1"/>
  <c r="B44" i="1" s="1"/>
  <c r="AO38" i="32"/>
  <c r="B11" i="20"/>
  <c r="B4" i="28"/>
  <c r="D8" i="28"/>
  <c r="E8" i="28" s="1"/>
  <c r="D7" i="28"/>
  <c r="D6" i="28"/>
  <c r="D5" i="28"/>
  <c r="D4" i="28"/>
  <c r="D3" i="28"/>
  <c r="B4" i="33"/>
  <c r="D5" i="33"/>
  <c r="E5" i="33" s="1"/>
  <c r="D4" i="33"/>
  <c r="D3" i="33"/>
  <c r="D3" i="39"/>
  <c r="B4" i="39"/>
  <c r="C4" i="39" s="1"/>
  <c r="C9" i="31" l="1"/>
  <c r="B40" i="11"/>
  <c r="B45" i="1" s="1"/>
  <c r="AO39" i="32"/>
  <c r="C11" i="20"/>
  <c r="B12" i="20"/>
  <c r="D4" i="39"/>
  <c r="E4" i="39" s="1"/>
  <c r="E12" i="20" l="1"/>
  <c r="C12" i="20" s="1"/>
  <c r="D12" i="20"/>
  <c r="B41" i="11"/>
  <c r="B46" i="1" s="1"/>
  <c r="AO40" i="32"/>
  <c r="H4" i="39"/>
  <c r="B42" i="11" l="1"/>
  <c r="B47" i="1" s="1"/>
  <c r="AO41" i="32"/>
  <c r="O16" i="36"/>
  <c r="R16" i="36"/>
  <c r="R17" i="36"/>
  <c r="O17" i="36"/>
  <c r="O13" i="36"/>
  <c r="O14" i="36"/>
  <c r="R14" i="36" s="1"/>
  <c r="O15" i="36"/>
  <c r="R15" i="36"/>
  <c r="J5" i="45"/>
  <c r="J7" i="45"/>
  <c r="J8" i="45"/>
  <c r="J9" i="45"/>
  <c r="J10" i="45"/>
  <c r="J11" i="45"/>
  <c r="J12" i="45"/>
  <c r="J13" i="45"/>
  <c r="J14" i="45"/>
  <c r="J6" i="45"/>
  <c r="F8" i="28"/>
  <c r="G3" i="28"/>
  <c r="F5" i="33"/>
  <c r="H11" i="20"/>
  <c r="G11" i="20"/>
  <c r="H10" i="20"/>
  <c r="G10" i="20"/>
  <c r="H9" i="20"/>
  <c r="G9" i="20"/>
  <c r="H8" i="20"/>
  <c r="G8" i="20"/>
  <c r="H4" i="20"/>
  <c r="G4" i="20"/>
  <c r="C3" i="28"/>
  <c r="C3" i="33"/>
  <c r="C4" i="31"/>
  <c r="C4" i="20"/>
  <c r="J16" i="29"/>
  <c r="J17" i="29"/>
  <c r="J18" i="29"/>
  <c r="J19" i="29"/>
  <c r="J20" i="29"/>
  <c r="F4" i="39"/>
  <c r="U25" i="59"/>
  <c r="V25" i="59" s="1"/>
  <c r="EF25" i="59"/>
  <c r="EE25" i="59"/>
  <c r="DY25" i="59"/>
  <c r="DT25" i="59"/>
  <c r="DS25" i="59"/>
  <c r="DX25" i="59" s="1"/>
  <c r="DN25" i="59"/>
  <c r="DI25" i="59"/>
  <c r="DH25" i="59"/>
  <c r="DM25" i="59" s="1"/>
  <c r="DB25" i="59"/>
  <c r="CX25" i="59"/>
  <c r="CW25" i="59"/>
  <c r="CV25" i="59"/>
  <c r="CO25" i="59"/>
  <c r="CP25" i="59" s="1"/>
  <c r="CN25" i="59"/>
  <c r="CK25" i="59"/>
  <c r="CJ25" i="59"/>
  <c r="CI25" i="59"/>
  <c r="CA25" i="59"/>
  <c r="BZ25" i="59"/>
  <c r="BY25" i="59"/>
  <c r="BR25" i="59"/>
  <c r="BQ25" i="59"/>
  <c r="BP25" i="59"/>
  <c r="BH25" i="59"/>
  <c r="BG25" i="59"/>
  <c r="BF25" i="59"/>
  <c r="AX25" i="59"/>
  <c r="BA25" i="59" s="1"/>
  <c r="AW25" i="59"/>
  <c r="AV25" i="59"/>
  <c r="AU25" i="59"/>
  <c r="AT25" i="59"/>
  <c r="AL25" i="59"/>
  <c r="AO25" i="59" s="1"/>
  <c r="AK25" i="59"/>
  <c r="AJ25" i="59"/>
  <c r="AI25" i="59"/>
  <c r="AH25" i="59"/>
  <c r="AC25" i="59"/>
  <c r="Y25" i="59"/>
  <c r="Z25" i="59" s="1"/>
  <c r="B25" i="59"/>
  <c r="U9" i="59"/>
  <c r="T9" i="59"/>
  <c r="S9" i="59"/>
  <c r="R9" i="59"/>
  <c r="Q9" i="59"/>
  <c r="P9" i="59"/>
  <c r="O9" i="59"/>
  <c r="N9" i="59"/>
  <c r="M9" i="59"/>
  <c r="L9" i="59"/>
  <c r="U7" i="59"/>
  <c r="T7" i="59"/>
  <c r="S7" i="59"/>
  <c r="R7" i="59"/>
  <c r="Q7" i="59"/>
  <c r="P7" i="59"/>
  <c r="O7" i="59"/>
  <c r="N7" i="59"/>
  <c r="M7" i="59"/>
  <c r="L7" i="59"/>
  <c r="B43" i="11" l="1"/>
  <c r="B48" i="1" s="1"/>
  <c r="AO42" i="32"/>
  <c r="R13" i="36"/>
  <c r="B26" i="59"/>
  <c r="B27" i="59" s="1"/>
  <c r="B28" i="59" s="1"/>
  <c r="B30" i="59" s="1"/>
  <c r="B29" i="59" s="1"/>
  <c r="C25" i="59"/>
  <c r="EH25" i="59"/>
  <c r="EJ25" i="59" s="1"/>
  <c r="AY25" i="59"/>
  <c r="AZ25" i="59" s="1"/>
  <c r="BB25" i="59" s="1"/>
  <c r="BD25" i="59" s="1"/>
  <c r="CY25" i="59"/>
  <c r="CZ25" i="59" s="1"/>
  <c r="DD25" i="59" s="1"/>
  <c r="DF25" i="59" s="1"/>
  <c r="BI25" i="59"/>
  <c r="BJ25" i="59" s="1"/>
  <c r="BL25" i="59" s="1"/>
  <c r="BN25" i="59" s="1"/>
  <c r="DO25" i="59"/>
  <c r="DQ25" i="59" s="1"/>
  <c r="CB25" i="59"/>
  <c r="CC25" i="59" s="1"/>
  <c r="CE25" i="59" s="1"/>
  <c r="CG25" i="59" s="1"/>
  <c r="AM25" i="59"/>
  <c r="AN25" i="59" s="1"/>
  <c r="AP25" i="59" s="1"/>
  <c r="AR25" i="59" s="1"/>
  <c r="CL25" i="59"/>
  <c r="CM25" i="59" s="1"/>
  <c r="CR25" i="59" s="1"/>
  <c r="CT25" i="59" s="1"/>
  <c r="AA25" i="59"/>
  <c r="AB25" i="59" s="1"/>
  <c r="AD25" i="59" s="1"/>
  <c r="AF25" i="59" s="1"/>
  <c r="DZ25" i="59"/>
  <c r="EB25" i="59" s="1"/>
  <c r="BS25" i="59"/>
  <c r="BT25" i="59" s="1"/>
  <c r="BU25" i="59" s="1"/>
  <c r="BW25" i="59" s="1"/>
  <c r="B44" i="11" l="1"/>
  <c r="B49" i="1" s="1"/>
  <c r="AO43" i="32"/>
  <c r="B31" i="59"/>
  <c r="AA29" i="59"/>
  <c r="AB29" i="59" s="1"/>
  <c r="AD29" i="59" s="1"/>
  <c r="AF29" i="59" s="1"/>
  <c r="AM29" i="59"/>
  <c r="AN29" i="59" s="1"/>
  <c r="AP29" i="59" s="1"/>
  <c r="AR29" i="59" s="1"/>
  <c r="AY29" i="59"/>
  <c r="AZ29" i="59" s="1"/>
  <c r="BB29" i="59" s="1"/>
  <c r="BD29" i="59" s="1"/>
  <c r="BI29" i="59"/>
  <c r="BJ29" i="59" s="1"/>
  <c r="BL29" i="59" s="1"/>
  <c r="BN29" i="59" s="1"/>
  <c r="BS29" i="59"/>
  <c r="BT29" i="59" s="1"/>
  <c r="BU29" i="59" s="1"/>
  <c r="BW29" i="59" s="1"/>
  <c r="CB29" i="59"/>
  <c r="CC29" i="59" s="1"/>
  <c r="CE29" i="59" s="1"/>
  <c r="CG29" i="59" s="1"/>
  <c r="CL29" i="59"/>
  <c r="CM29" i="59" s="1"/>
  <c r="CR29" i="59" s="1"/>
  <c r="CT29" i="59" s="1"/>
  <c r="CY29" i="59"/>
  <c r="CZ29" i="59" s="1"/>
  <c r="DD29" i="59" s="1"/>
  <c r="DF29" i="59" s="1"/>
  <c r="BS26" i="59"/>
  <c r="BT26" i="59" s="1"/>
  <c r="BU26" i="59" s="1"/>
  <c r="BW26" i="59" s="1"/>
  <c r="C26" i="59"/>
  <c r="AM26" i="59"/>
  <c r="AN26" i="59" s="1"/>
  <c r="AP26" i="59" s="1"/>
  <c r="AR26" i="59" s="1"/>
  <c r="T26" i="59" s="1"/>
  <c r="U26" i="59" s="1"/>
  <c r="V26" i="59" s="1"/>
  <c r="CB26" i="59"/>
  <c r="CC26" i="59" s="1"/>
  <c r="CE26" i="59" s="1"/>
  <c r="CG26" i="59" s="1"/>
  <c r="AA26" i="59"/>
  <c r="AB26" i="59" s="1"/>
  <c r="AD26" i="59" s="1"/>
  <c r="AF26" i="59" s="1"/>
  <c r="BI26" i="59"/>
  <c r="BJ26" i="59" s="1"/>
  <c r="BL26" i="59" s="1"/>
  <c r="BN26" i="59" s="1"/>
  <c r="CY26" i="59"/>
  <c r="CZ26" i="59" s="1"/>
  <c r="DD26" i="59" s="1"/>
  <c r="DF26" i="59" s="1"/>
  <c r="CL26" i="59"/>
  <c r="CM26" i="59" s="1"/>
  <c r="CR26" i="59" s="1"/>
  <c r="CT26" i="59" s="1"/>
  <c r="AY26" i="59"/>
  <c r="AZ26" i="59" s="1"/>
  <c r="BB26" i="59" s="1"/>
  <c r="BD26" i="59" s="1"/>
  <c r="B45" i="11" l="1"/>
  <c r="B50" i="1" s="1"/>
  <c r="AO44" i="32"/>
  <c r="CL27" i="59"/>
  <c r="CM27" i="59" s="1"/>
  <c r="CR27" i="59" s="1"/>
  <c r="CT27" i="59" s="1"/>
  <c r="AA27" i="59"/>
  <c r="AB27" i="59" s="1"/>
  <c r="AD27" i="59" s="1"/>
  <c r="AF27" i="59" s="1"/>
  <c r="C27" i="59"/>
  <c r="CB27" i="59"/>
  <c r="CC27" i="59" s="1"/>
  <c r="CE27" i="59" s="1"/>
  <c r="CG27" i="59" s="1"/>
  <c r="AM27" i="59"/>
  <c r="AN27" i="59" s="1"/>
  <c r="AP27" i="59" s="1"/>
  <c r="AR27" i="59" s="1"/>
  <c r="T27" i="59" s="1"/>
  <c r="U27" i="59" s="1"/>
  <c r="V27" i="59" s="1"/>
  <c r="CY27" i="59"/>
  <c r="CZ27" i="59" s="1"/>
  <c r="DD27" i="59" s="1"/>
  <c r="DF27" i="59" s="1"/>
  <c r="BI27" i="59"/>
  <c r="BJ27" i="59" s="1"/>
  <c r="BL27" i="59" s="1"/>
  <c r="BN27" i="59" s="1"/>
  <c r="BS27" i="59"/>
  <c r="BT27" i="59" s="1"/>
  <c r="BU27" i="59" s="1"/>
  <c r="BW27" i="59" s="1"/>
  <c r="AY27" i="59"/>
  <c r="AZ27" i="59" s="1"/>
  <c r="BB27" i="59" s="1"/>
  <c r="BD27" i="59" s="1"/>
  <c r="B46" i="11" l="1"/>
  <c r="B51" i="1" s="1"/>
  <c r="AO45" i="32"/>
  <c r="BS30" i="59"/>
  <c r="BT30" i="59" s="1"/>
  <c r="BU30" i="59" s="1"/>
  <c r="BW30" i="59" s="1"/>
  <c r="AA30" i="59"/>
  <c r="AB30" i="59" s="1"/>
  <c r="AD30" i="59" s="1"/>
  <c r="AF30" i="59" s="1"/>
  <c r="BI30" i="59"/>
  <c r="BJ30" i="59" s="1"/>
  <c r="BL30" i="59" s="1"/>
  <c r="BN30" i="59" s="1"/>
  <c r="AY30" i="59"/>
  <c r="AZ30" i="59" s="1"/>
  <c r="BB30" i="59" s="1"/>
  <c r="BD30" i="59" s="1"/>
  <c r="C30" i="59"/>
  <c r="AM30" i="59"/>
  <c r="AN30" i="59" s="1"/>
  <c r="AP30" i="59" s="1"/>
  <c r="AR30" i="59" s="1"/>
  <c r="CY30" i="59"/>
  <c r="CZ30" i="59" s="1"/>
  <c r="DD30" i="59" s="1"/>
  <c r="DF30" i="59" s="1"/>
  <c r="CB30" i="59"/>
  <c r="CC30" i="59" s="1"/>
  <c r="CE30" i="59" s="1"/>
  <c r="CG30" i="59" s="1"/>
  <c r="CL30" i="59"/>
  <c r="CM30" i="59" s="1"/>
  <c r="CR30" i="59" s="1"/>
  <c r="CT30" i="59" s="1"/>
  <c r="BI28" i="59"/>
  <c r="BJ28" i="59" s="1"/>
  <c r="BL28" i="59" s="1"/>
  <c r="BN28" i="59" s="1"/>
  <c r="CB28" i="59"/>
  <c r="CC28" i="59" s="1"/>
  <c r="CE28" i="59" s="1"/>
  <c r="CG28" i="59" s="1"/>
  <c r="CY28" i="59"/>
  <c r="CZ28" i="59" s="1"/>
  <c r="DD28" i="59" s="1"/>
  <c r="DF28" i="59" s="1"/>
  <c r="AA28" i="59"/>
  <c r="AB28" i="59" s="1"/>
  <c r="AD28" i="59" s="1"/>
  <c r="AF28" i="59" s="1"/>
  <c r="T28" i="59" s="1"/>
  <c r="U28" i="59" s="1"/>
  <c r="V28" i="59" s="1"/>
  <c r="V22" i="59" s="1"/>
  <c r="AM28" i="59"/>
  <c r="AN28" i="59" s="1"/>
  <c r="AP28" i="59" s="1"/>
  <c r="AR28" i="59" s="1"/>
  <c r="C28" i="59"/>
  <c r="CL28" i="59"/>
  <c r="CM28" i="59" s="1"/>
  <c r="CR28" i="59" s="1"/>
  <c r="CT28" i="59" s="1"/>
  <c r="BS28" i="59"/>
  <c r="BT28" i="59" s="1"/>
  <c r="BU28" i="59" s="1"/>
  <c r="BW28" i="59" s="1"/>
  <c r="AY28" i="59"/>
  <c r="AZ28" i="59" s="1"/>
  <c r="BB28" i="59" s="1"/>
  <c r="BD28" i="59" s="1"/>
  <c r="C411" i="32"/>
  <c r="C362" i="32"/>
  <c r="C363" i="32"/>
  <c r="C364" i="32"/>
  <c r="C365" i="32"/>
  <c r="C366" i="32"/>
  <c r="C367" i="32"/>
  <c r="C368" i="32"/>
  <c r="C369" i="32"/>
  <c r="C370" i="32"/>
  <c r="C371" i="32"/>
  <c r="C372" i="32"/>
  <c r="C373" i="32"/>
  <c r="C374" i="32"/>
  <c r="C375" i="32"/>
  <c r="C376" i="32"/>
  <c r="C377" i="32"/>
  <c r="C378" i="32"/>
  <c r="C379" i="32"/>
  <c r="C380" i="32"/>
  <c r="C381" i="32"/>
  <c r="C382" i="32"/>
  <c r="C383" i="32"/>
  <c r="C384" i="32"/>
  <c r="C385" i="32"/>
  <c r="C386" i="32"/>
  <c r="C387" i="32"/>
  <c r="C388" i="32"/>
  <c r="C389" i="32"/>
  <c r="C390" i="32"/>
  <c r="C391" i="32"/>
  <c r="C392" i="32"/>
  <c r="C393" i="32"/>
  <c r="C394" i="32"/>
  <c r="C395" i="32"/>
  <c r="C396" i="32"/>
  <c r="C397" i="32"/>
  <c r="C398" i="32"/>
  <c r="C399" i="32"/>
  <c r="C400" i="32"/>
  <c r="C401" i="32"/>
  <c r="C402" i="32"/>
  <c r="C403" i="32"/>
  <c r="C404" i="32"/>
  <c r="C405" i="32"/>
  <c r="C406" i="32"/>
  <c r="C407" i="32"/>
  <c r="C408" i="32"/>
  <c r="C409" i="32"/>
  <c r="C410" i="32"/>
  <c r="C361" i="32"/>
  <c r="C312" i="32"/>
  <c r="C313" i="32"/>
  <c r="C314" i="32"/>
  <c r="C315" i="32"/>
  <c r="C316" i="32"/>
  <c r="C317" i="32"/>
  <c r="C318" i="32"/>
  <c r="C319" i="32"/>
  <c r="C320" i="32"/>
  <c r="C321" i="32"/>
  <c r="C322" i="32"/>
  <c r="C323" i="32"/>
  <c r="C324" i="32"/>
  <c r="C325" i="32"/>
  <c r="C326" i="32"/>
  <c r="C327" i="32"/>
  <c r="C328" i="32"/>
  <c r="C329" i="32"/>
  <c r="C330" i="32"/>
  <c r="C331" i="32"/>
  <c r="C332" i="32"/>
  <c r="C333" i="32"/>
  <c r="C334" i="32"/>
  <c r="C335" i="32"/>
  <c r="C336" i="32"/>
  <c r="C337" i="32"/>
  <c r="C338" i="32"/>
  <c r="C339" i="32"/>
  <c r="C340" i="32"/>
  <c r="C341" i="32"/>
  <c r="C342" i="32"/>
  <c r="C343" i="32"/>
  <c r="C344" i="32"/>
  <c r="C345" i="32"/>
  <c r="C346" i="32"/>
  <c r="C347" i="32"/>
  <c r="C348" i="32"/>
  <c r="C349" i="32"/>
  <c r="C350" i="32"/>
  <c r="C351" i="32"/>
  <c r="C352" i="32"/>
  <c r="C353" i="32"/>
  <c r="C354" i="32"/>
  <c r="C355" i="32"/>
  <c r="C356" i="32"/>
  <c r="C357" i="32"/>
  <c r="C358" i="32"/>
  <c r="C359" i="32"/>
  <c r="C360" i="32"/>
  <c r="C311" i="32"/>
  <c r="C262" i="32"/>
  <c r="C263" i="32"/>
  <c r="C264" i="32"/>
  <c r="C265" i="32"/>
  <c r="C266" i="32"/>
  <c r="C267" i="32"/>
  <c r="C268" i="32"/>
  <c r="C269" i="32"/>
  <c r="C270" i="32"/>
  <c r="C271" i="32"/>
  <c r="C272" i="32"/>
  <c r="C273" i="32"/>
  <c r="C274" i="32"/>
  <c r="C275" i="32"/>
  <c r="C276" i="32"/>
  <c r="C277" i="32"/>
  <c r="C278" i="32"/>
  <c r="C279" i="32"/>
  <c r="C280" i="32"/>
  <c r="C281" i="32"/>
  <c r="C282" i="32"/>
  <c r="C283" i="32"/>
  <c r="C284" i="32"/>
  <c r="C285" i="32"/>
  <c r="C286" i="32"/>
  <c r="C287" i="32"/>
  <c r="C288" i="32"/>
  <c r="C289" i="32"/>
  <c r="C290" i="32"/>
  <c r="C291" i="32"/>
  <c r="C292" i="32"/>
  <c r="C293" i="32"/>
  <c r="C294" i="32"/>
  <c r="C295" i="32"/>
  <c r="C296" i="32"/>
  <c r="C297" i="32"/>
  <c r="C298" i="32"/>
  <c r="C299" i="32"/>
  <c r="C300" i="32"/>
  <c r="C301" i="32"/>
  <c r="C302" i="32"/>
  <c r="C303" i="32"/>
  <c r="C304" i="32"/>
  <c r="C305" i="32"/>
  <c r="C306" i="32"/>
  <c r="C307" i="32"/>
  <c r="C308" i="32"/>
  <c r="C309" i="32"/>
  <c r="C310" i="32"/>
  <c r="C261" i="32"/>
  <c r="C213" i="32"/>
  <c r="C214" i="32"/>
  <c r="C215" i="32"/>
  <c r="C216" i="32"/>
  <c r="C217" i="32"/>
  <c r="C218" i="32"/>
  <c r="C219" i="32"/>
  <c r="C220" i="32"/>
  <c r="C221" i="32"/>
  <c r="C222" i="32"/>
  <c r="C223" i="32"/>
  <c r="C224" i="32"/>
  <c r="C225" i="32"/>
  <c r="C226" i="32"/>
  <c r="C227" i="32"/>
  <c r="C228" i="32"/>
  <c r="C229" i="32"/>
  <c r="C230" i="32"/>
  <c r="C231" i="32"/>
  <c r="C232" i="32"/>
  <c r="C233" i="32"/>
  <c r="C234" i="32"/>
  <c r="C235" i="32"/>
  <c r="C236" i="32"/>
  <c r="C237" i="32"/>
  <c r="C238" i="32"/>
  <c r="C239" i="32"/>
  <c r="C240" i="32"/>
  <c r="C241" i="32"/>
  <c r="C242" i="32"/>
  <c r="C243" i="32"/>
  <c r="C244" i="32"/>
  <c r="C245" i="32"/>
  <c r="C246" i="32"/>
  <c r="C247" i="32"/>
  <c r="C248" i="32"/>
  <c r="C249" i="32"/>
  <c r="C250" i="32"/>
  <c r="C251" i="32"/>
  <c r="C252" i="32"/>
  <c r="C253" i="32"/>
  <c r="C254" i="32"/>
  <c r="C255" i="32"/>
  <c r="C256" i="32"/>
  <c r="C257" i="32"/>
  <c r="C258" i="32"/>
  <c r="C259" i="32"/>
  <c r="C260" i="32"/>
  <c r="C212" i="32"/>
  <c r="C204" i="32"/>
  <c r="C205" i="32"/>
  <c r="C206" i="32"/>
  <c r="C207" i="32"/>
  <c r="C208" i="32"/>
  <c r="C209" i="32"/>
  <c r="C210" i="32"/>
  <c r="C211" i="32"/>
  <c r="C203" i="32"/>
  <c r="C154" i="32"/>
  <c r="C155" i="32"/>
  <c r="C156" i="32"/>
  <c r="C157" i="32"/>
  <c r="C158" i="32"/>
  <c r="C159" i="32"/>
  <c r="C160" i="32"/>
  <c r="C161" i="32"/>
  <c r="C162" i="32"/>
  <c r="C163" i="32"/>
  <c r="C164" i="32"/>
  <c r="C165" i="32"/>
  <c r="C166" i="32"/>
  <c r="C167" i="32"/>
  <c r="C168" i="32"/>
  <c r="C169" i="32"/>
  <c r="C170" i="32"/>
  <c r="C171" i="32"/>
  <c r="C172" i="32"/>
  <c r="C173" i="32"/>
  <c r="C174" i="32"/>
  <c r="C175" i="32"/>
  <c r="C176" i="32"/>
  <c r="C177" i="32"/>
  <c r="C178" i="32"/>
  <c r="C179" i="32"/>
  <c r="C180" i="32"/>
  <c r="C181" i="32"/>
  <c r="C182" i="32"/>
  <c r="C183" i="32"/>
  <c r="C184" i="32"/>
  <c r="C185" i="32"/>
  <c r="C186" i="32"/>
  <c r="C187" i="32"/>
  <c r="C188" i="32"/>
  <c r="C189" i="32"/>
  <c r="C190" i="32"/>
  <c r="C191" i="32"/>
  <c r="C192" i="32"/>
  <c r="C193" i="32"/>
  <c r="C194" i="32"/>
  <c r="C195" i="32"/>
  <c r="C196" i="32"/>
  <c r="C197" i="32"/>
  <c r="C198" i="32"/>
  <c r="C199" i="32"/>
  <c r="C200" i="32"/>
  <c r="C201" i="32"/>
  <c r="C202" i="32"/>
  <c r="C15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0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5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3" i="32"/>
  <c r="O10" i="1" l="1"/>
  <c r="AW5" i="11" s="1"/>
  <c r="O9" i="1"/>
  <c r="AW4" i="11" s="1"/>
  <c r="B47" i="11"/>
  <c r="B52" i="1" s="1"/>
  <c r="AO46" i="32"/>
  <c r="I23" i="32"/>
  <c r="E23" i="32"/>
  <c r="I52" i="32"/>
  <c r="E52" i="32"/>
  <c r="I44" i="32"/>
  <c r="E44" i="32"/>
  <c r="I36" i="32"/>
  <c r="E36" i="32"/>
  <c r="I28" i="32"/>
  <c r="E28" i="32"/>
  <c r="I20" i="32"/>
  <c r="E20" i="32"/>
  <c r="I12" i="32"/>
  <c r="E12" i="32"/>
  <c r="I4" i="32"/>
  <c r="E4" i="32"/>
  <c r="I43" i="32"/>
  <c r="E43" i="32"/>
  <c r="I19" i="32"/>
  <c r="E19" i="32"/>
  <c r="I11" i="32"/>
  <c r="E11" i="32"/>
  <c r="I50" i="32"/>
  <c r="E50" i="32"/>
  <c r="I42" i="32"/>
  <c r="E42" i="32"/>
  <c r="I34" i="32"/>
  <c r="E34" i="32"/>
  <c r="I26" i="32"/>
  <c r="E26" i="32"/>
  <c r="I18" i="32"/>
  <c r="E18" i="32"/>
  <c r="I10" i="32"/>
  <c r="E10" i="32"/>
  <c r="I41" i="32"/>
  <c r="E41" i="32"/>
  <c r="I51" i="32"/>
  <c r="E51" i="32"/>
  <c r="I17" i="32"/>
  <c r="E17" i="32"/>
  <c r="I48" i="32"/>
  <c r="E48" i="32"/>
  <c r="I40" i="32"/>
  <c r="E40" i="32"/>
  <c r="I32" i="32"/>
  <c r="E32" i="32"/>
  <c r="I24" i="32"/>
  <c r="E24" i="32"/>
  <c r="I16" i="32"/>
  <c r="E16" i="32"/>
  <c r="I8" i="32"/>
  <c r="E8" i="32"/>
  <c r="I35" i="32"/>
  <c r="E35" i="32"/>
  <c r="I33" i="32"/>
  <c r="E33" i="32"/>
  <c r="I31" i="32"/>
  <c r="E31" i="32"/>
  <c r="I39" i="32"/>
  <c r="E39" i="32"/>
  <c r="I15" i="32"/>
  <c r="E15" i="32"/>
  <c r="I38" i="32"/>
  <c r="E38" i="32"/>
  <c r="I27" i="32"/>
  <c r="E27" i="32"/>
  <c r="I49" i="32"/>
  <c r="E49" i="32"/>
  <c r="I25" i="32"/>
  <c r="E25" i="32"/>
  <c r="I9" i="32"/>
  <c r="E9" i="32"/>
  <c r="I47" i="32"/>
  <c r="E47" i="32"/>
  <c r="I7" i="32"/>
  <c r="E7" i="32"/>
  <c r="I46" i="32"/>
  <c r="E46" i="32"/>
  <c r="I30" i="32"/>
  <c r="E30" i="32"/>
  <c r="I22" i="32"/>
  <c r="E22" i="32"/>
  <c r="I14" i="32"/>
  <c r="E14" i="32"/>
  <c r="I6" i="32"/>
  <c r="E6" i="32"/>
  <c r="I3" i="32"/>
  <c r="T52" i="11" s="1"/>
  <c r="U52" i="11" s="1"/>
  <c r="E3" i="32"/>
  <c r="I45" i="32"/>
  <c r="E45" i="32"/>
  <c r="I37" i="32"/>
  <c r="E37" i="32"/>
  <c r="I29" i="32"/>
  <c r="E29" i="32"/>
  <c r="I21" i="32"/>
  <c r="E21" i="32"/>
  <c r="I13" i="32"/>
  <c r="E13" i="32"/>
  <c r="I5" i="32"/>
  <c r="E5" i="32"/>
  <c r="J35" i="30"/>
  <c r="J36" i="30"/>
  <c r="J37" i="30"/>
  <c r="B48" i="11" l="1"/>
  <c r="B53" i="1" s="1"/>
  <c r="AO47" i="32"/>
  <c r="T42" i="11"/>
  <c r="U42" i="11" s="1"/>
  <c r="T17" i="11"/>
  <c r="U17" i="11" s="1"/>
  <c r="T47" i="11"/>
  <c r="U47" i="11" s="1"/>
  <c r="T41" i="11"/>
  <c r="U41" i="11" s="1"/>
  <c r="T50" i="11"/>
  <c r="U50" i="11" s="1"/>
  <c r="T39" i="11"/>
  <c r="U39" i="11" s="1"/>
  <c r="T26" i="11"/>
  <c r="U26" i="11" s="1"/>
  <c r="T20" i="11"/>
  <c r="U20" i="11" s="1"/>
  <c r="T44" i="11"/>
  <c r="U44" i="11" s="1"/>
  <c r="T33" i="11"/>
  <c r="U33" i="11" s="1"/>
  <c r="T31" i="11"/>
  <c r="U31" i="11" s="1"/>
  <c r="T37" i="11"/>
  <c r="U37" i="11" s="1"/>
  <c r="T28" i="11"/>
  <c r="U28" i="11" s="1"/>
  <c r="T25" i="11"/>
  <c r="U25" i="11" s="1"/>
  <c r="T46" i="11"/>
  <c r="U46" i="11" s="1"/>
  <c r="T29" i="11"/>
  <c r="U29" i="11" s="1"/>
  <c r="T51" i="11"/>
  <c r="U51" i="11" s="1"/>
  <c r="T38" i="11"/>
  <c r="U38" i="11" s="1"/>
  <c r="T21" i="11"/>
  <c r="U21" i="11" s="1"/>
  <c r="T43" i="11"/>
  <c r="U43" i="11" s="1"/>
  <c r="T30" i="11"/>
  <c r="U30" i="11" s="1"/>
  <c r="T48" i="11"/>
  <c r="U48" i="11" s="1"/>
  <c r="T35" i="11"/>
  <c r="U35" i="11" s="1"/>
  <c r="T40" i="11"/>
  <c r="U40" i="11" s="1"/>
  <c r="T49" i="11"/>
  <c r="U49" i="11" s="1"/>
  <c r="T32" i="11"/>
  <c r="U32" i="11" s="1"/>
  <c r="T27" i="11"/>
  <c r="U27" i="11" s="1"/>
  <c r="T16" i="11"/>
  <c r="U16" i="11" s="1"/>
  <c r="T24" i="11"/>
  <c r="U24" i="11" s="1"/>
  <c r="T34" i="11"/>
  <c r="U34" i="11" s="1"/>
  <c r="T45" i="11"/>
  <c r="U45" i="11" s="1"/>
  <c r="T19" i="11"/>
  <c r="U19" i="11" s="1"/>
  <c r="T36" i="11"/>
  <c r="U36" i="11" s="1"/>
  <c r="E6" i="45"/>
  <c r="G6" i="45" s="1"/>
  <c r="E7" i="45"/>
  <c r="G7" i="45" s="1"/>
  <c r="E8" i="45"/>
  <c r="G8" i="45" s="1"/>
  <c r="E9" i="45"/>
  <c r="G9" i="45" s="1"/>
  <c r="E10" i="45"/>
  <c r="G10" i="45" s="1"/>
  <c r="E11" i="45"/>
  <c r="G11" i="45" s="1"/>
  <c r="E12" i="45"/>
  <c r="G12" i="45" s="1"/>
  <c r="E13" i="45"/>
  <c r="G13" i="45" s="1"/>
  <c r="E14" i="45"/>
  <c r="G14" i="45" s="1"/>
  <c r="B49" i="11" l="1"/>
  <c r="B54" i="1" s="1"/>
  <c r="AO48" i="32"/>
  <c r="F11" i="45"/>
  <c r="T11" i="45" s="1"/>
  <c r="H11" i="45"/>
  <c r="H13" i="45"/>
  <c r="F13" i="45"/>
  <c r="T13" i="45" s="1"/>
  <c r="F12" i="45"/>
  <c r="T12" i="45" s="1"/>
  <c r="H12" i="45"/>
  <c r="F10" i="45"/>
  <c r="T10" i="45" s="1"/>
  <c r="H10" i="45"/>
  <c r="F9" i="45"/>
  <c r="T9" i="45" s="1"/>
  <c r="H9" i="45"/>
  <c r="H8" i="45"/>
  <c r="F8" i="45"/>
  <c r="T8" i="45" s="1"/>
  <c r="H7" i="45"/>
  <c r="F7" i="45"/>
  <c r="T7" i="45" s="1"/>
  <c r="H14" i="45"/>
  <c r="F14" i="45"/>
  <c r="T14" i="45" s="1"/>
  <c r="H6" i="45"/>
  <c r="F6" i="45"/>
  <c r="T6" i="45" s="1"/>
  <c r="B50" i="11" l="1"/>
  <c r="B55" i="1" s="1"/>
  <c r="AO49" i="32"/>
  <c r="AX39" i="11"/>
  <c r="AY39" i="11" s="1"/>
  <c r="V39" i="11" s="1"/>
  <c r="AX40" i="11"/>
  <c r="AY40" i="11" s="1"/>
  <c r="V40" i="11" s="1"/>
  <c r="AX41" i="11"/>
  <c r="AY41" i="11" s="1"/>
  <c r="V41" i="11" s="1"/>
  <c r="AX42" i="11"/>
  <c r="AY42" i="11" s="1"/>
  <c r="V42" i="11" s="1"/>
  <c r="AX43" i="11"/>
  <c r="AY43" i="11" s="1"/>
  <c r="V43" i="11" s="1"/>
  <c r="AX44" i="11"/>
  <c r="AY44" i="11" s="1"/>
  <c r="V44" i="11" s="1"/>
  <c r="AX45" i="11"/>
  <c r="AY45" i="11" s="1"/>
  <c r="V45" i="11" s="1"/>
  <c r="AX46" i="11"/>
  <c r="AY46" i="11" s="1"/>
  <c r="V46" i="11" s="1"/>
  <c r="AX47" i="11"/>
  <c r="AY47" i="11" s="1"/>
  <c r="V47" i="11" s="1"/>
  <c r="AX48" i="11"/>
  <c r="AY48" i="11" s="1"/>
  <c r="V48" i="11" s="1"/>
  <c r="AX49" i="11"/>
  <c r="AY49" i="11" s="1"/>
  <c r="V49" i="11" s="1"/>
  <c r="AX50" i="11"/>
  <c r="AY50" i="11" s="1"/>
  <c r="V50" i="11" s="1"/>
  <c r="AX51" i="11"/>
  <c r="AY51" i="11" s="1"/>
  <c r="V51" i="11" s="1"/>
  <c r="AX52" i="11"/>
  <c r="AY52" i="11" s="1"/>
  <c r="V52" i="11" s="1"/>
  <c r="B51" i="11" l="1"/>
  <c r="B56" i="1" s="1"/>
  <c r="AO50" i="32"/>
  <c r="D5" i="54"/>
  <c r="I5" i="54"/>
  <c r="O5" i="54" s="1"/>
  <c r="M5" i="54"/>
  <c r="N5" i="54"/>
  <c r="S5" i="54"/>
  <c r="Z5" i="54"/>
  <c r="D6" i="54"/>
  <c r="I6" i="54"/>
  <c r="M6" i="54"/>
  <c r="N6" i="54"/>
  <c r="O6" i="54"/>
  <c r="S6" i="54"/>
  <c r="U6" i="54"/>
  <c r="W6" i="54"/>
  <c r="Z6" i="54"/>
  <c r="D7" i="54"/>
  <c r="I7" i="54"/>
  <c r="M7" i="54"/>
  <c r="N7" i="54"/>
  <c r="U7" i="54" s="1"/>
  <c r="O7" i="54"/>
  <c r="S7" i="54"/>
  <c r="Z7" i="54"/>
  <c r="D8" i="54"/>
  <c r="I8" i="54"/>
  <c r="O8" i="54" s="1"/>
  <c r="M8" i="54"/>
  <c r="N8" i="54"/>
  <c r="U8" i="54" s="1"/>
  <c r="S8" i="54"/>
  <c r="Z8" i="54"/>
  <c r="D9" i="54"/>
  <c r="I9" i="54"/>
  <c r="O9" i="54" s="1"/>
  <c r="M9" i="54"/>
  <c r="N9" i="54"/>
  <c r="S9" i="54"/>
  <c r="Z9" i="54"/>
  <c r="D10" i="54"/>
  <c r="I10" i="54"/>
  <c r="M10" i="54"/>
  <c r="N10" i="54"/>
  <c r="U10" i="54" s="1"/>
  <c r="S10" i="54"/>
  <c r="Z10" i="54"/>
  <c r="D11" i="54"/>
  <c r="I11" i="54"/>
  <c r="O11" i="54" s="1"/>
  <c r="M11" i="54"/>
  <c r="N11" i="54"/>
  <c r="S11" i="54"/>
  <c r="Z11" i="54"/>
  <c r="D12" i="54"/>
  <c r="I12" i="54"/>
  <c r="O12" i="54" s="1"/>
  <c r="M12" i="54"/>
  <c r="N12" i="54"/>
  <c r="U12" i="54" s="1"/>
  <c r="S12" i="54"/>
  <c r="Z12" i="54"/>
  <c r="D13" i="54"/>
  <c r="I13" i="54"/>
  <c r="O13" i="54" s="1"/>
  <c r="M13" i="54"/>
  <c r="N13" i="54"/>
  <c r="S13" i="54"/>
  <c r="Z13" i="54"/>
  <c r="A3" i="53"/>
  <c r="B3" i="53"/>
  <c r="C3" i="53"/>
  <c r="A4" i="53"/>
  <c r="B4" i="53"/>
  <c r="C4" i="53"/>
  <c r="A5" i="53"/>
  <c r="B5" i="53"/>
  <c r="C5" i="53"/>
  <c r="A6" i="53"/>
  <c r="B6" i="53"/>
  <c r="C6" i="53"/>
  <c r="A7" i="53"/>
  <c r="B7" i="53"/>
  <c r="C7" i="53"/>
  <c r="A8" i="53"/>
  <c r="B8" i="53"/>
  <c r="C8" i="53"/>
  <c r="A9" i="53"/>
  <c r="B9" i="53"/>
  <c r="C9" i="53"/>
  <c r="A10" i="53"/>
  <c r="B10" i="53"/>
  <c r="C10" i="53"/>
  <c r="A11" i="53"/>
  <c r="B11" i="53"/>
  <c r="C11" i="53"/>
  <c r="A4" i="52"/>
  <c r="A5" i="52"/>
  <c r="I5" i="52"/>
  <c r="S5" i="52"/>
  <c r="A6" i="52"/>
  <c r="I6" i="52"/>
  <c r="J6" i="52" s="1"/>
  <c r="S6" i="52"/>
  <c r="A7" i="52"/>
  <c r="I7" i="52"/>
  <c r="P7" i="52"/>
  <c r="R7" i="52" s="1"/>
  <c r="S7" i="52"/>
  <c r="A8" i="52"/>
  <c r="I8" i="52"/>
  <c r="P8" i="52"/>
  <c r="R8" i="52" s="1"/>
  <c r="S8" i="52"/>
  <c r="A9" i="52"/>
  <c r="I9" i="52"/>
  <c r="P9" i="52"/>
  <c r="R9" i="52" s="1"/>
  <c r="S9" i="52"/>
  <c r="A10" i="52"/>
  <c r="I10" i="52"/>
  <c r="P10" i="52"/>
  <c r="R10" i="52" s="1"/>
  <c r="S10" i="52"/>
  <c r="A11" i="52"/>
  <c r="I11" i="52"/>
  <c r="P11" i="52"/>
  <c r="R11" i="52" s="1"/>
  <c r="S11" i="52"/>
  <c r="A12" i="52"/>
  <c r="I12" i="52"/>
  <c r="P12" i="52"/>
  <c r="R12" i="52" s="1"/>
  <c r="S12" i="52"/>
  <c r="D14" i="43"/>
  <c r="A13" i="44" s="1"/>
  <c r="D13" i="43"/>
  <c r="A2" i="44" s="1"/>
  <c r="D6" i="30"/>
  <c r="D7" i="30"/>
  <c r="D8" i="30"/>
  <c r="D5" i="30"/>
  <c r="W10" i="54" l="1"/>
  <c r="M8" i="20"/>
  <c r="N8" i="20" s="1"/>
  <c r="M6" i="20"/>
  <c r="N6" i="20" s="1"/>
  <c r="M5" i="20"/>
  <c r="N5" i="20" s="1"/>
  <c r="H9" i="31"/>
  <c r="I9" i="31" s="1"/>
  <c r="D9" i="20"/>
  <c r="M7" i="20"/>
  <c r="N7" i="20" s="1"/>
  <c r="E4" i="20"/>
  <c r="J4" i="20" s="1"/>
  <c r="M4" i="20" s="1"/>
  <c r="E5" i="20"/>
  <c r="I633" i="32"/>
  <c r="I632" i="32"/>
  <c r="I631" i="32"/>
  <c r="I630" i="32"/>
  <c r="I629" i="32"/>
  <c r="I628" i="32"/>
  <c r="I627" i="32"/>
  <c r="I626" i="32"/>
  <c r="I625" i="32"/>
  <c r="I624" i="32"/>
  <c r="I623" i="32"/>
  <c r="I622" i="32"/>
  <c r="I621" i="32"/>
  <c r="I620" i="32"/>
  <c r="I619" i="32"/>
  <c r="I618" i="32"/>
  <c r="I617" i="32"/>
  <c r="I616" i="32"/>
  <c r="I615" i="32"/>
  <c r="I614" i="32"/>
  <c r="I613" i="32"/>
  <c r="I612" i="32"/>
  <c r="I611" i="32"/>
  <c r="I610" i="32"/>
  <c r="I609" i="32"/>
  <c r="I608" i="32"/>
  <c r="I607" i="32"/>
  <c r="I606" i="32"/>
  <c r="I605" i="32"/>
  <c r="I604" i="32"/>
  <c r="I603" i="32"/>
  <c r="I602" i="32"/>
  <c r="I601" i="32"/>
  <c r="I600" i="32"/>
  <c r="I599" i="32"/>
  <c r="I598" i="32"/>
  <c r="I597" i="32"/>
  <c r="I596" i="32"/>
  <c r="I595" i="32"/>
  <c r="I594" i="32"/>
  <c r="I593" i="32"/>
  <c r="I592" i="32"/>
  <c r="I591" i="32"/>
  <c r="I590" i="32"/>
  <c r="I589" i="32"/>
  <c r="I588" i="32"/>
  <c r="I587" i="32"/>
  <c r="I586" i="32"/>
  <c r="I585" i="32"/>
  <c r="I584" i="32"/>
  <c r="I583" i="32"/>
  <c r="I582" i="32"/>
  <c r="I581" i="32"/>
  <c r="I580" i="32"/>
  <c r="I579" i="32"/>
  <c r="I578" i="32"/>
  <c r="I577" i="32"/>
  <c r="I576" i="32"/>
  <c r="I575" i="32"/>
  <c r="I574" i="32"/>
  <c r="I573" i="32"/>
  <c r="I572" i="32"/>
  <c r="I571" i="32"/>
  <c r="I570" i="32"/>
  <c r="I569" i="32"/>
  <c r="I568" i="32"/>
  <c r="I567" i="32"/>
  <c r="I566" i="32"/>
  <c r="I565" i="32"/>
  <c r="I564" i="32"/>
  <c r="I563" i="32"/>
  <c r="I562" i="32"/>
  <c r="I561" i="32"/>
  <c r="I560" i="32"/>
  <c r="I559" i="32"/>
  <c r="I558" i="32"/>
  <c r="I557" i="32"/>
  <c r="I556" i="32"/>
  <c r="I555" i="32"/>
  <c r="I554" i="32"/>
  <c r="I553" i="32"/>
  <c r="I552" i="32"/>
  <c r="I551" i="32"/>
  <c r="I550" i="32"/>
  <c r="I549" i="32"/>
  <c r="I548" i="32"/>
  <c r="I547" i="32"/>
  <c r="I546" i="32"/>
  <c r="I545" i="32"/>
  <c r="I544" i="32"/>
  <c r="I543" i="32"/>
  <c r="I542" i="32"/>
  <c r="I541" i="32"/>
  <c r="I540" i="32"/>
  <c r="I539" i="32"/>
  <c r="I538" i="32"/>
  <c r="I537" i="32"/>
  <c r="I536" i="32"/>
  <c r="I535" i="32"/>
  <c r="I534" i="32"/>
  <c r="I533" i="32"/>
  <c r="I532" i="32"/>
  <c r="I531" i="32"/>
  <c r="I530" i="32"/>
  <c r="I529" i="32"/>
  <c r="I528" i="32"/>
  <c r="I527" i="32"/>
  <c r="I526" i="32"/>
  <c r="I525" i="32"/>
  <c r="I524" i="32"/>
  <c r="I523" i="32"/>
  <c r="I522" i="32"/>
  <c r="I521" i="32"/>
  <c r="I520" i="32"/>
  <c r="I519" i="32"/>
  <c r="I518" i="32"/>
  <c r="I517" i="32"/>
  <c r="I516" i="32"/>
  <c r="I515" i="32"/>
  <c r="I514" i="32"/>
  <c r="I513" i="32"/>
  <c r="I512" i="32"/>
  <c r="I511" i="32"/>
  <c r="I510" i="32"/>
  <c r="I509" i="32"/>
  <c r="I508" i="32"/>
  <c r="I507" i="32"/>
  <c r="I506" i="32"/>
  <c r="I505" i="32"/>
  <c r="I504" i="32"/>
  <c r="I503" i="32"/>
  <c r="I502" i="32"/>
  <c r="I501" i="32"/>
  <c r="I500" i="32"/>
  <c r="I499" i="32"/>
  <c r="I498" i="32"/>
  <c r="I497" i="32"/>
  <c r="I496" i="32"/>
  <c r="I495" i="32"/>
  <c r="I494" i="32"/>
  <c r="I493" i="32"/>
  <c r="I492" i="32"/>
  <c r="I491" i="32"/>
  <c r="I490" i="32"/>
  <c r="I489" i="32"/>
  <c r="I488" i="32"/>
  <c r="I487" i="32"/>
  <c r="I486" i="32"/>
  <c r="I485" i="32"/>
  <c r="I484" i="32"/>
  <c r="I483" i="32"/>
  <c r="I482" i="32"/>
  <c r="I481" i="32"/>
  <c r="I480" i="32"/>
  <c r="I479" i="32"/>
  <c r="I478" i="32"/>
  <c r="I477" i="32"/>
  <c r="I476" i="32"/>
  <c r="I475" i="32"/>
  <c r="I474" i="32"/>
  <c r="I473" i="32"/>
  <c r="I472" i="32"/>
  <c r="I471" i="32"/>
  <c r="I470" i="32"/>
  <c r="I469" i="32"/>
  <c r="I468" i="32"/>
  <c r="I467" i="32"/>
  <c r="I466" i="32"/>
  <c r="I465" i="32"/>
  <c r="I464" i="32"/>
  <c r="I463" i="32"/>
  <c r="I462" i="32"/>
  <c r="I461" i="32"/>
  <c r="I460" i="32"/>
  <c r="I459" i="32"/>
  <c r="I458" i="32"/>
  <c r="I457" i="32"/>
  <c r="I456" i="32"/>
  <c r="I455" i="32"/>
  <c r="I454" i="32"/>
  <c r="I453" i="32"/>
  <c r="I452" i="32"/>
  <c r="I451" i="32"/>
  <c r="I450" i="32"/>
  <c r="I449" i="32"/>
  <c r="I448" i="32"/>
  <c r="I447" i="32"/>
  <c r="I446" i="32"/>
  <c r="I445" i="32"/>
  <c r="I444" i="32"/>
  <c r="I443" i="32"/>
  <c r="I442" i="32"/>
  <c r="I441" i="32"/>
  <c r="I440" i="32"/>
  <c r="I439" i="32"/>
  <c r="I438" i="32"/>
  <c r="I437" i="32"/>
  <c r="I436" i="32"/>
  <c r="I435" i="32"/>
  <c r="I434" i="32"/>
  <c r="I433" i="32"/>
  <c r="I432" i="32"/>
  <c r="I431" i="32"/>
  <c r="I430" i="32"/>
  <c r="I429" i="32"/>
  <c r="I428" i="32"/>
  <c r="I427" i="32"/>
  <c r="I426" i="32"/>
  <c r="I425" i="32"/>
  <c r="I424" i="32"/>
  <c r="I423" i="32"/>
  <c r="I422" i="32"/>
  <c r="I421" i="32"/>
  <c r="I420" i="32"/>
  <c r="I419" i="32"/>
  <c r="I418" i="32"/>
  <c r="I417" i="32"/>
  <c r="I416" i="32"/>
  <c r="I415" i="32"/>
  <c r="I414" i="32"/>
  <c r="I413" i="32"/>
  <c r="I412" i="32"/>
  <c r="I411" i="32"/>
  <c r="B52" i="11"/>
  <c r="AO51" i="32"/>
  <c r="V12" i="52"/>
  <c r="U12" i="52"/>
  <c r="J12" i="52"/>
  <c r="V11" i="52"/>
  <c r="U11" i="52"/>
  <c r="V10" i="52"/>
  <c r="U10" i="52"/>
  <c r="J10" i="52"/>
  <c r="V9" i="52"/>
  <c r="U9" i="52"/>
  <c r="J9" i="52"/>
  <c r="V8" i="52"/>
  <c r="U8" i="52"/>
  <c r="V7" i="52"/>
  <c r="U7" i="52"/>
  <c r="R6" i="54"/>
  <c r="P6" i="54"/>
  <c r="Q6" i="54" s="1"/>
  <c r="Q5" i="20"/>
  <c r="Q4" i="20"/>
  <c r="Q6" i="20"/>
  <c r="Q7" i="20"/>
  <c r="Q8" i="20"/>
  <c r="Q9" i="20"/>
  <c r="Q11" i="20"/>
  <c r="Q10" i="20"/>
  <c r="Q12" i="20"/>
  <c r="G13" i="19"/>
  <c r="U6" i="52"/>
  <c r="V6" i="52"/>
  <c r="V5" i="52"/>
  <c r="U5" i="52"/>
  <c r="D4" i="52"/>
  <c r="B4" i="52"/>
  <c r="C4" i="52"/>
  <c r="F8" i="54"/>
  <c r="E8" i="54"/>
  <c r="F13" i="54"/>
  <c r="E13" i="54"/>
  <c r="F6" i="54"/>
  <c r="E6" i="54"/>
  <c r="D11" i="52"/>
  <c r="B11" i="52"/>
  <c r="C11" i="52"/>
  <c r="D9" i="52"/>
  <c r="B9" i="52"/>
  <c r="C9" i="52"/>
  <c r="C7" i="52"/>
  <c r="D7" i="52"/>
  <c r="B7" i="52"/>
  <c r="F9" i="54"/>
  <c r="E9" i="54"/>
  <c r="F13" i="19"/>
  <c r="D4" i="20" s="1"/>
  <c r="E13" i="19"/>
  <c r="I13" i="19"/>
  <c r="W8" i="30"/>
  <c r="Y8" i="30" s="1"/>
  <c r="E8" i="30"/>
  <c r="B5" i="52"/>
  <c r="C5" i="52"/>
  <c r="D5" i="52"/>
  <c r="F10" i="54"/>
  <c r="E10" i="54"/>
  <c r="K4" i="31"/>
  <c r="W5" i="30"/>
  <c r="Y5" i="30" s="1"/>
  <c r="E5" i="30"/>
  <c r="I184" i="32"/>
  <c r="I172" i="32"/>
  <c r="I176" i="32"/>
  <c r="I199" i="32"/>
  <c r="I198" i="32"/>
  <c r="I197" i="32"/>
  <c r="I164" i="32"/>
  <c r="I153" i="32"/>
  <c r="I168" i="32"/>
  <c r="I191" i="32"/>
  <c r="I190" i="32"/>
  <c r="I189" i="32"/>
  <c r="I156" i="32"/>
  <c r="I195" i="32"/>
  <c r="I160" i="32"/>
  <c r="I183" i="32"/>
  <c r="I182" i="32"/>
  <c r="I181" i="32"/>
  <c r="I187" i="32"/>
  <c r="I178" i="32"/>
  <c r="I175" i="32"/>
  <c r="I174" i="32"/>
  <c r="I173" i="32"/>
  <c r="I179" i="32"/>
  <c r="I167" i="32"/>
  <c r="I166" i="32"/>
  <c r="I165" i="32"/>
  <c r="I196" i="32"/>
  <c r="I171" i="32"/>
  <c r="I200" i="32"/>
  <c r="I159" i="32"/>
  <c r="I158" i="32"/>
  <c r="I157" i="32"/>
  <c r="I188" i="32"/>
  <c r="I163" i="32"/>
  <c r="I192" i="32"/>
  <c r="I180" i="32"/>
  <c r="I155" i="32"/>
  <c r="I201" i="32"/>
  <c r="I193" i="32"/>
  <c r="I202" i="32"/>
  <c r="I185" i="32"/>
  <c r="I194" i="32"/>
  <c r="I177" i="32"/>
  <c r="I186" i="32"/>
  <c r="I169" i="32"/>
  <c r="I170" i="32"/>
  <c r="I161" i="32"/>
  <c r="I162" i="32"/>
  <c r="I154" i="32"/>
  <c r="W6" i="30"/>
  <c r="Y6" i="30" s="1"/>
  <c r="E6" i="30"/>
  <c r="D10" i="52"/>
  <c r="B10" i="52"/>
  <c r="C10" i="52"/>
  <c r="F11" i="54"/>
  <c r="E11" i="54"/>
  <c r="D12" i="52"/>
  <c r="B12" i="52"/>
  <c r="C12" i="52"/>
  <c r="F13" i="43"/>
  <c r="E13" i="43"/>
  <c r="W12" i="43" s="1"/>
  <c r="C8" i="52"/>
  <c r="D8" i="52"/>
  <c r="B8" i="52"/>
  <c r="W7" i="30"/>
  <c r="Y7" i="30" s="1"/>
  <c r="E7" i="30"/>
  <c r="F14" i="43"/>
  <c r="E14" i="43"/>
  <c r="B6" i="52"/>
  <c r="C6" i="52"/>
  <c r="D6" i="52"/>
  <c r="F12" i="54"/>
  <c r="E12" i="54"/>
  <c r="F7" i="54"/>
  <c r="E7" i="54"/>
  <c r="F5" i="54"/>
  <c r="E5" i="54"/>
  <c r="R10" i="54"/>
  <c r="P10" i="54"/>
  <c r="Q10" i="54" s="1"/>
  <c r="T10" i="54"/>
  <c r="J8" i="52"/>
  <c r="W8" i="54"/>
  <c r="W12" i="54"/>
  <c r="X6" i="54"/>
  <c r="X10" i="54"/>
  <c r="Y10" i="54" s="1"/>
  <c r="AA10" i="54" s="1"/>
  <c r="AB10" i="54" s="1"/>
  <c r="Y6" i="54"/>
  <c r="T11" i="52"/>
  <c r="T12" i="52"/>
  <c r="T10" i="52"/>
  <c r="J7" i="52"/>
  <c r="T6" i="54"/>
  <c r="T8" i="52"/>
  <c r="U11" i="54"/>
  <c r="R11" i="54" s="1"/>
  <c r="W13" i="54"/>
  <c r="J5" i="52"/>
  <c r="W9" i="54"/>
  <c r="W5" i="54"/>
  <c r="AA6" i="54"/>
  <c r="AB6" i="54" s="1"/>
  <c r="J11" i="52"/>
  <c r="X11" i="54"/>
  <c r="Y11" i="54" s="1"/>
  <c r="AA11" i="54" s="1"/>
  <c r="P8" i="54"/>
  <c r="Q8" i="54" s="1"/>
  <c r="X8" i="54"/>
  <c r="R8" i="54"/>
  <c r="T8" i="54"/>
  <c r="T7" i="54"/>
  <c r="X7" i="54"/>
  <c r="Y7" i="54" s="1"/>
  <c r="AA7" i="54" s="1"/>
  <c r="R7" i="54"/>
  <c r="X12" i="54"/>
  <c r="T12" i="54"/>
  <c r="P12" i="54"/>
  <c r="Q12" i="54" s="1"/>
  <c r="R12" i="54"/>
  <c r="U13" i="54"/>
  <c r="R13" i="54" s="1"/>
  <c r="O10" i="54"/>
  <c r="U9" i="54"/>
  <c r="R9" i="54" s="1"/>
  <c r="U5" i="54"/>
  <c r="P5" i="54" s="1"/>
  <c r="Q5" i="54" s="1"/>
  <c r="P7" i="54"/>
  <c r="Q7" i="54" s="1"/>
  <c r="Y12" i="54"/>
  <c r="AA12" i="54" s="1"/>
  <c r="W11" i="54"/>
  <c r="Y8" i="54"/>
  <c r="AA8" i="54" s="1"/>
  <c r="W7" i="54"/>
  <c r="P13" i="54"/>
  <c r="Q13" i="54" s="1"/>
  <c r="T9" i="52"/>
  <c r="T7" i="52"/>
  <c r="T11" i="54" l="1"/>
  <c r="T5" i="54"/>
  <c r="P11" i="54"/>
  <c r="Q11" i="54" s="1"/>
  <c r="AO52" i="32"/>
  <c r="B57" i="1"/>
  <c r="D5" i="20"/>
  <c r="D7" i="20"/>
  <c r="D8" i="20"/>
  <c r="D6" i="20"/>
  <c r="D11" i="20"/>
  <c r="D10" i="20"/>
  <c r="W14" i="43"/>
  <c r="W13" i="43"/>
  <c r="R5" i="54"/>
  <c r="X5" i="54"/>
  <c r="Y5" i="54" s="1"/>
  <c r="AA5" i="54" s="1"/>
  <c r="AB5" i="54" s="1"/>
  <c r="W12" i="52"/>
  <c r="X12" i="52" s="1"/>
  <c r="W9" i="52"/>
  <c r="X9" i="52" s="1"/>
  <c r="W11" i="52"/>
  <c r="X11" i="52" s="1"/>
  <c r="W10" i="52"/>
  <c r="X10" i="52" s="1"/>
  <c r="AB8" i="54"/>
  <c r="AB12" i="54"/>
  <c r="X13" i="54"/>
  <c r="Y13" i="54" s="1"/>
  <c r="AA13" i="54" s="1"/>
  <c r="AB13" i="54" s="1"/>
  <c r="T13" i="54"/>
  <c r="AB7" i="54"/>
  <c r="AB11" i="54"/>
  <c r="P9" i="54"/>
  <c r="Q9" i="54" s="1"/>
  <c r="T9" i="54"/>
  <c r="X9" i="54"/>
  <c r="Y9" i="54" s="1"/>
  <c r="AA9" i="54" s="1"/>
  <c r="AB9" i="54" s="1"/>
  <c r="W7" i="52" l="1"/>
  <c r="X7" i="52" s="1"/>
  <c r="W8" i="52"/>
  <c r="X8" i="52" s="1"/>
  <c r="J38" i="30"/>
  <c r="J39" i="30"/>
  <c r="J40" i="30"/>
  <c r="J41" i="30"/>
  <c r="J42" i="30"/>
  <c r="J43" i="30"/>
  <c r="J44" i="30"/>
  <c r="J45" i="30"/>
  <c r="J46" i="30"/>
  <c r="Q4" i="29"/>
  <c r="Q5" i="29"/>
  <c r="Q6" i="29"/>
  <c r="Q7" i="29"/>
  <c r="Q8" i="29"/>
  <c r="Q9" i="29"/>
  <c r="Q10" i="29"/>
  <c r="Q11" i="29"/>
  <c r="Q12" i="29"/>
  <c r="Q3" i="29"/>
  <c r="B19" i="12"/>
  <c r="B20" i="12"/>
  <c r="B21" i="12"/>
  <c r="B18" i="12"/>
  <c r="AX18" i="19" l="1"/>
  <c r="AV18" i="19"/>
  <c r="AX17" i="19"/>
  <c r="BB17" i="19" s="1"/>
  <c r="AV17" i="19"/>
  <c r="C20" i="12"/>
  <c r="A20" i="12"/>
  <c r="C19" i="12"/>
  <c r="A19" i="12"/>
  <c r="C18" i="12"/>
  <c r="A18" i="12"/>
  <c r="C21" i="12"/>
  <c r="A21" i="12"/>
  <c r="AM18" i="19"/>
  <c r="K48" i="11" l="1"/>
  <c r="M49" i="11"/>
  <c r="K46" i="11"/>
  <c r="M46" i="11"/>
  <c r="M36" i="11"/>
  <c r="K51" i="11"/>
  <c r="M51" i="11"/>
  <c r="K45" i="11"/>
  <c r="M45" i="11"/>
  <c r="M35" i="11"/>
  <c r="M15" i="11"/>
  <c r="AZ17" i="19"/>
  <c r="AZ18" i="19"/>
  <c r="AN18" i="19"/>
  <c r="AS17" i="19"/>
  <c r="AW17" i="19"/>
  <c r="BA17" i="19" s="1"/>
  <c r="BE17" i="19" s="1"/>
  <c r="AU17" i="19"/>
  <c r="AY17" i="19"/>
  <c r="BC17" i="19" s="1"/>
  <c r="AR17" i="19"/>
  <c r="AY18" i="19"/>
  <c r="BC18" i="19" s="1"/>
  <c r="AU18" i="19"/>
  <c r="AS18" i="19"/>
  <c r="AW18" i="19"/>
  <c r="BA18" i="19" s="1"/>
  <c r="AO17" i="19"/>
  <c r="AT18" i="19"/>
  <c r="AM17" i="19"/>
  <c r="BB18" i="19"/>
  <c r="BF18" i="19" s="1"/>
  <c r="AN17" i="19"/>
  <c r="AO18" i="19"/>
  <c r="AT17" i="19"/>
  <c r="BF17" i="19" s="1"/>
  <c r="AR18" i="19"/>
  <c r="L39" i="11"/>
  <c r="L51" i="11"/>
  <c r="M52" i="11"/>
  <c r="K39" i="11"/>
  <c r="L42" i="11"/>
  <c r="K52" i="11"/>
  <c r="L52" i="11"/>
  <c r="L21" i="11"/>
  <c r="L19" i="11"/>
  <c r="M19" i="11"/>
  <c r="M18" i="11"/>
  <c r="L48" i="11"/>
  <c r="M48" i="11"/>
  <c r="L25" i="11"/>
  <c r="K42" i="11"/>
  <c r="K50" i="11"/>
  <c r="M21" i="11"/>
  <c r="L36" i="11"/>
  <c r="M39" i="11"/>
  <c r="M25" i="11"/>
  <c r="L47" i="11"/>
  <c r="K44" i="11"/>
  <c r="L38" i="11"/>
  <c r="M50" i="11"/>
  <c r="M42" i="11"/>
  <c r="M38" i="11"/>
  <c r="L50" i="11"/>
  <c r="M47" i="11"/>
  <c r="L44" i="11"/>
  <c r="M44" i="11"/>
  <c r="K47" i="11"/>
  <c r="M26" i="11"/>
  <c r="M32" i="11"/>
  <c r="L32" i="11"/>
  <c r="M37" i="11"/>
  <c r="L37" i="11"/>
  <c r="L46" i="11"/>
  <c r="M17" i="11"/>
  <c r="L17" i="11"/>
  <c r="M41" i="11"/>
  <c r="K41" i="11"/>
  <c r="L41" i="11"/>
  <c r="K40" i="11"/>
  <c r="L40" i="11"/>
  <c r="M40" i="11"/>
  <c r="L35" i="11"/>
  <c r="K49" i="11"/>
  <c r="L49" i="11"/>
  <c r="L33" i="11"/>
  <c r="M33" i="11"/>
  <c r="L43" i="11"/>
  <c r="K43" i="11"/>
  <c r="M43" i="11"/>
  <c r="L45" i="11"/>
  <c r="L34" i="11"/>
  <c r="M34" i="11"/>
  <c r="M27" i="11"/>
  <c r="L27" i="11"/>
  <c r="BE18" i="19" l="1"/>
  <c r="BG18" i="19"/>
  <c r="BD18" i="19"/>
  <c r="BG17" i="19"/>
  <c r="BD17" i="19"/>
  <c r="A6" i="55"/>
  <c r="A7" i="55"/>
  <c r="A8" i="55"/>
  <c r="A9" i="55"/>
  <c r="A10" i="55"/>
  <c r="A11" i="55"/>
  <c r="A12" i="55"/>
  <c r="A13" i="55"/>
  <c r="A14" i="55"/>
  <c r="A5" i="55"/>
  <c r="D4" i="54"/>
  <c r="I4" i="54"/>
  <c r="Z4" i="54"/>
  <c r="AA13" i="55" l="1"/>
  <c r="V13" i="55"/>
  <c r="V14" i="55"/>
  <c r="AA14" i="55"/>
  <c r="V6" i="55"/>
  <c r="AB6" i="55" s="1"/>
  <c r="AA6" i="55"/>
  <c r="AA11" i="55"/>
  <c r="V11" i="55"/>
  <c r="AB11" i="55" s="1"/>
  <c r="V12" i="55"/>
  <c r="AB12" i="55" s="1"/>
  <c r="AA12" i="55"/>
  <c r="V10" i="55"/>
  <c r="AB10" i="55" s="1"/>
  <c r="AA10" i="55"/>
  <c r="AA8" i="55"/>
  <c r="V8" i="55"/>
  <c r="V9" i="55"/>
  <c r="AB9" i="55" s="1"/>
  <c r="AA9" i="55"/>
  <c r="AA5" i="55"/>
  <c r="V5" i="55"/>
  <c r="AB5" i="55" s="1"/>
  <c r="V7" i="55"/>
  <c r="AB7" i="55" s="1"/>
  <c r="AA7" i="55"/>
  <c r="O42" i="11"/>
  <c r="O49" i="11"/>
  <c r="O48" i="11"/>
  <c r="O43" i="11"/>
  <c r="O52" i="11"/>
  <c r="O46" i="11"/>
  <c r="O47" i="11"/>
  <c r="N52" i="11"/>
  <c r="P52" i="11" s="1"/>
  <c r="Q52" i="11" s="1"/>
  <c r="N49" i="11"/>
  <c r="O44" i="11"/>
  <c r="N50" i="11"/>
  <c r="N41" i="11"/>
  <c r="P41" i="11" s="1"/>
  <c r="Q41" i="11" s="1"/>
  <c r="N42" i="11"/>
  <c r="N48" i="11"/>
  <c r="O51" i="11"/>
  <c r="N40" i="11"/>
  <c r="O40" i="11"/>
  <c r="O50" i="11"/>
  <c r="N44" i="11"/>
  <c r="N39" i="11"/>
  <c r="O45" i="11"/>
  <c r="O41" i="11"/>
  <c r="N45" i="11"/>
  <c r="N47" i="11"/>
  <c r="P47" i="11" s="1"/>
  <c r="Q47" i="11" s="1"/>
  <c r="N51" i="11"/>
  <c r="P51" i="11" s="1"/>
  <c r="Q51" i="11" s="1"/>
  <c r="O39" i="11"/>
  <c r="N43" i="11"/>
  <c r="N46" i="11"/>
  <c r="P46" i="11" s="1"/>
  <c r="Q46" i="11" s="1"/>
  <c r="BH17" i="19"/>
  <c r="BI17" i="19" s="1"/>
  <c r="BH18" i="19"/>
  <c r="BI18" i="19" s="1"/>
  <c r="BJ18" i="19"/>
  <c r="F4" i="54"/>
  <c r="D8" i="55" s="1"/>
  <c r="E4" i="54"/>
  <c r="AB8" i="55"/>
  <c r="C8" i="55"/>
  <c r="C5" i="55"/>
  <c r="C7" i="55"/>
  <c r="C9" i="55"/>
  <c r="C6" i="55"/>
  <c r="AB14" i="55"/>
  <c r="C14" i="55"/>
  <c r="AB13" i="55"/>
  <c r="C13" i="55"/>
  <c r="C12" i="55"/>
  <c r="C11" i="55"/>
  <c r="C10" i="55"/>
  <c r="O4" i="54"/>
  <c r="BJ17" i="19" l="1"/>
  <c r="P43" i="11"/>
  <c r="Q43" i="11" s="1"/>
  <c r="P45" i="11"/>
  <c r="Q45" i="11" s="1"/>
  <c r="P39" i="11"/>
  <c r="Q39" i="11" s="1"/>
  <c r="P44" i="11"/>
  <c r="Q44" i="11" s="1"/>
  <c r="P50" i="11"/>
  <c r="Q50" i="11" s="1"/>
  <c r="P49" i="11"/>
  <c r="Q49" i="11" s="1"/>
  <c r="P40" i="11"/>
  <c r="Q40" i="11" s="1"/>
  <c r="P48" i="11"/>
  <c r="Q48" i="11" s="1"/>
  <c r="P42" i="11"/>
  <c r="Q42" i="11" s="1"/>
  <c r="H410" i="32"/>
  <c r="H409" i="32"/>
  <c r="H408" i="32"/>
  <c r="H407" i="32"/>
  <c r="H406" i="32"/>
  <c r="H405" i="32"/>
  <c r="H404" i="32"/>
  <c r="H403" i="32"/>
  <c r="H402" i="32"/>
  <c r="H401" i="32"/>
  <c r="H400" i="32"/>
  <c r="H399" i="32"/>
  <c r="H398" i="32"/>
  <c r="H397" i="32"/>
  <c r="H396" i="32"/>
  <c r="H395" i="32"/>
  <c r="H394" i="32"/>
  <c r="H393" i="32"/>
  <c r="H392" i="32"/>
  <c r="H391" i="32"/>
  <c r="H390" i="32"/>
  <c r="H389" i="32"/>
  <c r="H388" i="32"/>
  <c r="H387" i="32"/>
  <c r="H386" i="32"/>
  <c r="H385" i="32"/>
  <c r="H384" i="32"/>
  <c r="H383" i="32"/>
  <c r="H382" i="32"/>
  <c r="H381" i="32"/>
  <c r="H380" i="32"/>
  <c r="H379" i="32"/>
  <c r="H378" i="32"/>
  <c r="H377" i="32"/>
  <c r="H376" i="32"/>
  <c r="H375" i="32"/>
  <c r="H374" i="32"/>
  <c r="H373" i="32"/>
  <c r="H372" i="32"/>
  <c r="H371" i="32"/>
  <c r="H370" i="32"/>
  <c r="H369" i="32"/>
  <c r="H368" i="32"/>
  <c r="H367" i="32"/>
  <c r="H366" i="32"/>
  <c r="H365" i="32"/>
  <c r="H364" i="32"/>
  <c r="H363" i="32"/>
  <c r="H362" i="32"/>
  <c r="I361" i="32"/>
  <c r="T22" i="11" s="1"/>
  <c r="U22" i="11" s="1"/>
  <c r="I410" i="32"/>
  <c r="I409" i="32"/>
  <c r="I408" i="32"/>
  <c r="I407" i="32"/>
  <c r="I406" i="32"/>
  <c r="I405" i="32"/>
  <c r="I404" i="32"/>
  <c r="I403" i="32"/>
  <c r="I402" i="32"/>
  <c r="I401" i="32"/>
  <c r="I400" i="32"/>
  <c r="I399" i="32"/>
  <c r="I398" i="32"/>
  <c r="I397" i="32"/>
  <c r="I396" i="32"/>
  <c r="I395" i="32"/>
  <c r="I394" i="32"/>
  <c r="I393" i="32"/>
  <c r="I392" i="32"/>
  <c r="I391" i="32"/>
  <c r="I390" i="32"/>
  <c r="I389" i="32"/>
  <c r="I388" i="32"/>
  <c r="I387" i="32"/>
  <c r="I386" i="32"/>
  <c r="I385" i="32"/>
  <c r="I384" i="32"/>
  <c r="I383" i="32"/>
  <c r="I382" i="32"/>
  <c r="I381" i="32"/>
  <c r="I380" i="32"/>
  <c r="I379" i="32"/>
  <c r="I378" i="32"/>
  <c r="I377" i="32"/>
  <c r="I376" i="32"/>
  <c r="I375" i="32"/>
  <c r="I374" i="32"/>
  <c r="I373" i="32"/>
  <c r="I372" i="32"/>
  <c r="I371" i="32"/>
  <c r="I370" i="32"/>
  <c r="I369" i="32"/>
  <c r="I368" i="32"/>
  <c r="I367" i="32"/>
  <c r="I366" i="32"/>
  <c r="I365" i="32"/>
  <c r="I364" i="32"/>
  <c r="I363" i="32"/>
  <c r="I362" i="32"/>
  <c r="F410" i="32"/>
  <c r="G410" i="32"/>
  <c r="F409" i="32"/>
  <c r="G409" i="32"/>
  <c r="F408" i="32"/>
  <c r="G408" i="32"/>
  <c r="F407" i="32"/>
  <c r="G407" i="32"/>
  <c r="F406" i="32"/>
  <c r="G406" i="32"/>
  <c r="F405" i="32"/>
  <c r="G405" i="32"/>
  <c r="F404" i="32"/>
  <c r="G404" i="32"/>
  <c r="F403" i="32"/>
  <c r="G403" i="32"/>
  <c r="F402" i="32"/>
  <c r="G402" i="32"/>
  <c r="F401" i="32"/>
  <c r="G401" i="32"/>
  <c r="F400" i="32"/>
  <c r="G400" i="32"/>
  <c r="F399" i="32"/>
  <c r="G399" i="32"/>
  <c r="F398" i="32"/>
  <c r="G398" i="32"/>
  <c r="F397" i="32"/>
  <c r="G397" i="32"/>
  <c r="F396" i="32"/>
  <c r="G396" i="32"/>
  <c r="F395" i="32"/>
  <c r="G395" i="32"/>
  <c r="F394" i="32"/>
  <c r="G394" i="32"/>
  <c r="F393" i="32"/>
  <c r="G393" i="32"/>
  <c r="F392" i="32"/>
  <c r="G392" i="32"/>
  <c r="F391" i="32"/>
  <c r="G391" i="32"/>
  <c r="F390" i="32"/>
  <c r="G390" i="32"/>
  <c r="F389" i="32"/>
  <c r="G389" i="32"/>
  <c r="F388" i="32"/>
  <c r="G388" i="32"/>
  <c r="F387" i="32"/>
  <c r="G387" i="32"/>
  <c r="F386" i="32"/>
  <c r="G386" i="32"/>
  <c r="F385" i="32"/>
  <c r="G385" i="32"/>
  <c r="F384" i="32"/>
  <c r="G384" i="32"/>
  <c r="F383" i="32"/>
  <c r="G383" i="32"/>
  <c r="F382" i="32"/>
  <c r="G382" i="32"/>
  <c r="F381" i="32"/>
  <c r="G381" i="32"/>
  <c r="F380" i="32"/>
  <c r="G380" i="32"/>
  <c r="F379" i="32"/>
  <c r="G379" i="32"/>
  <c r="F378" i="32"/>
  <c r="G378" i="32"/>
  <c r="F377" i="32"/>
  <c r="G377" i="32"/>
  <c r="F376" i="32"/>
  <c r="G376" i="32"/>
  <c r="F375" i="32"/>
  <c r="G375" i="32"/>
  <c r="F374" i="32"/>
  <c r="G374" i="32"/>
  <c r="F373" i="32"/>
  <c r="G373" i="32"/>
  <c r="F372" i="32"/>
  <c r="G372" i="32"/>
  <c r="F371" i="32"/>
  <c r="G371" i="32"/>
  <c r="F370" i="32"/>
  <c r="G370" i="32"/>
  <c r="F369" i="32"/>
  <c r="G369" i="32"/>
  <c r="F368" i="32"/>
  <c r="G368" i="32"/>
  <c r="F367" i="32"/>
  <c r="G367" i="32"/>
  <c r="F366" i="32"/>
  <c r="G366" i="32"/>
  <c r="F365" i="32"/>
  <c r="G365" i="32"/>
  <c r="F364" i="32"/>
  <c r="G364" i="32"/>
  <c r="F363" i="32"/>
  <c r="G363" i="32"/>
  <c r="F362" i="32"/>
  <c r="G362" i="32"/>
  <c r="BK18" i="19"/>
  <c r="BK17" i="19"/>
  <c r="F361" i="32"/>
  <c r="G361" i="32"/>
  <c r="H361" i="32"/>
  <c r="N4" i="54"/>
  <c r="M4" i="54"/>
  <c r="D9" i="55"/>
  <c r="D10" i="55"/>
  <c r="D7" i="55"/>
  <c r="D5" i="55"/>
  <c r="D6" i="55"/>
  <c r="D13" i="55"/>
  <c r="D14" i="55"/>
  <c r="D11" i="55"/>
  <c r="D12" i="55"/>
  <c r="U4" i="54" l="1"/>
  <c r="R4" i="54" s="1"/>
  <c r="W4" i="54"/>
  <c r="S4" i="54"/>
  <c r="T4" i="54" s="1"/>
  <c r="X4" i="54" l="1"/>
  <c r="Y4" i="54" s="1"/>
  <c r="AA4" i="54" s="1"/>
  <c r="AB4" i="54" s="1"/>
  <c r="P4" i="54"/>
  <c r="Q4" i="54" s="1"/>
  <c r="E361" i="32" l="1"/>
  <c r="E410" i="32"/>
  <c r="E409" i="32"/>
  <c r="E408" i="32"/>
  <c r="E407" i="32"/>
  <c r="E406" i="32"/>
  <c r="E405" i="32"/>
  <c r="E404" i="32"/>
  <c r="E403" i="32"/>
  <c r="E402" i="32"/>
  <c r="E401" i="32"/>
  <c r="E400" i="32"/>
  <c r="E399" i="32"/>
  <c r="E398" i="32"/>
  <c r="E397" i="32"/>
  <c r="E396" i="32"/>
  <c r="E395" i="32"/>
  <c r="E394" i="32"/>
  <c r="E393" i="32"/>
  <c r="E392" i="32"/>
  <c r="E391" i="32"/>
  <c r="E390" i="32"/>
  <c r="E389" i="32"/>
  <c r="E388" i="32"/>
  <c r="E387" i="32"/>
  <c r="E386" i="32"/>
  <c r="E385" i="32"/>
  <c r="E384" i="32"/>
  <c r="E383" i="32"/>
  <c r="E382" i="32"/>
  <c r="E381" i="32"/>
  <c r="E380" i="32"/>
  <c r="E379" i="32"/>
  <c r="E378" i="32"/>
  <c r="E377" i="32"/>
  <c r="E376" i="32"/>
  <c r="E375" i="32"/>
  <c r="E374" i="32"/>
  <c r="E373" i="32"/>
  <c r="E372" i="32"/>
  <c r="E371" i="32"/>
  <c r="E370" i="32"/>
  <c r="E369" i="32"/>
  <c r="E368" i="32"/>
  <c r="E367" i="32"/>
  <c r="E366" i="32"/>
  <c r="E365" i="32"/>
  <c r="E364" i="32"/>
  <c r="E363" i="32"/>
  <c r="E362" i="32"/>
  <c r="A2" i="53"/>
  <c r="A3" i="52"/>
  <c r="C2" i="53"/>
  <c r="B2" i="53"/>
  <c r="D3" i="52" l="1"/>
  <c r="B3" i="52"/>
  <c r="F321" i="32" s="1"/>
  <c r="C3" i="52"/>
  <c r="I323" i="32"/>
  <c r="I322" i="32"/>
  <c r="I321" i="32"/>
  <c r="I352" i="32"/>
  <c r="I343" i="32"/>
  <c r="I348" i="32"/>
  <c r="I311" i="32"/>
  <c r="T18" i="11" s="1"/>
  <c r="U18" i="11" s="1"/>
  <c r="I328" i="32"/>
  <c r="I319" i="32"/>
  <c r="I324" i="32"/>
  <c r="I339" i="32"/>
  <c r="I338" i="32"/>
  <c r="I337" i="32"/>
  <c r="I359" i="32"/>
  <c r="I315" i="32"/>
  <c r="I314" i="32"/>
  <c r="I313" i="32"/>
  <c r="I344" i="32"/>
  <c r="I335" i="32"/>
  <c r="I340" i="32"/>
  <c r="I355" i="32"/>
  <c r="I354" i="32"/>
  <c r="I353" i="32"/>
  <c r="I320" i="32"/>
  <c r="I316" i="32"/>
  <c r="I331" i="32"/>
  <c r="I330" i="32"/>
  <c r="I329" i="32"/>
  <c r="I360" i="32"/>
  <c r="I351" i="32"/>
  <c r="I356" i="32"/>
  <c r="I336" i="32"/>
  <c r="I332" i="32"/>
  <c r="I347" i="32"/>
  <c r="I346" i="32"/>
  <c r="I345" i="32"/>
  <c r="I312" i="32"/>
  <c r="I358" i="32"/>
  <c r="I334" i="32"/>
  <c r="I357" i="32"/>
  <c r="I333" i="32"/>
  <c r="I327" i="32"/>
  <c r="I350" i="32"/>
  <c r="I326" i="32"/>
  <c r="I349" i="32"/>
  <c r="I325" i="32"/>
  <c r="I342" i="32"/>
  <c r="I318" i="32"/>
  <c r="I341" i="32"/>
  <c r="I317" i="32"/>
  <c r="D5" i="53"/>
  <c r="F5" i="53" s="1"/>
  <c r="E6" i="53"/>
  <c r="G6" i="53" s="1"/>
  <c r="E5" i="53"/>
  <c r="G5" i="53" s="1"/>
  <c r="D6" i="53"/>
  <c r="F6" i="53" s="1"/>
  <c r="D8" i="53"/>
  <c r="F8" i="53" s="1"/>
  <c r="E10" i="53"/>
  <c r="G10" i="53" s="1"/>
  <c r="E8" i="53"/>
  <c r="G8" i="53" s="1"/>
  <c r="D10" i="53"/>
  <c r="F10" i="53" s="1"/>
  <c r="E11" i="53"/>
  <c r="G11" i="53" s="1"/>
  <c r="E7" i="53"/>
  <c r="G7" i="53" s="1"/>
  <c r="D4" i="53"/>
  <c r="F4" i="53" s="1"/>
  <c r="D11" i="53"/>
  <c r="F11" i="53" s="1"/>
  <c r="D7" i="53"/>
  <c r="F7" i="53" s="1"/>
  <c r="E4" i="53"/>
  <c r="G4" i="53" s="1"/>
  <c r="E3" i="53"/>
  <c r="G3" i="53" s="1"/>
  <c r="D9" i="53"/>
  <c r="F9" i="53" s="1"/>
  <c r="D3" i="53"/>
  <c r="F3" i="53" s="1"/>
  <c r="E9" i="53"/>
  <c r="G9" i="53" s="1"/>
  <c r="E2" i="53"/>
  <c r="G2" i="53" s="1"/>
  <c r="N2" i="53" s="1"/>
  <c r="D2" i="53"/>
  <c r="F2" i="53" s="1"/>
  <c r="L2" i="53" s="1"/>
  <c r="F341" i="32" l="1"/>
  <c r="F317" i="32"/>
  <c r="F320" i="32"/>
  <c r="F342" i="32"/>
  <c r="F327" i="32"/>
  <c r="F350" i="32"/>
  <c r="F333" i="32"/>
  <c r="F326" i="32"/>
  <c r="F319" i="32"/>
  <c r="F325" i="32"/>
  <c r="F349" i="32"/>
  <c r="F343" i="32"/>
  <c r="F318" i="32"/>
  <c r="F360" i="32"/>
  <c r="F330" i="32"/>
  <c r="F331" i="32"/>
  <c r="F357" i="32"/>
  <c r="F336" i="32"/>
  <c r="F316" i="32"/>
  <c r="F340" i="32"/>
  <c r="F359" i="32"/>
  <c r="F339" i="32"/>
  <c r="F353" i="32"/>
  <c r="F324" i="32"/>
  <c r="F338" i="32"/>
  <c r="F351" i="32"/>
  <c r="F315" i="32"/>
  <c r="F337" i="32"/>
  <c r="F329" i="32"/>
  <c r="F344" i="32"/>
  <c r="F355" i="32"/>
  <c r="F348" i="32"/>
  <c r="F328" i="32"/>
  <c r="F322" i="32"/>
  <c r="F334" i="32"/>
  <c r="F345" i="32"/>
  <c r="F332" i="32"/>
  <c r="F335" i="32"/>
  <c r="F358" i="32"/>
  <c r="F352" i="32"/>
  <c r="F354" i="32"/>
  <c r="F323" i="32"/>
  <c r="F346" i="32"/>
  <c r="F356" i="32"/>
  <c r="F347" i="32"/>
  <c r="E358" i="32"/>
  <c r="E350" i="32"/>
  <c r="E344" i="32"/>
  <c r="E340" i="32"/>
  <c r="E336" i="32"/>
  <c r="E330" i="32"/>
  <c r="E324" i="32"/>
  <c r="E318" i="32"/>
  <c r="E312" i="32"/>
  <c r="E360" i="32"/>
  <c r="E356" i="32"/>
  <c r="E354" i="32"/>
  <c r="E352" i="32"/>
  <c r="E346" i="32"/>
  <c r="E342" i="32"/>
  <c r="E338" i="32"/>
  <c r="E334" i="32"/>
  <c r="E328" i="32"/>
  <c r="E322" i="32"/>
  <c r="E316" i="32"/>
  <c r="E355" i="32"/>
  <c r="E343" i="32"/>
  <c r="E335" i="32"/>
  <c r="E327" i="32"/>
  <c r="E321" i="32"/>
  <c r="E313" i="32"/>
  <c r="E357" i="32"/>
  <c r="E351" i="32"/>
  <c r="E349" i="32"/>
  <c r="E345" i="32"/>
  <c r="E339" i="32"/>
  <c r="E331" i="32"/>
  <c r="E323" i="32"/>
  <c r="E315" i="32"/>
  <c r="E353" i="32"/>
  <c r="E341" i="32"/>
  <c r="E333" i="32"/>
  <c r="E325" i="32"/>
  <c r="E317" i="32"/>
  <c r="E359" i="32"/>
  <c r="E347" i="32"/>
  <c r="E337" i="32"/>
  <c r="E329" i="32"/>
  <c r="E319" i="32"/>
  <c r="E311" i="32"/>
  <c r="E348" i="32"/>
  <c r="E332" i="32"/>
  <c r="E326" i="32"/>
  <c r="E320" i="32"/>
  <c r="E314" i="32"/>
  <c r="L8" i="53"/>
  <c r="P8" i="53" s="1"/>
  <c r="I8" i="53"/>
  <c r="H8" i="53"/>
  <c r="M8" i="53"/>
  <c r="Q8" i="53" s="1"/>
  <c r="I9" i="53"/>
  <c r="L9" i="53"/>
  <c r="P9" i="53" s="1"/>
  <c r="M9" i="53"/>
  <c r="Q9" i="53" s="1"/>
  <c r="H9" i="53"/>
  <c r="L7" i="53"/>
  <c r="P7" i="53" s="1"/>
  <c r="H7" i="53"/>
  <c r="M7" i="53"/>
  <c r="Q7" i="53" s="1"/>
  <c r="I7" i="53"/>
  <c r="O11" i="53"/>
  <c r="S11" i="53" s="1"/>
  <c r="N11" i="53"/>
  <c r="R11" i="53" s="1"/>
  <c r="K11" i="53"/>
  <c r="J11" i="53"/>
  <c r="L3" i="53"/>
  <c r="P3" i="53" s="1"/>
  <c r="I3" i="53"/>
  <c r="H3" i="53"/>
  <c r="M3" i="53"/>
  <c r="Q3" i="53" s="1"/>
  <c r="L5" i="53"/>
  <c r="P5" i="53" s="1"/>
  <c r="H5" i="53"/>
  <c r="M5" i="53"/>
  <c r="Q5" i="53" s="1"/>
  <c r="I5" i="53"/>
  <c r="N3" i="53"/>
  <c r="R3" i="53" s="1"/>
  <c r="J3" i="53"/>
  <c r="O3" i="53"/>
  <c r="S3" i="53" s="1"/>
  <c r="K3" i="53"/>
  <c r="N7" i="53"/>
  <c r="R7" i="53" s="1"/>
  <c r="J7" i="53"/>
  <c r="O7" i="53"/>
  <c r="S7" i="53" s="1"/>
  <c r="K7" i="53"/>
  <c r="N10" i="53"/>
  <c r="R10" i="53" s="1"/>
  <c r="O10" i="53"/>
  <c r="S10" i="53" s="1"/>
  <c r="K10" i="53"/>
  <c r="J10" i="53"/>
  <c r="O8" i="53"/>
  <c r="S8" i="53" s="1"/>
  <c r="K8" i="53"/>
  <c r="J8" i="53"/>
  <c r="N8" i="53"/>
  <c r="R8" i="53" s="1"/>
  <c r="L6" i="53"/>
  <c r="P6" i="53" s="1"/>
  <c r="H6" i="53"/>
  <c r="M6" i="53"/>
  <c r="Q6" i="53" s="1"/>
  <c r="I6" i="53"/>
  <c r="N4" i="53"/>
  <c r="R4" i="53" s="1"/>
  <c r="J4" i="53"/>
  <c r="O4" i="53"/>
  <c r="S4" i="53" s="1"/>
  <c r="K4" i="53"/>
  <c r="K9" i="53"/>
  <c r="N9" i="53"/>
  <c r="R9" i="53" s="1"/>
  <c r="J9" i="53"/>
  <c r="O9" i="53"/>
  <c r="S9" i="53" s="1"/>
  <c r="I11" i="53"/>
  <c r="H11" i="53"/>
  <c r="M11" i="53"/>
  <c r="Q11" i="53" s="1"/>
  <c r="L11" i="53"/>
  <c r="P11" i="53" s="1"/>
  <c r="L10" i="53"/>
  <c r="P10" i="53" s="1"/>
  <c r="I10" i="53"/>
  <c r="M10" i="53"/>
  <c r="Q10" i="53" s="1"/>
  <c r="H10" i="53"/>
  <c r="N5" i="53"/>
  <c r="R5" i="53" s="1"/>
  <c r="J5" i="53"/>
  <c r="O5" i="53"/>
  <c r="S5" i="53" s="1"/>
  <c r="K5" i="53"/>
  <c r="J6" i="53"/>
  <c r="O6" i="53"/>
  <c r="S6" i="53" s="1"/>
  <c r="K6" i="53"/>
  <c r="N6" i="53"/>
  <c r="R6" i="53" s="1"/>
  <c r="L4" i="53"/>
  <c r="P4" i="53" s="1"/>
  <c r="H4" i="53"/>
  <c r="I4" i="53"/>
  <c r="M4" i="53"/>
  <c r="Q4" i="53" s="1"/>
  <c r="O2" i="53"/>
  <c r="S2" i="53" s="1"/>
  <c r="P2" i="53"/>
  <c r="I2" i="53"/>
  <c r="K2" i="53"/>
  <c r="J2" i="53"/>
  <c r="R2" i="53"/>
  <c r="H2" i="53"/>
  <c r="M2" i="53"/>
  <c r="Q2" i="53" s="1"/>
  <c r="U3" i="53" l="1"/>
  <c r="U8" i="53"/>
  <c r="U11" i="53"/>
  <c r="U9" i="53"/>
  <c r="V10" i="53"/>
  <c r="W8" i="53"/>
  <c r="V5" i="53"/>
  <c r="V4" i="53"/>
  <c r="V7" i="53"/>
  <c r="T11" i="53"/>
  <c r="T5" i="53"/>
  <c r="V6" i="53"/>
  <c r="T8" i="53"/>
  <c r="T6" i="53"/>
  <c r="W6" i="53"/>
  <c r="U10" i="53"/>
  <c r="W5" i="53"/>
  <c r="W4" i="53"/>
  <c r="W7" i="53"/>
  <c r="U5" i="53"/>
  <c r="T4" i="53"/>
  <c r="V3" i="53"/>
  <c r="T7" i="53"/>
  <c r="U4" i="53"/>
  <c r="V8" i="53"/>
  <c r="V11" i="53"/>
  <c r="T9" i="53"/>
  <c r="W11" i="53"/>
  <c r="U6" i="53"/>
  <c r="W3" i="53"/>
  <c r="U7" i="53"/>
  <c r="V9" i="53"/>
  <c r="W10" i="53"/>
  <c r="T10" i="53"/>
  <c r="W9" i="53"/>
  <c r="T3" i="53"/>
  <c r="W2" i="53"/>
  <c r="T2" i="53"/>
  <c r="V2" i="53"/>
  <c r="U2" i="53"/>
  <c r="X6" i="53" l="1"/>
  <c r="X8" i="53"/>
  <c r="X4" i="53"/>
  <c r="X5" i="53"/>
  <c r="X3" i="53"/>
  <c r="X9" i="53"/>
  <c r="X10" i="53"/>
  <c r="X11" i="53"/>
  <c r="X7" i="53"/>
  <c r="X2" i="53"/>
  <c r="P6" i="52" l="1"/>
  <c r="R6" i="52" s="1"/>
  <c r="T6" i="52" s="1"/>
  <c r="W6" i="52" s="1"/>
  <c r="X6" i="52" s="1"/>
  <c r="P5" i="52"/>
  <c r="R5" i="52" s="1"/>
  <c r="T5" i="52" s="1"/>
  <c r="W5" i="52" s="1"/>
  <c r="F312" i="32"/>
  <c r="G311" i="32"/>
  <c r="L18" i="11" s="1"/>
  <c r="F311" i="32"/>
  <c r="X5" i="52" l="1"/>
  <c r="G350" i="32"/>
  <c r="G333" i="32"/>
  <c r="G357" i="32"/>
  <c r="G316" i="32"/>
  <c r="G337" i="32"/>
  <c r="G355" i="32"/>
  <c r="G321" i="32"/>
  <c r="G351" i="32"/>
  <c r="G344" i="32"/>
  <c r="G319" i="32"/>
  <c r="G324" i="32"/>
  <c r="G345" i="32"/>
  <c r="G342" i="32"/>
  <c r="G349" i="32"/>
  <c r="G330" i="32"/>
  <c r="G317" i="32"/>
  <c r="G331" i="32"/>
  <c r="G356" i="32"/>
  <c r="G339" i="32"/>
  <c r="G312" i="32"/>
  <c r="G336" i="32"/>
  <c r="G325" i="32"/>
  <c r="G313" i="32"/>
  <c r="G346" i="32"/>
  <c r="G343" i="32"/>
  <c r="G341" i="32"/>
  <c r="G326" i="32"/>
  <c r="G314" i="32"/>
  <c r="G322" i="32"/>
  <c r="G323" i="32"/>
  <c r="G353" i="32"/>
  <c r="G320" i="32"/>
  <c r="G329" i="32"/>
  <c r="G332" i="32"/>
  <c r="G358" i="32"/>
  <c r="G352" i="32"/>
  <c r="G354" i="32"/>
  <c r="G328" i="32"/>
  <c r="G348" i="32"/>
  <c r="G318" i="32"/>
  <c r="G360" i="32"/>
  <c r="G359" i="32"/>
  <c r="G340" i="32"/>
  <c r="G347" i="32"/>
  <c r="G335" i="32"/>
  <c r="G315" i="32"/>
  <c r="G334" i="32"/>
  <c r="G327" i="32"/>
  <c r="G338" i="32"/>
  <c r="F314" i="32"/>
  <c r="F313" i="32"/>
  <c r="B14" i="47"/>
  <c r="Z14" i="47"/>
  <c r="AA14" i="47"/>
  <c r="AF14" i="47"/>
  <c r="AT14" i="47"/>
  <c r="AU14" i="47" s="1"/>
  <c r="AY14" i="47"/>
  <c r="AZ14" i="47"/>
  <c r="BB14" i="47"/>
  <c r="BE14" i="47"/>
  <c r="BM14" i="47"/>
  <c r="BN14" i="47" s="1"/>
  <c r="BR14" i="47"/>
  <c r="BS14" i="47"/>
  <c r="BU14" i="47"/>
  <c r="BX14" i="47"/>
  <c r="CF14" i="47"/>
  <c r="CG14" i="47" s="1"/>
  <c r="CK14" i="47"/>
  <c r="CL14" i="47"/>
  <c r="CN14" i="47"/>
  <c r="CQ14" i="47"/>
  <c r="B15" i="47"/>
  <c r="Z15" i="47"/>
  <c r="AA15" i="47"/>
  <c r="AF15" i="47"/>
  <c r="AT15" i="47"/>
  <c r="AU15" i="47" s="1"/>
  <c r="AY15" i="47"/>
  <c r="AZ15" i="47"/>
  <c r="BB15" i="47"/>
  <c r="BE15" i="47"/>
  <c r="BM15" i="47"/>
  <c r="BN15" i="47" s="1"/>
  <c r="BR15" i="47"/>
  <c r="BS15" i="47"/>
  <c r="BU15" i="47"/>
  <c r="BX15" i="47"/>
  <c r="CF15" i="47"/>
  <c r="CG15" i="47" s="1"/>
  <c r="CK15" i="47"/>
  <c r="CL15" i="47"/>
  <c r="CN15" i="47"/>
  <c r="CQ15" i="47"/>
  <c r="B16" i="47"/>
  <c r="Z16" i="47"/>
  <c r="AA16" i="47"/>
  <c r="AF16" i="47"/>
  <c r="AT16" i="47"/>
  <c r="AU16" i="47" s="1"/>
  <c r="AY16" i="47"/>
  <c r="AZ16" i="47"/>
  <c r="BB16" i="47"/>
  <c r="BE16" i="47"/>
  <c r="BM16" i="47"/>
  <c r="BN16" i="47" s="1"/>
  <c r="BR16" i="47"/>
  <c r="BS16" i="47"/>
  <c r="BU16" i="47"/>
  <c r="BX16" i="47"/>
  <c r="CF16" i="47"/>
  <c r="CG16" i="47" s="1"/>
  <c r="CK16" i="47"/>
  <c r="CL16" i="47"/>
  <c r="CN16" i="47"/>
  <c r="CQ16" i="47"/>
  <c r="B17" i="47"/>
  <c r="Z17" i="47"/>
  <c r="AA17" i="47"/>
  <c r="AF17" i="47"/>
  <c r="AT17" i="47"/>
  <c r="AU17" i="47" s="1"/>
  <c r="AY17" i="47"/>
  <c r="AZ17" i="47"/>
  <c r="BB17" i="47"/>
  <c r="BE17" i="47"/>
  <c r="BM17" i="47"/>
  <c r="BN17" i="47" s="1"/>
  <c r="BR17" i="47"/>
  <c r="BS17" i="47"/>
  <c r="BU17" i="47"/>
  <c r="BX17" i="47"/>
  <c r="CF17" i="47"/>
  <c r="CG17" i="47" s="1"/>
  <c r="CK17" i="47"/>
  <c r="CL17" i="47"/>
  <c r="CN17" i="47"/>
  <c r="CQ17" i="47"/>
  <c r="B18" i="47"/>
  <c r="Z18" i="47"/>
  <c r="AA18" i="47"/>
  <c r="AF18" i="47"/>
  <c r="AT18" i="47"/>
  <c r="AU18" i="47" s="1"/>
  <c r="AY18" i="47"/>
  <c r="AZ18" i="47"/>
  <c r="BB18" i="47"/>
  <c r="BE18" i="47"/>
  <c r="BM18" i="47"/>
  <c r="BN18" i="47" s="1"/>
  <c r="BR18" i="47"/>
  <c r="BS18" i="47"/>
  <c r="BU18" i="47"/>
  <c r="BX18" i="47"/>
  <c r="CF18" i="47"/>
  <c r="CG18" i="47" s="1"/>
  <c r="CK18" i="47"/>
  <c r="CL18" i="47"/>
  <c r="CN18" i="47"/>
  <c r="CQ18" i="47"/>
  <c r="B19" i="47"/>
  <c r="Z19" i="47"/>
  <c r="AA19" i="47"/>
  <c r="AF19" i="47"/>
  <c r="AT19" i="47"/>
  <c r="AU19" i="47" s="1"/>
  <c r="AY19" i="47"/>
  <c r="AZ19" i="47"/>
  <c r="BB19" i="47"/>
  <c r="BE19" i="47"/>
  <c r="BM19" i="47"/>
  <c r="BN19" i="47" s="1"/>
  <c r="BR19" i="47"/>
  <c r="BS19" i="47"/>
  <c r="BU19" i="47"/>
  <c r="BX19" i="47"/>
  <c r="CF19" i="47"/>
  <c r="CG19" i="47" s="1"/>
  <c r="CK19" i="47"/>
  <c r="CL19" i="47"/>
  <c r="CN19" i="47"/>
  <c r="CQ19" i="47"/>
  <c r="B20" i="47"/>
  <c r="Z20" i="47"/>
  <c r="AA20" i="47"/>
  <c r="AF20" i="47"/>
  <c r="AT20" i="47"/>
  <c r="AU20" i="47" s="1"/>
  <c r="AY20" i="47"/>
  <c r="AZ20" i="47"/>
  <c r="BB20" i="47"/>
  <c r="BE20" i="47"/>
  <c r="BM20" i="47"/>
  <c r="BN20" i="47" s="1"/>
  <c r="BR20" i="47"/>
  <c r="BS20" i="47"/>
  <c r="BU20" i="47"/>
  <c r="BX20" i="47"/>
  <c r="CF20" i="47"/>
  <c r="CG20" i="47" s="1"/>
  <c r="CK20" i="47"/>
  <c r="CL20" i="47"/>
  <c r="CN20" i="47"/>
  <c r="CQ20" i="47"/>
  <c r="B21" i="47"/>
  <c r="Z21" i="47"/>
  <c r="AA21" i="47"/>
  <c r="AF21" i="47"/>
  <c r="AT21" i="47"/>
  <c r="AU21" i="47" s="1"/>
  <c r="AY21" i="47"/>
  <c r="AZ21" i="47"/>
  <c r="BB21" i="47"/>
  <c r="BE21" i="47"/>
  <c r="BM21" i="47"/>
  <c r="BN21" i="47" s="1"/>
  <c r="BR21" i="47"/>
  <c r="BS21" i="47"/>
  <c r="BU21" i="47"/>
  <c r="BX21" i="47"/>
  <c r="CF21" i="47"/>
  <c r="CG21" i="47" s="1"/>
  <c r="CK21" i="47"/>
  <c r="CL21" i="47"/>
  <c r="CN21" i="47"/>
  <c r="CQ21" i="47"/>
  <c r="B22" i="47"/>
  <c r="Z22" i="47"/>
  <c r="AA22" i="47"/>
  <c r="AF22" i="47"/>
  <c r="AT22" i="47"/>
  <c r="AU22" i="47" s="1"/>
  <c r="AY22" i="47"/>
  <c r="AZ22" i="47"/>
  <c r="BB22" i="47"/>
  <c r="BE22" i="47"/>
  <c r="BM22" i="47"/>
  <c r="BN22" i="47" s="1"/>
  <c r="BR22" i="47"/>
  <c r="BS22" i="47"/>
  <c r="BU22" i="47"/>
  <c r="BX22" i="47"/>
  <c r="CF22" i="47"/>
  <c r="CG22" i="47" s="1"/>
  <c r="CK22" i="47"/>
  <c r="CL22" i="47"/>
  <c r="CN22" i="47"/>
  <c r="CQ22" i="47"/>
  <c r="C18" i="47" l="1"/>
  <c r="C20" i="47"/>
  <c r="C22" i="47"/>
  <c r="C15" i="47"/>
  <c r="C17" i="47"/>
  <c r="C19" i="47"/>
  <c r="C21" i="47"/>
  <c r="C14" i="47"/>
  <c r="C16" i="47"/>
  <c r="B7" i="48"/>
  <c r="B13" i="47"/>
  <c r="C13" i="47" l="1"/>
  <c r="F296" i="32" s="1"/>
  <c r="E5" i="45"/>
  <c r="G5" i="45" l="1"/>
  <c r="I261" i="32"/>
  <c r="I310" i="32"/>
  <c r="I309" i="32"/>
  <c r="I308" i="32"/>
  <c r="I307" i="32"/>
  <c r="I306" i="32"/>
  <c r="I305" i="32"/>
  <c r="I304" i="32"/>
  <c r="I303" i="32"/>
  <c r="I302" i="32"/>
  <c r="I301" i="32"/>
  <c r="I300" i="32"/>
  <c r="I299" i="32"/>
  <c r="I298" i="32"/>
  <c r="I297" i="32"/>
  <c r="I296" i="32"/>
  <c r="I295" i="32"/>
  <c r="I294" i="32"/>
  <c r="I293" i="32"/>
  <c r="I292" i="32"/>
  <c r="I291" i="32"/>
  <c r="I290" i="32"/>
  <c r="I289" i="32"/>
  <c r="I288" i="32"/>
  <c r="I287" i="32"/>
  <c r="I286" i="32"/>
  <c r="I285" i="32"/>
  <c r="I284" i="32"/>
  <c r="I283" i="32"/>
  <c r="I282" i="32"/>
  <c r="I281" i="32"/>
  <c r="I280" i="32"/>
  <c r="I279" i="32"/>
  <c r="I278" i="32"/>
  <c r="I277" i="32"/>
  <c r="I276" i="32"/>
  <c r="I275" i="32"/>
  <c r="I274" i="32"/>
  <c r="I273" i="32"/>
  <c r="I272" i="32"/>
  <c r="I271" i="32"/>
  <c r="I270" i="32"/>
  <c r="I269" i="32"/>
  <c r="I268" i="32"/>
  <c r="I267" i="32"/>
  <c r="I266" i="32"/>
  <c r="I265" i="32"/>
  <c r="I264" i="32"/>
  <c r="I263" i="32"/>
  <c r="I262" i="32"/>
  <c r="T5" i="11" s="1"/>
  <c r="U5" i="11" s="1"/>
  <c r="C12" i="48"/>
  <c r="C9" i="48"/>
  <c r="AB15" i="48"/>
  <c r="F10" i="48"/>
  <c r="F11" i="48"/>
  <c r="U16" i="48"/>
  <c r="U15" i="48"/>
  <c r="G11" i="48"/>
  <c r="L16" i="48"/>
  <c r="U11" i="48"/>
  <c r="L15" i="48"/>
  <c r="AB11" i="48"/>
  <c r="AB13" i="48"/>
  <c r="G9" i="48"/>
  <c r="F15" i="48"/>
  <c r="U10" i="48"/>
  <c r="L13" i="48"/>
  <c r="AB8" i="48"/>
  <c r="G13" i="48"/>
  <c r="L10" i="48"/>
  <c r="G12" i="48"/>
  <c r="F8" i="48"/>
  <c r="AB9" i="48"/>
  <c r="U12" i="48"/>
  <c r="AB10" i="48"/>
  <c r="F12" i="48"/>
  <c r="AB14" i="48"/>
  <c r="L12" i="48"/>
  <c r="F9" i="48"/>
  <c r="U9" i="48"/>
  <c r="U8" i="48"/>
  <c r="G15" i="48"/>
  <c r="F16" i="48"/>
  <c r="F14" i="48"/>
  <c r="G14" i="48"/>
  <c r="U14" i="48"/>
  <c r="L9" i="48"/>
  <c r="L8" i="48"/>
  <c r="AB16" i="48"/>
  <c r="G10" i="48"/>
  <c r="L14" i="48"/>
  <c r="G16" i="48"/>
  <c r="G8" i="48"/>
  <c r="AB12" i="48"/>
  <c r="L11" i="48"/>
  <c r="F13" i="48"/>
  <c r="U13" i="48"/>
  <c r="C13" i="48"/>
  <c r="C11" i="48"/>
  <c r="C8" i="48"/>
  <c r="C10" i="48"/>
  <c r="C16" i="48"/>
  <c r="C15" i="48"/>
  <c r="C14" i="48"/>
  <c r="F305" i="32"/>
  <c r="F284" i="32"/>
  <c r="F301" i="32"/>
  <c r="F293" i="32"/>
  <c r="F300" i="32"/>
  <c r="F282" i="32"/>
  <c r="F273" i="32"/>
  <c r="F306" i="32"/>
  <c r="F294" i="32"/>
  <c r="F295" i="32"/>
  <c r="F298" i="32"/>
  <c r="F290" i="32"/>
  <c r="F289" i="32"/>
  <c r="F297" i="32"/>
  <c r="F281" i="32"/>
  <c r="F283" i="32"/>
  <c r="F274" i="32"/>
  <c r="F299" i="32"/>
  <c r="F308" i="32"/>
  <c r="F280" i="32"/>
  <c r="F275" i="32"/>
  <c r="F303" i="32"/>
  <c r="F288" i="32"/>
  <c r="F277" i="32"/>
  <c r="F292" i="32"/>
  <c r="F278" i="32"/>
  <c r="F304" i="32"/>
  <c r="F279" i="32"/>
  <c r="F309" i="32"/>
  <c r="F272" i="32"/>
  <c r="F291" i="32"/>
  <c r="F286" i="32"/>
  <c r="F307" i="32"/>
  <c r="F276" i="32"/>
  <c r="F287" i="32"/>
  <c r="F310" i="32"/>
  <c r="F302" i="32"/>
  <c r="F285" i="32"/>
  <c r="F271" i="32"/>
  <c r="H5" i="45"/>
  <c r="E14" i="47" s="1"/>
  <c r="F5" i="45"/>
  <c r="D20" i="47" s="1"/>
  <c r="AB7" i="48"/>
  <c r="U7" i="48"/>
  <c r="W7" i="48" s="1"/>
  <c r="L7" i="48"/>
  <c r="F7" i="48"/>
  <c r="G7" i="48"/>
  <c r="T15" i="11" l="1"/>
  <c r="U15" i="11" s="1"/>
  <c r="T4" i="11"/>
  <c r="U4" i="11" s="1"/>
  <c r="W14" i="48"/>
  <c r="V14" i="48"/>
  <c r="W10" i="48"/>
  <c r="V10" i="48"/>
  <c r="E11" i="48"/>
  <c r="AI15" i="48"/>
  <c r="V13" i="48"/>
  <c r="W13" i="48"/>
  <c r="AI14" i="48"/>
  <c r="AI12" i="48"/>
  <c r="E15" i="48"/>
  <c r="V15" i="48"/>
  <c r="W15" i="48"/>
  <c r="AI13" i="48"/>
  <c r="AI16" i="48"/>
  <c r="E12" i="48"/>
  <c r="E10" i="48"/>
  <c r="W16" i="48"/>
  <c r="V16" i="48"/>
  <c r="W12" i="48"/>
  <c r="V12" i="48"/>
  <c r="AI11" i="48"/>
  <c r="V8" i="48"/>
  <c r="W8" i="48"/>
  <c r="E8" i="48"/>
  <c r="AI10" i="48"/>
  <c r="E9" i="48"/>
  <c r="W9" i="48"/>
  <c r="V9" i="48"/>
  <c r="AI8" i="48"/>
  <c r="E16" i="48"/>
  <c r="E14" i="48"/>
  <c r="AI9" i="48"/>
  <c r="E13" i="48"/>
  <c r="V11" i="48"/>
  <c r="W11" i="48"/>
  <c r="E17" i="47"/>
  <c r="CM17" i="47" s="1"/>
  <c r="E19" i="47"/>
  <c r="F19" i="47" s="1"/>
  <c r="E22" i="47"/>
  <c r="CM22" i="47" s="1"/>
  <c r="E21" i="47"/>
  <c r="CH21" i="47" s="1"/>
  <c r="E15" i="47"/>
  <c r="F15" i="47" s="1"/>
  <c r="E18" i="47"/>
  <c r="CH18" i="47" s="1"/>
  <c r="D14" i="47"/>
  <c r="D16" i="47"/>
  <c r="D15" i="47"/>
  <c r="D19" i="47"/>
  <c r="D17" i="47"/>
  <c r="D21" i="47"/>
  <c r="E20" i="47"/>
  <c r="F20" i="47" s="1"/>
  <c r="D18" i="47"/>
  <c r="E16" i="47"/>
  <c r="CH16" i="47" s="1"/>
  <c r="D22" i="47"/>
  <c r="E13" i="47"/>
  <c r="F13" i="47" s="1"/>
  <c r="D13" i="47"/>
  <c r="F14" i="47"/>
  <c r="E7" i="48"/>
  <c r="D10" i="48" l="1"/>
  <c r="D16" i="48"/>
  <c r="D12" i="48"/>
  <c r="D11" i="48"/>
  <c r="D14" i="48"/>
  <c r="D9" i="48"/>
  <c r="D13" i="48"/>
  <c r="D15" i="48"/>
  <c r="D8" i="48"/>
  <c r="F22" i="47"/>
  <c r="CM15" i="47"/>
  <c r="CH15" i="47"/>
  <c r="CH22" i="47"/>
  <c r="CM16" i="47"/>
  <c r="F16" i="47"/>
  <c r="H16" i="47" s="1"/>
  <c r="M16" i="47" s="1"/>
  <c r="CM19" i="47"/>
  <c r="CH19" i="47"/>
  <c r="CH14" i="47"/>
  <c r="CH20" i="47"/>
  <c r="CM20" i="47"/>
  <c r="F18" i="47"/>
  <c r="CH17" i="47"/>
  <c r="CM18" i="47"/>
  <c r="CM14" i="47"/>
  <c r="F17" i="47"/>
  <c r="CM21" i="47"/>
  <c r="F21" i="47"/>
  <c r="G15" i="47"/>
  <c r="Q15" i="47" s="1"/>
  <c r="R15" i="47" s="1"/>
  <c r="H15" i="47"/>
  <c r="M15" i="47" s="1"/>
  <c r="G14" i="47"/>
  <c r="Q14" i="47" s="1"/>
  <c r="H14" i="47"/>
  <c r="M14" i="47" s="1"/>
  <c r="H19" i="47"/>
  <c r="M19" i="47" s="1"/>
  <c r="G19" i="47"/>
  <c r="Q19" i="47" s="1"/>
  <c r="R19" i="47" s="1"/>
  <c r="H20" i="47"/>
  <c r="M20" i="47" s="1"/>
  <c r="G20" i="47"/>
  <c r="Q20" i="47" s="1"/>
  <c r="R20" i="47" s="1"/>
  <c r="G13" i="47"/>
  <c r="H13" i="47"/>
  <c r="C31" i="51"/>
  <c r="M38" i="50"/>
  <c r="N37" i="50"/>
  <c r="M37" i="50"/>
  <c r="N36" i="50"/>
  <c r="M36" i="50"/>
  <c r="N35" i="50"/>
  <c r="M35" i="50"/>
  <c r="N34" i="50"/>
  <c r="M34" i="50"/>
  <c r="N33" i="50"/>
  <c r="M33" i="50"/>
  <c r="O31" i="50"/>
  <c r="M31" i="50"/>
  <c r="J31" i="50"/>
  <c r="I31" i="50"/>
  <c r="H31" i="50"/>
  <c r="G31" i="50"/>
  <c r="O30" i="50"/>
  <c r="M30" i="50"/>
  <c r="J30" i="50"/>
  <c r="I30" i="50"/>
  <c r="H30" i="50"/>
  <c r="G30" i="50"/>
  <c r="O29" i="50"/>
  <c r="M29" i="50"/>
  <c r="J29" i="50"/>
  <c r="I29" i="50"/>
  <c r="H29" i="50"/>
  <c r="G29" i="50"/>
  <c r="O28" i="50"/>
  <c r="M28" i="50"/>
  <c r="J28" i="50"/>
  <c r="I28" i="50"/>
  <c r="H28" i="50"/>
  <c r="G28" i="50"/>
  <c r="O27" i="50"/>
  <c r="M27" i="50"/>
  <c r="J27" i="50"/>
  <c r="I27" i="50"/>
  <c r="H27" i="50"/>
  <c r="G27" i="50"/>
  <c r="O26" i="50"/>
  <c r="M26" i="50"/>
  <c r="J26" i="50"/>
  <c r="I26" i="50"/>
  <c r="H26" i="50"/>
  <c r="G26" i="50"/>
  <c r="N26" i="50" s="1"/>
  <c r="O25" i="50"/>
  <c r="M25" i="50"/>
  <c r="J25" i="50"/>
  <c r="I25" i="50"/>
  <c r="H25" i="50"/>
  <c r="G25" i="50"/>
  <c r="O24" i="50"/>
  <c r="M24" i="50"/>
  <c r="J24" i="50"/>
  <c r="I24" i="50"/>
  <c r="H24" i="50"/>
  <c r="G24" i="50"/>
  <c r="O23" i="50"/>
  <c r="M23" i="50"/>
  <c r="J23" i="50"/>
  <c r="I23" i="50"/>
  <c r="H23" i="50"/>
  <c r="G23" i="50"/>
  <c r="O22" i="50"/>
  <c r="M22" i="50"/>
  <c r="J22" i="50"/>
  <c r="I22" i="50"/>
  <c r="H22" i="50"/>
  <c r="G22" i="50"/>
  <c r="O21" i="50"/>
  <c r="M21" i="50"/>
  <c r="J21" i="50"/>
  <c r="I21" i="50"/>
  <c r="H21" i="50"/>
  <c r="G21" i="50"/>
  <c r="O20" i="50"/>
  <c r="M20" i="50"/>
  <c r="J20" i="50"/>
  <c r="I20" i="50"/>
  <c r="H20" i="50"/>
  <c r="G20" i="50"/>
  <c r="O19" i="50"/>
  <c r="M19" i="50"/>
  <c r="J19" i="50"/>
  <c r="I19" i="50"/>
  <c r="H19" i="50"/>
  <c r="G19" i="50"/>
  <c r="O18" i="50"/>
  <c r="M18" i="50"/>
  <c r="J18" i="50"/>
  <c r="I18" i="50"/>
  <c r="H18" i="50"/>
  <c r="G18" i="50"/>
  <c r="N18" i="50" s="1"/>
  <c r="O17" i="50"/>
  <c r="M17" i="50"/>
  <c r="J17" i="50"/>
  <c r="I17" i="50"/>
  <c r="H17" i="50"/>
  <c r="G17" i="50"/>
  <c r="O16" i="50"/>
  <c r="M16" i="50"/>
  <c r="J16" i="50"/>
  <c r="I16" i="50"/>
  <c r="H16" i="50"/>
  <c r="G16" i="50"/>
  <c r="O15" i="50"/>
  <c r="M15" i="50"/>
  <c r="J15" i="50"/>
  <c r="I15" i="50"/>
  <c r="H15" i="50"/>
  <c r="G15" i="50"/>
  <c r="M5" i="50"/>
  <c r="G45" i="49"/>
  <c r="P45" i="49" s="1"/>
  <c r="G43" i="49"/>
  <c r="G41" i="49"/>
  <c r="P41" i="49" s="1"/>
  <c r="G39" i="49"/>
  <c r="J39" i="49" s="1"/>
  <c r="G37" i="49"/>
  <c r="J37" i="49" s="1"/>
  <c r="G35" i="49"/>
  <c r="G33" i="49"/>
  <c r="J33" i="49" s="1"/>
  <c r="G31" i="49"/>
  <c r="J31" i="49" s="1"/>
  <c r="G29" i="49"/>
  <c r="P29" i="49" s="1"/>
  <c r="G27" i="49"/>
  <c r="G25" i="49"/>
  <c r="G23" i="49"/>
  <c r="BA22" i="49"/>
  <c r="G21" i="49"/>
  <c r="J21" i="49" s="1"/>
  <c r="AJ20" i="49"/>
  <c r="AI20" i="49"/>
  <c r="AJ19" i="49"/>
  <c r="AI19" i="49"/>
  <c r="AB19" i="49"/>
  <c r="Y19" i="49"/>
  <c r="V19" i="49"/>
  <c r="G19" i="49"/>
  <c r="L19" i="49" s="1"/>
  <c r="AJ18" i="49"/>
  <c r="AI18" i="49"/>
  <c r="AA18" i="49"/>
  <c r="AB18" i="49" s="1"/>
  <c r="X18" i="49"/>
  <c r="Y18" i="49" s="1"/>
  <c r="U18" i="49"/>
  <c r="V18" i="49" s="1"/>
  <c r="S18" i="49"/>
  <c r="AJ17" i="49"/>
  <c r="AI17" i="49"/>
  <c r="AA17" i="49"/>
  <c r="AB17" i="49" s="1"/>
  <c r="X17" i="49"/>
  <c r="Y17" i="49" s="1"/>
  <c r="U17" i="49"/>
  <c r="V17" i="49" s="1"/>
  <c r="S17" i="49"/>
  <c r="G17" i="49"/>
  <c r="AJ16" i="49"/>
  <c r="AI16" i="49"/>
  <c r="AA16" i="49"/>
  <c r="AB16" i="49" s="1"/>
  <c r="X16" i="49"/>
  <c r="Y16" i="49" s="1"/>
  <c r="U16" i="49"/>
  <c r="V16" i="49" s="1"/>
  <c r="S16" i="49"/>
  <c r="AJ15" i="49"/>
  <c r="AI15" i="49"/>
  <c r="AA15" i="49"/>
  <c r="AB15" i="49" s="1"/>
  <c r="X15" i="49"/>
  <c r="Y15" i="49" s="1"/>
  <c r="U15" i="49"/>
  <c r="V15" i="49" s="1"/>
  <c r="S15" i="49"/>
  <c r="G15" i="49"/>
  <c r="H15" i="49" s="1"/>
  <c r="AJ14" i="49"/>
  <c r="AI14" i="49"/>
  <c r="AA14" i="49"/>
  <c r="AB14" i="49" s="1"/>
  <c r="X14" i="49"/>
  <c r="Y14" i="49" s="1"/>
  <c r="U14" i="49"/>
  <c r="V14" i="49" s="1"/>
  <c r="S14" i="49"/>
  <c r="AJ13" i="49"/>
  <c r="AI13" i="49"/>
  <c r="AA13" i="49"/>
  <c r="AB13" i="49" s="1"/>
  <c r="X13" i="49"/>
  <c r="Y13" i="49" s="1"/>
  <c r="U13" i="49"/>
  <c r="V13" i="49" s="1"/>
  <c r="S13" i="49"/>
  <c r="G13" i="49"/>
  <c r="L13" i="49" s="1"/>
  <c r="AJ12" i="49"/>
  <c r="AI12" i="49"/>
  <c r="AA12" i="49"/>
  <c r="AB12" i="49" s="1"/>
  <c r="X12" i="49"/>
  <c r="Y12" i="49" s="1"/>
  <c r="U12" i="49"/>
  <c r="V12" i="49" s="1"/>
  <c r="S12" i="49"/>
  <c r="AJ11" i="49"/>
  <c r="AI11" i="49"/>
  <c r="AA11" i="49"/>
  <c r="AB11" i="49" s="1"/>
  <c r="X11" i="49"/>
  <c r="Y11" i="49" s="1"/>
  <c r="U11" i="49"/>
  <c r="V11" i="49" s="1"/>
  <c r="S11" i="49"/>
  <c r="G11" i="49"/>
  <c r="H11" i="49" s="1"/>
  <c r="AJ10" i="49"/>
  <c r="AI10" i="49"/>
  <c r="AA10" i="49"/>
  <c r="AB10" i="49" s="1"/>
  <c r="X10" i="49"/>
  <c r="Y10" i="49" s="1"/>
  <c r="U10" i="49"/>
  <c r="V10" i="49" s="1"/>
  <c r="S10" i="49"/>
  <c r="AJ9" i="49"/>
  <c r="AI9" i="49"/>
  <c r="AA9" i="49"/>
  <c r="AB9" i="49" s="1"/>
  <c r="X9" i="49"/>
  <c r="Y9" i="49" s="1"/>
  <c r="U9" i="49"/>
  <c r="V9" i="49" s="1"/>
  <c r="S9" i="49"/>
  <c r="G9" i="49"/>
  <c r="AJ8" i="49"/>
  <c r="AI8" i="49"/>
  <c r="AA8" i="49"/>
  <c r="AB8" i="49" s="1"/>
  <c r="X8" i="49"/>
  <c r="Y8" i="49" s="1"/>
  <c r="U8" i="49"/>
  <c r="V8" i="49" s="1"/>
  <c r="S8" i="49"/>
  <c r="D8" i="49"/>
  <c r="D9" i="49" s="1"/>
  <c r="AJ7" i="49"/>
  <c r="AI7" i="49"/>
  <c r="AA7" i="49"/>
  <c r="AB7" i="49" s="1"/>
  <c r="X7" i="49"/>
  <c r="Y7" i="49" s="1"/>
  <c r="U7" i="49"/>
  <c r="V7" i="49" s="1"/>
  <c r="S7" i="49"/>
  <c r="G7" i="49"/>
  <c r="J7" i="49" s="1"/>
  <c r="AJ6" i="49"/>
  <c r="AI6" i="49"/>
  <c r="AJ5" i="49"/>
  <c r="AI5" i="49"/>
  <c r="BU4" i="49"/>
  <c r="BT4" i="49"/>
  <c r="BS4" i="49"/>
  <c r="BR4" i="49"/>
  <c r="BQ4" i="49"/>
  <c r="BP4" i="49"/>
  <c r="BP9" i="49" s="1"/>
  <c r="BO4" i="49"/>
  <c r="BN4" i="49"/>
  <c r="AJ4" i="49"/>
  <c r="AI4" i="49"/>
  <c r="AJ3" i="49"/>
  <c r="AI3" i="49"/>
  <c r="AJ2" i="49"/>
  <c r="AI2" i="49"/>
  <c r="CQ13" i="47"/>
  <c r="CN13" i="47"/>
  <c r="CL13" i="47"/>
  <c r="CK13" i="47"/>
  <c r="CF13" i="47"/>
  <c r="CG13" i="47" s="1"/>
  <c r="BX13" i="47"/>
  <c r="BU13" i="47"/>
  <c r="BS13" i="47"/>
  <c r="BR13" i="47"/>
  <c r="BM13" i="47"/>
  <c r="BN13" i="47" s="1"/>
  <c r="BE13" i="47"/>
  <c r="BB13" i="47"/>
  <c r="AZ13" i="47"/>
  <c r="AY13" i="47"/>
  <c r="AT13" i="47"/>
  <c r="AU13" i="47" s="1"/>
  <c r="AF13" i="47"/>
  <c r="AA13" i="47"/>
  <c r="Z13" i="47"/>
  <c r="E6" i="47"/>
  <c r="N17" i="50" l="1"/>
  <c r="N24" i="50"/>
  <c r="H32" i="50"/>
  <c r="P32" i="50" s="1"/>
  <c r="J32" i="50"/>
  <c r="N32" i="50" s="1"/>
  <c r="R14" i="47"/>
  <c r="J14" i="47" s="1"/>
  <c r="BI17" i="49"/>
  <c r="BJ17" i="49" s="1"/>
  <c r="BI18" i="49"/>
  <c r="BJ18" i="49" s="1"/>
  <c r="BI19" i="49"/>
  <c r="BJ19" i="49" s="1"/>
  <c r="BI20" i="49"/>
  <c r="BJ20" i="49" s="1"/>
  <c r="BI21" i="49"/>
  <c r="BJ21" i="49" s="1"/>
  <c r="BI22" i="49"/>
  <c r="BJ22" i="49" s="1"/>
  <c r="BI23" i="49"/>
  <c r="BJ23" i="49" s="1"/>
  <c r="BI24" i="49"/>
  <c r="BJ24" i="49" s="1"/>
  <c r="BI25" i="49"/>
  <c r="BJ25" i="49" s="1"/>
  <c r="BI26" i="49"/>
  <c r="BJ26" i="49" s="1"/>
  <c r="BI27" i="49"/>
  <c r="BJ27" i="49" s="1"/>
  <c r="BI28" i="49"/>
  <c r="BJ28" i="49" s="1"/>
  <c r="BI29" i="49"/>
  <c r="BJ29" i="49" s="1"/>
  <c r="BI30" i="49"/>
  <c r="BJ30" i="49" s="1"/>
  <c r="BI31" i="49"/>
  <c r="BJ31" i="49" s="1"/>
  <c r="BI32" i="49"/>
  <c r="BJ32" i="49" s="1"/>
  <c r="BI33" i="49"/>
  <c r="BJ33" i="49" s="1"/>
  <c r="BI34" i="49"/>
  <c r="BJ34" i="49" s="1"/>
  <c r="BI35" i="49"/>
  <c r="BJ35" i="49" s="1"/>
  <c r="BI36" i="49"/>
  <c r="BJ36" i="49" s="1"/>
  <c r="BI37" i="49"/>
  <c r="BJ37" i="49" s="1"/>
  <c r="BI38" i="49"/>
  <c r="BJ38" i="49" s="1"/>
  <c r="BI39" i="49"/>
  <c r="BJ39" i="49" s="1"/>
  <c r="BI40" i="49"/>
  <c r="BJ40" i="49" s="1"/>
  <c r="BI41" i="49"/>
  <c r="BJ41" i="49" s="1"/>
  <c r="BI42" i="49"/>
  <c r="BJ42" i="49" s="1"/>
  <c r="BI43" i="49"/>
  <c r="BJ43" i="49" s="1"/>
  <c r="BI44" i="49"/>
  <c r="BJ44" i="49" s="1"/>
  <c r="BI45" i="49"/>
  <c r="BJ45" i="49" s="1"/>
  <c r="BI46" i="49"/>
  <c r="BJ46" i="49" s="1"/>
  <c r="BI47" i="49"/>
  <c r="BJ47" i="49" s="1"/>
  <c r="BI48" i="49"/>
  <c r="BJ48" i="49" s="1"/>
  <c r="BI49" i="49"/>
  <c r="BJ49" i="49" s="1"/>
  <c r="BI50" i="49"/>
  <c r="BJ50" i="49" s="1"/>
  <c r="BI51" i="49"/>
  <c r="BJ51" i="49" s="1"/>
  <c r="BI52" i="49"/>
  <c r="BJ52" i="49" s="1"/>
  <c r="BI53" i="49"/>
  <c r="BJ53" i="49" s="1"/>
  <c r="BI54" i="49"/>
  <c r="BJ54" i="49" s="1"/>
  <c r="BI55" i="49"/>
  <c r="BJ55" i="49" s="1"/>
  <c r="P9" i="49"/>
  <c r="L9" i="49"/>
  <c r="N17" i="49"/>
  <c r="P17" i="49"/>
  <c r="P25" i="49"/>
  <c r="N25" i="49"/>
  <c r="L25" i="49"/>
  <c r="P27" i="49"/>
  <c r="N27" i="49"/>
  <c r="J43" i="49"/>
  <c r="P43" i="49"/>
  <c r="N43" i="49"/>
  <c r="L43" i="49"/>
  <c r="N16" i="50"/>
  <c r="P18" i="50"/>
  <c r="N19" i="50"/>
  <c r="N20" i="50"/>
  <c r="Q20" i="50" s="1"/>
  <c r="E20" i="50" s="1"/>
  <c r="N21" i="50"/>
  <c r="P22" i="50"/>
  <c r="N28" i="50"/>
  <c r="N29" i="50"/>
  <c r="L7" i="49"/>
  <c r="P13" i="49"/>
  <c r="J15" i="49"/>
  <c r="P11" i="49"/>
  <c r="N13" i="49"/>
  <c r="H22" i="47"/>
  <c r="M22" i="47" s="1"/>
  <c r="I22" i="47" s="1"/>
  <c r="G22" i="47"/>
  <c r="Q22" i="47" s="1"/>
  <c r="R22" i="47" s="1"/>
  <c r="I19" i="47"/>
  <c r="I20" i="47"/>
  <c r="J20" i="47"/>
  <c r="J19" i="47"/>
  <c r="G16" i="47"/>
  <c r="Q16" i="47" s="1"/>
  <c r="R16" i="47" s="1"/>
  <c r="I5" i="49"/>
  <c r="I34" i="49" s="1"/>
  <c r="K5" i="49"/>
  <c r="K22" i="49" s="1"/>
  <c r="O5" i="49"/>
  <c r="O34" i="49" s="1"/>
  <c r="M5" i="49"/>
  <c r="M18" i="49" s="1"/>
  <c r="J11" i="49"/>
  <c r="J17" i="49"/>
  <c r="N21" i="49"/>
  <c r="L27" i="49"/>
  <c r="L33" i="49"/>
  <c r="L39" i="49"/>
  <c r="P26" i="50"/>
  <c r="Q26" i="50" s="1"/>
  <c r="E26" i="50" s="1"/>
  <c r="J41" i="49"/>
  <c r="N45" i="49"/>
  <c r="P20" i="50"/>
  <c r="P29" i="50"/>
  <c r="H13" i="49"/>
  <c r="J29" i="49"/>
  <c r="L41" i="49"/>
  <c r="N23" i="50"/>
  <c r="P24" i="50"/>
  <c r="Q24" i="50" s="1"/>
  <c r="E24" i="50" s="1"/>
  <c r="N15" i="50"/>
  <c r="J13" i="49"/>
  <c r="J25" i="49"/>
  <c r="L29" i="49"/>
  <c r="L37" i="49"/>
  <c r="N41" i="49"/>
  <c r="P19" i="50"/>
  <c r="N22" i="50"/>
  <c r="N25" i="50"/>
  <c r="N27" i="50"/>
  <c r="N31" i="50"/>
  <c r="N29" i="49"/>
  <c r="P30" i="50"/>
  <c r="H18" i="47"/>
  <c r="M18" i="47" s="1"/>
  <c r="G18" i="47"/>
  <c r="Q18" i="47" s="1"/>
  <c r="R18" i="47" s="1"/>
  <c r="G21" i="47"/>
  <c r="Q21" i="47" s="1"/>
  <c r="R21" i="47" s="1"/>
  <c r="H17" i="47"/>
  <c r="M17" i="47" s="1"/>
  <c r="G17" i="47"/>
  <c r="Q17" i="47" s="1"/>
  <c r="R17" i="47" s="1"/>
  <c r="H21" i="47"/>
  <c r="M21" i="47" s="1"/>
  <c r="I16" i="47"/>
  <c r="J15" i="47"/>
  <c r="I15" i="47"/>
  <c r="I14" i="47"/>
  <c r="N19" i="49"/>
  <c r="K26" i="49"/>
  <c r="K28" i="49"/>
  <c r="K30" i="49"/>
  <c r="L35" i="49"/>
  <c r="K42" i="49"/>
  <c r="P15" i="50"/>
  <c r="P21" i="50"/>
  <c r="P27" i="50"/>
  <c r="Q27" i="50" s="1"/>
  <c r="E27" i="50" s="1"/>
  <c r="K8" i="49"/>
  <c r="K32" i="49"/>
  <c r="Q18" i="50"/>
  <c r="E18" i="50" s="1"/>
  <c r="K6" i="49"/>
  <c r="N7" i="49"/>
  <c r="L11" i="49"/>
  <c r="L15" i="49"/>
  <c r="P19" i="49"/>
  <c r="K24" i="49"/>
  <c r="N33" i="49"/>
  <c r="N35" i="49"/>
  <c r="N37" i="49"/>
  <c r="H45" i="49"/>
  <c r="P7" i="49"/>
  <c r="N11" i="49"/>
  <c r="N15" i="49"/>
  <c r="H27" i="49"/>
  <c r="P33" i="49"/>
  <c r="P35" i="49"/>
  <c r="P37" i="49"/>
  <c r="H43" i="49"/>
  <c r="J45" i="49"/>
  <c r="P16" i="50"/>
  <c r="Q16" i="50" s="1"/>
  <c r="E16" i="50" s="1"/>
  <c r="P17" i="50"/>
  <c r="Q17" i="50" s="1"/>
  <c r="E17" i="50" s="1"/>
  <c r="P23" i="50"/>
  <c r="P28" i="50"/>
  <c r="N30" i="50"/>
  <c r="P15" i="49"/>
  <c r="H25" i="49"/>
  <c r="J27" i="49"/>
  <c r="H29" i="49"/>
  <c r="K34" i="49"/>
  <c r="K38" i="49"/>
  <c r="H41" i="49"/>
  <c r="L45" i="49"/>
  <c r="H19" i="49"/>
  <c r="H35" i="49"/>
  <c r="H7" i="49"/>
  <c r="J19" i="49"/>
  <c r="H33" i="49"/>
  <c r="J35" i="49"/>
  <c r="H37" i="49"/>
  <c r="K46" i="49"/>
  <c r="P25" i="50"/>
  <c r="Q25" i="50" s="1"/>
  <c r="E25" i="50" s="1"/>
  <c r="P31" i="50"/>
  <c r="Q31" i="50" s="1"/>
  <c r="E31" i="50" s="1"/>
  <c r="T5" i="45"/>
  <c r="I46" i="49"/>
  <c r="I38" i="49"/>
  <c r="I30" i="49"/>
  <c r="I42" i="49"/>
  <c r="I26" i="49"/>
  <c r="I10" i="49"/>
  <c r="I40" i="49"/>
  <c r="I22" i="49"/>
  <c r="I14" i="49"/>
  <c r="I36" i="49"/>
  <c r="I16" i="49"/>
  <c r="I28" i="49"/>
  <c r="I18" i="49"/>
  <c r="I6" i="49"/>
  <c r="I44" i="49"/>
  <c r="I45" i="49" s="1"/>
  <c r="I24" i="49"/>
  <c r="I8" i="49"/>
  <c r="I32" i="49"/>
  <c r="I20" i="49"/>
  <c r="N23" i="49"/>
  <c r="P23" i="49"/>
  <c r="L23" i="49"/>
  <c r="J23" i="49"/>
  <c r="H23" i="49"/>
  <c r="H9" i="49"/>
  <c r="H17" i="49"/>
  <c r="P31" i="49"/>
  <c r="H31" i="49"/>
  <c r="N31" i="49"/>
  <c r="L31" i="49"/>
  <c r="P39" i="49"/>
  <c r="H39" i="49"/>
  <c r="N39" i="49"/>
  <c r="M32" i="49"/>
  <c r="M26" i="49"/>
  <c r="J9" i="49"/>
  <c r="N9" i="49"/>
  <c r="L17" i="49"/>
  <c r="O24" i="49"/>
  <c r="L21" i="49"/>
  <c r="P21" i="49"/>
  <c r="H21" i="49"/>
  <c r="K10" i="49"/>
  <c r="K14" i="49"/>
  <c r="K18" i="49"/>
  <c r="K20" i="49"/>
  <c r="K21" i="49" s="1"/>
  <c r="K44" i="49"/>
  <c r="K12" i="49"/>
  <c r="K16" i="49"/>
  <c r="O32" i="49" l="1"/>
  <c r="O46" i="49"/>
  <c r="O26" i="49"/>
  <c r="Q28" i="50"/>
  <c r="E28" i="50" s="1"/>
  <c r="O42" i="49"/>
  <c r="Q23" i="50"/>
  <c r="E23" i="50" s="1"/>
  <c r="O28" i="49"/>
  <c r="O29" i="49" s="1"/>
  <c r="O22" i="49"/>
  <c r="O23" i="49" s="1"/>
  <c r="O30" i="49"/>
  <c r="O8" i="49"/>
  <c r="O20" i="49"/>
  <c r="O18" i="49"/>
  <c r="O6" i="49"/>
  <c r="Q29" i="50"/>
  <c r="E29" i="50" s="1"/>
  <c r="Q19" i="50"/>
  <c r="E19" i="50" s="1"/>
  <c r="Q32" i="50"/>
  <c r="E32" i="50" s="1"/>
  <c r="Q22" i="50"/>
  <c r="E22" i="50" s="1"/>
  <c r="Q21" i="50"/>
  <c r="E21" i="50" s="1"/>
  <c r="Q30" i="50"/>
  <c r="E30" i="50" s="1"/>
  <c r="K7" i="49"/>
  <c r="K25" i="49"/>
  <c r="I23" i="49"/>
  <c r="I43" i="49"/>
  <c r="I39" i="49"/>
  <c r="Q15" i="50"/>
  <c r="E15" i="50" s="1"/>
  <c r="M40" i="49"/>
  <c r="M42" i="49"/>
  <c r="M14" i="49"/>
  <c r="M10" i="49"/>
  <c r="M6" i="49"/>
  <c r="M36" i="49"/>
  <c r="M20" i="49"/>
  <c r="M28" i="49"/>
  <c r="M27" i="49" s="1"/>
  <c r="M12" i="49"/>
  <c r="M16" i="49"/>
  <c r="M17" i="49" s="1"/>
  <c r="O40" i="49"/>
  <c r="M22" i="49"/>
  <c r="M44" i="49"/>
  <c r="M43" i="49" s="1"/>
  <c r="I12" i="49"/>
  <c r="I11" i="49" s="1"/>
  <c r="K36" i="49"/>
  <c r="K35" i="49" s="1"/>
  <c r="K40" i="49"/>
  <c r="K41" i="49" s="1"/>
  <c r="M8" i="49"/>
  <c r="M34" i="49"/>
  <c r="M33" i="49" s="1"/>
  <c r="I21" i="49"/>
  <c r="M30" i="49"/>
  <c r="M31" i="49" s="1"/>
  <c r="M24" i="49"/>
  <c r="M25" i="49" s="1"/>
  <c r="J22" i="47"/>
  <c r="J21" i="47"/>
  <c r="I18" i="47"/>
  <c r="I21" i="47"/>
  <c r="K19" i="47"/>
  <c r="K20" i="47"/>
  <c r="J16" i="47"/>
  <c r="L20" i="47"/>
  <c r="S20" i="47"/>
  <c r="AN20" i="47"/>
  <c r="BY20" i="47" s="1"/>
  <c r="L19" i="47"/>
  <c r="AN19" i="47"/>
  <c r="CR19" i="47" s="1"/>
  <c r="CS19" i="47" s="1"/>
  <c r="S19" i="47"/>
  <c r="J18" i="47"/>
  <c r="I17" i="47"/>
  <c r="J17" i="47"/>
  <c r="I33" i="49"/>
  <c r="I37" i="49"/>
  <c r="I31" i="49"/>
  <c r="M46" i="49"/>
  <c r="M38" i="49"/>
  <c r="O33" i="49"/>
  <c r="O44" i="49"/>
  <c r="O43" i="49" s="1"/>
  <c r="O12" i="49"/>
  <c r="O36" i="49"/>
  <c r="O16" i="49"/>
  <c r="O17" i="49" s="1"/>
  <c r="O14" i="49"/>
  <c r="O15" i="49" s="1"/>
  <c r="O10" i="49"/>
  <c r="O38" i="49"/>
  <c r="K17" i="49"/>
  <c r="O41" i="49"/>
  <c r="I19" i="49"/>
  <c r="K39" i="49"/>
  <c r="K9" i="49"/>
  <c r="K29" i="49"/>
  <c r="K13" i="49"/>
  <c r="M15" i="49"/>
  <c r="I29" i="49"/>
  <c r="O21" i="49"/>
  <c r="S14" i="47"/>
  <c r="AN14" i="47"/>
  <c r="CR14" i="47" s="1"/>
  <c r="CS14" i="47" s="1"/>
  <c r="K14" i="47"/>
  <c r="L14" i="47"/>
  <c r="AN15" i="47"/>
  <c r="K15" i="47"/>
  <c r="S15" i="47"/>
  <c r="L15" i="47"/>
  <c r="K33" i="49"/>
  <c r="K31" i="49"/>
  <c r="K27" i="49"/>
  <c r="M9" i="49"/>
  <c r="K19" i="49"/>
  <c r="O19" i="49"/>
  <c r="I9" i="49"/>
  <c r="M19" i="49"/>
  <c r="I25" i="49"/>
  <c r="K23" i="49"/>
  <c r="CH13" i="47"/>
  <c r="I27" i="49"/>
  <c r="I17" i="49"/>
  <c r="I35" i="49"/>
  <c r="M41" i="49"/>
  <c r="K45" i="49"/>
  <c r="K43" i="49"/>
  <c r="I15" i="49"/>
  <c r="CM13" i="47"/>
  <c r="K15" i="49"/>
  <c r="M13" i="49"/>
  <c r="I41" i="49"/>
  <c r="M13" i="47"/>
  <c r="I15" i="48" s="1"/>
  <c r="O7" i="49"/>
  <c r="O31" i="49"/>
  <c r="K11" i="49"/>
  <c r="O25" i="49"/>
  <c r="M39" i="49"/>
  <c r="O39" i="49"/>
  <c r="I7" i="49"/>
  <c r="O27" i="49" l="1"/>
  <c r="M21" i="49"/>
  <c r="M37" i="49"/>
  <c r="K37" i="49"/>
  <c r="O37" i="49"/>
  <c r="M35" i="49"/>
  <c r="O45" i="49"/>
  <c r="M23" i="49"/>
  <c r="M45" i="49"/>
  <c r="M29" i="49"/>
  <c r="I13" i="49"/>
  <c r="M7" i="49"/>
  <c r="M11" i="49"/>
  <c r="K22" i="47"/>
  <c r="L22" i="47"/>
  <c r="S22" i="47"/>
  <c r="AN22" i="47"/>
  <c r="S21" i="47"/>
  <c r="AN21" i="47"/>
  <c r="L21" i="47"/>
  <c r="K21" i="47"/>
  <c r="I16" i="48"/>
  <c r="AH16" i="48" s="1"/>
  <c r="I9" i="48"/>
  <c r="I14" i="48"/>
  <c r="I8" i="48"/>
  <c r="I10" i="48"/>
  <c r="I13" i="48"/>
  <c r="I11" i="48"/>
  <c r="CR20" i="47"/>
  <c r="CS20" i="47" s="1"/>
  <c r="I12" i="48"/>
  <c r="AH12" i="48" s="1"/>
  <c r="K17" i="47"/>
  <c r="AH15" i="48"/>
  <c r="J15" i="48"/>
  <c r="L16" i="47"/>
  <c r="BF20" i="47"/>
  <c r="K16" i="47"/>
  <c r="S16" i="47"/>
  <c r="AN16" i="47"/>
  <c r="CR16" i="47" s="1"/>
  <c r="CS16" i="47" s="1"/>
  <c r="BY19" i="47"/>
  <c r="BF19" i="47"/>
  <c r="L18" i="47"/>
  <c r="AN18" i="47"/>
  <c r="S18" i="47"/>
  <c r="K18" i="47"/>
  <c r="S17" i="47"/>
  <c r="AN17" i="47"/>
  <c r="BF17" i="47" s="1"/>
  <c r="L17" i="47"/>
  <c r="O13" i="49"/>
  <c r="O35" i="49"/>
  <c r="O11" i="49"/>
  <c r="O9" i="49"/>
  <c r="BY14" i="47"/>
  <c r="BF14" i="47"/>
  <c r="I7" i="48"/>
  <c r="J7" i="48" s="1"/>
  <c r="BF15" i="47"/>
  <c r="BY15" i="47"/>
  <c r="CR15" i="47"/>
  <c r="CS15" i="47" s="1"/>
  <c r="AI7" i="48"/>
  <c r="I13" i="47"/>
  <c r="CR22" i="47" l="1"/>
  <c r="CS22" i="47" s="1"/>
  <c r="BY22" i="47"/>
  <c r="BF22" i="47"/>
  <c r="CR21" i="47"/>
  <c r="CS21" i="47" s="1"/>
  <c r="BY21" i="47"/>
  <c r="BF21" i="47"/>
  <c r="J16" i="48"/>
  <c r="J12" i="48"/>
  <c r="J13" i="48"/>
  <c r="AH13" i="48"/>
  <c r="J10" i="48"/>
  <c r="AH10" i="48"/>
  <c r="J8" i="48"/>
  <c r="AH8" i="48"/>
  <c r="J14" i="48"/>
  <c r="AH14" i="48"/>
  <c r="J9" i="48"/>
  <c r="AH9" i="48"/>
  <c r="AH11" i="48"/>
  <c r="J11" i="48"/>
  <c r="BF16" i="47"/>
  <c r="BY16" i="47"/>
  <c r="BY18" i="47"/>
  <c r="CR18" i="47"/>
  <c r="CS18" i="47" s="1"/>
  <c r="BF18" i="47"/>
  <c r="CR17" i="47"/>
  <c r="CS17" i="47" s="1"/>
  <c r="BY17" i="47"/>
  <c r="J13" i="47"/>
  <c r="O15" i="48" l="1"/>
  <c r="P15" i="48" s="1"/>
  <c r="Q15" i="48" s="1"/>
  <c r="O16" i="48"/>
  <c r="P16" i="48" s="1"/>
  <c r="Q16" i="48" s="1"/>
  <c r="O8" i="48"/>
  <c r="P8" i="48" s="1"/>
  <c r="Q8" i="48" s="1"/>
  <c r="O9" i="48"/>
  <c r="P9" i="48" s="1"/>
  <c r="Q9" i="48" s="1"/>
  <c r="O14" i="48"/>
  <c r="P14" i="48" s="1"/>
  <c r="Q14" i="48" s="1"/>
  <c r="O13" i="48"/>
  <c r="P13" i="48" s="1"/>
  <c r="Q13" i="48" s="1"/>
  <c r="O12" i="48"/>
  <c r="P12" i="48" s="1"/>
  <c r="Q12" i="48" s="1"/>
  <c r="O10" i="48"/>
  <c r="P10" i="48" s="1"/>
  <c r="Q10" i="48" s="1"/>
  <c r="O11" i="48"/>
  <c r="P11" i="48" s="1"/>
  <c r="Q11" i="48" s="1"/>
  <c r="O7" i="48"/>
  <c r="P7" i="48" s="1"/>
  <c r="Q7" i="48" s="1"/>
  <c r="S13" i="47"/>
  <c r="K13" i="47"/>
  <c r="AN13" i="47"/>
  <c r="BY13" i="47" s="1"/>
  <c r="L13" i="47"/>
  <c r="H15" i="48" l="1"/>
  <c r="X15" i="48" s="1"/>
  <c r="H16" i="48"/>
  <c r="X16" i="48" s="1"/>
  <c r="H13" i="48"/>
  <c r="X13" i="48" s="1"/>
  <c r="H14" i="48"/>
  <c r="X14" i="48" s="1"/>
  <c r="H8" i="48"/>
  <c r="X8" i="48" s="1"/>
  <c r="H9" i="48"/>
  <c r="X9" i="48" s="1"/>
  <c r="H10" i="48"/>
  <c r="X10" i="48" s="1"/>
  <c r="H11" i="48"/>
  <c r="X11" i="48" s="1"/>
  <c r="H12" i="48"/>
  <c r="X12" i="48" s="1"/>
  <c r="H7" i="48"/>
  <c r="X7" i="48" s="1"/>
  <c r="BF13" i="47"/>
  <c r="CR13" i="47"/>
  <c r="CS13" i="47" s="1"/>
  <c r="V7" i="48"/>
  <c r="AH7" i="48"/>
  <c r="Y13" i="48" l="1"/>
  <c r="M13" i="48"/>
  <c r="N13" i="48" s="1"/>
  <c r="AJ13" i="48" s="1"/>
  <c r="M16" i="48"/>
  <c r="N16" i="48" s="1"/>
  <c r="AJ16" i="48" s="1"/>
  <c r="Y16" i="48"/>
  <c r="Z16" i="48" s="1"/>
  <c r="AA16" i="48" s="1"/>
  <c r="M8" i="48"/>
  <c r="N8" i="48" s="1"/>
  <c r="AJ8" i="48" s="1"/>
  <c r="Y8" i="48"/>
  <c r="Z8" i="48" s="1"/>
  <c r="AA8" i="48" s="1"/>
  <c r="Y12" i="48"/>
  <c r="Z12" i="48" s="1"/>
  <c r="AA12" i="48" s="1"/>
  <c r="M12" i="48"/>
  <c r="N12" i="48" s="1"/>
  <c r="AJ12" i="48" s="1"/>
  <c r="Y15" i="48"/>
  <c r="Z15" i="48" s="1"/>
  <c r="AA15" i="48" s="1"/>
  <c r="M15" i="48"/>
  <c r="N15" i="48" s="1"/>
  <c r="AJ15" i="48" s="1"/>
  <c r="M14" i="48"/>
  <c r="N14" i="48" s="1"/>
  <c r="AJ14" i="48" s="1"/>
  <c r="Y14" i="48"/>
  <c r="Y11" i="48"/>
  <c r="M11" i="48"/>
  <c r="N11" i="48" s="1"/>
  <c r="AJ11" i="48" s="1"/>
  <c r="M9" i="48"/>
  <c r="N9" i="48" s="1"/>
  <c r="AJ9" i="48" s="1"/>
  <c r="Y9" i="48"/>
  <c r="Z9" i="48" s="1"/>
  <c r="AA9" i="48" s="1"/>
  <c r="Y10" i="48"/>
  <c r="M10" i="48"/>
  <c r="N10" i="48" s="1"/>
  <c r="AJ10" i="48" s="1"/>
  <c r="M7" i="48"/>
  <c r="N7" i="48" s="1"/>
  <c r="AJ7" i="48" s="1"/>
  <c r="N13" i="47"/>
  <c r="N17" i="47"/>
  <c r="N20" i="47"/>
  <c r="N21" i="47"/>
  <c r="N19" i="47"/>
  <c r="N18" i="47"/>
  <c r="N14" i="47"/>
  <c r="N22" i="47"/>
  <c r="N15" i="47"/>
  <c r="N16" i="47"/>
  <c r="AC16" i="48" l="1"/>
  <c r="AE16" i="48" s="1"/>
  <c r="AC8" i="48"/>
  <c r="AE8" i="48" s="1"/>
  <c r="AD8" i="48" s="1"/>
  <c r="AC9" i="48"/>
  <c r="AE9" i="48" s="1"/>
  <c r="AD9" i="48" s="1"/>
  <c r="AC10" i="48"/>
  <c r="AE10" i="48" s="1"/>
  <c r="AC13" i="48"/>
  <c r="AE13" i="48" s="1"/>
  <c r="AC12" i="48"/>
  <c r="AE12" i="48" s="1"/>
  <c r="AC11" i="48"/>
  <c r="AE11" i="48" s="1"/>
  <c r="AD11" i="48" s="1"/>
  <c r="AC7" i="48"/>
  <c r="AC14" i="48"/>
  <c r="AE14" i="48" s="1"/>
  <c r="AC15" i="48"/>
  <c r="AE15" i="48" s="1"/>
  <c r="R16" i="48"/>
  <c r="S16" i="48" s="1"/>
  <c r="BI8" i="49"/>
  <c r="BJ8" i="49" s="1"/>
  <c r="R8" i="48"/>
  <c r="S8" i="48" s="1"/>
  <c r="BI10" i="49"/>
  <c r="BJ10" i="49" s="1"/>
  <c r="R15" i="48"/>
  <c r="S15" i="48" s="1"/>
  <c r="R12" i="48"/>
  <c r="S12" i="48" s="1"/>
  <c r="BI9" i="49"/>
  <c r="BJ9" i="49" s="1"/>
  <c r="R9" i="48"/>
  <c r="S9" i="48" s="1"/>
  <c r="Z11" i="48"/>
  <c r="AA11" i="48" s="1"/>
  <c r="R11" i="48" s="1"/>
  <c r="S11" i="48" s="1"/>
  <c r="Z14" i="48"/>
  <c r="AA14" i="48" s="1"/>
  <c r="R14" i="48" s="1"/>
  <c r="S14" i="48" s="1"/>
  <c r="BI7" i="49"/>
  <c r="BJ7" i="49" s="1"/>
  <c r="Z10" i="48"/>
  <c r="AA10" i="48" s="1"/>
  <c r="R10" i="48" s="1"/>
  <c r="S10" i="48" s="1"/>
  <c r="Z13" i="48"/>
  <c r="AA13" i="48" s="1"/>
  <c r="R13" i="48" s="1"/>
  <c r="S13" i="48" s="1"/>
  <c r="BI13" i="49"/>
  <c r="BJ13" i="49" s="1"/>
  <c r="BI14" i="49"/>
  <c r="BJ14" i="49" s="1"/>
  <c r="BI11" i="49"/>
  <c r="BJ11" i="49" s="1"/>
  <c r="BI15" i="49"/>
  <c r="BJ15" i="49" s="1"/>
  <c r="BI16" i="49"/>
  <c r="BJ16" i="49" s="1"/>
  <c r="BI12" i="49"/>
  <c r="BJ12" i="49" s="1"/>
  <c r="Y7" i="48"/>
  <c r="Z7" i="48" s="1"/>
  <c r="AA7" i="48" s="1"/>
  <c r="AD12" i="48" l="1"/>
  <c r="AD10" i="48"/>
  <c r="AD13" i="48"/>
  <c r="AD14" i="48"/>
  <c r="AD16" i="48"/>
  <c r="AD15" i="48"/>
  <c r="R7" i="48"/>
  <c r="S7" i="48" l="1"/>
  <c r="O15" i="47" s="1"/>
  <c r="AF9" i="48" s="1"/>
  <c r="AG9" i="48" s="1"/>
  <c r="AK9" i="48" s="1"/>
  <c r="O19" i="47"/>
  <c r="O21" i="47"/>
  <c r="O18" i="47"/>
  <c r="O17" i="47"/>
  <c r="O22" i="47"/>
  <c r="O14" i="47"/>
  <c r="AF8" i="48" s="1"/>
  <c r="AG8" i="48" s="1"/>
  <c r="O16" i="47"/>
  <c r="AF10" i="48" s="1"/>
  <c r="AG10" i="48" s="1"/>
  <c r="O13" i="47" l="1"/>
  <c r="P13" i="47" s="1"/>
  <c r="O20" i="47"/>
  <c r="P20" i="47" s="1"/>
  <c r="U20" i="47" s="1"/>
  <c r="V20" i="47" s="1"/>
  <c r="AG20" i="47" s="1"/>
  <c r="AK20" i="47" s="1"/>
  <c r="P15" i="47"/>
  <c r="U15" i="47" s="1"/>
  <c r="V15" i="47" s="1"/>
  <c r="AG15" i="47" s="1"/>
  <c r="AK15" i="47" s="1"/>
  <c r="P21" i="47"/>
  <c r="U21" i="47" s="1"/>
  <c r="V21" i="47" s="1"/>
  <c r="AG21" i="47" s="1"/>
  <c r="AK21" i="47" s="1"/>
  <c r="AF15" i="48"/>
  <c r="AG15" i="48" s="1"/>
  <c r="AK15" i="48" s="1"/>
  <c r="AF14" i="48"/>
  <c r="AG14" i="48" s="1"/>
  <c r="AK14" i="48" s="1"/>
  <c r="P22" i="47"/>
  <c r="U22" i="47" s="1"/>
  <c r="V22" i="47" s="1"/>
  <c r="AG22" i="47" s="1"/>
  <c r="AK22" i="47" s="1"/>
  <c r="AF16" i="48"/>
  <c r="AG16" i="48" s="1"/>
  <c r="AK16" i="48" s="1"/>
  <c r="P19" i="47"/>
  <c r="U19" i="47" s="1"/>
  <c r="V19" i="47" s="1"/>
  <c r="AG19" i="47" s="1"/>
  <c r="AK19" i="47" s="1"/>
  <c r="AF13" i="48"/>
  <c r="AG13" i="48" s="1"/>
  <c r="AK13" i="48" s="1"/>
  <c r="P18" i="47"/>
  <c r="U18" i="47" s="1"/>
  <c r="V18" i="47" s="1"/>
  <c r="AG18" i="47" s="1"/>
  <c r="AK18" i="47" s="1"/>
  <c r="AF12" i="48"/>
  <c r="AG12" i="48" s="1"/>
  <c r="AK12" i="48" s="1"/>
  <c r="P17" i="47"/>
  <c r="U17" i="47" s="1"/>
  <c r="V17" i="47" s="1"/>
  <c r="AG17" i="47" s="1"/>
  <c r="AK17" i="47" s="1"/>
  <c r="AF11" i="48"/>
  <c r="AG11" i="48" s="1"/>
  <c r="AK11" i="48" s="1"/>
  <c r="P16" i="47"/>
  <c r="U16" i="47" s="1"/>
  <c r="V16" i="47" s="1"/>
  <c r="AG16" i="47" s="1"/>
  <c r="AK16" i="47" s="1"/>
  <c r="AK10" i="48"/>
  <c r="P14" i="47"/>
  <c r="U14" i="47" s="1"/>
  <c r="V14" i="47" s="1"/>
  <c r="AG14" i="47" s="1"/>
  <c r="AK14" i="47" s="1"/>
  <c r="AK8" i="48"/>
  <c r="D14" i="36"/>
  <c r="G14" i="36" s="1"/>
  <c r="D15" i="36"/>
  <c r="G15" i="36" s="1"/>
  <c r="D16" i="36"/>
  <c r="G16" i="36" s="1"/>
  <c r="D17" i="36"/>
  <c r="G17" i="36" s="1"/>
  <c r="D13" i="36"/>
  <c r="G13" i="36" s="1"/>
  <c r="I17" i="36" l="1"/>
  <c r="F17" i="36"/>
  <c r="E17" i="36"/>
  <c r="F16" i="36"/>
  <c r="E16" i="36"/>
  <c r="I16" i="36"/>
  <c r="E13" i="36"/>
  <c r="F13" i="36"/>
  <c r="I13" i="36"/>
  <c r="I101" i="32"/>
  <c r="I71" i="32"/>
  <c r="I70" i="32"/>
  <c r="I85" i="32"/>
  <c r="I100" i="32"/>
  <c r="I83" i="32"/>
  <c r="I63" i="32"/>
  <c r="I62" i="32"/>
  <c r="I69" i="32"/>
  <c r="I92" i="32"/>
  <c r="I67" i="32"/>
  <c r="I96" i="32"/>
  <c r="I55" i="32"/>
  <c r="I54" i="32"/>
  <c r="I77" i="32"/>
  <c r="I84" i="32"/>
  <c r="I59" i="32"/>
  <c r="I91" i="32"/>
  <c r="I88" i="32"/>
  <c r="I61" i="32"/>
  <c r="I76" i="32"/>
  <c r="I99" i="32"/>
  <c r="I80" i="32"/>
  <c r="I102" i="32"/>
  <c r="I68" i="32"/>
  <c r="I72" i="32"/>
  <c r="I94" i="32"/>
  <c r="I60" i="32"/>
  <c r="I64" i="32"/>
  <c r="I95" i="32"/>
  <c r="I53" i="32"/>
  <c r="T6" i="11" s="1"/>
  <c r="U6" i="11" s="1"/>
  <c r="I86" i="32"/>
  <c r="I56" i="32"/>
  <c r="I79" i="32"/>
  <c r="I87" i="32"/>
  <c r="I78" i="32"/>
  <c r="I65" i="32"/>
  <c r="I98" i="32"/>
  <c r="I75" i="32"/>
  <c r="I57" i="32"/>
  <c r="I93" i="32"/>
  <c r="I82" i="32"/>
  <c r="I66" i="32"/>
  <c r="I58" i="32"/>
  <c r="I90" i="32"/>
  <c r="I97" i="32"/>
  <c r="I74" i="32"/>
  <c r="I89" i="32"/>
  <c r="I81" i="32"/>
  <c r="I73" i="32"/>
  <c r="F15" i="36"/>
  <c r="I15" i="36"/>
  <c r="E15" i="36"/>
  <c r="E14" i="36"/>
  <c r="F14" i="36"/>
  <c r="I14" i="36"/>
  <c r="M14" i="43" l="1"/>
  <c r="N14" i="43" s="1"/>
  <c r="K14" i="43"/>
  <c r="T14" i="43" l="1"/>
  <c r="Y14" i="43" s="1"/>
  <c r="O14" i="43"/>
  <c r="S14" i="43" s="1"/>
  <c r="U14" i="43" l="1"/>
  <c r="X14" i="43" l="1"/>
  <c r="Z14" i="43" s="1"/>
  <c r="AF14" i="43" s="1"/>
  <c r="AA14" i="43" l="1"/>
  <c r="AB14" i="43" s="1"/>
  <c r="O5" i="20"/>
  <c r="O6" i="20"/>
  <c r="O7" i="20"/>
  <c r="C5" i="20" l="1"/>
  <c r="C6" i="20" l="1"/>
  <c r="C7" i="20" l="1"/>
  <c r="C8" i="20" l="1"/>
  <c r="K10" i="20" l="1"/>
  <c r="N10" i="20" s="1"/>
  <c r="O10" i="20" s="1"/>
  <c r="C10" i="20"/>
  <c r="C9" i="20"/>
  <c r="K9" i="20"/>
  <c r="N9" i="20" s="1"/>
  <c r="O9" i="20" s="1"/>
  <c r="D4" i="29"/>
  <c r="D5" i="29"/>
  <c r="D6" i="29"/>
  <c r="D7" i="29"/>
  <c r="D8" i="29"/>
  <c r="D9" i="29"/>
  <c r="D10" i="29"/>
  <c r="D11" i="29"/>
  <c r="D12" i="29"/>
  <c r="D3" i="29"/>
  <c r="F570" i="32" l="1"/>
  <c r="F505" i="32"/>
  <c r="F438" i="32"/>
  <c r="F524" i="32"/>
  <c r="F618" i="32"/>
  <c r="F571" i="32"/>
  <c r="F516" i="32"/>
  <c r="F412" i="32"/>
  <c r="G480" i="32"/>
  <c r="F556" i="32"/>
  <c r="F479" i="32"/>
  <c r="F557" i="32"/>
  <c r="G466" i="32"/>
  <c r="G563" i="32"/>
  <c r="G461" i="32"/>
  <c r="F462" i="32"/>
  <c r="G417" i="32"/>
  <c r="G621" i="32"/>
  <c r="F623" i="32"/>
  <c r="F485" i="32"/>
  <c r="G556" i="32"/>
  <c r="G496" i="32"/>
  <c r="G546" i="32"/>
  <c r="G484" i="32"/>
  <c r="G487" i="32"/>
  <c r="G550" i="32"/>
  <c r="F531" i="32"/>
  <c r="G510" i="32"/>
  <c r="F607" i="32"/>
  <c r="G545" i="32"/>
  <c r="F486" i="32"/>
  <c r="G433" i="32"/>
  <c r="G631" i="32"/>
  <c r="F513" i="32"/>
  <c r="F563" i="32"/>
  <c r="G507" i="32"/>
  <c r="F422" i="32"/>
  <c r="G560" i="32"/>
  <c r="G552" i="32"/>
  <c r="G520" i="32"/>
  <c r="F507" i="32"/>
  <c r="F451" i="32"/>
  <c r="F441" i="32"/>
  <c r="G435" i="32"/>
  <c r="G632" i="32"/>
  <c r="F426" i="32"/>
  <c r="G476" i="32"/>
  <c r="G579" i="32"/>
  <c r="F564" i="32"/>
  <c r="F595" i="32"/>
  <c r="F578" i="32"/>
  <c r="F518" i="32"/>
  <c r="F621" i="32"/>
  <c r="G603" i="32"/>
  <c r="F609" i="32"/>
  <c r="G594" i="32"/>
  <c r="G456" i="32"/>
  <c r="G529" i="32"/>
  <c r="F482" i="32"/>
  <c r="G627" i="32"/>
  <c r="G557" i="32"/>
  <c r="F478" i="32"/>
  <c r="F554" i="32"/>
  <c r="G549" i="32"/>
  <c r="G419" i="32"/>
  <c r="G533" i="32"/>
  <c r="G628" i="32"/>
  <c r="F491" i="32"/>
  <c r="F467" i="32"/>
  <c r="F431" i="32"/>
  <c r="G472" i="32"/>
  <c r="G446" i="32"/>
  <c r="G493" i="32"/>
  <c r="G601" i="32"/>
  <c r="G418" i="32"/>
  <c r="G596" i="32"/>
  <c r="F608" i="32"/>
  <c r="G485" i="32"/>
  <c r="F500" i="32"/>
  <c r="F429" i="32"/>
  <c r="G434" i="32"/>
  <c r="F420" i="32"/>
  <c r="F558" i="32"/>
  <c r="G427" i="32"/>
  <c r="F506" i="32"/>
  <c r="F592" i="32"/>
  <c r="F533" i="32"/>
  <c r="G498" i="32"/>
  <c r="F586" i="32"/>
  <c r="G606" i="32"/>
  <c r="F545" i="32"/>
  <c r="F568" i="32"/>
  <c r="G420" i="32"/>
  <c r="F600" i="32"/>
  <c r="G511" i="32"/>
  <c r="G547" i="32"/>
  <c r="F430" i="32"/>
  <c r="G570" i="32"/>
  <c r="G523" i="32"/>
  <c r="F442" i="32"/>
  <c r="F432" i="32"/>
  <c r="G490" i="32"/>
  <c r="F411" i="32"/>
  <c r="F520" i="32"/>
  <c r="F514" i="32"/>
  <c r="G465" i="32"/>
  <c r="G592" i="32"/>
  <c r="F424" i="32"/>
  <c r="F510" i="32"/>
  <c r="F633" i="32"/>
  <c r="G509" i="32"/>
  <c r="G541" i="32"/>
  <c r="F448" i="32"/>
  <c r="F539" i="32"/>
  <c r="F446" i="32"/>
  <c r="G467" i="32"/>
  <c r="G616" i="32"/>
  <c r="F583" i="32"/>
  <c r="F606" i="32"/>
  <c r="G460" i="32"/>
  <c r="F548" i="32"/>
  <c r="G473" i="32"/>
  <c r="G537" i="32"/>
  <c r="F613" i="32"/>
  <c r="G577" i="32"/>
  <c r="F455" i="32"/>
  <c r="F559" i="32"/>
  <c r="F494" i="32"/>
  <c r="G609" i="32"/>
  <c r="G429" i="32"/>
  <c r="G593" i="32"/>
  <c r="G481" i="32"/>
  <c r="F525" i="32"/>
  <c r="G499" i="32"/>
  <c r="G421" i="32"/>
  <c r="G614" i="32"/>
  <c r="G589" i="32"/>
  <c r="G535" i="32"/>
  <c r="F413" i="32"/>
  <c r="G468" i="32"/>
  <c r="G559" i="32"/>
  <c r="G518" i="32"/>
  <c r="F466" i="32"/>
  <c r="G515" i="32"/>
  <c r="F499" i="32"/>
  <c r="F603" i="32"/>
  <c r="G464" i="32"/>
  <c r="F562" i="32"/>
  <c r="G497" i="32"/>
  <c r="F555" i="32"/>
  <c r="F501" i="32"/>
  <c r="F529" i="32"/>
  <c r="G513" i="32"/>
  <c r="F508" i="32"/>
  <c r="F604" i="32"/>
  <c r="G503" i="32"/>
  <c r="F423" i="32"/>
  <c r="G422" i="32"/>
  <c r="G586" i="32"/>
  <c r="G562" i="32"/>
  <c r="F591" i="32"/>
  <c r="G585" i="32"/>
  <c r="G469" i="32"/>
  <c r="F465" i="32"/>
  <c r="G426" i="32"/>
  <c r="F454" i="32"/>
  <c r="G581" i="32"/>
  <c r="F546" i="32"/>
  <c r="G595" i="32"/>
  <c r="G455" i="32"/>
  <c r="G540" i="32"/>
  <c r="F521" i="32"/>
  <c r="F460" i="32"/>
  <c r="F538" i="32"/>
  <c r="F469" i="32"/>
  <c r="F414" i="32"/>
  <c r="G443" i="32"/>
  <c r="F552" i="32"/>
  <c r="F596" i="32"/>
  <c r="F573" i="32"/>
  <c r="F612" i="32"/>
  <c r="G519" i="32"/>
  <c r="G624" i="32"/>
  <c r="F471" i="32"/>
  <c r="F497" i="32"/>
  <c r="G448" i="32"/>
  <c r="G610" i="32"/>
  <c r="G568" i="32"/>
  <c r="F472" i="32"/>
  <c r="G605" i="32"/>
  <c r="G501" i="32"/>
  <c r="G565" i="32"/>
  <c r="F575" i="32"/>
  <c r="F585" i="32"/>
  <c r="G542" i="32"/>
  <c r="G462" i="32"/>
  <c r="G500" i="32"/>
  <c r="G517" i="32"/>
  <c r="G602" i="32"/>
  <c r="F461" i="32"/>
  <c r="G612" i="32"/>
  <c r="F619" i="32"/>
  <c r="G489" i="32"/>
  <c r="F605" i="32"/>
  <c r="F450" i="32"/>
  <c r="G479" i="32"/>
  <c r="G623" i="32"/>
  <c r="G619" i="32"/>
  <c r="G618" i="32"/>
  <c r="G539" i="32"/>
  <c r="F484" i="32"/>
  <c r="G617" i="32"/>
  <c r="G554" i="32"/>
  <c r="G525" i="32"/>
  <c r="G416" i="32"/>
  <c r="F530" i="32"/>
  <c r="F476" i="32"/>
  <c r="F581" i="32"/>
  <c r="F599" i="32"/>
  <c r="F610" i="32"/>
  <c r="G613" i="32"/>
  <c r="G458" i="32"/>
  <c r="G626" i="32"/>
  <c r="F528" i="32"/>
  <c r="F447" i="32"/>
  <c r="G630" i="32"/>
  <c r="F624" i="32"/>
  <c r="F496" i="32"/>
  <c r="G477" i="32"/>
  <c r="F602" i="32"/>
  <c r="F512" i="32"/>
  <c r="F565" i="32"/>
  <c r="G413" i="32"/>
  <c r="F449" i="32"/>
  <c r="F419" i="32"/>
  <c r="F517" i="32"/>
  <c r="G502" i="32"/>
  <c r="F544" i="32"/>
  <c r="F549" i="32"/>
  <c r="F456" i="32"/>
  <c r="G459" i="32"/>
  <c r="F629" i="32"/>
  <c r="F587" i="32"/>
  <c r="F453" i="32"/>
  <c r="G597" i="32"/>
  <c r="G486" i="32"/>
  <c r="G428" i="32"/>
  <c r="F611" i="32"/>
  <c r="G492" i="32"/>
  <c r="G622" i="32"/>
  <c r="F445" i="32"/>
  <c r="G600" i="32"/>
  <c r="F593" i="32"/>
  <c r="F503" i="32"/>
  <c r="G607" i="32"/>
  <c r="F580" i="32"/>
  <c r="F579" i="32"/>
  <c r="F526" i="32"/>
  <c r="F584" i="32"/>
  <c r="G611" i="32"/>
  <c r="G551" i="32"/>
  <c r="G572" i="32"/>
  <c r="G452" i="32"/>
  <c r="F477" i="32"/>
  <c r="G578" i="32"/>
  <c r="G620" i="32"/>
  <c r="G590" i="32"/>
  <c r="G436" i="32"/>
  <c r="G445" i="32"/>
  <c r="F489" i="32"/>
  <c r="G453" i="32"/>
  <c r="F614" i="32"/>
  <c r="F627" i="32"/>
  <c r="F421" i="32"/>
  <c r="F498" i="32"/>
  <c r="F470" i="32"/>
  <c r="G450" i="32"/>
  <c r="G536" i="32"/>
  <c r="G587" i="32"/>
  <c r="F542" i="32"/>
  <c r="F553" i="32"/>
  <c r="F620" i="32"/>
  <c r="G475" i="32"/>
  <c r="F617" i="32"/>
  <c r="F468" i="32"/>
  <c r="F440" i="32"/>
  <c r="F428" i="32"/>
  <c r="G437" i="32"/>
  <c r="G629" i="32"/>
  <c r="G430" i="32"/>
  <c r="G478" i="32"/>
  <c r="F589" i="32"/>
  <c r="G521" i="32"/>
  <c r="G569" i="32"/>
  <c r="G527" i="32"/>
  <c r="F523" i="32"/>
  <c r="G432" i="32"/>
  <c r="F543" i="32"/>
  <c r="F560" i="32"/>
  <c r="G588" i="32"/>
  <c r="G474" i="32"/>
  <c r="G442" i="32"/>
  <c r="G548" i="32"/>
  <c r="F551" i="32"/>
  <c r="F434" i="32"/>
  <c r="F436" i="32"/>
  <c r="G438" i="32"/>
  <c r="F588" i="32"/>
  <c r="F458" i="32"/>
  <c r="F475" i="32"/>
  <c r="G584" i="32"/>
  <c r="G449" i="32"/>
  <c r="F567" i="32"/>
  <c r="G608" i="32"/>
  <c r="G463" i="32"/>
  <c r="G439" i="32"/>
  <c r="F527" i="32"/>
  <c r="F625" i="32"/>
  <c r="G598" i="32"/>
  <c r="G566" i="32"/>
  <c r="F452" i="32"/>
  <c r="F418" i="32"/>
  <c r="G444" i="32"/>
  <c r="G447" i="32"/>
  <c r="G512" i="32"/>
  <c r="G553" i="32"/>
  <c r="F601" i="32"/>
  <c r="G425" i="32"/>
  <c r="G471" i="32"/>
  <c r="F439" i="32"/>
  <c r="F415" i="32"/>
  <c r="F631" i="32"/>
  <c r="F632" i="32"/>
  <c r="G491" i="32"/>
  <c r="F487" i="32"/>
  <c r="F459" i="32"/>
  <c r="G470" i="32"/>
  <c r="G580" i="32"/>
  <c r="G532" i="32"/>
  <c r="F598" i="32"/>
  <c r="F522" i="32"/>
  <c r="F534" i="32"/>
  <c r="G526" i="32"/>
  <c r="F594" i="32"/>
  <c r="G555" i="32"/>
  <c r="F504" i="32"/>
  <c r="G599" i="32"/>
  <c r="G543" i="32"/>
  <c r="G423" i="32"/>
  <c r="F435" i="32"/>
  <c r="F495" i="32"/>
  <c r="G571" i="32"/>
  <c r="F480" i="32"/>
  <c r="F433" i="32"/>
  <c r="F572" i="32"/>
  <c r="G495" i="32"/>
  <c r="F474" i="32"/>
  <c r="G494" i="32"/>
  <c r="F628" i="32"/>
  <c r="F541" i="32"/>
  <c r="F550" i="32"/>
  <c r="F630" i="32"/>
  <c r="F536" i="32"/>
  <c r="F576" i="32"/>
  <c r="G516" i="32"/>
  <c r="G531" i="32"/>
  <c r="F616" i="32"/>
  <c r="F622" i="32"/>
  <c r="F547" i="32"/>
  <c r="G483" i="32"/>
  <c r="G415" i="32"/>
  <c r="G441" i="32"/>
  <c r="F417" i="32"/>
  <c r="G524" i="32"/>
  <c r="G528" i="32"/>
  <c r="G576" i="32"/>
  <c r="G451" i="32"/>
  <c r="F511" i="32"/>
  <c r="G534" i="32"/>
  <c r="F540" i="32"/>
  <c r="F615" i="32"/>
  <c r="G431" i="32"/>
  <c r="F577" i="32"/>
  <c r="F463" i="32"/>
  <c r="G522" i="32"/>
  <c r="G454" i="32"/>
  <c r="F535" i="32"/>
  <c r="G440" i="32"/>
  <c r="F444" i="32"/>
  <c r="G625" i="32"/>
  <c r="F626" i="32"/>
  <c r="G564" i="32"/>
  <c r="G538" i="32"/>
  <c r="G582" i="32"/>
  <c r="F483" i="32"/>
  <c r="F515" i="32"/>
  <c r="F574" i="32"/>
  <c r="F561" i="32"/>
  <c r="G508" i="32"/>
  <c r="F537" i="32"/>
  <c r="G482" i="32"/>
  <c r="G604" i="32"/>
  <c r="G633" i="32"/>
  <c r="F566" i="32"/>
  <c r="G558" i="32"/>
  <c r="F425" i="32"/>
  <c r="G575" i="32"/>
  <c r="F582" i="32"/>
  <c r="G457" i="32"/>
  <c r="G504" i="32"/>
  <c r="G514" i="32"/>
  <c r="F569" i="32"/>
  <c r="F437" i="32"/>
  <c r="G615" i="32"/>
  <c r="F457" i="32"/>
  <c r="F519" i="32"/>
  <c r="G591" i="32"/>
  <c r="G561" i="32"/>
  <c r="F509" i="32"/>
  <c r="F481" i="32"/>
  <c r="G424" i="32"/>
  <c r="G544" i="32"/>
  <c r="G488" i="32"/>
  <c r="F532" i="32"/>
  <c r="F493" i="32"/>
  <c r="F597" i="32"/>
  <c r="F502" i="32"/>
  <c r="G506" i="32"/>
  <c r="F488" i="32"/>
  <c r="G505" i="32"/>
  <c r="G412" i="32"/>
  <c r="G573" i="32"/>
  <c r="G574" i="32"/>
  <c r="F416" i="32"/>
  <c r="F443" i="32"/>
  <c r="F473" i="32"/>
  <c r="G567" i="32"/>
  <c r="F590" i="32"/>
  <c r="F427" i="32"/>
  <c r="G414" i="32"/>
  <c r="F492" i="32"/>
  <c r="G583" i="32"/>
  <c r="G530" i="32"/>
  <c r="F464" i="32"/>
  <c r="F490" i="32"/>
  <c r="K12" i="29"/>
  <c r="F12" i="29"/>
  <c r="E12" i="29"/>
  <c r="F6" i="29"/>
  <c r="E6" i="29"/>
  <c r="K6" i="29"/>
  <c r="E3" i="29"/>
  <c r="K3" i="29"/>
  <c r="F3" i="29"/>
  <c r="I148" i="32"/>
  <c r="I107" i="32"/>
  <c r="I106" i="32"/>
  <c r="I105" i="32"/>
  <c r="I136" i="32"/>
  <c r="I111" i="32"/>
  <c r="I140" i="32"/>
  <c r="I128" i="32"/>
  <c r="I132" i="32"/>
  <c r="I103" i="32"/>
  <c r="T9" i="11" s="1"/>
  <c r="U9" i="11" s="1"/>
  <c r="I120" i="32"/>
  <c r="I124" i="32"/>
  <c r="I147" i="32"/>
  <c r="I146" i="32"/>
  <c r="I145" i="32"/>
  <c r="I112" i="32"/>
  <c r="I151" i="32"/>
  <c r="I142" i="32"/>
  <c r="I116" i="32"/>
  <c r="I139" i="32"/>
  <c r="I138" i="32"/>
  <c r="I137" i="32"/>
  <c r="I104" i="32"/>
  <c r="I143" i="32"/>
  <c r="I108" i="32"/>
  <c r="I131" i="32"/>
  <c r="I130" i="32"/>
  <c r="I129" i="32"/>
  <c r="I135" i="32"/>
  <c r="I123" i="32"/>
  <c r="I122" i="32"/>
  <c r="I121" i="32"/>
  <c r="I152" i="32"/>
  <c r="I127" i="32"/>
  <c r="I115" i="32"/>
  <c r="I114" i="32"/>
  <c r="I113" i="32"/>
  <c r="I144" i="32"/>
  <c r="I119" i="32"/>
  <c r="I118" i="32"/>
  <c r="I110" i="32"/>
  <c r="I149" i="32"/>
  <c r="I141" i="32"/>
  <c r="I133" i="32"/>
  <c r="I150" i="32"/>
  <c r="I125" i="32"/>
  <c r="I134" i="32"/>
  <c r="I117" i="32"/>
  <c r="I126" i="32"/>
  <c r="I109" i="32"/>
  <c r="K5" i="29"/>
  <c r="F5" i="29"/>
  <c r="E5" i="29"/>
  <c r="K4" i="29"/>
  <c r="F4" i="29"/>
  <c r="E4" i="29"/>
  <c r="E11" i="29"/>
  <c r="F11" i="29"/>
  <c r="K11" i="29"/>
  <c r="F10" i="29"/>
  <c r="E10" i="29"/>
  <c r="K10" i="29"/>
  <c r="F9" i="29"/>
  <c r="E9" i="29"/>
  <c r="K9" i="29"/>
  <c r="K8" i="29"/>
  <c r="F8" i="29"/>
  <c r="E8" i="29"/>
  <c r="E7" i="29"/>
  <c r="K7" i="29"/>
  <c r="F7" i="29"/>
  <c r="K11" i="20"/>
  <c r="N11" i="20" s="1"/>
  <c r="O11" i="20" s="1"/>
  <c r="C29" i="59" l="1"/>
  <c r="A5" i="44"/>
  <c r="A16" i="44"/>
  <c r="J20" i="44"/>
  <c r="Z20" i="44" s="1"/>
  <c r="X13" i="44"/>
  <c r="X2" i="44" s="1"/>
  <c r="R13" i="44"/>
  <c r="R2" i="44" s="1"/>
  <c r="M13" i="44"/>
  <c r="M2" i="44" s="1"/>
  <c r="J9" i="44"/>
  <c r="Z9" i="44" s="1"/>
  <c r="M13" i="43"/>
  <c r="N13" i="43" s="1"/>
  <c r="K13" i="43"/>
  <c r="B16" i="44" l="1"/>
  <c r="B5" i="44"/>
  <c r="T3" i="29"/>
  <c r="T5" i="29"/>
  <c r="T9" i="29"/>
  <c r="T11" i="29"/>
  <c r="T12" i="29"/>
  <c r="T10" i="29"/>
  <c r="T8" i="29"/>
  <c r="T6" i="29"/>
  <c r="T7" i="29"/>
  <c r="T4" i="29"/>
  <c r="BI31" i="59"/>
  <c r="BJ31" i="59" s="1"/>
  <c r="BL31" i="59" s="1"/>
  <c r="BN31" i="59" s="1"/>
  <c r="CL31" i="59"/>
  <c r="CM31" i="59" s="1"/>
  <c r="CR31" i="59" s="1"/>
  <c r="CT31" i="59" s="1"/>
  <c r="C31" i="59"/>
  <c r="AA31" i="59"/>
  <c r="AB31" i="59" s="1"/>
  <c r="AD31" i="59" s="1"/>
  <c r="AF31" i="59" s="1"/>
  <c r="CB31" i="59"/>
  <c r="CC31" i="59" s="1"/>
  <c r="CE31" i="59" s="1"/>
  <c r="CG31" i="59" s="1"/>
  <c r="BS31" i="59"/>
  <c r="BT31" i="59" s="1"/>
  <c r="BU31" i="59" s="1"/>
  <c r="BW31" i="59" s="1"/>
  <c r="AM31" i="59"/>
  <c r="AN31" i="59" s="1"/>
  <c r="AP31" i="59" s="1"/>
  <c r="AR31" i="59" s="1"/>
  <c r="AY31" i="59"/>
  <c r="AZ31" i="59" s="1"/>
  <c r="BB31" i="59" s="1"/>
  <c r="BD31" i="59" s="1"/>
  <c r="CY31" i="59"/>
  <c r="CZ31" i="59" s="1"/>
  <c r="DD31" i="59" s="1"/>
  <c r="DF31" i="59" s="1"/>
  <c r="H3" i="33"/>
  <c r="T13" i="43"/>
  <c r="Y13" i="43" s="1"/>
  <c r="A17" i="44"/>
  <c r="A6" i="44"/>
  <c r="O13" i="43"/>
  <c r="B6" i="44" l="1"/>
  <c r="G6" i="44"/>
  <c r="J6" i="44" s="1"/>
  <c r="Z6" i="44" s="1"/>
  <c r="B17" i="44"/>
  <c r="G17" i="44"/>
  <c r="J17" i="44" s="1"/>
  <c r="Z17" i="44" s="1"/>
  <c r="A7" i="44"/>
  <c r="A18" i="44"/>
  <c r="S13" i="43"/>
  <c r="U13" i="43" s="1"/>
  <c r="G16" i="44" l="1"/>
  <c r="J16" i="44" s="1"/>
  <c r="Z16" i="44" s="1"/>
  <c r="G5" i="44"/>
  <c r="J5" i="44" s="1"/>
  <c r="B18" i="44"/>
  <c r="G18" i="44"/>
  <c r="J18" i="44" s="1"/>
  <c r="A8" i="44"/>
  <c r="A9" i="44" s="1"/>
  <c r="B9" i="44" s="1"/>
  <c r="B7" i="44"/>
  <c r="G7" i="44"/>
  <c r="J7" i="44" s="1"/>
  <c r="Z7" i="44" s="1"/>
  <c r="H3" i="39"/>
  <c r="I260" i="32"/>
  <c r="I241" i="32"/>
  <c r="I232" i="32"/>
  <c r="I228" i="32"/>
  <c r="I245" i="32"/>
  <c r="I213" i="32"/>
  <c r="I219" i="32"/>
  <c r="I258" i="32"/>
  <c r="I247" i="32"/>
  <c r="I215" i="32"/>
  <c r="I235" i="32"/>
  <c r="I257" i="32"/>
  <c r="I230" i="32"/>
  <c r="I237" i="32"/>
  <c r="I244" i="32"/>
  <c r="I229" i="32"/>
  <c r="I238" i="32"/>
  <c r="I236" i="32"/>
  <c r="I233" i="32"/>
  <c r="I256" i="32"/>
  <c r="I224" i="32"/>
  <c r="I239" i="32"/>
  <c r="I222" i="32"/>
  <c r="I254" i="32"/>
  <c r="I242" i="32"/>
  <c r="I250" i="32"/>
  <c r="I226" i="32"/>
  <c r="I212" i="32"/>
  <c r="I225" i="32"/>
  <c r="I248" i="32"/>
  <c r="I216" i="32"/>
  <c r="I231" i="32"/>
  <c r="I227" i="32"/>
  <c r="I214" i="32"/>
  <c r="I220" i="32"/>
  <c r="I218" i="32"/>
  <c r="I217" i="32"/>
  <c r="I240" i="32"/>
  <c r="I252" i="32"/>
  <c r="I249" i="32"/>
  <c r="I246" i="32"/>
  <c r="I253" i="32"/>
  <c r="I221" i="32"/>
  <c r="I243" i="32"/>
  <c r="I259" i="32"/>
  <c r="I251" i="32"/>
  <c r="I255" i="32"/>
  <c r="I223" i="32"/>
  <c r="I234" i="32"/>
  <c r="A19" i="44"/>
  <c r="X13" i="43"/>
  <c r="Z13" i="43" s="1"/>
  <c r="T10" i="11" l="1"/>
  <c r="U10" i="11" s="1"/>
  <c r="T11" i="11"/>
  <c r="U11" i="11" s="1"/>
  <c r="T7" i="11"/>
  <c r="U7" i="11" s="1"/>
  <c r="T8" i="11"/>
  <c r="U8" i="11" s="1"/>
  <c r="B19" i="44"/>
  <c r="G19" i="44"/>
  <c r="J19" i="44" s="1"/>
  <c r="B8" i="44"/>
  <c r="G8" i="44"/>
  <c r="J8" i="44" s="1"/>
  <c r="Z8" i="44" s="1"/>
  <c r="O8" i="20"/>
  <c r="E260" i="32"/>
  <c r="E243" i="32"/>
  <c r="E259" i="32"/>
  <c r="E251" i="32"/>
  <c r="E255" i="32"/>
  <c r="E223" i="32"/>
  <c r="E234" i="32"/>
  <c r="E238" i="32"/>
  <c r="E236" i="32"/>
  <c r="E233" i="32"/>
  <c r="E256" i="32"/>
  <c r="E224" i="32"/>
  <c r="E257" i="32"/>
  <c r="E230" i="32"/>
  <c r="E237" i="32"/>
  <c r="E258" i="32"/>
  <c r="E215" i="32"/>
  <c r="E254" i="32"/>
  <c r="E229" i="32"/>
  <c r="E222" i="32"/>
  <c r="E245" i="32"/>
  <c r="E219" i="32"/>
  <c r="E247" i="32"/>
  <c r="E235" i="32"/>
  <c r="E228" i="32"/>
  <c r="E225" i="32"/>
  <c r="E248" i="32"/>
  <c r="E216" i="32"/>
  <c r="E244" i="32"/>
  <c r="E212" i="32"/>
  <c r="E242" i="32"/>
  <c r="E250" i="32"/>
  <c r="E226" i="32"/>
  <c r="E239" i="32"/>
  <c r="E220" i="32"/>
  <c r="E218" i="32"/>
  <c r="E217" i="32"/>
  <c r="E240" i="32"/>
  <c r="E252" i="32"/>
  <c r="E249" i="32"/>
  <c r="E246" i="32"/>
  <c r="E253" i="32"/>
  <c r="E221" i="32"/>
  <c r="E231" i="32"/>
  <c r="E227" i="32"/>
  <c r="E214" i="32"/>
  <c r="E241" i="32"/>
  <c r="E232" i="32"/>
  <c r="E213" i="32"/>
  <c r="A10" i="44"/>
  <c r="Z18" i="44"/>
  <c r="A20" i="44"/>
  <c r="B20" i="44" s="1"/>
  <c r="Z5" i="44"/>
  <c r="AA13" i="43"/>
  <c r="AF13" i="43"/>
  <c r="B10" i="44" l="1"/>
  <c r="G10" i="44"/>
  <c r="J10" i="44" s="1"/>
  <c r="Z19" i="44"/>
  <c r="A21" i="44"/>
  <c r="AB13" i="43"/>
  <c r="B21" i="44" l="1"/>
  <c r="G229" i="32" s="1"/>
  <c r="G21" i="44"/>
  <c r="J21" i="44" s="1"/>
  <c r="Z10" i="44"/>
  <c r="J2" i="44"/>
  <c r="AC13" i="43" s="1"/>
  <c r="AE13" i="43" s="1"/>
  <c r="G220" i="32" l="1"/>
  <c r="F232" i="32"/>
  <c r="F215" i="32"/>
  <c r="F213" i="32"/>
  <c r="F244" i="32"/>
  <c r="G217" i="32"/>
  <c r="F258" i="32"/>
  <c r="G215" i="32"/>
  <c r="G230" i="32"/>
  <c r="G243" i="32"/>
  <c r="F255" i="32"/>
  <c r="F227" i="32"/>
  <c r="F246" i="32"/>
  <c r="G235" i="32"/>
  <c r="G258" i="32"/>
  <c r="AG13" i="43"/>
  <c r="AI13" i="43" s="1"/>
  <c r="G232" i="32"/>
  <c r="F236" i="32"/>
  <c r="G254" i="32"/>
  <c r="G237" i="32"/>
  <c r="G255" i="32"/>
  <c r="F260" i="32"/>
  <c r="F226" i="32"/>
  <c r="F219" i="32"/>
  <c r="G216" i="32"/>
  <c r="F235" i="32"/>
  <c r="G222" i="32"/>
  <c r="G256" i="32"/>
  <c r="F245" i="32"/>
  <c r="F220" i="32"/>
  <c r="F240" i="32"/>
  <c r="G259" i="32"/>
  <c r="F228" i="32"/>
  <c r="F249" i="32"/>
  <c r="G239" i="32"/>
  <c r="G219" i="32"/>
  <c r="F256" i="32"/>
  <c r="F254" i="32"/>
  <c r="F222" i="32"/>
  <c r="F231" i="32"/>
  <c r="F221" i="32"/>
  <c r="F223" i="32"/>
  <c r="G225" i="32"/>
  <c r="F247" i="32"/>
  <c r="G240" i="32"/>
  <c r="G214" i="32"/>
  <c r="G227" i="32"/>
  <c r="G251" i="32"/>
  <c r="G257" i="32"/>
  <c r="F216" i="32"/>
  <c r="F251" i="32"/>
  <c r="F230" i="32"/>
  <c r="F214" i="32"/>
  <c r="G212" i="32"/>
  <c r="G247" i="32"/>
  <c r="G218" i="32"/>
  <c r="G250" i="32"/>
  <c r="G224" i="32"/>
  <c r="F242" i="32"/>
  <c r="F237" i="32"/>
  <c r="G260" i="32"/>
  <c r="G252" i="32"/>
  <c r="G223" i="32"/>
  <c r="G226" i="32"/>
  <c r="G248" i="32"/>
  <c r="G238" i="32"/>
  <c r="F234" i="32"/>
  <c r="F241" i="32"/>
  <c r="G234" i="32"/>
  <c r="G246" i="32"/>
  <c r="G244" i="32"/>
  <c r="G213" i="32"/>
  <c r="F218" i="32"/>
  <c r="G231" i="32"/>
  <c r="G249" i="32"/>
  <c r="F257" i="32"/>
  <c r="F248" i="32"/>
  <c r="F217" i="32"/>
  <c r="G233" i="32"/>
  <c r="F233" i="32"/>
  <c r="F229" i="32"/>
  <c r="G241" i="32"/>
  <c r="F252" i="32"/>
  <c r="F243" i="32"/>
  <c r="F225" i="32"/>
  <c r="G228" i="32"/>
  <c r="F224" i="32"/>
  <c r="G236" i="32"/>
  <c r="F239" i="32"/>
  <c r="G253" i="32"/>
  <c r="F259" i="32"/>
  <c r="F212" i="32"/>
  <c r="G221" i="32"/>
  <c r="F250" i="32"/>
  <c r="F253" i="32"/>
  <c r="G242" i="32"/>
  <c r="G245" i="32"/>
  <c r="F238" i="32"/>
  <c r="Z21" i="44"/>
  <c r="Z13" i="44" s="1"/>
  <c r="Z2" i="44" s="1"/>
  <c r="J13" i="44"/>
  <c r="AC14" i="43" s="1"/>
  <c r="AE14" i="43" s="1"/>
  <c r="AG14" i="43" l="1"/>
  <c r="AI14" i="43" s="1"/>
  <c r="L15" i="40" l="1"/>
  <c r="E15" i="40"/>
  <c r="D15" i="40"/>
  <c r="C14" i="40"/>
  <c r="D14" i="40" s="1"/>
  <c r="E14" i="40" l="1"/>
  <c r="AO3" i="32" l="1"/>
  <c r="AN3" i="32"/>
  <c r="AM3" i="32"/>
  <c r="C13" i="19" l="1"/>
  <c r="C16" i="19"/>
  <c r="C14" i="19"/>
  <c r="C17" i="19"/>
  <c r="C18" i="19"/>
  <c r="C15" i="19"/>
  <c r="B17" i="19"/>
  <c r="B14" i="19"/>
  <c r="B18" i="19"/>
  <c r="B16" i="19"/>
  <c r="B15" i="19"/>
  <c r="D16" i="45"/>
  <c r="D15" i="45"/>
  <c r="C16" i="45"/>
  <c r="D17" i="45"/>
  <c r="C15" i="45"/>
  <c r="C17" i="45"/>
  <c r="B13" i="27"/>
  <c r="B9" i="27"/>
  <c r="B5" i="27"/>
  <c r="C12" i="27"/>
  <c r="C8" i="27"/>
  <c r="C4" i="27"/>
  <c r="B8" i="27"/>
  <c r="B4" i="27"/>
  <c r="C11" i="27"/>
  <c r="C7" i="27"/>
  <c r="B12" i="27"/>
  <c r="C9" i="27"/>
  <c r="B11" i="27"/>
  <c r="B7" i="27"/>
  <c r="C10" i="27"/>
  <c r="C6" i="27"/>
  <c r="B10" i="27"/>
  <c r="B6" i="27"/>
  <c r="C13" i="27"/>
  <c r="C5" i="27"/>
  <c r="C12" i="54"/>
  <c r="C4" i="54"/>
  <c r="D7" i="45"/>
  <c r="C11" i="29"/>
  <c r="C3" i="29"/>
  <c r="C17" i="36"/>
  <c r="C7" i="30"/>
  <c r="C11" i="54"/>
  <c r="D14" i="45"/>
  <c r="D6" i="45"/>
  <c r="C10" i="29"/>
  <c r="C14" i="43"/>
  <c r="C16" i="36"/>
  <c r="C10" i="54"/>
  <c r="D13" i="45"/>
  <c r="D5" i="45"/>
  <c r="C9" i="29"/>
  <c r="C13" i="43"/>
  <c r="C15" i="36"/>
  <c r="C8" i="29"/>
  <c r="C14" i="36"/>
  <c r="C8" i="30"/>
  <c r="C7" i="29"/>
  <c r="C13" i="36"/>
  <c r="C4" i="29"/>
  <c r="C9" i="54"/>
  <c r="D12" i="45"/>
  <c r="C8" i="54"/>
  <c r="D11" i="45"/>
  <c r="C7" i="54"/>
  <c r="D10" i="45"/>
  <c r="C6" i="29"/>
  <c r="C6" i="30"/>
  <c r="C13" i="54"/>
  <c r="C5" i="54"/>
  <c r="D8" i="45"/>
  <c r="C12" i="29"/>
  <c r="C6" i="54"/>
  <c r="D9" i="45"/>
  <c r="C5" i="29"/>
  <c r="C5" i="30"/>
  <c r="B13" i="55"/>
  <c r="B5" i="55"/>
  <c r="B10" i="54"/>
  <c r="B6" i="54"/>
  <c r="C13" i="45"/>
  <c r="C9" i="45"/>
  <c r="C5" i="45"/>
  <c r="B11" i="29"/>
  <c r="B3" i="29"/>
  <c r="B14" i="36"/>
  <c r="B12" i="55"/>
  <c r="B5" i="29"/>
  <c r="B15" i="36"/>
  <c r="B5" i="30"/>
  <c r="B7" i="55"/>
  <c r="C10" i="45"/>
  <c r="B11" i="55"/>
  <c r="B13" i="54"/>
  <c r="B9" i="54"/>
  <c r="B5" i="54"/>
  <c r="C12" i="45"/>
  <c r="C8" i="45"/>
  <c r="B10" i="29"/>
  <c r="B6" i="29"/>
  <c r="B14" i="43"/>
  <c r="B16" i="36"/>
  <c r="B6" i="30"/>
  <c r="B13" i="43"/>
  <c r="B7" i="54"/>
  <c r="B10" i="55"/>
  <c r="B9" i="55"/>
  <c r="B12" i="54"/>
  <c r="B8" i="54"/>
  <c r="B4" i="54"/>
  <c r="C11" i="45"/>
  <c r="C7" i="45"/>
  <c r="B8" i="30"/>
  <c r="B14" i="55"/>
  <c r="B6" i="55"/>
  <c r="B7" i="29"/>
  <c r="B17" i="36"/>
  <c r="B13" i="36"/>
  <c r="B7" i="30"/>
  <c r="B13" i="19"/>
  <c r="B9" i="29"/>
  <c r="B8" i="55"/>
  <c r="B11" i="54"/>
  <c r="C14" i="45"/>
  <c r="C6" i="45"/>
  <c r="B12" i="29"/>
  <c r="B8" i="29"/>
  <c r="B4" i="29"/>
  <c r="C7" i="48"/>
  <c r="L8" i="30" l="1"/>
  <c r="L6" i="30"/>
  <c r="L5" i="30"/>
  <c r="L7" i="30"/>
  <c r="I6" i="29"/>
  <c r="I9" i="29"/>
  <c r="I8" i="29"/>
  <c r="I5" i="29"/>
  <c r="I12" i="29"/>
  <c r="I3" i="29"/>
  <c r="I11" i="29"/>
  <c r="I10" i="29"/>
  <c r="I4" i="29"/>
  <c r="I7" i="29"/>
  <c r="D7" i="48"/>
  <c r="P16" i="36" l="1"/>
  <c r="P17" i="36"/>
  <c r="AQ17" i="36"/>
  <c r="AX17" i="36" s="1"/>
  <c r="AP17" i="36"/>
  <c r="AV17" i="36" s="1"/>
  <c r="AL17" i="36"/>
  <c r="AK17" i="36"/>
  <c r="AC17" i="36"/>
  <c r="AD17" i="36" s="1"/>
  <c r="AE17" i="36" s="1"/>
  <c r="X17" i="36"/>
  <c r="Y17" i="36" s="1"/>
  <c r="AA17" i="36" s="1"/>
  <c r="AB17" i="36" s="1"/>
  <c r="T17" i="36"/>
  <c r="AL16" i="36"/>
  <c r="AC16" i="36"/>
  <c r="AD16" i="36" s="1"/>
  <c r="AE16" i="36" s="1"/>
  <c r="AQ16" i="36"/>
  <c r="AK16" i="36"/>
  <c r="AQ15" i="36"/>
  <c r="AP15" i="36"/>
  <c r="AV15" i="36" s="1"/>
  <c r="AL15" i="36"/>
  <c r="AK15" i="36"/>
  <c r="AC15" i="36"/>
  <c r="AD15" i="36" s="1"/>
  <c r="AE15" i="36" s="1"/>
  <c r="X15" i="36"/>
  <c r="AQ14" i="36"/>
  <c r="AK14" i="36"/>
  <c r="AC14" i="36"/>
  <c r="AD14" i="36" s="1"/>
  <c r="AE14" i="36" s="1"/>
  <c r="AP14" i="36"/>
  <c r="AQ13" i="36"/>
  <c r="AP13" i="36"/>
  <c r="AV13" i="36" s="1"/>
  <c r="AL13" i="36"/>
  <c r="AK13" i="36"/>
  <c r="AC13" i="36"/>
  <c r="AD13" i="36" s="1"/>
  <c r="T13" i="36"/>
  <c r="AY16" i="36" l="1"/>
  <c r="U13" i="36"/>
  <c r="AO16" i="36"/>
  <c r="P15" i="36"/>
  <c r="AZ15" i="36" s="1"/>
  <c r="P14" i="36"/>
  <c r="AW14" i="36" s="1"/>
  <c r="BA14" i="36" s="1"/>
  <c r="T16" i="36"/>
  <c r="AM16" i="36"/>
  <c r="U15" i="36"/>
  <c r="AN17" i="36"/>
  <c r="U17" i="36"/>
  <c r="AZ17" i="36"/>
  <c r="BB17" i="36"/>
  <c r="P13" i="36"/>
  <c r="AT13" i="36" s="1"/>
  <c r="AS17" i="36"/>
  <c r="AT17" i="36"/>
  <c r="AX15" i="36"/>
  <c r="AX16" i="36"/>
  <c r="AX14" i="36"/>
  <c r="AL14" i="36"/>
  <c r="AU17" i="36"/>
  <c r="AV14" i="36"/>
  <c r="AX13" i="36"/>
  <c r="AN16" i="36"/>
  <c r="AR17" i="36"/>
  <c r="AM17" i="36"/>
  <c r="AP16" i="36"/>
  <c r="AW17" i="36"/>
  <c r="BA17" i="36" s="1"/>
  <c r="AY17" i="36"/>
  <c r="BC17" i="36" s="1"/>
  <c r="AO17" i="36"/>
  <c r="BC16" i="36" l="1"/>
  <c r="AU14" i="36"/>
  <c r="AM14" i="36"/>
  <c r="BB14" i="36"/>
  <c r="AZ14" i="36"/>
  <c r="Y15" i="36"/>
  <c r="AA15" i="36" s="1"/>
  <c r="AB15" i="36" s="1"/>
  <c r="AG15" i="36" s="1"/>
  <c r="AM15" i="36"/>
  <c r="AT14" i="36"/>
  <c r="AR14" i="36"/>
  <c r="AS14" i="36"/>
  <c r="BE14" i="36" s="1"/>
  <c r="AO14" i="36"/>
  <c r="BD17" i="36"/>
  <c r="BH17" i="36" s="1"/>
  <c r="BJ17" i="36" s="1"/>
  <c r="AY14" i="36"/>
  <c r="BC14" i="36" s="1"/>
  <c r="BB16" i="36"/>
  <c r="BE17" i="36"/>
  <c r="BG17" i="36"/>
  <c r="AV16" i="36"/>
  <c r="AZ16" i="36" s="1"/>
  <c r="AN13" i="36"/>
  <c r="AO13" i="36"/>
  <c r="AZ13" i="36"/>
  <c r="AM13" i="36"/>
  <c r="BB13" i="36"/>
  <c r="BF13" i="36" s="1"/>
  <c r="BF17" i="36"/>
  <c r="AR15" i="36"/>
  <c r="BD15" i="36" s="1"/>
  <c r="AT15" i="36"/>
  <c r="AN14" i="36"/>
  <c r="X16" i="36"/>
  <c r="AY13" i="36"/>
  <c r="BC13" i="36" s="1"/>
  <c r="AU13" i="36"/>
  <c r="AW13" i="36"/>
  <c r="BA13" i="36" s="1"/>
  <c r="AS13" i="36"/>
  <c r="AY15" i="36"/>
  <c r="BC15" i="36" s="1"/>
  <c r="AS15" i="36"/>
  <c r="AW15" i="36"/>
  <c r="BA15" i="36" s="1"/>
  <c r="AU15" i="36"/>
  <c r="AN15" i="36"/>
  <c r="AG17" i="36"/>
  <c r="AR13" i="36"/>
  <c r="BB15" i="36"/>
  <c r="AO15" i="36"/>
  <c r="AS16" i="36"/>
  <c r="AR16" i="36"/>
  <c r="AW16" i="36"/>
  <c r="BA16" i="36" s="1"/>
  <c r="AU16" i="36"/>
  <c r="BG16" i="36" s="1"/>
  <c r="AT16" i="36"/>
  <c r="BG14" i="36" l="1"/>
  <c r="BF14" i="36"/>
  <c r="BD14" i="36"/>
  <c r="BH14" i="36" s="1"/>
  <c r="BI14" i="36" s="1"/>
  <c r="BD16" i="36"/>
  <c r="BF16" i="36"/>
  <c r="BF15" i="36"/>
  <c r="BD13" i="36"/>
  <c r="BH13" i="36" s="1"/>
  <c r="BJ13" i="36" s="1"/>
  <c r="BE13" i="36"/>
  <c r="U14" i="36"/>
  <c r="BH15" i="36"/>
  <c r="BJ15" i="36" s="1"/>
  <c r="BG15" i="36"/>
  <c r="BI17" i="36"/>
  <c r="BK17" i="36" s="1"/>
  <c r="BG13" i="36"/>
  <c r="BE16" i="36"/>
  <c r="BE15" i="36"/>
  <c r="BH16" i="36" l="1"/>
  <c r="BJ16" i="36" s="1"/>
  <c r="BJ14" i="36"/>
  <c r="BK14" i="36" s="1"/>
  <c r="BI13" i="36"/>
  <c r="BK13" i="36" s="1"/>
  <c r="BI15" i="36"/>
  <c r="BK15" i="36" s="1"/>
  <c r="U16" i="36"/>
  <c r="BI16" i="36" l="1"/>
  <c r="BK16" i="36" s="1"/>
  <c r="Y16" i="36"/>
  <c r="AA16" i="36" s="1"/>
  <c r="AB16" i="36" s="1"/>
  <c r="AG16" i="36" l="1"/>
  <c r="F207" i="32" l="1"/>
  <c r="I208" i="32"/>
  <c r="G208" i="32"/>
  <c r="H208" i="32"/>
  <c r="I211" i="32"/>
  <c r="G210" i="32"/>
  <c r="H211" i="32"/>
  <c r="F206" i="32"/>
  <c r="F209" i="32"/>
  <c r="G206" i="32"/>
  <c r="H206" i="32"/>
  <c r="F210" i="32"/>
  <c r="I206" i="32"/>
  <c r="H210" i="32"/>
  <c r="G211" i="32"/>
  <c r="F211" i="32"/>
  <c r="I209" i="32"/>
  <c r="F208" i="32"/>
  <c r="H209" i="32"/>
  <c r="G209" i="32"/>
  <c r="I207" i="32"/>
  <c r="I210" i="32"/>
  <c r="H207" i="32"/>
  <c r="G207" i="32"/>
  <c r="F205" i="32"/>
  <c r="G205" i="32"/>
  <c r="H205" i="32"/>
  <c r="I205" i="32"/>
  <c r="H204" i="32"/>
  <c r="I204" i="32"/>
  <c r="G204" i="32"/>
  <c r="F204" i="32"/>
  <c r="F203" i="32"/>
  <c r="H203" i="32"/>
  <c r="M23" i="11" s="1"/>
  <c r="I203" i="32"/>
  <c r="T23" i="11" s="1"/>
  <c r="U23" i="11" s="1"/>
  <c r="T13" i="11" l="1"/>
  <c r="U13" i="11" s="1"/>
  <c r="T14" i="11"/>
  <c r="U14" i="11" s="1"/>
  <c r="T12" i="11"/>
  <c r="U12" i="11" s="1"/>
  <c r="L31" i="11"/>
  <c r="M31" i="11"/>
  <c r="M30" i="11"/>
  <c r="M22" i="11"/>
  <c r="L20" i="11"/>
  <c r="M14" i="11"/>
  <c r="M20" i="11"/>
  <c r="AD13" i="19"/>
  <c r="O13" i="19"/>
  <c r="AC13" i="19"/>
  <c r="L14" i="11" l="1"/>
  <c r="AV13" i="19"/>
  <c r="AX13" i="19"/>
  <c r="P13" i="19"/>
  <c r="R13" i="19" l="1"/>
  <c r="AS13" i="19"/>
  <c r="AU13" i="19"/>
  <c r="AW13" i="19"/>
  <c r="BA13" i="19" s="1"/>
  <c r="AY13" i="19"/>
  <c r="BC13" i="19" s="1"/>
  <c r="AM13" i="19"/>
  <c r="AZ13" i="19"/>
  <c r="AN13" i="19"/>
  <c r="AR13" i="19"/>
  <c r="AO13" i="19"/>
  <c r="AT13" i="19"/>
  <c r="BB13" i="19"/>
  <c r="M29" i="11"/>
  <c r="L29" i="11"/>
  <c r="BF13" i="19" l="1"/>
  <c r="BE13" i="19"/>
  <c r="BG13" i="19"/>
  <c r="BD13" i="19"/>
  <c r="L16" i="11"/>
  <c r="M24" i="11"/>
  <c r="M16" i="11"/>
  <c r="L28" i="11"/>
  <c r="M4" i="11"/>
  <c r="M28" i="11"/>
  <c r="M12" i="11"/>
  <c r="J18" i="12"/>
  <c r="K18" i="12" s="1"/>
  <c r="L24" i="11" l="1"/>
  <c r="BH13" i="19"/>
  <c r="BJ13" i="19" s="1"/>
  <c r="S13" i="19"/>
  <c r="L4" i="20" s="1"/>
  <c r="K4" i="20" s="1"/>
  <c r="N4" i="20" s="1"/>
  <c r="K11" i="24"/>
  <c r="R14" i="24"/>
  <c r="BI13" i="19" l="1"/>
  <c r="BK13" i="19"/>
  <c r="C5" i="31"/>
  <c r="H10" i="31" l="1"/>
  <c r="C10" i="31"/>
  <c r="X13" i="19"/>
  <c r="M6" i="30" l="1"/>
  <c r="S6" i="30" s="1"/>
  <c r="M7" i="30"/>
  <c r="S7" i="30" s="1"/>
  <c r="M8" i="30"/>
  <c r="S8" i="30" s="1"/>
  <c r="C6" i="31"/>
  <c r="N7" i="30" l="1"/>
  <c r="O7" i="30" s="1"/>
  <c r="V7" i="30" s="1"/>
  <c r="N8" i="30"/>
  <c r="O8" i="30" s="1"/>
  <c r="N6" i="30"/>
  <c r="O6" i="30" s="1"/>
  <c r="X14" i="36"/>
  <c r="AA14" i="36" s="1"/>
  <c r="AB14" i="36" s="1"/>
  <c r="AG14" i="36" s="1"/>
  <c r="I7" i="31"/>
  <c r="Q6" i="30" l="1"/>
  <c r="R6" i="30" s="1"/>
  <c r="V6" i="30"/>
  <c r="Q8" i="30"/>
  <c r="R8" i="30" s="1"/>
  <c r="V8" i="30"/>
  <c r="C7" i="31"/>
  <c r="Q7" i="30"/>
  <c r="C8" i="31"/>
  <c r="R7" i="30" l="1"/>
  <c r="Z7" i="30" s="1"/>
  <c r="Z6" i="30"/>
  <c r="Z8" i="30"/>
  <c r="H11" i="31"/>
  <c r="G176" i="32"/>
  <c r="G175" i="32" l="1"/>
  <c r="G167" i="32"/>
  <c r="G202" i="32"/>
  <c r="F168" i="32"/>
  <c r="G161" i="32"/>
  <c r="G155" i="32"/>
  <c r="F167" i="32"/>
  <c r="G156" i="32"/>
  <c r="F187" i="32"/>
  <c r="F171" i="32"/>
  <c r="F172" i="32"/>
  <c r="F191" i="32"/>
  <c r="F177" i="32"/>
  <c r="G197" i="32"/>
  <c r="G172" i="32"/>
  <c r="F195" i="32"/>
  <c r="G168" i="32"/>
  <c r="F185" i="32"/>
  <c r="F175" i="32"/>
  <c r="F199" i="32"/>
  <c r="F193" i="32"/>
  <c r="F170" i="32"/>
  <c r="G189" i="32"/>
  <c r="G183" i="32"/>
  <c r="F196" i="32"/>
  <c r="F155" i="32"/>
  <c r="F163" i="32"/>
  <c r="G185" i="32"/>
  <c r="G154" i="32"/>
  <c r="F159" i="32"/>
  <c r="G194" i="32"/>
  <c r="F183" i="32"/>
  <c r="G195" i="32"/>
  <c r="G182" i="32"/>
  <c r="G177" i="32"/>
  <c r="G178" i="32"/>
  <c r="F198" i="32"/>
  <c r="F160" i="32"/>
  <c r="G164" i="32"/>
  <c r="F190" i="32"/>
  <c r="F174" i="32"/>
  <c r="F202" i="32"/>
  <c r="G169" i="32"/>
  <c r="G170" i="32"/>
  <c r="G163" i="32"/>
  <c r="F197" i="32"/>
  <c r="F184" i="32"/>
  <c r="G171" i="32"/>
  <c r="F164" i="32"/>
  <c r="F186" i="32"/>
  <c r="G193" i="32"/>
  <c r="F157" i="32"/>
  <c r="F176" i="32"/>
  <c r="G184" i="32"/>
  <c r="F158" i="32"/>
  <c r="F201" i="32"/>
  <c r="F179" i="32"/>
  <c r="G166" i="32"/>
  <c r="F173" i="32"/>
  <c r="G174" i="32"/>
  <c r="G158" i="32"/>
  <c r="F200" i="32"/>
  <c r="G159" i="32"/>
  <c r="G201" i="32"/>
  <c r="F165" i="32"/>
  <c r="F156" i="32"/>
  <c r="G188" i="32"/>
  <c r="F188" i="32"/>
  <c r="F189" i="32"/>
  <c r="G165" i="32"/>
  <c r="F166" i="32"/>
  <c r="F182" i="32"/>
  <c r="G191" i="32"/>
  <c r="F180" i="32"/>
  <c r="G187" i="32"/>
  <c r="F178" i="32"/>
  <c r="G190" i="32"/>
  <c r="F181" i="32"/>
  <c r="G173" i="32"/>
  <c r="G196" i="32"/>
  <c r="G162" i="32"/>
  <c r="G198" i="32"/>
  <c r="F161" i="32"/>
  <c r="G160" i="32"/>
  <c r="G192" i="32"/>
  <c r="G179" i="32"/>
  <c r="F169" i="32"/>
  <c r="G181" i="32"/>
  <c r="G157" i="32"/>
  <c r="F154" i="32"/>
  <c r="G186" i="32"/>
  <c r="G200" i="32"/>
  <c r="G180" i="32"/>
  <c r="F194" i="32"/>
  <c r="F162" i="32"/>
  <c r="G199" i="32"/>
  <c r="F192" i="32"/>
  <c r="C4" i="33" l="1"/>
  <c r="H4" i="33"/>
  <c r="J21" i="29"/>
  <c r="J22" i="29"/>
  <c r="J23" i="29"/>
  <c r="J24" i="29"/>
  <c r="J25" i="29"/>
  <c r="J26" i="29"/>
  <c r="J27" i="29"/>
  <c r="J28" i="29"/>
  <c r="AA4" i="29"/>
  <c r="AA5" i="29"/>
  <c r="AA6" i="29"/>
  <c r="AA7" i="29"/>
  <c r="AA8" i="29"/>
  <c r="AA9" i="29"/>
  <c r="AA10" i="29"/>
  <c r="AA11" i="29"/>
  <c r="AA12" i="29"/>
  <c r="AA3" i="29"/>
  <c r="N10" i="29" l="1"/>
  <c r="J10" i="29"/>
  <c r="O10" i="29"/>
  <c r="N9" i="29"/>
  <c r="J9" i="29"/>
  <c r="O9" i="29"/>
  <c r="O5" i="29"/>
  <c r="N5" i="29"/>
  <c r="J5" i="29"/>
  <c r="N11" i="29"/>
  <c r="J11" i="29"/>
  <c r="O11" i="29"/>
  <c r="O6" i="29"/>
  <c r="N6" i="29"/>
  <c r="J6" i="29"/>
  <c r="J7" i="29"/>
  <c r="O7" i="29"/>
  <c r="N7" i="29"/>
  <c r="N12" i="29"/>
  <c r="J12" i="29"/>
  <c r="O12" i="29"/>
  <c r="J8" i="29"/>
  <c r="O8" i="29"/>
  <c r="N8" i="29"/>
  <c r="N4" i="29"/>
  <c r="J4" i="29"/>
  <c r="O4" i="29"/>
  <c r="U12" i="29"/>
  <c r="G139" i="32"/>
  <c r="F119" i="32"/>
  <c r="G142" i="32"/>
  <c r="F115" i="32"/>
  <c r="G152" i="32"/>
  <c r="G148" i="32"/>
  <c r="G104" i="32"/>
  <c r="F149" i="32"/>
  <c r="F141" i="32"/>
  <c r="F113" i="32"/>
  <c r="F146" i="32"/>
  <c r="G144" i="32"/>
  <c r="G135" i="32"/>
  <c r="F120" i="32"/>
  <c r="F112" i="32"/>
  <c r="G143" i="32"/>
  <c r="F122" i="32"/>
  <c r="F109" i="32"/>
  <c r="G114" i="32"/>
  <c r="G133" i="32"/>
  <c r="G149" i="32"/>
  <c r="F133" i="32"/>
  <c r="F116" i="32"/>
  <c r="F148" i="32"/>
  <c r="F108" i="32"/>
  <c r="G147" i="32"/>
  <c r="F140" i="32"/>
  <c r="F123" i="32"/>
  <c r="G115" i="32"/>
  <c r="G107" i="32"/>
  <c r="F110" i="32"/>
  <c r="G119" i="32"/>
  <c r="G127" i="32"/>
  <c r="G113" i="32"/>
  <c r="G145" i="32"/>
  <c r="G110" i="32"/>
  <c r="G121" i="32"/>
  <c r="G117" i="32"/>
  <c r="F136" i="32"/>
  <c r="G125" i="32"/>
  <c r="G141" i="32"/>
  <c r="G137" i="32"/>
  <c r="G129" i="32"/>
  <c r="G111" i="32"/>
  <c r="F118" i="32"/>
  <c r="G112" i="32"/>
  <c r="F124" i="32"/>
  <c r="G124" i="32"/>
  <c r="F147" i="32"/>
  <c r="G109" i="32"/>
  <c r="G123" i="32"/>
  <c r="F104" i="32"/>
  <c r="G122" i="32"/>
  <c r="F150" i="32"/>
  <c r="F138" i="32"/>
  <c r="F126" i="32"/>
  <c r="F127" i="32"/>
  <c r="G120" i="32"/>
  <c r="G151" i="32"/>
  <c r="F145" i="32"/>
  <c r="F130" i="32"/>
  <c r="F107" i="32"/>
  <c r="F144" i="32"/>
  <c r="F152" i="32"/>
  <c r="G140" i="32"/>
  <c r="F128" i="32"/>
  <c r="G118" i="32"/>
  <c r="F134" i="32"/>
  <c r="G136" i="32"/>
  <c r="G126" i="32"/>
  <c r="G134" i="32"/>
  <c r="F105" i="32"/>
  <c r="F129" i="32"/>
  <c r="F117" i="32"/>
  <c r="G105" i="32"/>
  <c r="G138" i="32"/>
  <c r="F121" i="32"/>
  <c r="F132" i="32"/>
  <c r="F114" i="32"/>
  <c r="G132" i="32"/>
  <c r="G108" i="32"/>
  <c r="F143" i="32"/>
  <c r="F131" i="32"/>
  <c r="G128" i="32"/>
  <c r="F139" i="32"/>
  <c r="F125" i="32"/>
  <c r="F137" i="32"/>
  <c r="G106" i="32"/>
  <c r="G116" i="32"/>
  <c r="F135" i="32"/>
  <c r="G130" i="32"/>
  <c r="F106" i="32"/>
  <c r="G150" i="32"/>
  <c r="G131" i="32"/>
  <c r="G146" i="32"/>
  <c r="F111" i="32"/>
  <c r="F151" i="32"/>
  <c r="F142" i="32"/>
  <c r="F103" i="32"/>
  <c r="G103" i="32"/>
  <c r="U3" i="29"/>
  <c r="U4" i="29"/>
  <c r="U5" i="29"/>
  <c r="U6" i="29"/>
  <c r="U7" i="29"/>
  <c r="U9" i="29"/>
  <c r="U8" i="29"/>
  <c r="U10" i="29"/>
  <c r="U11" i="29"/>
  <c r="B5" i="33"/>
  <c r="G5" i="33" s="1"/>
  <c r="O3" i="29" l="1"/>
  <c r="N3" i="29"/>
  <c r="J3" i="29"/>
  <c r="I10" i="31"/>
  <c r="H8" i="1" l="1"/>
  <c r="G8" i="1"/>
  <c r="B8" i="1"/>
  <c r="C8" i="1"/>
  <c r="D8" i="1"/>
  <c r="E8" i="1"/>
  <c r="A8" i="1"/>
  <c r="I11" i="31" l="1"/>
  <c r="H153" i="32" l="1"/>
  <c r="H168" i="32"/>
  <c r="H154" i="32"/>
  <c r="H197" i="32"/>
  <c r="H173" i="32"/>
  <c r="H193" i="32"/>
  <c r="H155" i="32"/>
  <c r="H174" i="32"/>
  <c r="H185" i="32"/>
  <c r="H180" i="32"/>
  <c r="H166" i="32"/>
  <c r="H199" i="32"/>
  <c r="H181" i="32"/>
  <c r="H171" i="32"/>
  <c r="H179" i="32"/>
  <c r="H169" i="32"/>
  <c r="H156" i="32"/>
  <c r="H188" i="32"/>
  <c r="H176" i="32"/>
  <c r="H202" i="32"/>
  <c r="H165" i="32"/>
  <c r="H161" i="32"/>
  <c r="H159" i="32"/>
  <c r="H201" i="32"/>
  <c r="H196" i="32"/>
  <c r="H178" i="32"/>
  <c r="H162" i="32"/>
  <c r="H157" i="32"/>
  <c r="H200" i="32"/>
  <c r="H172" i="32"/>
  <c r="H191" i="32"/>
  <c r="H158" i="32"/>
  <c r="H198" i="32"/>
  <c r="H187" i="32"/>
  <c r="H177" i="32"/>
  <c r="H194" i="32"/>
  <c r="H186" i="32"/>
  <c r="H182" i="32"/>
  <c r="H192" i="32"/>
  <c r="H183" i="32"/>
  <c r="H163" i="32"/>
  <c r="H190" i="32"/>
  <c r="H184" i="32"/>
  <c r="H160" i="32"/>
  <c r="H170" i="32"/>
  <c r="H189" i="32"/>
  <c r="H175" i="32"/>
  <c r="H164" i="32"/>
  <c r="H195" i="32"/>
  <c r="H167" i="32"/>
  <c r="G4" i="31"/>
  <c r="M5" i="30"/>
  <c r="S5" i="30" s="1"/>
  <c r="H4" i="31" l="1"/>
  <c r="H5" i="31"/>
  <c r="I4" i="31"/>
  <c r="N5" i="30"/>
  <c r="I5" i="31" l="1"/>
  <c r="O5" i="30"/>
  <c r="F153" i="32" l="1"/>
  <c r="Q5" i="30"/>
  <c r="R5" i="30" s="1"/>
  <c r="V5" i="30"/>
  <c r="G153" i="32"/>
  <c r="Z5" i="30" l="1"/>
  <c r="E197" i="32" s="1"/>
  <c r="H5" i="33"/>
  <c r="E157" i="32" l="1"/>
  <c r="E170" i="32"/>
  <c r="E158" i="32"/>
  <c r="E186" i="32"/>
  <c r="E179" i="32"/>
  <c r="E174" i="32"/>
  <c r="E199" i="32"/>
  <c r="E171" i="32"/>
  <c r="E173" i="32"/>
  <c r="E185" i="32"/>
  <c r="E193" i="32"/>
  <c r="E172" i="32"/>
  <c r="E177" i="32"/>
  <c r="E178" i="32"/>
  <c r="E167" i="32"/>
  <c r="E164" i="32"/>
  <c r="E196" i="32"/>
  <c r="E190" i="32"/>
  <c r="E201" i="32"/>
  <c r="E198" i="32"/>
  <c r="E154" i="32"/>
  <c r="E155" i="32"/>
  <c r="E160" i="32"/>
  <c r="E168" i="32"/>
  <c r="E182" i="32"/>
  <c r="E191" i="32"/>
  <c r="E180" i="32"/>
  <c r="E175" i="32"/>
  <c r="E161" i="32"/>
  <c r="E166" i="32"/>
  <c r="E202" i="32"/>
  <c r="E187" i="32"/>
  <c r="E184" i="32"/>
  <c r="E195" i="32"/>
  <c r="E192" i="32"/>
  <c r="E176" i="32"/>
  <c r="E200" i="32"/>
  <c r="E162" i="32"/>
  <c r="E194" i="32"/>
  <c r="E159" i="32"/>
  <c r="E188" i="32"/>
  <c r="E153" i="32"/>
  <c r="E169" i="32"/>
  <c r="E163" i="32"/>
  <c r="E183" i="32"/>
  <c r="E156" i="32"/>
  <c r="E165" i="32"/>
  <c r="E181" i="32"/>
  <c r="E189" i="32"/>
  <c r="H103" i="32"/>
  <c r="H143" i="32"/>
  <c r="H136" i="32"/>
  <c r="H123" i="32"/>
  <c r="H137" i="32"/>
  <c r="H133" i="32"/>
  <c r="H121" i="32"/>
  <c r="H140" i="32"/>
  <c r="H115" i="32"/>
  <c r="H104" i="32"/>
  <c r="H107" i="32"/>
  <c r="H141" i="32"/>
  <c r="H134" i="32"/>
  <c r="H144" i="32"/>
  <c r="H116" i="32"/>
  <c r="H108" i="32"/>
  <c r="H119" i="32"/>
  <c r="H149" i="32"/>
  <c r="H150" i="32"/>
  <c r="H120" i="32"/>
  <c r="H129" i="32"/>
  <c r="H105" i="32"/>
  <c r="H125" i="32"/>
  <c r="H128" i="32"/>
  <c r="H132" i="32"/>
  <c r="H127" i="32"/>
  <c r="H131" i="32"/>
  <c r="H145" i="32"/>
  <c r="H113" i="32"/>
  <c r="H111" i="32"/>
  <c r="H148" i="32"/>
  <c r="H122" i="32"/>
  <c r="H106" i="32"/>
  <c r="H114" i="32"/>
  <c r="H130" i="32"/>
  <c r="H112" i="32"/>
  <c r="H151" i="32"/>
  <c r="H139" i="32"/>
  <c r="H117" i="32"/>
  <c r="H138" i="32"/>
  <c r="H135" i="32"/>
  <c r="H147" i="32"/>
  <c r="H110" i="32"/>
  <c r="H146" i="32"/>
  <c r="H124" i="32"/>
  <c r="H126" i="32"/>
  <c r="H142" i="32"/>
  <c r="H109" i="32"/>
  <c r="H118" i="32"/>
  <c r="H152" i="32"/>
  <c r="V13" i="36" l="1"/>
  <c r="X13" i="36"/>
  <c r="Y13" i="36" s="1"/>
  <c r="AA13" i="36" s="1"/>
  <c r="AB13" i="36" s="1"/>
  <c r="AE13" i="36" s="1"/>
  <c r="E95" i="32" l="1"/>
  <c r="E87" i="32"/>
  <c r="E79" i="32"/>
  <c r="E71" i="32"/>
  <c r="E63" i="32"/>
  <c r="E55" i="32"/>
  <c r="E64" i="32"/>
  <c r="E98" i="32"/>
  <c r="E90" i="32"/>
  <c r="E82" i="32"/>
  <c r="E78" i="32"/>
  <c r="E70" i="32"/>
  <c r="E62" i="32"/>
  <c r="E54" i="32"/>
  <c r="E102" i="32"/>
  <c r="E94" i="32"/>
  <c r="E86" i="32"/>
  <c r="E74" i="32"/>
  <c r="E66" i="32"/>
  <c r="E58" i="32"/>
  <c r="E72" i="32"/>
  <c r="E101" i="32"/>
  <c r="E93" i="32"/>
  <c r="E89" i="32"/>
  <c r="E81" i="32"/>
  <c r="E73" i="32"/>
  <c r="E65" i="32"/>
  <c r="E57" i="32"/>
  <c r="E68" i="32"/>
  <c r="E97" i="32"/>
  <c r="E85" i="32"/>
  <c r="E77" i="32"/>
  <c r="E69" i="32"/>
  <c r="E61" i="32"/>
  <c r="E53" i="32"/>
  <c r="E56" i="32"/>
  <c r="E100" i="32"/>
  <c r="E96" i="32"/>
  <c r="E92" i="32"/>
  <c r="E88" i="32"/>
  <c r="E84" i="32"/>
  <c r="E80" i="32"/>
  <c r="E76" i="32"/>
  <c r="E60" i="32"/>
  <c r="E99" i="32"/>
  <c r="E91" i="32"/>
  <c r="E83" i="32"/>
  <c r="E75" i="32"/>
  <c r="E67" i="32"/>
  <c r="E59" i="32"/>
  <c r="F54" i="32"/>
  <c r="G98" i="32"/>
  <c r="F97" i="32"/>
  <c r="G88" i="32"/>
  <c r="F89" i="32"/>
  <c r="F67" i="32"/>
  <c r="H74" i="32"/>
  <c r="G70" i="32"/>
  <c r="H63" i="32"/>
  <c r="G90" i="32"/>
  <c r="H69" i="32"/>
  <c r="H64" i="32"/>
  <c r="F94" i="32"/>
  <c r="G73" i="32"/>
  <c r="H78" i="32"/>
  <c r="F68" i="32"/>
  <c r="G66" i="32"/>
  <c r="G61" i="32"/>
  <c r="H92" i="32"/>
  <c r="F70" i="32"/>
  <c r="G85" i="32"/>
  <c r="G69" i="32"/>
  <c r="H91" i="32"/>
  <c r="F85" i="32"/>
  <c r="H72" i="32"/>
  <c r="F100" i="32"/>
  <c r="H71" i="32"/>
  <c r="F82" i="32"/>
  <c r="F74" i="32"/>
  <c r="G59" i="32"/>
  <c r="G101" i="32"/>
  <c r="G83" i="32"/>
  <c r="H89" i="32"/>
  <c r="H54" i="32"/>
  <c r="F83" i="32"/>
  <c r="F59" i="32"/>
  <c r="H66" i="32"/>
  <c r="G63" i="32"/>
  <c r="F57" i="32"/>
  <c r="H85" i="32"/>
  <c r="F63" i="32"/>
  <c r="F58" i="32"/>
  <c r="G89" i="32"/>
  <c r="H68" i="32"/>
  <c r="G84" i="32"/>
  <c r="H62" i="32"/>
  <c r="G87" i="32"/>
  <c r="G91" i="32"/>
  <c r="F81" i="32"/>
  <c r="H86" i="32"/>
  <c r="H59" i="32"/>
  <c r="G64" i="32"/>
  <c r="G60" i="32"/>
  <c r="F87" i="32"/>
  <c r="H94" i="32"/>
  <c r="H82" i="32"/>
  <c r="G54" i="32"/>
  <c r="H70" i="32"/>
  <c r="H98" i="32"/>
  <c r="F98" i="32"/>
  <c r="G80" i="32"/>
  <c r="H83" i="32"/>
  <c r="F101" i="32"/>
  <c r="G79" i="32"/>
  <c r="G56" i="32"/>
  <c r="H58" i="32"/>
  <c r="F60" i="32"/>
  <c r="H55" i="32"/>
  <c r="G82" i="32"/>
  <c r="H61" i="32"/>
  <c r="H56" i="32"/>
  <c r="F86" i="32"/>
  <c r="G65" i="32"/>
  <c r="G76" i="32"/>
  <c r="F64" i="32"/>
  <c r="F80" i="32"/>
  <c r="G55" i="32"/>
  <c r="H101" i="32"/>
  <c r="F79" i="32"/>
  <c r="G58" i="32"/>
  <c r="G53" i="32"/>
  <c r="H84" i="32"/>
  <c r="F62" i="32"/>
  <c r="H80" i="32"/>
  <c r="H65" i="32"/>
  <c r="H77" i="32"/>
  <c r="F55" i="32"/>
  <c r="F102" i="32"/>
  <c r="G81" i="32"/>
  <c r="H60" i="32"/>
  <c r="F73" i="32"/>
  <c r="H102" i="32"/>
  <c r="F96" i="32"/>
  <c r="H81" i="32"/>
  <c r="F77" i="32"/>
  <c r="G86" i="32"/>
  <c r="G96" i="32"/>
  <c r="G72" i="32"/>
  <c r="G95" i="32"/>
  <c r="G67" i="32"/>
  <c r="G62" i="32"/>
  <c r="H96" i="32"/>
  <c r="G93" i="32"/>
  <c r="F84" i="32"/>
  <c r="H95" i="32"/>
  <c r="G68" i="32"/>
  <c r="H73" i="32"/>
  <c r="F93" i="32"/>
  <c r="G71" i="32"/>
  <c r="F56" i="32"/>
  <c r="F76" i="32"/>
  <c r="H57" i="32"/>
  <c r="F95" i="32"/>
  <c r="G74" i="32"/>
  <c r="H53" i="32"/>
  <c r="H100" i="32"/>
  <c r="F78" i="32"/>
  <c r="G57" i="32"/>
  <c r="F88" i="32"/>
  <c r="H97" i="32"/>
  <c r="H88" i="32"/>
  <c r="G100" i="32"/>
  <c r="G102" i="32"/>
  <c r="G92" i="32"/>
  <c r="F99" i="32"/>
  <c r="G75" i="32"/>
  <c r="G99" i="32"/>
  <c r="H87" i="32"/>
  <c r="H75" i="32"/>
  <c r="F75" i="32"/>
  <c r="F61" i="32"/>
  <c r="G78" i="32"/>
  <c r="H79" i="32"/>
  <c r="G94" i="32"/>
  <c r="H90" i="32"/>
  <c r="F90" i="32"/>
  <c r="G77" i="32"/>
  <c r="F92" i="32"/>
  <c r="H99" i="32"/>
  <c r="H67" i="32"/>
  <c r="F91" i="32"/>
  <c r="F69" i="32"/>
  <c r="F53" i="32"/>
  <c r="F72" i="32"/>
  <c r="F65" i="32"/>
  <c r="H93" i="32"/>
  <c r="F71" i="32"/>
  <c r="F66" i="32"/>
  <c r="G97" i="32"/>
  <c r="H76" i="32"/>
  <c r="AG13" i="36"/>
  <c r="AG11" i="36" s="1"/>
  <c r="AI15" i="36"/>
  <c r="AJ15" i="36" s="1"/>
  <c r="V15" i="36"/>
  <c r="V14" i="36"/>
  <c r="M7" i="11" l="1"/>
  <c r="AI13" i="36"/>
  <c r="AJ13" i="36" s="1"/>
  <c r="AG10" i="36"/>
  <c r="AI14" i="36"/>
  <c r="AJ14" i="36" s="1"/>
  <c r="AI16" i="36"/>
  <c r="AJ16" i="36" s="1"/>
  <c r="V16" i="36"/>
  <c r="C4" i="28" l="1"/>
  <c r="B5" i="28"/>
  <c r="C5" i="28" l="1"/>
  <c r="AI17" i="36"/>
  <c r="AJ17" i="36" s="1"/>
  <c r="V17" i="36"/>
  <c r="O38" i="11" l="1"/>
  <c r="K38" i="11"/>
  <c r="B6" i="28"/>
  <c r="C6" i="28" s="1"/>
  <c r="N38" i="11" l="1"/>
  <c r="P38" i="11" s="1"/>
  <c r="Q38" i="11" s="1"/>
  <c r="AX38" i="11"/>
  <c r="AY38" i="11" s="1"/>
  <c r="V38" i="11" s="1"/>
  <c r="B7" i="28"/>
  <c r="C7" i="28" l="1"/>
  <c r="B8" i="28"/>
  <c r="G8" i="28" s="1"/>
  <c r="P3" i="29"/>
  <c r="R3" i="29" s="1"/>
  <c r="S3" i="29" s="1"/>
  <c r="P4" i="29"/>
  <c r="R4" i="29" s="1"/>
  <c r="S4" i="29" s="1"/>
  <c r="P5" i="29"/>
  <c r="R5" i="29" s="1"/>
  <c r="S5" i="29" s="1"/>
  <c r="P6" i="29"/>
  <c r="R6" i="29" s="1"/>
  <c r="S6" i="29" s="1"/>
  <c r="P7" i="29"/>
  <c r="R7" i="29" s="1"/>
  <c r="S7" i="29" s="1"/>
  <c r="P9" i="29"/>
  <c r="R9" i="29" s="1"/>
  <c r="S9" i="29" s="1"/>
  <c r="P8" i="29"/>
  <c r="R8" i="29" s="1"/>
  <c r="S8" i="29" s="1"/>
  <c r="P10" i="29"/>
  <c r="R10" i="29" s="1"/>
  <c r="S10" i="29" s="1"/>
  <c r="P11" i="29"/>
  <c r="R11" i="29" s="1"/>
  <c r="S11" i="29" s="1"/>
  <c r="P12" i="29"/>
  <c r="R12" i="29" s="1"/>
  <c r="S12" i="29" s="1"/>
  <c r="E147" i="32" l="1"/>
  <c r="E135" i="32"/>
  <c r="E127" i="32"/>
  <c r="E119" i="32"/>
  <c r="E111" i="32"/>
  <c r="E103" i="32"/>
  <c r="E136" i="32"/>
  <c r="E108" i="32"/>
  <c r="E146" i="32"/>
  <c r="E138" i="32"/>
  <c r="E130" i="32"/>
  <c r="E122" i="32"/>
  <c r="E118" i="32"/>
  <c r="E110" i="32"/>
  <c r="E152" i="32"/>
  <c r="E116" i="32"/>
  <c r="E150" i="32"/>
  <c r="E142" i="32"/>
  <c r="E134" i="32"/>
  <c r="E126" i="32"/>
  <c r="E114" i="32"/>
  <c r="E106" i="32"/>
  <c r="E148" i="32"/>
  <c r="E124" i="32"/>
  <c r="E149" i="32"/>
  <c r="E137" i="32"/>
  <c r="E129" i="32"/>
  <c r="E121" i="32"/>
  <c r="E113" i="32"/>
  <c r="E105" i="32"/>
  <c r="E132" i="32"/>
  <c r="E104" i="32"/>
  <c r="E145" i="32"/>
  <c r="E141" i="32"/>
  <c r="E133" i="32"/>
  <c r="E125" i="32"/>
  <c r="E117" i="32"/>
  <c r="E109" i="32"/>
  <c r="E120" i="32"/>
  <c r="E144" i="32"/>
  <c r="E128" i="32"/>
  <c r="E112" i="32"/>
  <c r="E151" i="32"/>
  <c r="E143" i="32"/>
  <c r="E139" i="32"/>
  <c r="E131" i="32"/>
  <c r="E123" i="32"/>
  <c r="E115" i="32"/>
  <c r="E107" i="32"/>
  <c r="E140" i="32"/>
  <c r="G24" i="32"/>
  <c r="F40" i="32"/>
  <c r="G34" i="32"/>
  <c r="G44" i="32"/>
  <c r="F49" i="32"/>
  <c r="F12" i="32"/>
  <c r="G49" i="32"/>
  <c r="F35" i="32"/>
  <c r="G45" i="32"/>
  <c r="F23" i="32"/>
  <c r="F17" i="32"/>
  <c r="F39" i="32"/>
  <c r="F22" i="32"/>
  <c r="F11" i="32"/>
  <c r="F27" i="32"/>
  <c r="G47" i="32"/>
  <c r="G11" i="32"/>
  <c r="G50" i="32"/>
  <c r="G14" i="32"/>
  <c r="G46" i="32"/>
  <c r="F10" i="32"/>
  <c r="G10" i="32"/>
  <c r="F32" i="32"/>
  <c r="F29" i="32"/>
  <c r="G51" i="32"/>
  <c r="F42" i="32"/>
  <c r="F8" i="32"/>
  <c r="G16" i="32"/>
  <c r="G15" i="32"/>
  <c r="G33" i="32"/>
  <c r="F41" i="32"/>
  <c r="G26" i="32"/>
  <c r="G28" i="32"/>
  <c r="G38" i="32"/>
  <c r="G36" i="32"/>
  <c r="F20" i="32"/>
  <c r="F7" i="32"/>
  <c r="G31" i="32"/>
  <c r="G20" i="32"/>
  <c r="F16" i="32"/>
  <c r="G30" i="32"/>
  <c r="G42" i="32"/>
  <c r="G29" i="32"/>
  <c r="F26" i="32"/>
  <c r="G39" i="32"/>
  <c r="F19" i="32"/>
  <c r="F13" i="32"/>
  <c r="F48" i="32"/>
  <c r="G35" i="32"/>
  <c r="F31" i="32"/>
  <c r="G37" i="32"/>
  <c r="F15" i="32"/>
  <c r="F25" i="32"/>
  <c r="F36" i="32"/>
  <c r="G17" i="32"/>
  <c r="G40" i="32"/>
  <c r="G6" i="32"/>
  <c r="F28" i="32"/>
  <c r="G7" i="32"/>
  <c r="G32" i="32"/>
  <c r="G12" i="32"/>
  <c r="G4" i="32"/>
  <c r="F47" i="32"/>
  <c r="G9" i="32"/>
  <c r="F3" i="32"/>
  <c r="G22" i="32"/>
  <c r="F52" i="32"/>
  <c r="G13" i="32"/>
  <c r="F18" i="32"/>
  <c r="G48" i="32"/>
  <c r="G19" i="32"/>
  <c r="F45" i="32"/>
  <c r="G43" i="32"/>
  <c r="F30" i="32"/>
  <c r="F51" i="32"/>
  <c r="G27" i="32"/>
  <c r="F5" i="32"/>
  <c r="F9" i="32"/>
  <c r="F34" i="32"/>
  <c r="F50" i="32"/>
  <c r="G5" i="32"/>
  <c r="G18" i="32"/>
  <c r="F37" i="32"/>
  <c r="G25" i="32"/>
  <c r="G52" i="32"/>
  <c r="G8" i="32"/>
  <c r="F44" i="32"/>
  <c r="F43" i="32"/>
  <c r="G23" i="32"/>
  <c r="F21" i="32"/>
  <c r="F4" i="32"/>
  <c r="F38" i="32"/>
  <c r="G41" i="32"/>
  <c r="F33" i="32"/>
  <c r="F14" i="32"/>
  <c r="F24" i="32"/>
  <c r="F46" i="32"/>
  <c r="G21" i="32"/>
  <c r="F6" i="32"/>
  <c r="H6" i="28" l="1"/>
  <c r="E98" i="24" l="1"/>
  <c r="E95" i="24"/>
  <c r="G91" i="24"/>
  <c r="G87" i="24"/>
  <c r="G83" i="24"/>
  <c r="G79" i="24"/>
  <c r="J72" i="24"/>
  <c r="K72" i="24" s="1"/>
  <c r="I58" i="24"/>
  <c r="J58" i="24" s="1"/>
  <c r="H40" i="24"/>
  <c r="H41" i="24" s="1"/>
  <c r="H36" i="24"/>
  <c r="H37" i="24" s="1"/>
  <c r="Y35" i="24"/>
  <c r="Y34" i="24"/>
  <c r="Y33" i="24"/>
  <c r="Y32" i="24"/>
  <c r="H32" i="24"/>
  <c r="H33" i="24" s="1"/>
  <c r="N29" i="24"/>
  <c r="N33" i="24" s="1"/>
  <c r="N34" i="24" s="1"/>
  <c r="Y28" i="24"/>
  <c r="T28" i="24"/>
  <c r="H28" i="24"/>
  <c r="H29" i="24" s="1"/>
  <c r="Y27" i="24"/>
  <c r="N39" i="24" s="1"/>
  <c r="T27" i="24"/>
  <c r="T26" i="24"/>
  <c r="T25" i="24"/>
  <c r="T24" i="24"/>
  <c r="T23" i="24"/>
  <c r="T22" i="24"/>
  <c r="T21" i="24"/>
  <c r="T20" i="24"/>
  <c r="R15" i="24"/>
  <c r="K14" i="24"/>
  <c r="K15" i="24" s="1"/>
  <c r="W6" i="24"/>
  <c r="V11" i="24" s="1"/>
  <c r="W5" i="24"/>
  <c r="W4" i="24"/>
  <c r="Y12" i="24" l="1"/>
  <c r="X10" i="24"/>
  <c r="W11" i="24"/>
  <c r="Y10" i="24"/>
  <c r="W9" i="24"/>
  <c r="V10" i="24"/>
  <c r="X11" i="24"/>
  <c r="V9" i="24"/>
  <c r="Y11" i="24"/>
  <c r="W10" i="24"/>
  <c r="X9" i="24"/>
  <c r="V12" i="24"/>
  <c r="Y9" i="24"/>
  <c r="W12" i="24"/>
  <c r="X12" i="24"/>
  <c r="AA9" i="24" l="1"/>
  <c r="Z9" i="24" s="1"/>
  <c r="AA10" i="24"/>
  <c r="Z10" i="24" s="1"/>
  <c r="AA11" i="24"/>
  <c r="Z11" i="24" s="1"/>
  <c r="G6" i="20"/>
  <c r="H6" i="20"/>
  <c r="H5" i="20"/>
  <c r="G5" i="20"/>
  <c r="H7" i="20"/>
  <c r="G7" i="20"/>
  <c r="AA12" i="24"/>
  <c r="Z12" i="24" s="1"/>
  <c r="Y17" i="24" l="1"/>
  <c r="D12" i="24" l="1"/>
  <c r="Y18" i="24"/>
  <c r="D13" i="24" s="1"/>
  <c r="Y19" i="24"/>
  <c r="D10" i="24" s="1"/>
  <c r="L18" i="12" l="1"/>
  <c r="G203" i="32" s="1"/>
  <c r="L23" i="11" s="1"/>
  <c r="L22" i="11" l="1"/>
  <c r="I8" i="1"/>
  <c r="L30" i="11" l="1"/>
  <c r="J8" i="1"/>
  <c r="S8" i="1" l="1"/>
  <c r="O8" i="1"/>
  <c r="F8" i="1"/>
  <c r="R8" i="1"/>
  <c r="W3" i="29"/>
  <c r="W6" i="29"/>
  <c r="W5" i="29"/>
  <c r="W9" i="29"/>
  <c r="W7" i="29"/>
  <c r="W10" i="29"/>
  <c r="W8" i="29"/>
  <c r="W12" i="29"/>
  <c r="W11" i="29"/>
  <c r="W4" i="29"/>
  <c r="X4" i="29"/>
  <c r="X6" i="29"/>
  <c r="X3" i="29"/>
  <c r="X5" i="29"/>
  <c r="X9" i="29"/>
  <c r="X8" i="29"/>
  <c r="X10" i="29"/>
  <c r="X11" i="29"/>
  <c r="X7" i="29"/>
  <c r="X12" i="29"/>
  <c r="Y11" i="29"/>
  <c r="Y10" i="29"/>
  <c r="Y6" i="29"/>
  <c r="Y4" i="29"/>
  <c r="Y3" i="29"/>
  <c r="Y7" i="29"/>
  <c r="Y8" i="29"/>
  <c r="Y12" i="29"/>
  <c r="Y5" i="29"/>
  <c r="Y9" i="29"/>
  <c r="Z6" i="29"/>
  <c r="Z3" i="29"/>
  <c r="Z4" i="29"/>
  <c r="Z11" i="29"/>
  <c r="Z10" i="29"/>
  <c r="Z8" i="29"/>
  <c r="Z7" i="29"/>
  <c r="Z5" i="29"/>
  <c r="Z12" i="29"/>
  <c r="Z9" i="29"/>
  <c r="V3" i="29"/>
  <c r="V7" i="29"/>
  <c r="AB7" i="29" s="1"/>
  <c r="V6" i="29"/>
  <c r="AB6" i="29" s="1"/>
  <c r="V11" i="29"/>
  <c r="AB11" i="29" s="1"/>
  <c r="V10" i="29"/>
  <c r="AB10" i="29" s="1"/>
  <c r="V4" i="29"/>
  <c r="AB4" i="29" s="1"/>
  <c r="V9" i="29"/>
  <c r="AB9" i="29" s="1"/>
  <c r="V8" i="29"/>
  <c r="AB8" i="29" s="1"/>
  <c r="V5" i="29"/>
  <c r="AB5" i="29" s="1"/>
  <c r="V12" i="29"/>
  <c r="AB12" i="29" s="1"/>
  <c r="AB3" i="29" l="1"/>
  <c r="H8" i="28" l="1"/>
  <c r="T3" i="11" l="1"/>
  <c r="H10" i="32"/>
  <c r="H18" i="32"/>
  <c r="H26" i="32"/>
  <c r="H34" i="32"/>
  <c r="H42" i="32"/>
  <c r="H50" i="32"/>
  <c r="H11" i="32"/>
  <c r="H19" i="32"/>
  <c r="H27" i="32"/>
  <c r="H35" i="32"/>
  <c r="H43" i="32"/>
  <c r="H51" i="32"/>
  <c r="H4" i="32"/>
  <c r="H12" i="32"/>
  <c r="H20" i="32"/>
  <c r="H28" i="32"/>
  <c r="H36" i="32"/>
  <c r="H44" i="32"/>
  <c r="H52" i="32"/>
  <c r="H5" i="32"/>
  <c r="H13" i="32"/>
  <c r="H21" i="32"/>
  <c r="H29" i="32"/>
  <c r="H37" i="32"/>
  <c r="H45" i="32"/>
  <c r="H3" i="32"/>
  <c r="M10" i="11" s="1"/>
  <c r="H6" i="32"/>
  <c r="H14" i="32"/>
  <c r="H22" i="32"/>
  <c r="H30" i="32"/>
  <c r="H38" i="32"/>
  <c r="H46" i="32"/>
  <c r="H7" i="32"/>
  <c r="H15" i="32"/>
  <c r="H23" i="32"/>
  <c r="H31" i="32"/>
  <c r="H39" i="32"/>
  <c r="H47" i="32"/>
  <c r="H8" i="32"/>
  <c r="H16" i="32"/>
  <c r="H24" i="32"/>
  <c r="H32" i="32"/>
  <c r="H40" i="32"/>
  <c r="H48" i="32"/>
  <c r="H9" i="32"/>
  <c r="H17" i="32"/>
  <c r="H25" i="32"/>
  <c r="H33" i="32"/>
  <c r="H41" i="32"/>
  <c r="H49" i="32"/>
  <c r="G4" i="28"/>
  <c r="M13" i="11" l="1"/>
  <c r="M5" i="11"/>
  <c r="M6" i="11"/>
  <c r="M8" i="11"/>
  <c r="M9" i="11"/>
  <c r="M11" i="11"/>
  <c r="H4" i="28"/>
  <c r="K37" i="11" l="1"/>
  <c r="O37" i="11"/>
  <c r="H3" i="28"/>
  <c r="G3" i="32" s="1"/>
  <c r="L13" i="11" s="1"/>
  <c r="N37" i="11" l="1"/>
  <c r="P37" i="11" s="1"/>
  <c r="Q37" i="11" s="1"/>
  <c r="AX37" i="11"/>
  <c r="AY37" i="11" s="1"/>
  <c r="V37" i="11" s="1"/>
  <c r="P8" i="1"/>
  <c r="AW3" i="11" l="1"/>
  <c r="M3" i="11" s="1"/>
  <c r="M1" i="11" s="1"/>
  <c r="AW1" i="11" l="1"/>
  <c r="U3" i="11"/>
  <c r="U1" i="11" s="1"/>
  <c r="U13" i="19" l="1"/>
  <c r="V13" i="19" l="1"/>
  <c r="Y13" i="19" s="1"/>
  <c r="Z13" i="19" l="1"/>
  <c r="AA13" i="19" s="1"/>
  <c r="AB13" i="19" s="1"/>
  <c r="AG13" i="19" l="1"/>
  <c r="E633" i="32"/>
  <c r="E632" i="32"/>
  <c r="E631" i="32"/>
  <c r="E630" i="32"/>
  <c r="E629" i="32"/>
  <c r="E628" i="32"/>
  <c r="E627" i="32"/>
  <c r="E626" i="32"/>
  <c r="E625" i="32"/>
  <c r="E624" i="32"/>
  <c r="E623" i="32"/>
  <c r="E622" i="32"/>
  <c r="E621" i="32"/>
  <c r="E620" i="32"/>
  <c r="E619" i="32"/>
  <c r="E618" i="32"/>
  <c r="E617" i="32"/>
  <c r="E616" i="32"/>
  <c r="E615" i="32"/>
  <c r="E614" i="32"/>
  <c r="E613" i="32"/>
  <c r="E612" i="32"/>
  <c r="E611" i="32"/>
  <c r="E610" i="32"/>
  <c r="E609" i="32"/>
  <c r="E608" i="32"/>
  <c r="E607" i="32"/>
  <c r="E606" i="32"/>
  <c r="E605" i="32"/>
  <c r="E604" i="32"/>
  <c r="E603" i="32"/>
  <c r="E602" i="32"/>
  <c r="E601" i="32"/>
  <c r="E600" i="32"/>
  <c r="E599" i="32"/>
  <c r="E598" i="32"/>
  <c r="E597" i="32"/>
  <c r="E596" i="32"/>
  <c r="E595" i="32"/>
  <c r="E594" i="32"/>
  <c r="E593" i="32"/>
  <c r="E592" i="32"/>
  <c r="E591" i="32"/>
  <c r="E590" i="32"/>
  <c r="E589" i="32"/>
  <c r="E588" i="32"/>
  <c r="E587" i="32"/>
  <c r="E586" i="32"/>
  <c r="E585" i="32"/>
  <c r="E584" i="32"/>
  <c r="E583" i="32"/>
  <c r="E582" i="32"/>
  <c r="E581" i="32"/>
  <c r="E580" i="32"/>
  <c r="E579" i="32"/>
  <c r="E578" i="32"/>
  <c r="E577" i="32"/>
  <c r="E576" i="32"/>
  <c r="E575" i="32"/>
  <c r="E574" i="32"/>
  <c r="E573" i="32"/>
  <c r="E572" i="32"/>
  <c r="E571" i="32"/>
  <c r="E570" i="32"/>
  <c r="E569" i="32"/>
  <c r="E568" i="32"/>
  <c r="E567" i="32"/>
  <c r="E566" i="32"/>
  <c r="E565" i="32"/>
  <c r="E564" i="32"/>
  <c r="E563" i="32"/>
  <c r="E562" i="32"/>
  <c r="E561" i="32"/>
  <c r="E560" i="32"/>
  <c r="E559" i="32"/>
  <c r="E558" i="32"/>
  <c r="E557" i="32"/>
  <c r="E556" i="32"/>
  <c r="E555" i="32"/>
  <c r="E554" i="32"/>
  <c r="E553" i="32"/>
  <c r="E552" i="32"/>
  <c r="E551" i="32"/>
  <c r="E550" i="32"/>
  <c r="E549" i="32"/>
  <c r="E548" i="32"/>
  <c r="E547" i="32"/>
  <c r="E546" i="32"/>
  <c r="E545" i="32"/>
  <c r="E544" i="32"/>
  <c r="E543" i="32"/>
  <c r="E542" i="32"/>
  <c r="E541" i="32"/>
  <c r="E540" i="32"/>
  <c r="E539" i="32"/>
  <c r="E538" i="32"/>
  <c r="E537" i="32"/>
  <c r="E536" i="32"/>
  <c r="E535" i="32"/>
  <c r="E534" i="32"/>
  <c r="E533" i="32"/>
  <c r="E532" i="32"/>
  <c r="E531" i="32"/>
  <c r="E530" i="32"/>
  <c r="E529" i="32"/>
  <c r="E528" i="32"/>
  <c r="E527" i="32"/>
  <c r="E526" i="32"/>
  <c r="E525" i="32"/>
  <c r="E524" i="32"/>
  <c r="E523" i="32"/>
  <c r="E522" i="32"/>
  <c r="E521" i="32"/>
  <c r="E520" i="32"/>
  <c r="E519" i="32"/>
  <c r="E518" i="32"/>
  <c r="E517" i="32"/>
  <c r="E516" i="32"/>
  <c r="E515" i="32"/>
  <c r="E514" i="32"/>
  <c r="E513" i="32"/>
  <c r="E512" i="32"/>
  <c r="E511" i="32"/>
  <c r="E510" i="32"/>
  <c r="E509" i="32"/>
  <c r="E508" i="32"/>
  <c r="E507" i="32"/>
  <c r="E506" i="32"/>
  <c r="E505" i="32"/>
  <c r="E504" i="32"/>
  <c r="E503" i="32"/>
  <c r="E502" i="32"/>
  <c r="E501" i="32"/>
  <c r="E500" i="32"/>
  <c r="E499" i="32"/>
  <c r="E498" i="32"/>
  <c r="E497" i="32"/>
  <c r="E496" i="32"/>
  <c r="E495" i="32"/>
  <c r="E494" i="32"/>
  <c r="E493" i="32"/>
  <c r="E492" i="32"/>
  <c r="E491" i="32"/>
  <c r="E490" i="32"/>
  <c r="E489" i="32"/>
  <c r="E488" i="32"/>
  <c r="E487" i="32"/>
  <c r="E486" i="32"/>
  <c r="E485" i="32"/>
  <c r="E484" i="32"/>
  <c r="E483" i="32"/>
  <c r="E482" i="32"/>
  <c r="E481" i="32"/>
  <c r="E480" i="32"/>
  <c r="E479" i="32"/>
  <c r="E478" i="32"/>
  <c r="E477" i="32"/>
  <c r="E476" i="32"/>
  <c r="E475" i="32"/>
  <c r="E474" i="32"/>
  <c r="E473" i="32"/>
  <c r="E472" i="32"/>
  <c r="E471" i="32"/>
  <c r="E470" i="32"/>
  <c r="E469" i="32"/>
  <c r="E468" i="32"/>
  <c r="E467" i="32"/>
  <c r="E466" i="32"/>
  <c r="E465" i="32"/>
  <c r="E464" i="32"/>
  <c r="E463" i="32"/>
  <c r="E462" i="32"/>
  <c r="E461" i="32"/>
  <c r="E460" i="32"/>
  <c r="E459" i="32"/>
  <c r="E458" i="32"/>
  <c r="E457" i="32"/>
  <c r="E456" i="32"/>
  <c r="E455" i="32"/>
  <c r="E454" i="32"/>
  <c r="E453" i="32"/>
  <c r="E452" i="32"/>
  <c r="E451" i="32"/>
  <c r="E450" i="32"/>
  <c r="E449" i="32"/>
  <c r="E448" i="32"/>
  <c r="E447" i="32"/>
  <c r="E446" i="32"/>
  <c r="E445" i="32"/>
  <c r="E444" i="32"/>
  <c r="E443" i="32"/>
  <c r="E442" i="32"/>
  <c r="E441" i="32"/>
  <c r="E440" i="32"/>
  <c r="E439" i="32"/>
  <c r="E438" i="32"/>
  <c r="E437" i="32"/>
  <c r="E436" i="32"/>
  <c r="E435" i="32"/>
  <c r="E434" i="32"/>
  <c r="E433" i="32"/>
  <c r="E432" i="32"/>
  <c r="E431" i="32"/>
  <c r="E430" i="32"/>
  <c r="E429" i="32"/>
  <c r="E428" i="32"/>
  <c r="E427" i="32"/>
  <c r="E426" i="32"/>
  <c r="E425" i="32"/>
  <c r="E424" i="32"/>
  <c r="E423" i="32"/>
  <c r="E422" i="32"/>
  <c r="E421" i="32"/>
  <c r="E420" i="32"/>
  <c r="E419" i="32"/>
  <c r="E418" i="32"/>
  <c r="E417" i="32"/>
  <c r="E416" i="32"/>
  <c r="E415" i="32"/>
  <c r="E414" i="32"/>
  <c r="E413" i="32"/>
  <c r="E412" i="32"/>
  <c r="S12" i="1" s="1"/>
  <c r="AM12" i="1" s="1"/>
  <c r="E411" i="32"/>
  <c r="S11" i="1" s="1"/>
  <c r="AM11" i="1" s="1"/>
  <c r="AI13" i="19"/>
  <c r="AJ13" i="19" s="1"/>
  <c r="AN12" i="1" l="1"/>
  <c r="BA12" i="1"/>
  <c r="AM7" i="11" s="1"/>
  <c r="BJ12" i="1"/>
  <c r="AV7" i="11" s="1"/>
  <c r="AU12" i="1"/>
  <c r="AG7" i="11" s="1"/>
  <c r="BG12" i="1"/>
  <c r="AS7" i="11" s="1"/>
  <c r="BD12" i="1"/>
  <c r="AP7" i="11" s="1"/>
  <c r="AX12" i="1"/>
  <c r="AJ7" i="11" s="1"/>
  <c r="AR12" i="1"/>
  <c r="AD7" i="11" s="1"/>
  <c r="AN11" i="1"/>
  <c r="BG11" i="1"/>
  <c r="AS6" i="11" s="1"/>
  <c r="BJ11" i="1"/>
  <c r="AV6" i="11" s="1"/>
  <c r="AU11" i="1"/>
  <c r="AG6" i="11" s="1"/>
  <c r="BD11" i="1"/>
  <c r="AP6" i="11" s="1"/>
  <c r="AR11" i="1"/>
  <c r="AD6" i="11" s="1"/>
  <c r="AX11" i="1"/>
  <c r="AJ6" i="11" s="1"/>
  <c r="BA11" i="1"/>
  <c r="AM6" i="11" s="1"/>
  <c r="K15" i="40"/>
  <c r="BK12" i="1" l="1"/>
  <c r="BK11" i="1"/>
  <c r="U13" i="47"/>
  <c r="V13" i="47" l="1"/>
  <c r="AE7" i="48"/>
  <c r="Q16" i="45" l="1"/>
  <c r="R16" i="45" s="1"/>
  <c r="S16" i="45" s="1"/>
  <c r="Q15" i="45"/>
  <c r="R15" i="45" s="1"/>
  <c r="S15" i="45" s="1"/>
  <c r="Q17" i="45"/>
  <c r="R17" i="45" s="1"/>
  <c r="S17" i="45" s="1"/>
  <c r="W17" i="45" s="1"/>
  <c r="Q11" i="45"/>
  <c r="R11" i="45" s="1"/>
  <c r="S11" i="45" s="1"/>
  <c r="Q9" i="45"/>
  <c r="R9" i="45" s="1"/>
  <c r="S9" i="45" s="1"/>
  <c r="Q10" i="45"/>
  <c r="R10" i="45" s="1"/>
  <c r="S10" i="45" s="1"/>
  <c r="Q13" i="45"/>
  <c r="R13" i="45" s="1"/>
  <c r="S13" i="45" s="1"/>
  <c r="R6" i="45"/>
  <c r="S6" i="45" s="1"/>
  <c r="Q7" i="45"/>
  <c r="R7" i="45" s="1"/>
  <c r="S7" i="45" s="1"/>
  <c r="Q8" i="45"/>
  <c r="R8" i="45" s="1"/>
  <c r="S8" i="45" s="1"/>
  <c r="Q12" i="45"/>
  <c r="R12" i="45" s="1"/>
  <c r="S12" i="45" s="1"/>
  <c r="Q14" i="45"/>
  <c r="R14" i="45" s="1"/>
  <c r="S14" i="45" s="1"/>
  <c r="BK14" i="47"/>
  <c r="BK22" i="47"/>
  <c r="BK18" i="47"/>
  <c r="BK16" i="47"/>
  <c r="BK17" i="47"/>
  <c r="BK19" i="47"/>
  <c r="BK15" i="47"/>
  <c r="BK20" i="47"/>
  <c r="BK21" i="47"/>
  <c r="R5" i="45"/>
  <c r="AF7" i="48"/>
  <c r="BK13" i="47"/>
  <c r="AG13" i="47"/>
  <c r="AD7" i="48"/>
  <c r="U14" i="45" l="1"/>
  <c r="U13" i="45"/>
  <c r="U12" i="45"/>
  <c r="U11" i="45"/>
  <c r="U10" i="45"/>
  <c r="U9" i="45"/>
  <c r="U8" i="45"/>
  <c r="U7" i="45"/>
  <c r="U6" i="45"/>
  <c r="BO21" i="47"/>
  <c r="BT21" i="47"/>
  <c r="BO19" i="47"/>
  <c r="BT19" i="47"/>
  <c r="BT20" i="47"/>
  <c r="BO20" i="47"/>
  <c r="BT16" i="47"/>
  <c r="BO16" i="47"/>
  <c r="BO15" i="47"/>
  <c r="BT15" i="47"/>
  <c r="BO18" i="47"/>
  <c r="BT18" i="47"/>
  <c r="BT17" i="47"/>
  <c r="BO17" i="47"/>
  <c r="BT22" i="47"/>
  <c r="BO22" i="47"/>
  <c r="AR14" i="47"/>
  <c r="AR20" i="47"/>
  <c r="AR18" i="47"/>
  <c r="AR22" i="47"/>
  <c r="AR17" i="47"/>
  <c r="AR15" i="47"/>
  <c r="AR21" i="47"/>
  <c r="AR19" i="47"/>
  <c r="AR16" i="47"/>
  <c r="BT14" i="47"/>
  <c r="BO14" i="47"/>
  <c r="AR13" i="47"/>
  <c r="BA13" i="47" s="1"/>
  <c r="S5" i="45"/>
  <c r="AG7" i="48"/>
  <c r="AK7" i="48" s="1"/>
  <c r="T13" i="47" s="1"/>
  <c r="BO13" i="47"/>
  <c r="BT13" i="47"/>
  <c r="AK13" i="47"/>
  <c r="E274" i="32" l="1"/>
  <c r="E309" i="32"/>
  <c r="E305" i="32"/>
  <c r="E301" i="32"/>
  <c r="E297" i="32"/>
  <c r="E293" i="32"/>
  <c r="E289" i="32"/>
  <c r="E285" i="32"/>
  <c r="E281" i="32"/>
  <c r="E277" i="32"/>
  <c r="E273" i="32"/>
  <c r="E269" i="32"/>
  <c r="E265" i="32"/>
  <c r="E261" i="32"/>
  <c r="K9" i="1" s="1"/>
  <c r="AL9" i="1" s="1"/>
  <c r="E304" i="32"/>
  <c r="E292" i="32"/>
  <c r="E284" i="32"/>
  <c r="E280" i="32"/>
  <c r="E272" i="32"/>
  <c r="E264" i="32"/>
  <c r="E307" i="32"/>
  <c r="E303" i="32"/>
  <c r="E299" i="32"/>
  <c r="E287" i="32"/>
  <c r="E279" i="32"/>
  <c r="E271" i="32"/>
  <c r="E263" i="32"/>
  <c r="E302" i="32"/>
  <c r="E286" i="32"/>
  <c r="E266" i="32"/>
  <c r="E308" i="32"/>
  <c r="E296" i="32"/>
  <c r="E288" i="32"/>
  <c r="E276" i="32"/>
  <c r="E268" i="32"/>
  <c r="E295" i="32"/>
  <c r="E283" i="32"/>
  <c r="E275" i="32"/>
  <c r="E267" i="32"/>
  <c r="E310" i="32"/>
  <c r="E298" i="32"/>
  <c r="E290" i="32"/>
  <c r="E278" i="32"/>
  <c r="E262" i="32"/>
  <c r="K10" i="1" s="1"/>
  <c r="AL10" i="1" s="1"/>
  <c r="E300" i="32"/>
  <c r="E294" i="32"/>
  <c r="E291" i="32"/>
  <c r="E306" i="32"/>
  <c r="E282" i="32"/>
  <c r="E270" i="32"/>
  <c r="BZ14" i="47"/>
  <c r="BZ22" i="47"/>
  <c r="BZ20" i="47"/>
  <c r="BZ17" i="47"/>
  <c r="BZ16" i="47"/>
  <c r="BA16" i="47"/>
  <c r="AV16" i="47"/>
  <c r="BZ19" i="47"/>
  <c r="BZ21" i="47"/>
  <c r="AV19" i="47"/>
  <c r="BA19" i="47"/>
  <c r="AV21" i="47"/>
  <c r="BA21" i="47"/>
  <c r="BZ18" i="47"/>
  <c r="AV15" i="47"/>
  <c r="BA15" i="47"/>
  <c r="AV20" i="47"/>
  <c r="BA20" i="47"/>
  <c r="AV17" i="47"/>
  <c r="BA17" i="47"/>
  <c r="BA14" i="47"/>
  <c r="AV14" i="47"/>
  <c r="W13" i="47"/>
  <c r="T17" i="47"/>
  <c r="T19" i="47"/>
  <c r="T22" i="47"/>
  <c r="T20" i="47"/>
  <c r="T21" i="47"/>
  <c r="T18" i="47"/>
  <c r="T14" i="47"/>
  <c r="T15" i="47"/>
  <c r="T16" i="47"/>
  <c r="BA18" i="47"/>
  <c r="AV18" i="47"/>
  <c r="AV22" i="47"/>
  <c r="BA22" i="47"/>
  <c r="BZ15" i="47"/>
  <c r="AV13" i="47"/>
  <c r="BG13" i="47" s="1"/>
  <c r="U5" i="45"/>
  <c r="BZ13" i="47"/>
  <c r="AY10" i="1" l="1"/>
  <c r="AK5" i="11" s="1"/>
  <c r="BH10" i="1"/>
  <c r="AT5" i="11" s="1"/>
  <c r="AP10" i="1"/>
  <c r="AB5" i="11" s="1"/>
  <c r="AS10" i="1"/>
  <c r="AE5" i="11" s="1"/>
  <c r="AN10" i="1"/>
  <c r="BB10" i="1"/>
  <c r="AN5" i="11" s="1"/>
  <c r="BE10" i="1"/>
  <c r="AQ5" i="11" s="1"/>
  <c r="AV10" i="1"/>
  <c r="AH5" i="11" s="1"/>
  <c r="AV9" i="1"/>
  <c r="AH4" i="11" s="1"/>
  <c r="AS9" i="1"/>
  <c r="AE4" i="11" s="1"/>
  <c r="BB9" i="1"/>
  <c r="AN4" i="11" s="1"/>
  <c r="BE9" i="1"/>
  <c r="AQ4" i="11" s="1"/>
  <c r="AN9" i="1"/>
  <c r="AY9" i="1"/>
  <c r="AK4" i="11" s="1"/>
  <c r="AP9" i="1"/>
  <c r="AB4" i="11" s="1"/>
  <c r="BH9" i="1"/>
  <c r="AT4" i="11" s="1"/>
  <c r="K36" i="11"/>
  <c r="O36" i="11"/>
  <c r="K35" i="11"/>
  <c r="O35" i="11"/>
  <c r="L8" i="1"/>
  <c r="AB13" i="47"/>
  <c r="AH13" i="47" s="1"/>
  <c r="BG16" i="47"/>
  <c r="BG15" i="47"/>
  <c r="BG21" i="47"/>
  <c r="BG17" i="47"/>
  <c r="BG19" i="47"/>
  <c r="AB20" i="47"/>
  <c r="AJ20" i="47" s="1"/>
  <c r="W20" i="47"/>
  <c r="AI20" i="47" s="1"/>
  <c r="AB22" i="47"/>
  <c r="AJ22" i="47" s="1"/>
  <c r="W22" i="47"/>
  <c r="BG22" i="47"/>
  <c r="BG18" i="47"/>
  <c r="AB16" i="47"/>
  <c r="AJ16" i="47" s="1"/>
  <c r="W16" i="47"/>
  <c r="AB15" i="47"/>
  <c r="AJ15" i="47" s="1"/>
  <c r="W15" i="47"/>
  <c r="AB18" i="47"/>
  <c r="AJ18" i="47" s="1"/>
  <c r="W18" i="47"/>
  <c r="AB19" i="47"/>
  <c r="AJ19" i="47" s="1"/>
  <c r="W19" i="47"/>
  <c r="AB14" i="47"/>
  <c r="AJ14" i="47" s="1"/>
  <c r="W14" i="47"/>
  <c r="AB17" i="47"/>
  <c r="AJ17" i="47" s="1"/>
  <c r="W17" i="47"/>
  <c r="AB21" i="47"/>
  <c r="AJ21" i="47" s="1"/>
  <c r="W21" i="47"/>
  <c r="BG14" i="47"/>
  <c r="BG20" i="47"/>
  <c r="AI13" i="47"/>
  <c r="N35" i="11" l="1"/>
  <c r="P35" i="11" s="1"/>
  <c r="Q35" i="11" s="1"/>
  <c r="N36" i="11"/>
  <c r="P36" i="11" s="1"/>
  <c r="Q36" i="11" s="1"/>
  <c r="AX36" i="11"/>
  <c r="AY36" i="11" s="1"/>
  <c r="V36" i="11" s="1"/>
  <c r="AX35" i="11"/>
  <c r="AY35" i="11" s="1"/>
  <c r="V35" i="11" s="1"/>
  <c r="Y8" i="1"/>
  <c r="AC8" i="1"/>
  <c r="AE8" i="1"/>
  <c r="AA8" i="1"/>
  <c r="U8" i="1"/>
  <c r="W8" i="1"/>
  <c r="AG8" i="1"/>
  <c r="AJ13" i="47"/>
  <c r="AL13" i="47" s="1"/>
  <c r="AL20" i="47"/>
  <c r="A20" i="47" s="1"/>
  <c r="AH14" i="47"/>
  <c r="AI14" i="47"/>
  <c r="AL14" i="47" s="1"/>
  <c r="A14" i="47" s="1"/>
  <c r="AI19" i="47"/>
  <c r="AL19" i="47" s="1"/>
  <c r="A19" i="47" s="1"/>
  <c r="AH19" i="47"/>
  <c r="AH21" i="47"/>
  <c r="AI21" i="47"/>
  <c r="AL21" i="47" s="1"/>
  <c r="A21" i="47" s="1"/>
  <c r="AH18" i="47"/>
  <c r="AI18" i="47"/>
  <c r="AL18" i="47" s="1"/>
  <c r="A18" i="47" s="1"/>
  <c r="AH16" i="47"/>
  <c r="AI16" i="47"/>
  <c r="AL16" i="47" s="1"/>
  <c r="A16" i="47" s="1"/>
  <c r="AH20" i="47"/>
  <c r="AI15" i="47"/>
  <c r="AL15" i="47" s="1"/>
  <c r="A15" i="47" s="1"/>
  <c r="AH15" i="47"/>
  <c r="AH17" i="47"/>
  <c r="AI17" i="47"/>
  <c r="AL17" i="47" s="1"/>
  <c r="A17" i="47" s="1"/>
  <c r="AH22" i="47"/>
  <c r="AI22" i="47"/>
  <c r="AL22" i="47" s="1"/>
  <c r="A22" i="47" s="1"/>
  <c r="F269" i="32" l="1"/>
  <c r="F268" i="32"/>
  <c r="F270" i="32"/>
  <c r="F267" i="32"/>
  <c r="F266" i="32"/>
  <c r="F265" i="32"/>
  <c r="F264" i="32"/>
  <c r="F263" i="32"/>
  <c r="F262" i="32"/>
  <c r="M8" i="1"/>
  <c r="A13" i="47"/>
  <c r="F261" i="32" s="1"/>
  <c r="G299" i="32" l="1"/>
  <c r="G265" i="32"/>
  <c r="G269" i="32"/>
  <c r="G276" i="32"/>
  <c r="G280" i="32"/>
  <c r="G271" i="32"/>
  <c r="G270" i="32"/>
  <c r="G277" i="32"/>
  <c r="G310" i="32"/>
  <c r="G301" i="32"/>
  <c r="G294" i="32"/>
  <c r="G279" i="32"/>
  <c r="G267" i="32"/>
  <c r="G262" i="32"/>
  <c r="N10" i="1" s="1"/>
  <c r="AO10" i="1" s="1"/>
  <c r="G302" i="32"/>
  <c r="G309" i="32"/>
  <c r="G281" i="32"/>
  <c r="G274" i="32"/>
  <c r="G300" i="32"/>
  <c r="G283" i="32"/>
  <c r="G278" i="32"/>
  <c r="G292" i="32"/>
  <c r="G296" i="32"/>
  <c r="G295" i="32"/>
  <c r="G291" i="32"/>
  <c r="G307" i="32"/>
  <c r="G306" i="32"/>
  <c r="G264" i="32"/>
  <c r="G263" i="32"/>
  <c r="G298" i="32"/>
  <c r="G284" i="32"/>
  <c r="G290" i="32"/>
  <c r="G285" i="32"/>
  <c r="G275" i="32"/>
  <c r="G303" i="32"/>
  <c r="G266" i="32"/>
  <c r="G308" i="32"/>
  <c r="G289" i="32"/>
  <c r="G286" i="32"/>
  <c r="G288" i="32"/>
  <c r="G268" i="32"/>
  <c r="G282" i="32"/>
  <c r="G272" i="32"/>
  <c r="G297" i="32"/>
  <c r="G293" i="32"/>
  <c r="G273" i="32"/>
  <c r="G287" i="32"/>
  <c r="G304" i="32"/>
  <c r="G305" i="32"/>
  <c r="V5" i="45"/>
  <c r="W5" i="45" s="1"/>
  <c r="V15" i="45"/>
  <c r="W15" i="45" s="1"/>
  <c r="V16" i="45"/>
  <c r="W16" i="45" s="1"/>
  <c r="V14" i="45"/>
  <c r="W14" i="45" s="1"/>
  <c r="V12" i="45"/>
  <c r="W12" i="45" s="1"/>
  <c r="V13" i="45"/>
  <c r="W13" i="45" s="1"/>
  <c r="V8" i="45"/>
  <c r="W8" i="45" s="1"/>
  <c r="V9" i="45"/>
  <c r="W9" i="45" s="1"/>
  <c r="V10" i="45"/>
  <c r="W10" i="45" s="1"/>
  <c r="V11" i="45"/>
  <c r="W11" i="45" s="1"/>
  <c r="V6" i="45"/>
  <c r="W6" i="45" s="1"/>
  <c r="V7" i="45"/>
  <c r="W7" i="45" s="1"/>
  <c r="AB8" i="1"/>
  <c r="AH8" i="1"/>
  <c r="AD8" i="1"/>
  <c r="V8" i="1"/>
  <c r="X8" i="1"/>
  <c r="Z8" i="1"/>
  <c r="AF8" i="1"/>
  <c r="G261" i="32"/>
  <c r="N9" i="1" s="1"/>
  <c r="AO9" i="1" s="1"/>
  <c r="AT10" i="1" l="1"/>
  <c r="AF5" i="11" s="1"/>
  <c r="BI10" i="1"/>
  <c r="AU5" i="11" s="1"/>
  <c r="AQ10" i="1"/>
  <c r="AC5" i="11" s="1"/>
  <c r="AA5" i="11"/>
  <c r="AW10" i="1"/>
  <c r="AI5" i="11" s="1"/>
  <c r="BF10" i="1"/>
  <c r="AR5" i="11" s="1"/>
  <c r="BC10" i="1"/>
  <c r="AO5" i="11" s="1"/>
  <c r="AZ10" i="1"/>
  <c r="AL5" i="11" s="1"/>
  <c r="AZ9" i="1"/>
  <c r="AL4" i="11" s="1"/>
  <c r="BI9" i="1"/>
  <c r="AU4" i="11" s="1"/>
  <c r="BC9" i="1"/>
  <c r="AO4" i="11" s="1"/>
  <c r="AT9" i="1"/>
  <c r="AF4" i="11" s="1"/>
  <c r="AQ9" i="1"/>
  <c r="AC4" i="11" s="1"/>
  <c r="AW9" i="1"/>
  <c r="AI4" i="11" s="1"/>
  <c r="BF9" i="1"/>
  <c r="AR4" i="11" s="1"/>
  <c r="AA4" i="11"/>
  <c r="L4" i="11" s="1"/>
  <c r="L15" i="11"/>
  <c r="K33" i="11"/>
  <c r="K32" i="11"/>
  <c r="K34" i="11"/>
  <c r="AI8" i="1"/>
  <c r="AM8" i="1" s="1"/>
  <c r="L8" i="11"/>
  <c r="BK10" i="1" l="1"/>
  <c r="BK9" i="1"/>
  <c r="BG8" i="1"/>
  <c r="AS3" i="11" s="1"/>
  <c r="AX8" i="1"/>
  <c r="AJ3" i="11" s="1"/>
  <c r="BD8" i="1"/>
  <c r="AP3" i="11" s="1"/>
  <c r="AU8" i="1"/>
  <c r="AG3" i="11" s="1"/>
  <c r="BJ8" i="1"/>
  <c r="AV3" i="11" s="1"/>
  <c r="BA8" i="1"/>
  <c r="AM3" i="11" s="1"/>
  <c r="AR8" i="1"/>
  <c r="AD3" i="11" s="1"/>
  <c r="L26" i="11"/>
  <c r="L10" i="11"/>
  <c r="L11" i="11"/>
  <c r="O32" i="11"/>
  <c r="O33" i="11"/>
  <c r="O34" i="11"/>
  <c r="N34" i="11" l="1"/>
  <c r="P34" i="11" s="1"/>
  <c r="Q34" i="11" s="1"/>
  <c r="N33" i="11"/>
  <c r="P33" i="11" s="1"/>
  <c r="Q33" i="11" s="1"/>
  <c r="N32" i="11"/>
  <c r="P32" i="11" s="1"/>
  <c r="Q32" i="11" s="1"/>
  <c r="AX33" i="11"/>
  <c r="AY33" i="11" s="1"/>
  <c r="V33" i="11" s="1"/>
  <c r="AX32" i="11"/>
  <c r="AY32" i="11" s="1"/>
  <c r="V32" i="11" s="1"/>
  <c r="AX34" i="11"/>
  <c r="AY34" i="11" s="1"/>
  <c r="V34" i="11" s="1"/>
  <c r="AG11" i="19" l="1"/>
  <c r="K31" i="11" l="1"/>
  <c r="Q8" i="1"/>
  <c r="K8" i="1"/>
  <c r="AL8" i="1" s="1"/>
  <c r="AN8" i="1" l="1"/>
  <c r="AY8" i="1"/>
  <c r="AK3" i="11" s="1"/>
  <c r="AV8" i="1"/>
  <c r="AH3" i="11" s="1"/>
  <c r="AP8" i="1"/>
  <c r="AB3" i="11" s="1"/>
  <c r="BE8" i="1"/>
  <c r="AQ3" i="11" s="1"/>
  <c r="BB8" i="1"/>
  <c r="AN3" i="11" s="1"/>
  <c r="AS8" i="1"/>
  <c r="AE3" i="11" s="1"/>
  <c r="BH8" i="1"/>
  <c r="AT3" i="11" s="1"/>
  <c r="K16" i="11"/>
  <c r="O16" i="11"/>
  <c r="O24" i="11"/>
  <c r="K24" i="11"/>
  <c r="K17" i="11"/>
  <c r="O17" i="11"/>
  <c r="N16" i="11" l="1"/>
  <c r="P16" i="11" s="1"/>
  <c r="Q16" i="11" s="1"/>
  <c r="N17" i="11"/>
  <c r="P17" i="11" s="1"/>
  <c r="Q17" i="11" s="1"/>
  <c r="N24" i="11"/>
  <c r="P24" i="11" s="1"/>
  <c r="Q24" i="11" s="1"/>
  <c r="L9" i="11"/>
  <c r="K26" i="11"/>
  <c r="AX16" i="11"/>
  <c r="AY16" i="11" s="1"/>
  <c r="V16" i="11" s="1"/>
  <c r="AX17" i="11"/>
  <c r="AY17" i="11" s="1"/>
  <c r="V17" i="11" s="1"/>
  <c r="AX24" i="11"/>
  <c r="AY24" i="11" s="1"/>
  <c r="V24" i="11" s="1"/>
  <c r="O18" i="11"/>
  <c r="K20" i="11"/>
  <c r="K21" i="11"/>
  <c r="K3" i="11"/>
  <c r="L5" i="11" l="1"/>
  <c r="K28" i="11"/>
  <c r="O28" i="11"/>
  <c r="O13" i="11"/>
  <c r="K13" i="11"/>
  <c r="K29" i="11"/>
  <c r="K18" i="11"/>
  <c r="K25" i="11"/>
  <c r="O25" i="11"/>
  <c r="O27" i="11"/>
  <c r="K27" i="11"/>
  <c r="K19" i="11"/>
  <c r="O19" i="11"/>
  <c r="O21" i="11"/>
  <c r="O20" i="11"/>
  <c r="L7" i="11" l="1"/>
  <c r="N28" i="11"/>
  <c r="P28" i="11" s="1"/>
  <c r="Q28" i="11" s="1"/>
  <c r="N19" i="11"/>
  <c r="P19" i="11" s="1"/>
  <c r="Q19" i="11" s="1"/>
  <c r="N27" i="11"/>
  <c r="P27" i="11" s="1"/>
  <c r="Q27" i="11" s="1"/>
  <c r="N18" i="11"/>
  <c r="P18" i="11" s="1"/>
  <c r="Q18" i="11" s="1"/>
  <c r="N21" i="11"/>
  <c r="P21" i="11" s="1"/>
  <c r="Q21" i="11" s="1"/>
  <c r="N25" i="11"/>
  <c r="P25" i="11" s="1"/>
  <c r="Q25" i="11" s="1"/>
  <c r="N13" i="11"/>
  <c r="P13" i="11" s="1"/>
  <c r="Q13" i="11" s="1"/>
  <c r="N20" i="11"/>
  <c r="P20" i="11" s="1"/>
  <c r="Q20" i="11" s="1"/>
  <c r="AX13" i="11"/>
  <c r="AY13" i="11" s="1"/>
  <c r="V13" i="11" s="1"/>
  <c r="AX18" i="11"/>
  <c r="AY18" i="11" s="1"/>
  <c r="V18" i="11" s="1"/>
  <c r="AX27" i="11"/>
  <c r="AY27" i="11" s="1"/>
  <c r="V27" i="11" s="1"/>
  <c r="AX28" i="11"/>
  <c r="AY28" i="11" s="1"/>
  <c r="V28" i="11" s="1"/>
  <c r="AX25" i="11"/>
  <c r="AY25" i="11" s="1"/>
  <c r="V25" i="11" s="1"/>
  <c r="AX19" i="11"/>
  <c r="AY19" i="11" s="1"/>
  <c r="V19" i="11" s="1"/>
  <c r="AX21" i="11"/>
  <c r="AY21" i="11" s="1"/>
  <c r="V21" i="11" s="1"/>
  <c r="AX20" i="11"/>
  <c r="AY20" i="11" s="1"/>
  <c r="V20" i="11" s="1"/>
  <c r="L12" i="11" l="1"/>
  <c r="K15" i="11" l="1"/>
  <c r="O15" i="11"/>
  <c r="K14" i="11"/>
  <c r="O14" i="11"/>
  <c r="K30" i="11"/>
  <c r="O30" i="11"/>
  <c r="O22" i="11"/>
  <c r="K22" i="11"/>
  <c r="N14" i="11" l="1"/>
  <c r="P14" i="11" s="1"/>
  <c r="Q14" i="11" s="1"/>
  <c r="N15" i="11"/>
  <c r="P15" i="11" s="1"/>
  <c r="Q15" i="11" s="1"/>
  <c r="N30" i="11"/>
  <c r="P30" i="11" s="1"/>
  <c r="Q30" i="11" s="1"/>
  <c r="N22" i="11"/>
  <c r="P22" i="11" s="1"/>
  <c r="Q22" i="11" s="1"/>
  <c r="AX15" i="11"/>
  <c r="AY15" i="11" s="1"/>
  <c r="V15" i="11" s="1"/>
  <c r="AX14" i="11"/>
  <c r="AY14" i="11" s="1"/>
  <c r="V14" i="11" s="1"/>
  <c r="AX30" i="11"/>
  <c r="AY30" i="11" s="1"/>
  <c r="V30" i="11" s="1"/>
  <c r="AX22" i="11"/>
  <c r="AY22" i="11" s="1"/>
  <c r="V22" i="11" s="1"/>
  <c r="L6" i="11" l="1"/>
  <c r="K12" i="20" l="1"/>
  <c r="J12" i="20" s="1"/>
  <c r="M12" i="20" s="1"/>
  <c r="N12" i="20" l="1"/>
  <c r="O12" i="20" s="1"/>
  <c r="H544" i="32" l="1"/>
  <c r="H490" i="32"/>
  <c r="H421" i="32"/>
  <c r="H465" i="32"/>
  <c r="H418" i="32"/>
  <c r="H478" i="32"/>
  <c r="H438" i="32"/>
  <c r="H516" i="32"/>
  <c r="H472" i="32"/>
  <c r="H487" i="32"/>
  <c r="H542" i="32"/>
  <c r="H432" i="32"/>
  <c r="H567" i="32"/>
  <c r="H424" i="32"/>
  <c r="H450" i="32"/>
  <c r="H625" i="32"/>
  <c r="H414" i="32"/>
  <c r="H451" i="32"/>
  <c r="H594" i="32"/>
  <c r="H597" i="32"/>
  <c r="H457" i="32"/>
  <c r="H616" i="32"/>
  <c r="H588" i="32"/>
  <c r="H503" i="32"/>
  <c r="H474" i="32"/>
  <c r="H559" i="32"/>
  <c r="H434" i="32"/>
  <c r="H437" i="32"/>
  <c r="H606" i="32"/>
  <c r="H593" i="32"/>
  <c r="H548" i="32"/>
  <c r="H552" i="32"/>
  <c r="H576" i="32"/>
  <c r="H429" i="32"/>
  <c r="H477" i="32"/>
  <c r="H565" i="32"/>
  <c r="H579" i="32"/>
  <c r="H411" i="32"/>
  <c r="H444" i="32"/>
  <c r="H417" i="32"/>
  <c r="H486" i="32"/>
  <c r="H629" i="32"/>
  <c r="H480" i="32"/>
  <c r="H507" i="32"/>
  <c r="H618" i="32"/>
  <c r="H413" i="32"/>
  <c r="H571" i="32"/>
  <c r="H566" i="32"/>
  <c r="H557" i="32"/>
  <c r="H523" i="32"/>
  <c r="H614" i="32"/>
  <c r="H600" i="32"/>
  <c r="H539" i="32"/>
  <c r="H582" i="32"/>
  <c r="H468" i="32"/>
  <c r="H540" i="32"/>
  <c r="H628" i="32"/>
  <c r="H610" i="32"/>
  <c r="H422" i="32"/>
  <c r="H426" i="32"/>
  <c r="H521" i="32"/>
  <c r="H527" i="32"/>
  <c r="H608" i="32"/>
  <c r="H546" i="32"/>
  <c r="H476" i="32"/>
  <c r="H632" i="32"/>
  <c r="H601" i="32"/>
  <c r="H517" i="32"/>
  <c r="H449" i="32"/>
  <c r="H599" i="32"/>
  <c r="H525" i="32"/>
  <c r="H412" i="32"/>
  <c r="H602" i="32"/>
  <c r="H538" i="32"/>
  <c r="H577" i="32"/>
  <c r="H575" i="32"/>
  <c r="H500" i="32"/>
  <c r="H596" i="32"/>
  <c r="H506" i="32"/>
  <c r="H617" i="32"/>
  <c r="H456" i="32"/>
  <c r="H590" i="32"/>
  <c r="H454" i="32"/>
  <c r="H551" i="32"/>
  <c r="H433" i="32"/>
  <c r="H519" i="32"/>
  <c r="H562" i="32"/>
  <c r="H533" i="32"/>
  <c r="H504" i="32"/>
  <c r="H498" i="32"/>
  <c r="H458" i="32"/>
  <c r="H497" i="32"/>
  <c r="H439" i="32"/>
  <c r="H423" i="32"/>
  <c r="H416" i="32"/>
  <c r="H419" i="32"/>
  <c r="H595" i="32"/>
  <c r="H459" i="32"/>
  <c r="H558" i="32"/>
  <c r="H461" i="32"/>
  <c r="H554" i="32"/>
  <c r="H541" i="32"/>
  <c r="H569" i="32"/>
  <c r="H526" i="32"/>
  <c r="H488" i="32"/>
  <c r="H512" i="32"/>
  <c r="H453" i="32"/>
  <c r="H560" i="32"/>
  <c r="H467" i="32"/>
  <c r="H550" i="32"/>
  <c r="H531" i="32"/>
  <c r="H471" i="32"/>
  <c r="H448" i="32"/>
  <c r="H469" i="32"/>
  <c r="H489" i="32"/>
  <c r="H452" i="32"/>
  <c r="H570" i="32"/>
  <c r="H510" i="32"/>
  <c r="H633" i="32"/>
  <c r="H494" i="32"/>
  <c r="H624" i="32"/>
  <c r="H511" i="32"/>
  <c r="H443" i="32"/>
  <c r="H441" i="32"/>
  <c r="H493" i="32"/>
  <c r="H627" i="32"/>
  <c r="H574" i="32"/>
  <c r="H518" i="32"/>
  <c r="H592" i="32"/>
  <c r="H447" i="32"/>
  <c r="H553" i="32"/>
  <c r="H509" i="32"/>
  <c r="H501" i="32"/>
  <c r="H572" i="32"/>
  <c r="H427" i="32"/>
  <c r="H505" i="32"/>
  <c r="H589" i="32"/>
  <c r="H585" i="32"/>
  <c r="H440" i="32"/>
  <c r="H463" i="32"/>
  <c r="H564" i="32"/>
  <c r="H475" i="32"/>
  <c r="H430" i="32"/>
  <c r="H446" i="32"/>
  <c r="H481" i="32"/>
  <c r="H420" i="32"/>
  <c r="H530" i="32"/>
  <c r="H626" i="32"/>
  <c r="H537" i="32"/>
  <c r="H604" i="32"/>
  <c r="H415" i="32"/>
  <c r="H631" i="32"/>
  <c r="H603" i="32"/>
  <c r="H587" i="32"/>
  <c r="H496" i="32"/>
  <c r="H591" i="32"/>
  <c r="H586" i="32"/>
  <c r="H611" i="32"/>
  <c r="H455" i="32"/>
  <c r="H522" i="32"/>
  <c r="H612" i="32"/>
  <c r="H563" i="32"/>
  <c r="H492" i="32"/>
  <c r="H482" i="32"/>
  <c r="H630" i="32"/>
  <c r="H547" i="32"/>
  <c r="H532" i="32"/>
  <c r="H466" i="32"/>
  <c r="H622" i="32"/>
  <c r="H529" i="32"/>
  <c r="H442" i="32"/>
  <c r="H549" i="32"/>
  <c r="H573" i="32"/>
  <c r="H534" i="32"/>
  <c r="H581" i="32"/>
  <c r="H545" i="32"/>
  <c r="H543" i="32"/>
  <c r="H536" i="32"/>
  <c r="H514" i="32"/>
  <c r="H578" i="32"/>
  <c r="H479" i="32"/>
  <c r="H470" i="32"/>
  <c r="H460" i="32"/>
  <c r="H535" i="32"/>
  <c r="H520" i="32"/>
  <c r="H462" i="32"/>
  <c r="H528" i="32"/>
  <c r="H619" i="32"/>
  <c r="H495" i="32"/>
  <c r="H607" i="32"/>
  <c r="H555" i="32"/>
  <c r="H513" i="32"/>
  <c r="H583" i="32"/>
  <c r="H613" i="32"/>
  <c r="H623" i="32"/>
  <c r="H556" i="32"/>
  <c r="H431" i="32"/>
  <c r="H584" i="32"/>
  <c r="H524" i="32"/>
  <c r="H515" i="32"/>
  <c r="H491" i="32"/>
  <c r="H609" i="32"/>
  <c r="H508" i="32"/>
  <c r="H464" i="32"/>
  <c r="H621" i="32"/>
  <c r="H561" i="32"/>
  <c r="H428" i="32"/>
  <c r="H473" i="32"/>
  <c r="H615" i="32"/>
  <c r="H435" i="32"/>
  <c r="H568" i="32"/>
  <c r="H483" i="32"/>
  <c r="H484" i="32"/>
  <c r="H620" i="32"/>
  <c r="H502" i="32"/>
  <c r="H580" i="32"/>
  <c r="H436" i="32"/>
  <c r="H605" i="32"/>
  <c r="H499" i="32"/>
  <c r="H425" i="32"/>
  <c r="H598" i="32"/>
  <c r="H445" i="32"/>
  <c r="H485" i="32"/>
  <c r="O9" i="11"/>
  <c r="O8" i="11"/>
  <c r="O5" i="11"/>
  <c r="AG10" i="19"/>
  <c r="O12" i="11" l="1"/>
  <c r="K12" i="11"/>
  <c r="O31" i="11"/>
  <c r="O10" i="11"/>
  <c r="K9" i="11"/>
  <c r="AX9" i="11"/>
  <c r="AY9" i="11" s="1"/>
  <c r="V9" i="11" s="1"/>
  <c r="O29" i="11"/>
  <c r="N9" i="11"/>
  <c r="K8" i="11"/>
  <c r="AX8" i="11"/>
  <c r="AY8" i="11" s="1"/>
  <c r="V8" i="11" s="1"/>
  <c r="N8" i="11"/>
  <c r="O7" i="11"/>
  <c r="O6" i="11"/>
  <c r="K5" i="11"/>
  <c r="AX5" i="11"/>
  <c r="AY5" i="11" s="1"/>
  <c r="V5" i="11" s="1"/>
  <c r="N5" i="11"/>
  <c r="O4" i="11"/>
  <c r="K23" i="11"/>
  <c r="N12" i="11" l="1"/>
  <c r="AX12" i="11"/>
  <c r="AY12" i="11" s="1"/>
  <c r="V12" i="11" s="1"/>
  <c r="N31" i="11"/>
  <c r="P31" i="11" s="1"/>
  <c r="Q31" i="11" s="1"/>
  <c r="AX31" i="11"/>
  <c r="AY31" i="11" s="1"/>
  <c r="V31" i="11" s="1"/>
  <c r="AE1" i="11"/>
  <c r="AT1" i="11"/>
  <c r="AN1" i="11"/>
  <c r="P12" i="11"/>
  <c r="Q12" i="11" s="1"/>
  <c r="N10" i="11"/>
  <c r="K10" i="11"/>
  <c r="AX10" i="11"/>
  <c r="AY10" i="11" s="1"/>
  <c r="V10" i="11" s="1"/>
  <c r="AX29" i="11"/>
  <c r="AY29" i="11" s="1"/>
  <c r="V29" i="11" s="1"/>
  <c r="N29" i="11"/>
  <c r="P29" i="11" s="1"/>
  <c r="Q29" i="11" s="1"/>
  <c r="P9" i="11"/>
  <c r="Q9" i="11" s="1"/>
  <c r="N6" i="11"/>
  <c r="AK1" i="11"/>
  <c r="AQ1" i="11"/>
  <c r="P8" i="11"/>
  <c r="Q8" i="11" s="1"/>
  <c r="N7" i="11"/>
  <c r="AH1" i="11"/>
  <c r="K7" i="11"/>
  <c r="AX7" i="11"/>
  <c r="AY7" i="11" s="1"/>
  <c r="V7" i="11" s="1"/>
  <c r="K6" i="11"/>
  <c r="AX6" i="11"/>
  <c r="AY6" i="11" s="1"/>
  <c r="V6" i="11" s="1"/>
  <c r="P5" i="11"/>
  <c r="Q5" i="11" s="1"/>
  <c r="N4" i="11"/>
  <c r="K4" i="11"/>
  <c r="AX4" i="11"/>
  <c r="AY4" i="11" s="1"/>
  <c r="V4" i="11" s="1"/>
  <c r="O26" i="11"/>
  <c r="AB1" i="11"/>
  <c r="O23" i="11" l="1"/>
  <c r="P6" i="11"/>
  <c r="Q6" i="11" s="1"/>
  <c r="P10" i="11"/>
  <c r="Q10" i="11" s="1"/>
  <c r="P7" i="11"/>
  <c r="Q7" i="11" s="1"/>
  <c r="P4" i="11"/>
  <c r="N26" i="11"/>
  <c r="P26" i="11" s="1"/>
  <c r="Q26" i="11" s="1"/>
  <c r="AX26" i="11"/>
  <c r="AY26" i="11" s="1"/>
  <c r="V26" i="11" s="1"/>
  <c r="Q4" i="11" l="1"/>
  <c r="N23" i="11"/>
  <c r="P23" i="11" s="1"/>
  <c r="Q23" i="11" s="1"/>
  <c r="AX23" i="11"/>
  <c r="AY23" i="11" s="1"/>
  <c r="V23" i="11" s="1"/>
  <c r="K11" i="11"/>
  <c r="K1" i="11" s="1"/>
  <c r="F14" i="40" l="1"/>
  <c r="G14" i="40" s="1"/>
  <c r="H5" i="28" l="1"/>
  <c r="H7" i="28"/>
  <c r="AM1" i="11" l="1"/>
  <c r="O4" i="20"/>
  <c r="G411" i="32" s="1"/>
  <c r="N8" i="1" s="1"/>
  <c r="AO8" i="1" l="1"/>
  <c r="O11" i="11"/>
  <c r="AS1" i="11"/>
  <c r="AJ1" i="11"/>
  <c r="AG1" i="11"/>
  <c r="AP1" i="11"/>
  <c r="BC8" i="1" l="1"/>
  <c r="AO3" i="11" s="1"/>
  <c r="AO1" i="11" s="1"/>
  <c r="AT8" i="1"/>
  <c r="AF3" i="11" s="1"/>
  <c r="AF1" i="11" s="1"/>
  <c r="AZ8" i="1"/>
  <c r="AL3" i="11" s="1"/>
  <c r="AL1" i="11" s="1"/>
  <c r="AQ8" i="1"/>
  <c r="AC3" i="11" s="1"/>
  <c r="AC1" i="11" s="1"/>
  <c r="BI8" i="1"/>
  <c r="AU3" i="11" s="1"/>
  <c r="O3" i="11" s="1"/>
  <c r="O1" i="11" s="1"/>
  <c r="AW8" i="1"/>
  <c r="AI3" i="11" s="1"/>
  <c r="AI1" i="11" s="1"/>
  <c r="BF8" i="1"/>
  <c r="AR3" i="11" s="1"/>
  <c r="AR1" i="11" s="1"/>
  <c r="AA3" i="11"/>
  <c r="L3" i="11" s="1"/>
  <c r="AV1" i="11"/>
  <c r="AX11" i="11"/>
  <c r="AU1" i="11" l="1"/>
  <c r="N3" i="11"/>
  <c r="P3" i="11" s="1"/>
  <c r="AA1" i="11"/>
  <c r="BK8" i="1"/>
  <c r="AX3" i="11" s="1"/>
  <c r="AY3" i="11" s="1"/>
  <c r="V3" i="11" s="1"/>
  <c r="I15" i="40"/>
  <c r="L1" i="11"/>
  <c r="AY11" i="11"/>
  <c r="AD1" i="11"/>
  <c r="N11" i="11"/>
  <c r="AX1" i="11" l="1"/>
  <c r="N1" i="11"/>
  <c r="P11" i="11"/>
  <c r="Q11" i="11" s="1"/>
  <c r="G15" i="40"/>
  <c r="H14" i="40" s="1"/>
  <c r="Q3" i="11"/>
  <c r="AY1" i="11"/>
  <c r="V11" i="11"/>
  <c r="P1" i="11" l="1"/>
  <c r="Q1" i="11"/>
  <c r="H15" i="40"/>
  <c r="I14" i="40" s="1"/>
  <c r="J10" i="40"/>
  <c r="J14" i="40"/>
  <c r="K14" i="40" s="1"/>
  <c r="L14" i="40" s="1"/>
  <c r="D10" i="40" l="1"/>
  <c r="F10" i="40"/>
  <c r="G10" i="40"/>
  <c r="L10" i="40"/>
  <c r="E10" i="40"/>
  <c r="K10" i="40"/>
  <c r="C10" i="40"/>
  <c r="M14" i="40"/>
  <c r="I10" i="40"/>
  <c r="H10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Harjith</author>
    <author>Sakthivel S (Product costing)</author>
    <author>Rajaganapathy P (PD)</author>
  </authors>
  <commentList>
    <comment ref="L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M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N7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O7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P7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Q7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R7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S7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T7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U7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Considered 1/2 of face milling</t>
        </r>
      </text>
    </comment>
    <comment ref="L9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M9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N9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O9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P9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Q9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R9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S9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T9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U9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1/5th of drilling</t>
        </r>
      </text>
    </comment>
    <comment ref="DO25" authorId="1" shapeId="0" xr:uid="{00000000-0006-0000-0300-000015000000}">
      <text>
        <r>
          <rPr>
            <b/>
            <sz val="9"/>
            <color indexed="81"/>
            <rFont val="Tahoma"/>
            <family val="2"/>
          </rPr>
          <t>Sakthivel S (Product costing):</t>
        </r>
        <r>
          <rPr>
            <sz val="9"/>
            <color indexed="81"/>
            <rFont val="Tahoma"/>
            <family val="2"/>
          </rPr>
          <t xml:space="preserve">
https://www.bing.com/search?q=cycle+time+calculation+for+cylinderical+grinding&amp;qs=n&amp;form=QBRE&amp;sp=-1&amp;lq=0&amp;pq=cycle+time+calculation+for+cylinderical+grinding&amp;sc=6-48&amp;sk=&amp;cvid=51226209D1CF4A1389324FA7A8BB689F&amp;ghsh=0&amp;ghacc=0&amp;ghpl=&amp;ntref=1</t>
        </r>
      </text>
    </comment>
    <comment ref="DZ25" authorId="1" shapeId="0" xr:uid="{00000000-0006-0000-0300-000016000000}">
      <text>
        <r>
          <rPr>
            <b/>
            <sz val="9"/>
            <color indexed="81"/>
            <rFont val="Tahoma"/>
            <family val="2"/>
          </rPr>
          <t>Sakthivel S (Product costing):</t>
        </r>
        <r>
          <rPr>
            <sz val="9"/>
            <color indexed="81"/>
            <rFont val="Tahoma"/>
            <family val="2"/>
          </rPr>
          <t xml:space="preserve">
https://www.bing.com/search?q=cycle+time+calculation+for+cylinderical+grinding&amp;qs=n&amp;form=QBRE&amp;sp=-1&amp;lq=0&amp;pq=cycle+time+calculation+for+cylinderical+grinding&amp;sc=6-48&amp;sk=&amp;cvid=51226209D1CF4A1389324FA7A8BB689F&amp;ghsh=0&amp;ghacc=0&amp;ghpl=&amp;ntref=1</t>
        </r>
      </text>
    </comment>
    <comment ref="F30" authorId="2" shapeId="0" xr:uid="{00000000-0006-0000-0300-000017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finished weight of part weight</t>
        </r>
      </text>
    </comment>
    <comment ref="F31" authorId="2" shapeId="0" xr:uid="{00000000-0006-0000-0300-000018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finished weight of part weight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Rajaganapathy P (PD)</author>
  </authors>
  <commentList>
    <comment ref="S1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Allowances:
4xOD for Pipes and Tubes, 4mm cutting/parting allowance for Bar Machining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Harjith</author>
  </authors>
  <commentList>
    <comment ref="G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15% Stripping force
20% Factor of safety</t>
        </r>
      </text>
    </comment>
    <comment ref="H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15% Stripping force
20% Factor of safety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Parthiban C (Product Costing)</author>
    <author>Rajaganapathy P (PD)</author>
  </authors>
  <commentList>
    <comment ref="K4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Parthiban C (Product Costing):</t>
        </r>
        <r>
          <rPr>
            <sz val="9"/>
            <color indexed="81"/>
            <rFont val="Tahoma"/>
            <family val="2"/>
          </rPr>
          <t xml:space="preserve">
1.Inj. Pressure-8kg/mm2
2.</t>
        </r>
      </text>
    </comment>
    <comment ref="D9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Select If needed</t>
        </r>
      </text>
    </comment>
    <comment ref="D10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Select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Rajaganapathy P (PD)</author>
  </authors>
  <commentList>
    <comment ref="S1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Allowances:
4xOD for Pipes and Tubes, 4mm cutting/parting allowance for Bar Machining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santhoshkumar.p</author>
  </authors>
  <commentList>
    <comment ref="G12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santhoshkumar.p:</t>
        </r>
        <r>
          <rPr>
            <sz val="8"/>
            <color indexed="81"/>
            <rFont val="Tahoma"/>
            <family val="2"/>
          </rPr>
          <t xml:space="preserve">
SH : Straight Hose
BH : Bend Hose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Rajaganapathy P (PD)</author>
    <author>Parthiban C (Product Costing)</author>
  </authors>
  <commentList>
    <comment ref="O4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Calculate and Enter Cross Sectional Projected Area</t>
        </r>
      </text>
    </comment>
    <comment ref="Q4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Runner, Sprue and End wastage</t>
        </r>
      </text>
    </comment>
    <comment ref="Q5" authorId="1" shapeId="0" xr:uid="{00000000-0006-0000-1100-000003000000}">
      <text>
        <r>
          <rPr>
            <b/>
            <sz val="9"/>
            <color indexed="81"/>
            <rFont val="Tahoma"/>
            <family val="2"/>
          </rPr>
          <t>Parthiban C (Product Costing):</t>
        </r>
        <r>
          <rPr>
            <sz val="9"/>
            <color indexed="81"/>
            <rFont val="Tahoma"/>
            <family val="2"/>
          </rPr>
          <t xml:space="preserve">
Additional loss considered for larger parts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Harjith</author>
    <author>Parthiban C (Product Costing)</author>
  </authors>
  <commentList>
    <comment ref="AN12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Mould will be used 1000 cycles and taken down for maintenance</t>
        </r>
      </text>
    </comment>
    <comment ref="AR12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2Ton Forklift, 90% utilization</t>
        </r>
      </text>
    </comment>
    <comment ref="BK12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Harjith:</t>
        </r>
        <r>
          <rPr>
            <sz val="9"/>
            <color indexed="81"/>
            <rFont val="Tahoma"/>
            <family val="2"/>
          </rPr>
          <t xml:space="preserve">
10kg raw material bag considered.</t>
        </r>
      </text>
    </comment>
    <comment ref="Q13" authorId="1" shapeId="0" xr:uid="{00000000-0006-0000-1200-000004000000}">
      <text>
        <r>
          <rPr>
            <b/>
            <sz val="9"/>
            <color indexed="81"/>
            <rFont val="Tahoma"/>
            <family val="2"/>
          </rPr>
          <t>Parthiban C (Product Costing):</t>
        </r>
        <r>
          <rPr>
            <sz val="9"/>
            <color indexed="81"/>
            <rFont val="Tahoma"/>
            <family val="2"/>
          </rPr>
          <t xml:space="preserve">
Based on cavoty calculation Tonnage exceeding 4000T so cavity plate size updated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Rajaganapathy P (PD)</author>
  </authors>
  <commentList>
    <comment ref="AG5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 xml:space="preserve">Rajaganapathy P (PD):
Considered:
</t>
        </r>
        <r>
          <rPr>
            <sz val="9"/>
            <color indexed="81"/>
            <rFont val="Tahoma"/>
            <family val="2"/>
          </rPr>
          <t xml:space="preserve">Nozzle Opening 2s
Nozzle Closing 2s
Holding Time 3s </t>
        </r>
      </text>
    </comment>
    <comment ref="AJ5" authorId="0" shapeId="0" xr:uid="{00000000-0006-0000-1300-000002000000}">
      <text>
        <r>
          <rPr>
            <b/>
            <sz val="9"/>
            <color indexed="81"/>
            <rFont val="Tahoma"/>
            <family val="2"/>
          </rPr>
          <t>Rajaganapathy P (PD):</t>
        </r>
        <r>
          <rPr>
            <sz val="9"/>
            <color indexed="81"/>
            <rFont val="Tahoma"/>
            <family val="2"/>
          </rPr>
          <t xml:space="preserve">
Considered 30mm/s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Rajaganapathy P (PD)</author>
  </authors>
  <commentList>
    <comment ref="U2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Parthiban C (Product Costing):</t>
        </r>
        <r>
          <rPr>
            <sz val="9"/>
            <color indexed="81"/>
            <rFont val="Tahoma"/>
            <family val="2"/>
          </rPr>
          <t xml:space="preserve">
1.MHR(buffing machine)-Rs.100
2.Cycle time-2 mins</t>
        </r>
      </text>
    </comment>
  </commentList>
</comments>
</file>

<file path=xl/sharedStrings.xml><?xml version="1.0" encoding="utf-8"?>
<sst xmlns="http://schemas.openxmlformats.org/spreadsheetml/2006/main" count="8858" uniqueCount="2352">
  <si>
    <t>Component Details</t>
  </si>
  <si>
    <t>Database Details</t>
  </si>
  <si>
    <t>Estimation Details</t>
  </si>
  <si>
    <t>Part No</t>
  </si>
  <si>
    <t>RM Base</t>
  </si>
  <si>
    <t>Estimated on</t>
  </si>
  <si>
    <t>Part Rev</t>
  </si>
  <si>
    <t>Process Base</t>
  </si>
  <si>
    <t>Estimated by</t>
  </si>
  <si>
    <t>Descrtiption</t>
  </si>
  <si>
    <t>OH, Profit &amp; Other Base</t>
  </si>
  <si>
    <t>Part type</t>
  </si>
  <si>
    <t>SA DashBoard Trims</t>
  </si>
  <si>
    <t>Cost Head</t>
  </si>
  <si>
    <t>Direct RM Cost</t>
  </si>
  <si>
    <t>Allowance cost</t>
  </si>
  <si>
    <t>BOP cost</t>
  </si>
  <si>
    <t>Total RM cost</t>
  </si>
  <si>
    <t>Process Cost</t>
  </si>
  <si>
    <t>OH</t>
  </si>
  <si>
    <t>Profit</t>
  </si>
  <si>
    <t>Total Basic Cost</t>
  </si>
  <si>
    <t>Amortization</t>
  </si>
  <si>
    <t>Packing Cost</t>
  </si>
  <si>
    <t>Total Cost</t>
  </si>
  <si>
    <t>Amount</t>
  </si>
  <si>
    <t>Ratio</t>
  </si>
  <si>
    <t>Total Weight</t>
  </si>
  <si>
    <t>S.no</t>
  </si>
  <si>
    <t>Parent part No.</t>
  </si>
  <si>
    <t>Level</t>
  </si>
  <si>
    <t>Part No.</t>
  </si>
  <si>
    <t>Rev</t>
  </si>
  <si>
    <t>Parts Description</t>
  </si>
  <si>
    <t>Qty</t>
  </si>
  <si>
    <t>Process Type</t>
  </si>
  <si>
    <t>Scope</t>
  </si>
  <si>
    <t>Method</t>
  </si>
  <si>
    <t>RM / BOF cost</t>
  </si>
  <si>
    <t>Process</t>
  </si>
  <si>
    <t>Surface finish cost Inhouse</t>
  </si>
  <si>
    <t>OH &amp; Others</t>
  </si>
  <si>
    <t>CPU</t>
  </si>
  <si>
    <t>CPA</t>
  </si>
  <si>
    <t>CPSA</t>
  </si>
  <si>
    <t>Remarks</t>
  </si>
  <si>
    <t>Weight</t>
  </si>
  <si>
    <t>Rate/kg</t>
  </si>
  <si>
    <t>Process cost</t>
  </si>
  <si>
    <t>ICC on RM</t>
  </si>
  <si>
    <t>ICC on Conv</t>
  </si>
  <si>
    <t>ICC on BOF</t>
  </si>
  <si>
    <t>Rej on RM</t>
  </si>
  <si>
    <t>Rej on Conv</t>
  </si>
  <si>
    <t>Rej on BOF</t>
  </si>
  <si>
    <t>Inspection on RM</t>
  </si>
  <si>
    <t>Inspection on Conv</t>
  </si>
  <si>
    <t>Inspection on BOP</t>
  </si>
  <si>
    <t>TMC on RM</t>
  </si>
  <si>
    <t>TMC on Conv</t>
  </si>
  <si>
    <t>TMC on BOF</t>
  </si>
  <si>
    <t>Design cost on RM</t>
  </si>
  <si>
    <t>Design cost on Conv</t>
  </si>
  <si>
    <t>Design cost on BOP</t>
  </si>
  <si>
    <t>OH on RM</t>
  </si>
  <si>
    <t>OH on Conv</t>
  </si>
  <si>
    <t>OH on BOP</t>
  </si>
  <si>
    <t>Profit on RM</t>
  </si>
  <si>
    <t>Profit on Conv</t>
  </si>
  <si>
    <t>Profit on BOP</t>
  </si>
  <si>
    <t>MB512123</t>
  </si>
  <si>
    <t>SA DASH BOARD TRIMS SA IP CARRIER WITH REINFORCEMENT</t>
  </si>
  <si>
    <t>Assembly</t>
  </si>
  <si>
    <t>Inhouse</t>
  </si>
  <si>
    <t>CSC</t>
  </si>
  <si>
    <t>FV516568</t>
  </si>
  <si>
    <t>REINFORCEMENT-INTERIOR TRIM -</t>
  </si>
  <si>
    <t>Injection Moulding</t>
  </si>
  <si>
    <t>FC450368</t>
  </si>
  <si>
    <t>COVER-INSTRUMENT PANEL IP Carrier</t>
  </si>
  <si>
    <t xml:space="preserve">Assembly </t>
  </si>
  <si>
    <t>Part Description</t>
  </si>
  <si>
    <t>PROCESS DESCRIPTION</t>
  </si>
  <si>
    <t>Assy Type</t>
  </si>
  <si>
    <t>UOM</t>
  </si>
  <si>
    <t>No. of Opn. As per UOM</t>
  </si>
  <si>
    <t>PARTS PER CYCLE</t>
  </si>
  <si>
    <t>Norms</t>
  </si>
  <si>
    <t>Process cost/Unit</t>
  </si>
  <si>
    <t>Description</t>
  </si>
  <si>
    <t>Cycle time(Sec)</t>
  </si>
  <si>
    <t>MHR</t>
  </si>
  <si>
    <t>Machine rate</t>
  </si>
  <si>
    <t>No. of Labour</t>
  </si>
  <si>
    <t>Labour type</t>
  </si>
  <si>
    <t>Man hour rate</t>
  </si>
  <si>
    <t>Labour rate</t>
  </si>
  <si>
    <t>Assy cost</t>
  </si>
  <si>
    <t>Ultrasonic welding</t>
  </si>
  <si>
    <t>Skilled</t>
  </si>
  <si>
    <t>Cutting speed M/Min</t>
  </si>
  <si>
    <t>Operation</t>
  </si>
  <si>
    <t>Steel</t>
  </si>
  <si>
    <t>SG Iron</t>
  </si>
  <si>
    <t>Cast Iron</t>
  </si>
  <si>
    <t>Aluminium</t>
  </si>
  <si>
    <t>Stainless Steel</t>
  </si>
  <si>
    <t>Brass</t>
  </si>
  <si>
    <t>Bronze</t>
  </si>
  <si>
    <t>Copper</t>
  </si>
  <si>
    <t>Drilling</t>
  </si>
  <si>
    <t>Face Milling</t>
  </si>
  <si>
    <t xml:space="preserve">cylinderal grinding </t>
  </si>
  <si>
    <t>30-40m/min</t>
  </si>
  <si>
    <t>Pocket milling</t>
  </si>
  <si>
    <t>Turning</t>
  </si>
  <si>
    <t>Tapping</t>
  </si>
  <si>
    <t>Boring</t>
  </si>
  <si>
    <t>Hobbing</t>
  </si>
  <si>
    <t>Reference for Cutting speed for grinding</t>
  </si>
  <si>
    <t>Gear Grinding</t>
  </si>
  <si>
    <t>https://www.abrasiveengineering.com/speeds.htm</t>
  </si>
  <si>
    <t>Internal Grinding</t>
  </si>
  <si>
    <t>External Grinding</t>
  </si>
  <si>
    <t>Surface grinding</t>
  </si>
  <si>
    <t>Chamfering</t>
  </si>
  <si>
    <t>Spot facing</t>
  </si>
  <si>
    <t>Cycle Time Calculation Master</t>
  </si>
  <si>
    <t>&lt;--  Select material type from dropdown list</t>
  </si>
  <si>
    <t>&lt;--  Manual input</t>
  </si>
  <si>
    <t>&lt;--  Manual entry</t>
  </si>
  <si>
    <t>Table reciprocating speed 30 M/min (500mm/s) considered</t>
  </si>
  <si>
    <t>Material</t>
  </si>
  <si>
    <t>Machining cost</t>
  </si>
  <si>
    <t>Considered grinding allowance 0.3 &amp; Depth of cut 0.025mm -12 pass</t>
  </si>
  <si>
    <t>Considered grinding allowance 0.2 mm &amp; 4 roughing cut 1 finish cut</t>
  </si>
  <si>
    <t>Part Details</t>
  </si>
  <si>
    <t>Machining Details</t>
  </si>
  <si>
    <t>Machining Parameters</t>
  </si>
  <si>
    <t>Pocket Milling</t>
  </si>
  <si>
    <t>Surface Grinding</t>
  </si>
  <si>
    <t>Machining Type</t>
  </si>
  <si>
    <t>QTY</t>
  </si>
  <si>
    <t>Machine</t>
  </si>
  <si>
    <t>Diameter (Tool/Job)</t>
  </si>
  <si>
    <t>Length</t>
  </si>
  <si>
    <t>Width of job</t>
  </si>
  <si>
    <t>No of pass</t>
  </si>
  <si>
    <t>No of inserts</t>
  </si>
  <si>
    <t>Pitch in mm (Tapping)</t>
  </si>
  <si>
    <t>No. of teeth (Gears)</t>
  </si>
  <si>
    <t>Height of teeth (Gears)</t>
  </si>
  <si>
    <t>Module (Gears)</t>
  </si>
  <si>
    <t>Time in Sec</t>
  </si>
  <si>
    <t>Cost /part</t>
  </si>
  <si>
    <t>TOTAL VALUE ADD</t>
  </si>
  <si>
    <t>REMARKS</t>
  </si>
  <si>
    <t>Final Drill Ø</t>
  </si>
  <si>
    <t>Depth</t>
  </si>
  <si>
    <t>CS</t>
  </si>
  <si>
    <t>RPM</t>
  </si>
  <si>
    <t>Feed mm/rev</t>
  </si>
  <si>
    <t>Time</t>
  </si>
  <si>
    <t>Rapid movement + TC time</t>
  </si>
  <si>
    <t>Total Drilling Time</t>
  </si>
  <si>
    <t>Cutter Ø</t>
  </si>
  <si>
    <t>Width</t>
  </si>
  <si>
    <t>No of insert</t>
  </si>
  <si>
    <t>Total Milling Time</t>
  </si>
  <si>
    <t>Work Ø</t>
  </si>
  <si>
    <t>Turning Length</t>
  </si>
  <si>
    <t>Total Turning Time</t>
  </si>
  <si>
    <t>Nominal Ø of the thread</t>
  </si>
  <si>
    <t>Tapping Depth</t>
  </si>
  <si>
    <t>Pitch in mm</t>
  </si>
  <si>
    <t>Total Tapping Time</t>
  </si>
  <si>
    <t>Hole Ø</t>
  </si>
  <si>
    <t>Hole Length</t>
  </si>
  <si>
    <t>Total Boring Time</t>
  </si>
  <si>
    <t>Blank dia.</t>
  </si>
  <si>
    <t>length of job</t>
  </si>
  <si>
    <t>Height of teeth</t>
  </si>
  <si>
    <t>No. of teeth</t>
  </si>
  <si>
    <t>Module</t>
  </si>
  <si>
    <t>Hob Dia.</t>
  </si>
  <si>
    <t>Total Hobbing Time</t>
  </si>
  <si>
    <t>Gear dia.</t>
  </si>
  <si>
    <t>Cutting speed</t>
  </si>
  <si>
    <t>RPM of wheel</t>
  </si>
  <si>
    <t>Diameter of the wheel</t>
  </si>
  <si>
    <t>Total Grinding Time</t>
  </si>
  <si>
    <t>Diameter of job</t>
  </si>
  <si>
    <t>Length of job</t>
  </si>
  <si>
    <t>Pass</t>
  </si>
  <si>
    <t>Width of wheel</t>
  </si>
  <si>
    <t>CS for workpiece</t>
  </si>
  <si>
    <t>Work RPM</t>
  </si>
  <si>
    <t>Loading to the machine</t>
  </si>
  <si>
    <t>Unloading from the machine</t>
  </si>
  <si>
    <t>Dressing</t>
  </si>
  <si>
    <t>Manual Process</t>
  </si>
  <si>
    <t>Packing, Storage&amp; Despatch</t>
  </si>
  <si>
    <t xml:space="preserve">Don’t edit Cell Filled with Grey colour </t>
  </si>
  <si>
    <t>Fill the cell with Blue Colour if manual input done</t>
  </si>
  <si>
    <t>RM</t>
  </si>
  <si>
    <t>Cells that don't have any fills are required entries</t>
  </si>
  <si>
    <t>BOP</t>
  </si>
  <si>
    <t>Part Number</t>
  </si>
  <si>
    <t>Item Description</t>
  </si>
  <si>
    <t>RM/BOP</t>
  </si>
  <si>
    <t>Material Grade</t>
  </si>
  <si>
    <t>RM Price / Kg (INR)</t>
  </si>
  <si>
    <t>RM Type</t>
  </si>
  <si>
    <t>Length (mm)</t>
  </si>
  <si>
    <t>Width /Ø (mm)</t>
  </si>
  <si>
    <t>Thick (mm)</t>
  </si>
  <si>
    <t>Sheet Length (mm)</t>
  </si>
  <si>
    <t>Sheet Width (mm)</t>
  </si>
  <si>
    <t>Shearing/ Blanking/ Laser cutting</t>
  </si>
  <si>
    <t>Sheet Weight (kg)</t>
  </si>
  <si>
    <t>No of Blanks per sheet</t>
  </si>
  <si>
    <t>Blank weight (Kg)</t>
  </si>
  <si>
    <t>Input Weight (Kg)</t>
  </si>
  <si>
    <t>Total Input Weight (Kg)</t>
  </si>
  <si>
    <t>Finish weight (Kg)</t>
  </si>
  <si>
    <t>Total Finish weight (Kg)</t>
  </si>
  <si>
    <t>Yield</t>
  </si>
  <si>
    <t>Surface Area / Part</t>
  </si>
  <si>
    <t>Total Surface Area (sqm)</t>
  </si>
  <si>
    <t>Total Scrap wt (kg)</t>
  </si>
  <si>
    <t>Scrap mat. Price</t>
  </si>
  <si>
    <t>Recovery%</t>
  </si>
  <si>
    <t>Price per unit (INR)</t>
  </si>
  <si>
    <t>Markup</t>
  </si>
  <si>
    <t>Total Price per Line item (INR)</t>
  </si>
  <si>
    <t>Blank Length Including Scrap Bridge allowance</t>
  </si>
  <si>
    <t>Blank Width Including Scrap Bridge allowance</t>
  </si>
  <si>
    <t>Blanks per sheet</t>
  </si>
  <si>
    <t>Along Length</t>
  </si>
  <si>
    <t>Along Width</t>
  </si>
  <si>
    <t>Blank Length</t>
  </si>
  <si>
    <t>Blank Width</t>
  </si>
  <si>
    <t>No of Blanks along length</t>
  </si>
  <si>
    <t>No of Blanks along width</t>
  </si>
  <si>
    <t>No of Blanks along length for BW</t>
  </si>
  <si>
    <t>No of Blanks along width for BW</t>
  </si>
  <si>
    <t>End bit along length-1250</t>
  </si>
  <si>
    <t>Endbit along width-2500</t>
  </si>
  <si>
    <t>End bit along length for BW-1250</t>
  </si>
  <si>
    <t>Endbit along width for BW-2500</t>
  </si>
  <si>
    <t>No of add blanks case1</t>
  </si>
  <si>
    <t>No of add blanks case2</t>
  </si>
  <si>
    <t>No of add blanks case3</t>
  </si>
  <si>
    <t>No of add blanks case4</t>
  </si>
  <si>
    <t>No of blanks case1</t>
  </si>
  <si>
    <t>No of blanks case2</t>
  </si>
  <si>
    <t>No of blanks case3</t>
  </si>
  <si>
    <t>No of blanks case4</t>
  </si>
  <si>
    <t>Best No of Blanks</t>
  </si>
  <si>
    <t>Min of 1st cut</t>
  </si>
  <si>
    <t>Min of 2nd cut</t>
  </si>
  <si>
    <t>Total cut for 1st shearing</t>
  </si>
  <si>
    <t>PROCESS</t>
  </si>
  <si>
    <t>ITEM DESCRIPTION</t>
  </si>
  <si>
    <t>Cutting / Forming length</t>
  </si>
  <si>
    <t>Press force cutting</t>
  </si>
  <si>
    <t>Press force forming</t>
  </si>
  <si>
    <t>MACHINE TYPE</t>
  </si>
  <si>
    <t>No. of opn</t>
  </si>
  <si>
    <t>Process cost/Assy</t>
  </si>
  <si>
    <t>UTS</t>
  </si>
  <si>
    <t>Block setting</t>
  </si>
  <si>
    <t>Setting, Assembly &amp; Handling</t>
  </si>
  <si>
    <t>Model weight</t>
  </si>
  <si>
    <t>Provided Design</t>
  </si>
  <si>
    <t>30% of  Casting weight</t>
  </si>
  <si>
    <t>Back-up</t>
  </si>
  <si>
    <t>Re-used for melting</t>
  </si>
  <si>
    <t>Sl No</t>
  </si>
  <si>
    <t>Grade</t>
  </si>
  <si>
    <t>Price/
kg</t>
  </si>
  <si>
    <t>Width (mm)</t>
  </si>
  <si>
    <t>Part Thickness (mm)</t>
  </si>
  <si>
    <t>Net Weight (kg)</t>
  </si>
  <si>
    <t>Machining Allowance</t>
  </si>
  <si>
    <t>Cast Weight</t>
  </si>
  <si>
    <t>Others - Gate / Runner / Filler</t>
  </si>
  <si>
    <t>Melt weight (kg)</t>
  </si>
  <si>
    <t>Surcharge/ Burning loss</t>
  </si>
  <si>
    <t>Surcharge/ Burning loss
Cost</t>
  </si>
  <si>
    <t>RM Price</t>
  </si>
  <si>
    <t>Scrap(kg)</t>
  </si>
  <si>
    <t>Scrap rate/kg</t>
  </si>
  <si>
    <t>Scrap realisation %</t>
  </si>
  <si>
    <t>Scrap price</t>
  </si>
  <si>
    <t>Total core Wt. (Kg)</t>
  </si>
  <si>
    <t>Core Material Used</t>
  </si>
  <si>
    <t>Core Cost</t>
  </si>
  <si>
    <t>RM Cost</t>
  </si>
  <si>
    <t>Machining allowance</t>
  </si>
  <si>
    <t>Core weight</t>
  </si>
  <si>
    <t>Operation sequence</t>
  </si>
  <si>
    <t>Opn. description</t>
  </si>
  <si>
    <t>Volume-mm3</t>
  </si>
  <si>
    <t>weight</t>
  </si>
  <si>
    <t>Type</t>
  </si>
  <si>
    <t>Norms 
Rs/Unit</t>
  </si>
  <si>
    <t>Units</t>
  </si>
  <si>
    <t>Cost/part</t>
  </si>
  <si>
    <t>PDC tonnage calculation</t>
  </si>
  <si>
    <t>Cast weight</t>
  </si>
  <si>
    <t>per kg</t>
  </si>
  <si>
    <t>Approx</t>
  </si>
  <si>
    <t>Ref. Machining_Process Sheet</t>
  </si>
  <si>
    <t>Finish weight</t>
  </si>
  <si>
    <t>Surface Protection</t>
  </si>
  <si>
    <t>Fill the cell with Blue Colour if manual intervention</t>
  </si>
  <si>
    <t>Sr.No</t>
  </si>
  <si>
    <t>Bar Machining</t>
  </si>
  <si>
    <t>&lt;-- Select Hose type from dropdown list</t>
  </si>
  <si>
    <t>Hose Type</t>
  </si>
  <si>
    <t>ID in mm</t>
  </si>
  <si>
    <t>Thickness in mm</t>
  </si>
  <si>
    <t>OD in mm</t>
  </si>
  <si>
    <t>Length in mm</t>
  </si>
  <si>
    <t>Cutting allow in mm</t>
  </si>
  <si>
    <t>Total length in mm</t>
  </si>
  <si>
    <t>Volume (cc)</t>
  </si>
  <si>
    <t>Compound Specific Gravity</t>
  </si>
  <si>
    <t>Reinforcement Specific Gravity</t>
  </si>
  <si>
    <t>No. of Plies</t>
  </si>
  <si>
    <t>Gross Weight in Kgs</t>
  </si>
  <si>
    <t>Yarn weight in Kg</t>
  </si>
  <si>
    <t>Net Rubber Weight in Kgs</t>
  </si>
  <si>
    <t>Material price/Kg</t>
  </si>
  <si>
    <t>Compound cost</t>
  </si>
  <si>
    <t>Yarn cost</t>
  </si>
  <si>
    <t>Material cost sub total</t>
  </si>
  <si>
    <t>Allowance Cost</t>
  </si>
  <si>
    <t>Cost</t>
  </si>
  <si>
    <t>&lt;-- Enter Part No Here</t>
  </si>
  <si>
    <t>S.NO</t>
  </si>
  <si>
    <t>MACHINERY COST</t>
  </si>
  <si>
    <t>TOOLING COST</t>
  </si>
  <si>
    <t>LABOUR COST</t>
  </si>
  <si>
    <t>BATCH SET UP COST</t>
  </si>
  <si>
    <t>CYCLE TIME (sec)</t>
  </si>
  <si>
    <t>MMR</t>
  </si>
  <si>
    <t>TOOL COST</t>
  </si>
  <si>
    <t>TOOL LIFECYCLE ( nos. of parts )</t>
  </si>
  <si>
    <t>TOOL COST /  PART</t>
  </si>
  <si>
    <t>FTE</t>
  </si>
  <si>
    <t>LABOR TYPE</t>
  </si>
  <si>
    <t>LABOR RATE PER HR</t>
  </si>
  <si>
    <t>OLE</t>
  </si>
  <si>
    <t>LABOR COST</t>
  </si>
  <si>
    <t/>
  </si>
  <si>
    <t>SETUP TIME (SEC)</t>
  </si>
  <si>
    <t>SKILL TYPE</t>
  </si>
  <si>
    <t>Mixing cost per piece</t>
  </si>
  <si>
    <t>12 rupees per kg</t>
  </si>
  <si>
    <t xml:space="preserve">Inner extrusion cost </t>
  </si>
  <si>
    <t>40 rupees/min; speed of extrusion -4.5m/min</t>
  </si>
  <si>
    <t>Outer extrusion cost</t>
  </si>
  <si>
    <t xml:space="preserve">Braiding cost </t>
  </si>
  <si>
    <t>3 Rs/mtr</t>
  </si>
  <si>
    <t>Id printing cost/pre-cutting/post cutting/washing</t>
  </si>
  <si>
    <t>6 Rs/pc</t>
  </si>
  <si>
    <t>Vulcanizing</t>
  </si>
  <si>
    <t xml:space="preserve"> ( @ Rs.0.03 /cc) inclusive of hose building</t>
  </si>
  <si>
    <t>&lt;--  Select core material type from dropdown list</t>
  </si>
  <si>
    <t>S.No.</t>
  </si>
  <si>
    <t>Part number</t>
  </si>
  <si>
    <t>Revision</t>
  </si>
  <si>
    <t>Part Name</t>
  </si>
  <si>
    <t>Finish Weight (Kg)</t>
  </si>
  <si>
    <t>Cast Weight (Kg)</t>
  </si>
  <si>
    <t>Yeild</t>
  </si>
  <si>
    <t>Core Weight (Kg)</t>
  </si>
  <si>
    <t>Material Rate</t>
  </si>
  <si>
    <t>Other parts</t>
  </si>
  <si>
    <t>Casting Cost</t>
  </si>
  <si>
    <t>Scrap return</t>
  </si>
  <si>
    <t>Direct RM</t>
  </si>
  <si>
    <t>Allowance</t>
  </si>
  <si>
    <t>Total Material Cost</t>
  </si>
  <si>
    <t>Process-Inhouse</t>
  </si>
  <si>
    <t>Process-outsourced</t>
  </si>
  <si>
    <t>ICC (2% on Material Cost)</t>
  </si>
  <si>
    <t>OH on conversion</t>
  </si>
  <si>
    <t xml:space="preserve">Profit </t>
  </si>
  <si>
    <t>Surface finish</t>
  </si>
  <si>
    <t>per part</t>
  </si>
  <si>
    <t>S.No</t>
  </si>
  <si>
    <t>Part no</t>
  </si>
  <si>
    <t>RM price
/kg</t>
  </si>
  <si>
    <t>Scrap Price /kg</t>
  </si>
  <si>
    <t>Finish Weight (kg)</t>
  </si>
  <si>
    <t>Machining &amp; Draft Allowance (kg)</t>
  </si>
  <si>
    <t>Forged Weight (kg)</t>
  </si>
  <si>
    <t>Billet Weight (kg)</t>
  </si>
  <si>
    <t>Input weight (kg)</t>
  </si>
  <si>
    <t>Burning Loss</t>
  </si>
  <si>
    <t>Scrap 
wt(kg)</t>
  </si>
  <si>
    <t>Scrap Reutilization</t>
  </si>
  <si>
    <t>Billet weight</t>
  </si>
  <si>
    <t>Forged weight</t>
  </si>
  <si>
    <t>perkg</t>
  </si>
  <si>
    <t>Quote</t>
  </si>
  <si>
    <t>Finish wt.</t>
  </si>
  <si>
    <t>Process Norms - Calculation Sheet</t>
  </si>
  <si>
    <t>Machine Information</t>
  </si>
  <si>
    <t>Machine Name</t>
  </si>
  <si>
    <t>Ultrasonic welding machine</t>
  </si>
  <si>
    <t>Machine Capacity</t>
  </si>
  <si>
    <t>20KHZ/3000W</t>
  </si>
  <si>
    <t>Process Category</t>
  </si>
  <si>
    <t>Floor Space required</t>
  </si>
  <si>
    <t>Sq. Mtr</t>
  </si>
  <si>
    <t>General Information</t>
  </si>
  <si>
    <t>Depreciation Period</t>
  </si>
  <si>
    <t>Interest Rate</t>
  </si>
  <si>
    <t>Overall Equipment Efficiency</t>
  </si>
  <si>
    <t>Overall Labour Efficiency</t>
  </si>
  <si>
    <t>Floor Space Rent</t>
  </si>
  <si>
    <t>Per Sq.Mtr per Month</t>
  </si>
  <si>
    <t>Skilled Labour Rate/Hour</t>
  </si>
  <si>
    <t>Semi skilled Labour Rate/Hour</t>
  </si>
  <si>
    <t>Unskilled Labour Rate/Hour</t>
  </si>
  <si>
    <t>Capital Cost</t>
  </si>
  <si>
    <t>Details</t>
  </si>
  <si>
    <t>Machine Purchase Cost</t>
  </si>
  <si>
    <t>Installation Charges</t>
  </si>
  <si>
    <t>Other Cost</t>
  </si>
  <si>
    <t>Running Cost</t>
  </si>
  <si>
    <t>Annual Maintenance Cost</t>
  </si>
  <si>
    <t>Consumables</t>
  </si>
  <si>
    <t>Item Details</t>
  </si>
  <si>
    <t>Rate / unit</t>
  </si>
  <si>
    <t>Consumption per year</t>
  </si>
  <si>
    <t>Cost per item</t>
  </si>
  <si>
    <t>Cutting Oil</t>
  </si>
  <si>
    <t>Litre</t>
  </si>
  <si>
    <t>Coolant</t>
  </si>
  <si>
    <t>Cotton waste</t>
  </si>
  <si>
    <t>Kg</t>
  </si>
  <si>
    <t>Auxillary Equipment Cost</t>
  </si>
  <si>
    <t>Cost per item per year</t>
  </si>
  <si>
    <t>Compressor</t>
  </si>
  <si>
    <t>Nos</t>
  </si>
  <si>
    <t>General Tools &amp; Blades</t>
  </si>
  <si>
    <t>Power / Fuel Requirement</t>
  </si>
  <si>
    <t>Type of Power</t>
  </si>
  <si>
    <t>Rate / Unit</t>
  </si>
  <si>
    <t>Comsumption per Hour</t>
  </si>
  <si>
    <t>Per Hour Cost</t>
  </si>
  <si>
    <t>Electricity - Motor power</t>
  </si>
  <si>
    <t>Kw Hr</t>
  </si>
  <si>
    <t>Diesel</t>
  </si>
  <si>
    <t>Furnace Oil</t>
  </si>
  <si>
    <t>Labour Cost</t>
  </si>
  <si>
    <t>Labour Skill</t>
  </si>
  <si>
    <t>Semi skilled</t>
  </si>
  <si>
    <t>Unskilled</t>
  </si>
  <si>
    <t>No of Labour</t>
  </si>
  <si>
    <t>Shift Model</t>
  </si>
  <si>
    <t>Number of shifts</t>
  </si>
  <si>
    <t>Hour of shift</t>
  </si>
  <si>
    <t>Days per Year</t>
  </si>
  <si>
    <t>Net Machine hour per Year</t>
  </si>
  <si>
    <t>Net Fixed Cost per year</t>
  </si>
  <si>
    <t>Net Variable Cost per year</t>
  </si>
  <si>
    <t>Machine Norms</t>
  </si>
  <si>
    <t>Machine Hour Rate</t>
  </si>
  <si>
    <t>Machine Minute Rate</t>
  </si>
  <si>
    <t>Machine Shift Rate</t>
  </si>
  <si>
    <t>Loading time</t>
  </si>
  <si>
    <t>sec</t>
  </si>
  <si>
    <t>Cycle Time/operation (sec)</t>
  </si>
  <si>
    <t>Horn movement time</t>
  </si>
  <si>
    <t>Cost per operation or unit</t>
  </si>
  <si>
    <t>Welding time</t>
  </si>
  <si>
    <t>Weld times typically between 0.1 and 1.0 seconds</t>
  </si>
  <si>
    <t>Batch setup</t>
  </si>
  <si>
    <t>Unloading time</t>
  </si>
  <si>
    <t>Set-up time required in Minutes</t>
  </si>
  <si>
    <t>Batch Set-up cost</t>
  </si>
  <si>
    <t>MATERIAL:</t>
  </si>
  <si>
    <t>Qty
(Nos.)</t>
  </si>
  <si>
    <t>Raw Material</t>
  </si>
  <si>
    <t>Raw material cost / Kg</t>
  </si>
  <si>
    <t>Part weight
(g)</t>
  </si>
  <si>
    <t>Min. Wall Thickness (mm)</t>
  </si>
  <si>
    <t>Projected area of part (mm²)</t>
  </si>
  <si>
    <t>Height (parallel to traverse)</t>
  </si>
  <si>
    <t>Losses
(%)</t>
  </si>
  <si>
    <t>Gross weight
(g)</t>
  </si>
  <si>
    <t>Total RM Cost</t>
  </si>
  <si>
    <t>PP-GF20</t>
  </si>
  <si>
    <t>Clearance (mm)</t>
  </si>
  <si>
    <t>Cavity Plate to Cavity area clearance</t>
  </si>
  <si>
    <t>Part to runner clearance</t>
  </si>
  <si>
    <t>Guide rod to cavity area clearance</t>
  </si>
  <si>
    <t>In between part clearance</t>
  </si>
  <si>
    <t>PROCESS:</t>
  </si>
  <si>
    <t>INJECTION MOLDING</t>
  </si>
  <si>
    <t>MOVEMENT OF RAW MATERIAL</t>
  </si>
  <si>
    <t>MATERIAL INSPECTION</t>
  </si>
  <si>
    <t>INSPECTION, DEBURING AND PACKING</t>
  </si>
  <si>
    <t>MACHINARY COST</t>
  </si>
  <si>
    <t>Process Cost / Part</t>
  </si>
  <si>
    <t>Max. Wall Thickness (mm)</t>
  </si>
  <si>
    <t>Cavity</t>
  </si>
  <si>
    <t>Runner Length</t>
  </si>
  <si>
    <t>Runner Width</t>
  </si>
  <si>
    <t>Runner and Sprue Weight</t>
  </si>
  <si>
    <t>Tonnage</t>
  </si>
  <si>
    <t>Cavity Plate Length</t>
  </si>
  <si>
    <t>Cavity Plate Width</t>
  </si>
  <si>
    <t>M/C COST</t>
  </si>
  <si>
    <t>TOTAL 
VALUE 
ADD</t>
  </si>
  <si>
    <t>VA - Machinery</t>
  </si>
  <si>
    <t>VA - Labour</t>
  </si>
  <si>
    <t>VA - Batch Set Up</t>
  </si>
  <si>
    <t>Grand Total</t>
  </si>
  <si>
    <t>Batch size / month</t>
  </si>
  <si>
    <t>Production worker (Skilled)</t>
  </si>
  <si>
    <t>Movement of raw material</t>
  </si>
  <si>
    <t>Forklift Truck (2 ton)</t>
  </si>
  <si>
    <t>Material Inspection</t>
  </si>
  <si>
    <t>Workplace, manual, simple</t>
  </si>
  <si>
    <t>Tonnage Calculation:</t>
  </si>
  <si>
    <t>Part-Dimension</t>
  </si>
  <si>
    <t>Tooling</t>
  </si>
  <si>
    <t>Clamping force</t>
  </si>
  <si>
    <t>Material selection &amp; properties</t>
  </si>
  <si>
    <t>Flow-path characteristics</t>
  </si>
  <si>
    <t>Shot weight</t>
  </si>
  <si>
    <t>Machine times</t>
  </si>
  <si>
    <t>Runner length</t>
  </si>
  <si>
    <t>Runner width</t>
  </si>
  <si>
    <t>Min. wall thickness</t>
  </si>
  <si>
    <t>Projected part cross-section</t>
  </si>
  <si>
    <t>Runner Cross-section area</t>
  </si>
  <si>
    <t>Tool opening distance</t>
  </si>
  <si>
    <t>Total number of cavities</t>
  </si>
  <si>
    <t>Total projected area of all manifolds</t>
  </si>
  <si>
    <t>Safety margin (min 10% recommended)</t>
  </si>
  <si>
    <t>Viscosity factor</t>
  </si>
  <si>
    <t>Density</t>
  </si>
  <si>
    <t>Max flow path length (nozzle-&gt;sealing)</t>
  </si>
  <si>
    <t>Min wall thickness on flow path</t>
  </si>
  <si>
    <t>Ratio Flow path : wall thickness</t>
  </si>
  <si>
    <t>Applied ratio for cavity pressure</t>
  </si>
  <si>
    <t>Part weight</t>
  </si>
  <si>
    <t>Surcharge</t>
  </si>
  <si>
    <t>Shot volume</t>
  </si>
  <si>
    <t>Machine type</t>
  </si>
  <si>
    <t>Injection time including Nozzle Approach and Retract time and Holding Time</t>
  </si>
  <si>
    <t>Cooling time</t>
  </si>
  <si>
    <t>Part ejection time</t>
  </si>
  <si>
    <t>Mold opening and closing time</t>
  </si>
  <si>
    <t>Total cycle time</t>
  </si>
  <si>
    <t>[mm]</t>
  </si>
  <si>
    <t>[mm²]</t>
  </si>
  <si>
    <t>[-]</t>
  </si>
  <si>
    <t>[%]</t>
  </si>
  <si>
    <t>[kN]</t>
  </si>
  <si>
    <t>[t]</t>
  </si>
  <si>
    <t>[g/mm³]</t>
  </si>
  <si>
    <t>[g]</t>
  </si>
  <si>
    <t>[cm³]</t>
  </si>
  <si>
    <t>[s]</t>
  </si>
  <si>
    <t>LABOUR RATES PER HOUR</t>
  </si>
  <si>
    <t>OTHER DETAILS</t>
  </si>
  <si>
    <t>₹</t>
  </si>
  <si>
    <t>Currency</t>
  </si>
  <si>
    <t>INR</t>
  </si>
  <si>
    <t>Technician / Foreman (Skilled)</t>
  </si>
  <si>
    <t>Diesel Rate</t>
  </si>
  <si>
    <t>Unskilled worker</t>
  </si>
  <si>
    <t>Energy Rate per KW</t>
  </si>
  <si>
    <t>OEE</t>
  </si>
  <si>
    <t>%</t>
  </si>
  <si>
    <t>SHIFT MODELS</t>
  </si>
  <si>
    <t>Nos.</t>
  </si>
  <si>
    <t>Hrs.</t>
  </si>
  <si>
    <t>Depreciation (Yrs.)</t>
  </si>
  <si>
    <t>Yrs.</t>
  </si>
  <si>
    <t>Days per Week</t>
  </si>
  <si>
    <t>Cost of Floor Space (per Sq. m)</t>
  </si>
  <si>
    <t>MACHINERY</t>
  </si>
  <si>
    <t>Weeks per year</t>
  </si>
  <si>
    <t>SR.NO</t>
  </si>
  <si>
    <t>PURCHASE COST</t>
  </si>
  <si>
    <t>MAINTAINENCE COST</t>
  </si>
  <si>
    <t>POWER (KW)</t>
  </si>
  <si>
    <t>AUXILIARY EQUIPMENT</t>
  </si>
  <si>
    <t>FLOOR SPACE (M2)</t>
  </si>
  <si>
    <t>EFFICIENCY/OEE</t>
  </si>
  <si>
    <t xml:space="preserve">DEPRECIATION PERIOD </t>
  </si>
  <si>
    <t>CAPITAL COST</t>
  </si>
  <si>
    <t>FIXED COST</t>
  </si>
  <si>
    <t>NET MACHINE TIME</t>
  </si>
  <si>
    <t>VARIABLE COST</t>
  </si>
  <si>
    <t>KW</t>
  </si>
  <si>
    <t>Mt Sq</t>
  </si>
  <si>
    <t>Hr/year</t>
  </si>
  <si>
    <t>Injection Molding Machine 110 T</t>
  </si>
  <si>
    <t>Injection Molding Machine 150 T</t>
  </si>
  <si>
    <t>Injection Molding Machine 180 T</t>
  </si>
  <si>
    <t>Injection Molding Machine 250 T</t>
  </si>
  <si>
    <t>Injection Molding Machine 320 T</t>
  </si>
  <si>
    <t>Injection Molding Machine 400 T</t>
  </si>
  <si>
    <t>Injection Molding Machine 480 T</t>
  </si>
  <si>
    <t>Injection Molding Machine 550 T</t>
  </si>
  <si>
    <t>Injection Molding Machine 650 T</t>
  </si>
  <si>
    <t>Injection Molding Machine 850 T</t>
  </si>
  <si>
    <t>Injection Molding Machine 1050 T</t>
  </si>
  <si>
    <t>Injection Molding Machine 1450 T</t>
  </si>
  <si>
    <t>Injection Molding Machine 1750 T</t>
  </si>
  <si>
    <t>Injection Molding Machine 2200 T</t>
  </si>
  <si>
    <t>Injection Molding Machine 2750 T</t>
  </si>
  <si>
    <t>Injection Molding Machine 3500 T</t>
  </si>
  <si>
    <t>Injection Molding Machine 4000 T</t>
  </si>
  <si>
    <t>Injection Molding Machine 5000 T</t>
  </si>
  <si>
    <t>Work Bench</t>
  </si>
  <si>
    <t>Crane - 10 ton</t>
  </si>
  <si>
    <t>Trolley (1 ton)</t>
  </si>
  <si>
    <t>Conveyor</t>
  </si>
  <si>
    <t xml:space="preserve">Material </t>
  </si>
  <si>
    <t>₹/Kg</t>
  </si>
  <si>
    <t>Rs/Kg</t>
  </si>
  <si>
    <t>Source</t>
  </si>
  <si>
    <t xml:space="preserve">Valid from </t>
  </si>
  <si>
    <t>PBT</t>
  </si>
  <si>
    <t>From Old template</t>
  </si>
  <si>
    <t>PBT-GF20</t>
  </si>
  <si>
    <t>SS</t>
  </si>
  <si>
    <t>June'22</t>
  </si>
  <si>
    <t>Bimal</t>
  </si>
  <si>
    <t>PBT-GF30</t>
  </si>
  <si>
    <t>PC (transparent)</t>
  </si>
  <si>
    <t>PE</t>
  </si>
  <si>
    <t>PET</t>
  </si>
  <si>
    <t>POM-C</t>
  </si>
  <si>
    <t>PP (white)</t>
  </si>
  <si>
    <t>PPE</t>
  </si>
  <si>
    <t>PS</t>
  </si>
  <si>
    <t>SAN</t>
  </si>
  <si>
    <t>PVC</t>
  </si>
  <si>
    <t>HIPS</t>
  </si>
  <si>
    <t>Jan'17</t>
  </si>
  <si>
    <t>PU</t>
  </si>
  <si>
    <t>NR</t>
  </si>
  <si>
    <t>SBR</t>
  </si>
  <si>
    <t>PC+ABS</t>
  </si>
  <si>
    <t>TPE 70 Shore A</t>
  </si>
  <si>
    <t>ABS sheet</t>
  </si>
  <si>
    <t>ABS Scrap</t>
  </si>
  <si>
    <t>FRP</t>
  </si>
  <si>
    <t>Found</t>
  </si>
  <si>
    <t>NYLON 6</t>
  </si>
  <si>
    <t>NYLON 6 15% MF</t>
  </si>
  <si>
    <t>NYLON 66 GF 30%</t>
  </si>
  <si>
    <t>Assumed as - NYLON 6 15% MF</t>
  </si>
  <si>
    <t>NYLON 66 GREY</t>
  </si>
  <si>
    <t>PP</t>
  </si>
  <si>
    <t>PP-GF30</t>
  </si>
  <si>
    <t>PP+ T20 FILLED</t>
  </si>
  <si>
    <t>PP+EPDM+12% Talc filled</t>
  </si>
  <si>
    <t>DELRIN</t>
  </si>
  <si>
    <t>PPCP</t>
  </si>
  <si>
    <t>CELKON M90</t>
  </si>
  <si>
    <t>HDPE</t>
  </si>
  <si>
    <t>LDPE</t>
  </si>
  <si>
    <t>PMMA</t>
  </si>
  <si>
    <t>TPE</t>
  </si>
  <si>
    <t>Polyester</t>
  </si>
  <si>
    <t>Gelcoat</t>
  </si>
  <si>
    <t>CSM glass-E</t>
  </si>
  <si>
    <t>Catalyst</t>
  </si>
  <si>
    <t>Accelerator</t>
  </si>
  <si>
    <t>Pigment</t>
  </si>
  <si>
    <t>Releasing Agent</t>
  </si>
  <si>
    <t>Consumable</t>
  </si>
  <si>
    <t>PCR GF30%</t>
  </si>
  <si>
    <t>PPS</t>
  </si>
  <si>
    <t>ABS Granules</t>
  </si>
  <si>
    <t>EPDM</t>
  </si>
  <si>
    <t>Material grade</t>
  </si>
  <si>
    <t>RM Rate</t>
  </si>
  <si>
    <t>Net weight Kg</t>
  </si>
  <si>
    <t>Gross weight</t>
  </si>
  <si>
    <t>RM cost</t>
  </si>
  <si>
    <t>Moulding machine tonnage</t>
  </si>
  <si>
    <t>Heating platen length</t>
  </si>
  <si>
    <t>Heating platen width</t>
  </si>
  <si>
    <t>part
 Length</t>
  </si>
  <si>
    <t>part
 Width</t>
  </si>
  <si>
    <t>No. of cavities</t>
  </si>
  <si>
    <t>Cycle time/part</t>
  </si>
  <si>
    <t>No. of parts /shift</t>
  </si>
  <si>
    <t>Moulding cost/shift</t>
  </si>
  <si>
    <t>Moulding cost/piece</t>
  </si>
  <si>
    <t>Buffing &amp; Cleaning</t>
  </si>
  <si>
    <t>Inspection charges</t>
  </si>
  <si>
    <t>Rubber Compression Molding Machine(Column Type) - PAN STONE HYDRAULIC INDUS. CO. LTD.</t>
  </si>
  <si>
    <t>Clamping Force (ton)</t>
  </si>
  <si>
    <t>Main Ram Diamter (mm)</t>
  </si>
  <si>
    <t>Heating Platen Size (mm)</t>
  </si>
  <si>
    <t>Bolster Plate (mm)</t>
  </si>
  <si>
    <t>Stroke of Main Ram (mm)</t>
  </si>
  <si>
    <t>Daylight (mm)</t>
  </si>
  <si>
    <t>Power Consiption (single) (Kw)</t>
  </si>
  <si>
    <t>Power Consiption (double) (Kw)</t>
  </si>
  <si>
    <t>Ø250</t>
  </si>
  <si>
    <t>405x430</t>
  </si>
  <si>
    <t>included</t>
  </si>
  <si>
    <t>Ø300</t>
  </si>
  <si>
    <t>450x480</t>
  </si>
  <si>
    <t>Ø355</t>
  </si>
  <si>
    <t>505x510</t>
  </si>
  <si>
    <t>Ø400</t>
  </si>
  <si>
    <t>570x610</t>
  </si>
  <si>
    <t>Ø457.2</t>
  </si>
  <si>
    <t>700x700</t>
  </si>
  <si>
    <t>Ø560</t>
  </si>
  <si>
    <t>850x850</t>
  </si>
  <si>
    <t>1000x1000</t>
  </si>
  <si>
    <t>Heating platen cavity length</t>
  </si>
  <si>
    <t>Heating platen cavity width</t>
  </si>
  <si>
    <t>cavity Length</t>
  </si>
  <si>
    <t>cavity Width</t>
  </si>
  <si>
    <t>No of cavity along length</t>
  </si>
  <si>
    <t>No of cavity along width</t>
  </si>
  <si>
    <t>No of cavity along length for BW</t>
  </si>
  <si>
    <t>No of cavity along width for BW</t>
  </si>
  <si>
    <t>End bit along length for BW - 1250</t>
  </si>
  <si>
    <t>Endbit along width for BW - 2500</t>
  </si>
  <si>
    <t>No of add cavity case1</t>
  </si>
  <si>
    <t>No of add cavity case2</t>
  </si>
  <si>
    <t>No of add cavity case3</t>
  </si>
  <si>
    <t>No of add cavity case4</t>
  </si>
  <si>
    <t>No of cavities case1</t>
  </si>
  <si>
    <t>No of cavities case2</t>
  </si>
  <si>
    <t>No of cavities case3</t>
  </si>
  <si>
    <t>No of cavities case4</t>
  </si>
  <si>
    <t>Best No of cavities</t>
  </si>
  <si>
    <t>Size OD (Inch)</t>
  </si>
  <si>
    <t>Size OD(mm)</t>
  </si>
  <si>
    <t>Thk (mm)</t>
  </si>
  <si>
    <t>Finished Dev. Length (mm)</t>
  </si>
  <si>
    <t>Holding allowance, mm</t>
  </si>
  <si>
    <t>Gross Dev Length (mm)</t>
  </si>
  <si>
    <t>Gr Length - Total (mm)</t>
  </si>
  <si>
    <t>Weight / Part (Kg)</t>
  </si>
  <si>
    <t>End bit wastage, mm</t>
  </si>
  <si>
    <t>End bit wastage, %</t>
  </si>
  <si>
    <t>Final end wastage</t>
  </si>
  <si>
    <t>Final End bit wastage, %</t>
  </si>
  <si>
    <t>No of pipes (nos)/Std pipe</t>
  </si>
  <si>
    <t>Basic Rate (Rs /Mtr)</t>
  </si>
  <si>
    <t>Gr Cost (Rs)</t>
  </si>
  <si>
    <t>Total Scrap (mm)</t>
  </si>
  <si>
    <t>Scrap Wt (kg)</t>
  </si>
  <si>
    <t>Scrap Rate(Rs /kg)</t>
  </si>
  <si>
    <t>Scrap cost (Rs)</t>
  </si>
  <si>
    <t>Total RM Rate(Rs)</t>
  </si>
  <si>
    <t>Exhaust Pipe Cutting Ø 63.5 - 101</t>
  </si>
  <si>
    <t>Exhaust Pipe Sizing Ø 63.5 - 101</t>
  </si>
  <si>
    <t>Exhaust Pipe Bending Ø 63.5 - 101</t>
  </si>
  <si>
    <t>Exhaust Pipe Drilling &amp; Deburring</t>
  </si>
  <si>
    <t>Exhaust Pipe Slotting</t>
  </si>
  <si>
    <t>Exhaust Pipe Flaring Ø 63.5 - 101</t>
  </si>
  <si>
    <t>Exhaust Pipe Squeezing Ø 63.5 - 101</t>
  </si>
  <si>
    <t>Exhaust Pipe Cleaning Ø 63.5 - 101</t>
  </si>
  <si>
    <t>Exhaust Pipe Leak testing Ø 63.5 - 101</t>
  </si>
  <si>
    <t>Exhaust Pipe Angle cutting Ø 63.5 - 101</t>
  </si>
  <si>
    <t>Exhaust Pipe Name punching</t>
  </si>
  <si>
    <t>Exhaust Pipe Welding</t>
  </si>
  <si>
    <t>Exhaust Pipe Surface Treatment</t>
  </si>
  <si>
    <t>Conversion Cost</t>
  </si>
  <si>
    <t>Parent Part No</t>
  </si>
  <si>
    <t>Pipe Cuttting (No's)</t>
  </si>
  <si>
    <t>Sizing (No's)</t>
  </si>
  <si>
    <t>Bending (No's)</t>
  </si>
  <si>
    <t>Drilling / Deburring (No's)</t>
  </si>
  <si>
    <t>Slots (No's)</t>
  </si>
  <si>
    <t>Flaring (No's)</t>
  </si>
  <si>
    <t>Squeezing / Expansion (No's)</t>
  </si>
  <si>
    <t>Angle cutting (No's)</t>
  </si>
  <si>
    <t>Total Welding (Mtr's)</t>
  </si>
  <si>
    <t>Pipe Cutting / Trimming / Finishing / Deburring / Oiling</t>
  </si>
  <si>
    <t>Sizing</t>
  </si>
  <si>
    <t>Bending</t>
  </si>
  <si>
    <t>Drilling / Deburring</t>
  </si>
  <si>
    <t>Slotting</t>
  </si>
  <si>
    <t>Flaring</t>
  </si>
  <si>
    <t>Squeezing on four post press</t>
  </si>
  <si>
    <t>Cleaning</t>
  </si>
  <si>
    <t>Leak Testing</t>
  </si>
  <si>
    <t>Angle Cutting</t>
  </si>
  <si>
    <t>Name Punching</t>
  </si>
  <si>
    <t>Welding</t>
  </si>
  <si>
    <t>Surface Treatment</t>
  </si>
  <si>
    <t>CDS 12.7 MM OD X 1.6 THK</t>
  </si>
  <si>
    <t>CDS 15.88 MM OD X 1.6 THK</t>
  </si>
  <si>
    <t>CDS 19.05 MM OD X 1.6 THK</t>
  </si>
  <si>
    <t>CDS 22.225 dia</t>
  </si>
  <si>
    <t>ACMS 12.7 dia</t>
  </si>
  <si>
    <t>ACMS 15.87 dia</t>
  </si>
  <si>
    <t>ACMS 19.05 dia</t>
  </si>
  <si>
    <t>ACMS 22.225 dia</t>
  </si>
  <si>
    <t>ERW 12.7 dia</t>
  </si>
  <si>
    <t>ERW 15.87 dia</t>
  </si>
  <si>
    <t>ERW 19.05 dia</t>
  </si>
  <si>
    <t>ERW 22.225 dia</t>
  </si>
  <si>
    <t>ERW 25.4 dia</t>
  </si>
  <si>
    <t>CEW</t>
  </si>
  <si>
    <t>SS 439</t>
  </si>
  <si>
    <t>ALCOSTA</t>
  </si>
  <si>
    <t>SS 304 - Pipe</t>
  </si>
  <si>
    <t>AISI 316-Ø6.35X1.2</t>
  </si>
  <si>
    <t>ST 52.4-Ø6.35X1.2</t>
  </si>
  <si>
    <t>ERW</t>
  </si>
  <si>
    <t>CDS 6.35 MM OD X 1.8 THK</t>
  </si>
  <si>
    <t>CDS 10 MM OD X 1 THK</t>
  </si>
  <si>
    <t>CDS 8 MM OD X 1 THK</t>
  </si>
  <si>
    <t>BUNDY-S/W 6.35 MM OD X 0.7 THK</t>
  </si>
  <si>
    <t>BUNDY-D/W 6.35 MM OD X 0.7 THK</t>
  </si>
  <si>
    <t>BUNDY-S/W 9.53 MM OD X 1.6 THK</t>
  </si>
  <si>
    <t>BUNDY-S/W 4.76 MM OD X 0.7 THK</t>
  </si>
  <si>
    <t>SS439 63.5 MM OD X 1.5 THK</t>
  </si>
  <si>
    <t>SS439 76.2 MM OD X 1.5 THK</t>
  </si>
  <si>
    <t>SS439 88.9 MM OD X 1.5 THK</t>
  </si>
  <si>
    <t>SS439 101.6 MM OD X 1.5 THK</t>
  </si>
  <si>
    <t>ACMS 63.5 MM OD X 1.5 THK</t>
  </si>
  <si>
    <t>ACMS 76.2 MM OD X 1.5 THK</t>
  </si>
  <si>
    <t>ACMS 88.9 MM OD X 1.5 THK</t>
  </si>
  <si>
    <t>ACMS 101.6 MM OD X 1.5 THK</t>
  </si>
  <si>
    <t>SS321 - Pipe</t>
  </si>
  <si>
    <t>SCRAP COST - ACMS PIPE</t>
  </si>
  <si>
    <t>SCRAP COST - ALL OTHER PIPES</t>
  </si>
  <si>
    <t>ST 52.4-Ø6.35X2</t>
  </si>
  <si>
    <t>Ø4.76x 0.7 Cr3(Zn+Cr3)</t>
  </si>
  <si>
    <t xml:space="preserve">6.35*0.70 Cu  Zn+ Cr+3 TDW </t>
  </si>
  <si>
    <t>Ø10.00x 0.71 Cr3(Zn+Cr3)</t>
  </si>
  <si>
    <t>SS439-KUMA-CHENNAI 63.5 MM OD X 1.5 THK</t>
  </si>
  <si>
    <t>SS439-KUMA-CHENNAI 76.2 MM OD X 1.5 THK</t>
  </si>
  <si>
    <t>SS439-KUMA-CHENNAI 88.9 MM OD X 1.5 THK</t>
  </si>
  <si>
    <t>SS439-KUMA-CHENNAI 101.6 MM OD X 1.5 THK</t>
  </si>
  <si>
    <t>SS439-KUMA-HSR 63.5 MM OD X 1.5 THK</t>
  </si>
  <si>
    <t>SS439-KUMA-HSR 76.2 MM OD X 1.5 THK</t>
  </si>
  <si>
    <t>SS439-KUMA-HSR 88.9 MM OD X 1.5 THK</t>
  </si>
  <si>
    <t>SS439-KUMA-HSR 101.6 MM OD X 1.5 THK</t>
  </si>
  <si>
    <t>SS439-KUMA-PNR 63.5 MM OD X 1.5 THK</t>
  </si>
  <si>
    <t>SS439-KUMA-PNR 76.2 MM OD X 1.5 THK</t>
  </si>
  <si>
    <t>SS439-KUMA-PNR 88.9 MM OD X 1.5 THK</t>
  </si>
  <si>
    <t>SS439-KUMA-PNR 101.6 MM OD X 1.5 THK</t>
  </si>
  <si>
    <t>S. No</t>
  </si>
  <si>
    <t>Category</t>
  </si>
  <si>
    <t>Rate</t>
  </si>
  <si>
    <t>Effective From</t>
  </si>
  <si>
    <t>Updated on</t>
  </si>
  <si>
    <t>Section/remarks</t>
  </si>
  <si>
    <t>Scrap rate</t>
  </si>
  <si>
    <t>Identification No.</t>
  </si>
  <si>
    <t>ProcessCategory</t>
  </si>
  <si>
    <t>Sc1</t>
  </si>
  <si>
    <t>OH Type</t>
  </si>
  <si>
    <t>Inspection on BOF</t>
  </si>
  <si>
    <t>Design cost on BOF</t>
  </si>
  <si>
    <t>OH on BOF</t>
  </si>
  <si>
    <t>Profit on BOF</t>
  </si>
  <si>
    <t>Warranty Cost</t>
  </si>
  <si>
    <t>Inbound logistics</t>
  </si>
  <si>
    <t>Sheet Metal-A</t>
  </si>
  <si>
    <t>Sheet Metal-B</t>
  </si>
  <si>
    <t>Sheet Metal-C</t>
  </si>
  <si>
    <t>Aluminium Casting</t>
  </si>
  <si>
    <t>Hoses</t>
  </si>
  <si>
    <t>Castings</t>
  </si>
  <si>
    <t>Forgings</t>
  </si>
  <si>
    <t>Modular Hoses</t>
  </si>
  <si>
    <t>Noise Shield</t>
  </si>
  <si>
    <t>Load Body</t>
  </si>
  <si>
    <t>Rear Axle</t>
  </si>
  <si>
    <t>Compressor hose</t>
  </si>
  <si>
    <t>Steering pipe</t>
  </si>
  <si>
    <t>Compression Moulding</t>
  </si>
  <si>
    <t>AMT</t>
  </si>
  <si>
    <t>Kromex</t>
  </si>
  <si>
    <t>SMC</t>
  </si>
  <si>
    <t>Exhaust Pipe</t>
  </si>
  <si>
    <t>Blank length</t>
  </si>
  <si>
    <t>Blank width</t>
  </si>
  <si>
    <t>Blank thickness</t>
  </si>
  <si>
    <t>Input dimensions and material data</t>
  </si>
  <si>
    <t>Multiple c</t>
  </si>
  <si>
    <t>Blank Thickness</t>
  </si>
  <si>
    <t>Cutting length</t>
  </si>
  <si>
    <t>High tensile strength</t>
  </si>
  <si>
    <t xml:space="preserve">Forming Perimeter </t>
  </si>
  <si>
    <t>Thickness of metal sheet</t>
  </si>
  <si>
    <t>Sheet Weight</t>
  </si>
  <si>
    <t>Blank Weight</t>
  </si>
  <si>
    <t>Scrap Weight</t>
  </si>
  <si>
    <t>No of blanks</t>
  </si>
  <si>
    <t>Sheet Width</t>
  </si>
  <si>
    <t>Number of tools</t>
  </si>
  <si>
    <t>Medium tensile strength</t>
  </si>
  <si>
    <t>Tensile strength</t>
  </si>
  <si>
    <t>[N/mm²]</t>
  </si>
  <si>
    <t xml:space="preserve">Ultimate Tensile Strength </t>
  </si>
  <si>
    <t>Sheet Length</t>
  </si>
  <si>
    <t>Low tensile strength</t>
  </si>
  <si>
    <t>Sheet Scrap for each Blank</t>
  </si>
  <si>
    <t>No of Blanks</t>
  </si>
  <si>
    <t>Output parameters</t>
  </si>
  <si>
    <t>Cutting force</t>
  </si>
  <si>
    <t>Press force (incl. 10% safety)</t>
  </si>
  <si>
    <t>No Of Blanks</t>
  </si>
  <si>
    <t>Min</t>
  </si>
  <si>
    <t>Max</t>
  </si>
  <si>
    <t>3rd quo</t>
  </si>
  <si>
    <t>IS2062</t>
  </si>
  <si>
    <t>E250</t>
  </si>
  <si>
    <t>IS2062 E350</t>
  </si>
  <si>
    <t>BSK46</t>
  </si>
  <si>
    <t>YS550</t>
  </si>
  <si>
    <t>YS700</t>
  </si>
  <si>
    <t>Bending v-shape</t>
  </si>
  <si>
    <t>IS1079D</t>
  </si>
  <si>
    <t>Input material and dimensions</t>
  </si>
  <si>
    <t>Width of v-die</t>
  </si>
  <si>
    <t>IS 513 D</t>
  </si>
  <si>
    <t>Fillet Size</t>
  </si>
  <si>
    <t>INR/Mtr</t>
  </si>
  <si>
    <t>Bending length</t>
  </si>
  <si>
    <t>Multiple</t>
  </si>
  <si>
    <t>No of tackwelds</t>
  </si>
  <si>
    <t>IS 513 EDD</t>
  </si>
  <si>
    <t>Force</t>
  </si>
  <si>
    <t>Full weld length for each (approx)(mm)</t>
  </si>
  <si>
    <t>IS 513 IF</t>
  </si>
  <si>
    <t>Total weld length (m)</t>
  </si>
  <si>
    <t>SPRC40</t>
  </si>
  <si>
    <t>Bending edge</t>
  </si>
  <si>
    <t>Fillet Length(mm)</t>
  </si>
  <si>
    <t>Welding wire rate (rs/kg)</t>
  </si>
  <si>
    <t>Wire consumption (kg/m)</t>
  </si>
  <si>
    <t>Wire consumed</t>
  </si>
  <si>
    <t>Bending u-shape w/o support</t>
  </si>
  <si>
    <t>Price</t>
  </si>
  <si>
    <t>Bending u-shape with support</t>
  </si>
  <si>
    <t>Welding wire rate (rs/m)</t>
  </si>
  <si>
    <r>
      <t xml:space="preserve">Flat blank Length of bend component  </t>
    </r>
    <r>
      <rPr>
        <b/>
        <sz val="12"/>
        <color rgb="FF0000FF"/>
        <rFont val="Calibri"/>
        <family val="2"/>
        <scheme val="minor"/>
      </rPr>
      <t>L = (a-R-S) + (b-R-S) + (R+q*S/2) ×(π*A/180)</t>
    </r>
  </si>
  <si>
    <t>a,b - Side length</t>
  </si>
  <si>
    <t>R - Internal bend radius</t>
  </si>
  <si>
    <t>A -  Bend angle (in degrees)</t>
  </si>
  <si>
    <t>S - Sheet thickness</t>
  </si>
  <si>
    <t xml:space="preserve">q  - Correction factor </t>
  </si>
  <si>
    <t>a</t>
  </si>
  <si>
    <t>b</t>
  </si>
  <si>
    <t>R</t>
  </si>
  <si>
    <t>S</t>
  </si>
  <si>
    <t>A</t>
  </si>
  <si>
    <t>q</t>
  </si>
  <si>
    <t>c</t>
  </si>
  <si>
    <t>Round</t>
  </si>
  <si>
    <t>Ø</t>
  </si>
  <si>
    <t>Sheet</t>
  </si>
  <si>
    <t>Rectangle</t>
  </si>
  <si>
    <t>Triangle</t>
  </si>
  <si>
    <t>Circular segment</t>
  </si>
  <si>
    <t>Ө</t>
  </si>
  <si>
    <t>Right angle triangle</t>
  </si>
  <si>
    <t>Side A</t>
  </si>
  <si>
    <t>Side B</t>
  </si>
  <si>
    <t>Hypotenuse</t>
  </si>
  <si>
    <t>Side</t>
  </si>
  <si>
    <t>Don't Add or Removed Columns only change values in Row wise</t>
  </si>
  <si>
    <t>Cavity Plate Area</t>
  </si>
  <si>
    <t>Viscosity Grade (Relative)</t>
  </si>
  <si>
    <t>Cooling Time for Materials</t>
  </si>
  <si>
    <t>Machine Tonnage</t>
  </si>
  <si>
    <t>Injection rate cc/s</t>
  </si>
  <si>
    <t>injection time(g/sec)</t>
  </si>
  <si>
    <t>Min. traverse path</t>
  </si>
  <si>
    <t>Density (g/cm³)</t>
  </si>
  <si>
    <t>The Density Of Plastics | The Complete Guide - PlasticRanger</t>
  </si>
  <si>
    <t>Density of Plastics Material: Technical Properties Table (specialchem.com)</t>
  </si>
  <si>
    <t>The densities of all 3D printing materials - Bitfab</t>
  </si>
  <si>
    <t>- ABS: 1.05 ¹</t>
  </si>
  <si>
    <t>Injection Molding Machine 40 T</t>
  </si>
  <si>
    <t>ABS</t>
  </si>
  <si>
    <t>Provided</t>
  </si>
  <si>
    <t>Less than 50 T</t>
  </si>
  <si>
    <t>200 T to 250 T</t>
  </si>
  <si>
    <t>Ramp up/down</t>
  </si>
  <si>
    <t>Based on PBT</t>
  </si>
  <si>
    <t>Polymer Name</t>
  </si>
  <si>
    <t>Min Value (g/cm3)</t>
  </si>
  <si>
    <t>Max Value (g/cm3)</t>
  </si>
  <si>
    <t>- ASA: 1.07 ¹</t>
  </si>
  <si>
    <t>Injection Molding Machine 80 T</t>
  </si>
  <si>
    <t>50 T to 110 T</t>
  </si>
  <si>
    <t>250 T to 300 T</t>
  </si>
  <si>
    <t>Max speed</t>
  </si>
  <si>
    <t>[mm/s]</t>
  </si>
  <si>
    <t>Based on PBT-GF20</t>
  </si>
  <si>
    <t>ABS – Acrylonitrile Butadiene Styrene</t>
  </si>
  <si>
    <t>- BDS: 1.25 ¹</t>
  </si>
  <si>
    <t>Pressure [bar]</t>
  </si>
  <si>
    <t>Ratio: Length/wallthickness</t>
  </si>
  <si>
    <t>Injection time</t>
  </si>
  <si>
    <t>Viscosity</t>
  </si>
  <si>
    <t>110 T to 150 T</t>
  </si>
  <si>
    <t xml:space="preserve">Acceleration </t>
  </si>
  <si>
    <t>[mm/s²]</t>
  </si>
  <si>
    <t>Based on PBT-GF30</t>
  </si>
  <si>
    <t>ABS Flame Retardent</t>
  </si>
  <si>
    <t>- CAB: 1.18 ¹</t>
  </si>
  <si>
    <r>
      <t>Injection volume in cm</t>
    </r>
    <r>
      <rPr>
        <b/>
        <i/>
        <sz val="12"/>
        <rFont val="Calibri"/>
        <family val="2"/>
        <scheme val="minor"/>
      </rPr>
      <t>³</t>
    </r>
  </si>
  <si>
    <t>Low</t>
  </si>
  <si>
    <t>mid</t>
  </si>
  <si>
    <t>high</t>
  </si>
  <si>
    <t>Provided (PC)</t>
  </si>
  <si>
    <t>150 T to 180 T</t>
  </si>
  <si>
    <t>Based on PC</t>
  </si>
  <si>
    <t>ABS High Heat</t>
  </si>
  <si>
    <t>- EVA: 0.93 ¹</t>
  </si>
  <si>
    <t>Wall thickness in mm</t>
  </si>
  <si>
    <t>min</t>
  </si>
  <si>
    <t>max</t>
  </si>
  <si>
    <t>applied</t>
  </si>
  <si>
    <t>180 T to 250 T</t>
  </si>
  <si>
    <t>Acceleration + deceleration (max)</t>
  </si>
  <si>
    <t>Linear motion</t>
  </si>
  <si>
    <t>Based on PE</t>
  </si>
  <si>
    <t>ABS High Impact</t>
  </si>
  <si>
    <t>- GPS: 1.25 ¹</t>
  </si>
  <si>
    <t>Based on PETP</t>
  </si>
  <si>
    <t>250 T to 320 T</t>
  </si>
  <si>
    <t>Based on PET</t>
  </si>
  <si>
    <t>ABS/PC Blend – Acrylonitrile Butadiene Styrene/Polycarbonate Blend</t>
  </si>
  <si>
    <t>- HIPS: 1.04 ¹</t>
  </si>
  <si>
    <t>Based on POM</t>
  </si>
  <si>
    <t>320 T to 400 T</t>
  </si>
  <si>
    <t>ABS/PC Blend 20% Glass Fiber</t>
  </si>
  <si>
    <t>- PBT: 1.31 ¹</t>
  </si>
  <si>
    <t>Based on PP</t>
  </si>
  <si>
    <t>PA66</t>
  </si>
  <si>
    <t>400 T to 480 T</t>
  </si>
  <si>
    <t>ABS/PC Flame Retardant</t>
  </si>
  <si>
    <t>- PC: 1.20 ¹</t>
  </si>
  <si>
    <t>PC</t>
  </si>
  <si>
    <t>480 T to 550 T</t>
  </si>
  <si>
    <t>Based on PP-GF20</t>
  </si>
  <si>
    <t>X`</t>
  </si>
  <si>
    <t>- PC/ABS: 1.20 ¹</t>
  </si>
  <si>
    <t>Based on PEI</t>
  </si>
  <si>
    <t xml:space="preserve"> 550 T to 650 T</t>
  </si>
  <si>
    <t>Based on PPE</t>
  </si>
  <si>
    <t>ASA/PC Blend – Acrylonitrile Styrene Acrylate/Polycarbonate Blend</t>
  </si>
  <si>
    <t>- PEEK: 1.32 ¹</t>
  </si>
  <si>
    <t>POM</t>
  </si>
  <si>
    <t>650 T to 850 T</t>
  </si>
  <si>
    <t>Based on PS</t>
  </si>
  <si>
    <t>CA – Cellulose Acetate</t>
  </si>
  <si>
    <t>- PEL: 1.14 ¹</t>
  </si>
  <si>
    <t>1050 T to 1450 T</t>
  </si>
  <si>
    <t>Based on SAN</t>
  </si>
  <si>
    <t>CAB – Cellulose Acetate Butyrate</t>
  </si>
  <si>
    <t>- PET: 1.38 ¹</t>
  </si>
  <si>
    <t>Based on PPVC</t>
  </si>
  <si>
    <t>PVC (soft)</t>
  </si>
  <si>
    <t>1750 T to 2200 T</t>
  </si>
  <si>
    <t>Based on PVC</t>
  </si>
  <si>
    <t>CPVC – Chlorinated Polyvinyl Chloride</t>
  </si>
  <si>
    <t>- PMMA: 1.18 ¹</t>
  </si>
  <si>
    <t>PVC(hard)</t>
  </si>
  <si>
    <t>2200 T to 2750 T</t>
  </si>
  <si>
    <t>Based on HIPS</t>
  </si>
  <si>
    <t>ETFE – Ethylene Tetrafluoroethylene</t>
  </si>
  <si>
    <t>- POM: 1.41 ¹</t>
  </si>
  <si>
    <t>Based on TPU</t>
  </si>
  <si>
    <t>2750 T to 3500 T</t>
  </si>
  <si>
    <t>Based on PU</t>
  </si>
  <si>
    <t>EVA – Ethylene Vinyl Acetate</t>
  </si>
  <si>
    <t>- PP: 0.91 ¹</t>
  </si>
  <si>
    <t>Similar to PUR</t>
  </si>
  <si>
    <t>3500 T to 4000 T</t>
  </si>
  <si>
    <t>Based on NR</t>
  </si>
  <si>
    <t>EVOH – Ethylene Vinyl Alcohol</t>
  </si>
  <si>
    <t>- PPS: 1.35 ¹</t>
  </si>
  <si>
    <t>Based on SBR</t>
  </si>
  <si>
    <t>HDPE – High-Density Polyethylene</t>
  </si>
  <si>
    <t>- PSU Fiber Glass: 1.40 ¹</t>
  </si>
  <si>
    <t>Based on PC+ABS</t>
  </si>
  <si>
    <t>HIPS – High Impact Polystyrene</t>
  </si>
  <si>
    <t>- PUR: 1.20 ¹</t>
  </si>
  <si>
    <t>Similar to TPU</t>
  </si>
  <si>
    <t>Based on TPE 70 Shore A</t>
  </si>
  <si>
    <t>HIPS Flame Retardant V0</t>
  </si>
  <si>
    <t>- SAN: 1.07 ¹</t>
  </si>
  <si>
    <t>Based on ABS</t>
  </si>
  <si>
    <t>LDPE – Low-Density Polyethylene</t>
  </si>
  <si>
    <t>- UPVC: 1.38 ¹</t>
  </si>
  <si>
    <t>LLDPE – Linear Low-Density Polyethylene</t>
  </si>
  <si>
    <t>Source: Conversation with Bing, 20/11/2023</t>
  </si>
  <si>
    <t>Based on ADD FIBER GLASS</t>
  </si>
  <si>
    <t>Based on FRP</t>
  </si>
  <si>
    <t>PA 11 – (Polyamide 11) 30% Glass fiber reinforced</t>
  </si>
  <si>
    <t>(1) Density of Plastics Material: Technical Properties Table - Omnexus. https://omnexus.specialchem.com/polymer-properties/properties/density.</t>
  </si>
  <si>
    <t>Based on PA</t>
  </si>
  <si>
    <t>Based on NYLON 6</t>
  </si>
  <si>
    <t>PA 11, Conductive</t>
  </si>
  <si>
    <t>(2) The densities of all 3D printing materials - Bitfab. https://bitfab.io/blog/3d-printing-materials-densities/.</t>
  </si>
  <si>
    <t>Based on NYLON 6 15% MF</t>
  </si>
  <si>
    <t>PA 11, Flexible</t>
  </si>
  <si>
    <t>(3) Thermoplastic Compatibality Guide - Dukane. https://documents.dukane.com/DesignGuides/Thermoplastic%20Comp%20Guide.pdf.</t>
  </si>
  <si>
    <t>Based on NYLON 66 GF 30%</t>
  </si>
  <si>
    <t>PA 11, Rigid</t>
  </si>
  <si>
    <t>Based on NYLON 66 GREY</t>
  </si>
  <si>
    <t>PAI – Polyamide-Imide</t>
  </si>
  <si>
    <t>PAI, 30% Glass Fiber</t>
  </si>
  <si>
    <t>Based on PP-GF30</t>
  </si>
  <si>
    <t>PAI, Low Friction</t>
  </si>
  <si>
    <t>Injection_Molding_Guide.pmd (lyondellbasell.com)</t>
  </si>
  <si>
    <t>Based on PP+ T20 FILLED</t>
  </si>
  <si>
    <t>PBT – Polybutylene Terephthalate</t>
  </si>
  <si>
    <t>Injection Molding Material Selection Guide (protolabs.com)</t>
  </si>
  <si>
    <t>Based on PP+EPDM+12% Talc filled</t>
  </si>
  <si>
    <t>PBT, 30% Glass Fiber</t>
  </si>
  <si>
    <t>Most common injection moulding plastics (engineeringproductdesign.com)</t>
  </si>
  <si>
    <t>DELRIN (POM)</t>
  </si>
  <si>
    <t>PC (Polycarbonate) 20-40% Glass Fiber</t>
  </si>
  <si>
    <t>All About EPDM Rubber - Properties, Applications, and Uses - Arvico Rubber</t>
  </si>
  <si>
    <t>Based on PPCP</t>
  </si>
  <si>
    <t>PC (Polycarbonate) 20-40% Glass Fiber Flame Retardant</t>
  </si>
  <si>
    <t>Clamping Force Calculation for Injection Molding Machine (alleycho.com)</t>
  </si>
  <si>
    <t>N/A</t>
  </si>
  <si>
    <t>No direct reference</t>
  </si>
  <si>
    <t>Based on CELKON M90</t>
  </si>
  <si>
    <t>PC – Polycarbonate, high heat</t>
  </si>
  <si>
    <t>Based on HDPE</t>
  </si>
  <si>
    <t>PE – Polyethylene 30% Glass Fiber</t>
  </si>
  <si>
    <t>Based on LDPE</t>
  </si>
  <si>
    <t>PEEK – Polyetheretherketone</t>
  </si>
  <si>
    <t>Based on PPMA</t>
  </si>
  <si>
    <t>Based on PMMA</t>
  </si>
  <si>
    <t>PEEK 30% Carbon Fiber-reinforced</t>
  </si>
  <si>
    <t>Based on TPE</t>
  </si>
  <si>
    <t>PEEK 30% Glass Fiber-reinforced</t>
  </si>
  <si>
    <t>Based on Polyester</t>
  </si>
  <si>
    <t>PEI – Polyetherimide</t>
  </si>
  <si>
    <t>Similar to PEI</t>
  </si>
  <si>
    <t>Based on Gelcoat</t>
  </si>
  <si>
    <t>PEI, 30% Glass Fiber-reinforced</t>
  </si>
  <si>
    <t>Based on CSM glass-E</t>
  </si>
  <si>
    <t>PEI, Mineral Filled</t>
  </si>
  <si>
    <t>Based on Catalyst</t>
  </si>
  <si>
    <t>PET – Polyethylene Terephthalate</t>
  </si>
  <si>
    <t>Based on Accelerator</t>
  </si>
  <si>
    <t>PET, 30% Glass Fiber-reinforced</t>
  </si>
  <si>
    <t>Based on Pigment</t>
  </si>
  <si>
    <t>PETG – Polyethylene Terephthalate Glycol</t>
  </si>
  <si>
    <t>Based on Releasing Agent</t>
  </si>
  <si>
    <t>PI – Polyimide</t>
  </si>
  <si>
    <t>Based on Consumable</t>
  </si>
  <si>
    <t>PLA – Polylactide</t>
  </si>
  <si>
    <t>Based on PCR GF30%</t>
  </si>
  <si>
    <t>PLA, Heat Seal Layer</t>
  </si>
  <si>
    <t>Based on PPS</t>
  </si>
  <si>
    <t>PLA, High Heat Films</t>
  </si>
  <si>
    <t>PLA, injection molding</t>
  </si>
  <si>
    <t>Based on EPDM</t>
  </si>
  <si>
    <t>PLA, Spunbond</t>
  </si>
  <si>
    <t>PLA, Stretch blow-molded bottles</t>
  </si>
  <si>
    <t>PMMA – Polymethylmethacrylate/Acrylic</t>
  </si>
  <si>
    <t>PMMA (Acrylic) High Heat</t>
  </si>
  <si>
    <t>PMMA (Acrylic) Impact Modified</t>
  </si>
  <si>
    <t>POM – Polyoxymethylene (Acetal)</t>
  </si>
  <si>
    <t>POM (Acetal) Impact Modified</t>
  </si>
  <si>
    <t>POM (Acetal) Low Friction</t>
  </si>
  <si>
    <t>POM (Acetal) Mineral Filled</t>
  </si>
  <si>
    <t>PP – Polypropylene 10-20% Glass Fiber</t>
  </si>
  <si>
    <t>PP, 10-40% Mineral Filled</t>
  </si>
  <si>
    <t>PP, 10-40% Talc Filled</t>
  </si>
  <si>
    <t>PP, 30-40% Glass Fiber-reinforced</t>
  </si>
  <si>
    <t>PP (Polypropylene) Copolymer</t>
  </si>
  <si>
    <t>PP (Polypropylene) Homopolymer</t>
  </si>
  <si>
    <t>PS (Polystyrene) 30% glass fiber</t>
  </si>
  <si>
    <t>PS (Polystyrene) Crystal</t>
  </si>
  <si>
    <t>PS, High Heat</t>
  </si>
  <si>
    <t>PTFE – Polytetrafluoroethylene</t>
  </si>
  <si>
    <t>PTFE, 25% Glass Fiber-reinforced</t>
  </si>
  <si>
    <t>SAN – Styrene Acrylonitrile</t>
  </si>
  <si>
    <t>SAN, 20% Glass Fiber-reinforced</t>
  </si>
  <si>
    <t>UHMWPE – Ultra High Molecular Weight Polyethylene</t>
  </si>
  <si>
    <t>XLPE – Crosslinked Polyethylene</t>
  </si>
  <si>
    <t>Sheet Metal</t>
  </si>
  <si>
    <t>Sl. No.</t>
  </si>
  <si>
    <t>Process type</t>
  </si>
  <si>
    <t>RM/BOF</t>
  </si>
  <si>
    <t>Parent Part No.</t>
  </si>
  <si>
    <t>InhouseCSC</t>
  </si>
  <si>
    <t>Inhouseothers</t>
  </si>
  <si>
    <t>BOSFCSC</t>
  </si>
  <si>
    <t>BOSFothers</t>
  </si>
  <si>
    <t>BOFCSC</t>
  </si>
  <si>
    <t>BOFothers</t>
  </si>
  <si>
    <t>RM Inhouse</t>
  </si>
  <si>
    <t>RM Outsourced</t>
  </si>
  <si>
    <t>Process- outsourced</t>
  </si>
  <si>
    <t>Process- Inhouse</t>
  </si>
  <si>
    <t>Surface finish cost outsourced</t>
  </si>
  <si>
    <t>Inhouse Others</t>
  </si>
  <si>
    <t>BOSF Others</t>
  </si>
  <si>
    <t>BOF Others</t>
  </si>
  <si>
    <t>RM BOSF/BOF</t>
  </si>
  <si>
    <t>RM Inhouse/BOSF</t>
  </si>
  <si>
    <t>BOF</t>
  </si>
  <si>
    <t>Process Inhouse/BOSF</t>
  </si>
  <si>
    <t>Sridhar S</t>
  </si>
  <si>
    <t>FE705510</t>
  </si>
  <si>
    <t>#2</t>
  </si>
  <si>
    <t>SCREW - PAN PHILIPS 4.2 X 1.4 CP X 13.0 LONG</t>
  </si>
  <si>
    <t>C CLIP M4.2 LENGTH 16MM</t>
  </si>
  <si>
    <t>#4</t>
  </si>
  <si>
    <t>Standard</t>
  </si>
  <si>
    <t>FT901100</t>
  </si>
  <si>
    <t>Effective date</t>
  </si>
  <si>
    <t>Liner</t>
  </si>
  <si>
    <t>Noise Shield / Liner</t>
  </si>
  <si>
    <t>Sourcing Input</t>
  </si>
  <si>
    <t> </t>
  </si>
  <si>
    <t>HRPO</t>
  </si>
  <si>
    <t>BSK46 Slit</t>
  </si>
  <si>
    <t>YS350</t>
  </si>
  <si>
    <t>GA03</t>
  </si>
  <si>
    <t>GA06</t>
  </si>
  <si>
    <t>SPRC40 GA</t>
  </si>
  <si>
    <t>HSQCR450</t>
  </si>
  <si>
    <t>SS J201</t>
  </si>
  <si>
    <t>GI / GP</t>
  </si>
  <si>
    <t>E34 HRPO</t>
  </si>
  <si>
    <t>HSLA 340</t>
  </si>
  <si>
    <t>WRS 8mm</t>
  </si>
  <si>
    <t>WRS 5mm</t>
  </si>
  <si>
    <t>Sheet Metal Scrap</t>
  </si>
  <si>
    <t>HSQ550</t>
  </si>
  <si>
    <t>Corrugated sheet-IS513 D</t>
  </si>
  <si>
    <t>kg</t>
  </si>
  <si>
    <t>Conversion rate from plain sheet to corrugation-Rs.13/kg</t>
  </si>
  <si>
    <t>Corrugated sheet-HSLA340</t>
  </si>
  <si>
    <t>Bus body SM</t>
  </si>
  <si>
    <t>GPSP Sheets/Coils</t>
  </si>
  <si>
    <t>0.9mm pre painted GI sheet</t>
  </si>
  <si>
    <t>0.55mm pre painted GI sheet</t>
  </si>
  <si>
    <t>0.8mm PVC coated GI sheet(0.6+0.2)</t>
  </si>
  <si>
    <t>GI Sheet_2mm</t>
  </si>
  <si>
    <t>GI Sheet_3mm</t>
  </si>
  <si>
    <t>GI Sheet_4mm</t>
  </si>
  <si>
    <t>GTVS input</t>
  </si>
  <si>
    <t>GI Sheet_5mm</t>
  </si>
  <si>
    <t>GI Sheet_6mm</t>
  </si>
  <si>
    <t>EN3B&gt;12.7Dia</t>
  </si>
  <si>
    <t>EN86-12.7Dia</t>
  </si>
  <si>
    <t>EN8&gt;12.7Dia</t>
  </si>
  <si>
    <t>EN8&gt;19A/F(Hex)</t>
  </si>
  <si>
    <t>EN8D6-12.7Dia</t>
  </si>
  <si>
    <t>EN8D&gt;12.7Dia</t>
  </si>
  <si>
    <t>EN8D&gt;19A/F(Hex)</t>
  </si>
  <si>
    <t>EN32B6-12.7Dia</t>
  </si>
  <si>
    <t>EN32B&gt;12.7Dia</t>
  </si>
  <si>
    <t>EN32B&gt;19A/F(Hex)</t>
  </si>
  <si>
    <t>CK456-12.7Dia</t>
  </si>
  <si>
    <t>CK45&gt;12.7Dia</t>
  </si>
  <si>
    <t>CK45&gt;19A/F(Hex)</t>
  </si>
  <si>
    <t>EN1A6-12.7Dia</t>
  </si>
  <si>
    <t>EN1A12.7-25.4Dia</t>
  </si>
  <si>
    <t>EN1A&gt;25.4Dia</t>
  </si>
  <si>
    <t>EN1A&gt;19A/F(Hex)</t>
  </si>
  <si>
    <t>EN8M6-12.7Dia</t>
  </si>
  <si>
    <t>EN8M12.7-25.4Dia</t>
  </si>
  <si>
    <t>EN8M&gt;25.4Dia</t>
  </si>
  <si>
    <t>EN8M&gt;19A/F(Hex)</t>
  </si>
  <si>
    <t>EN15AM6-12.7Dia</t>
  </si>
  <si>
    <t>EN15AM12.7-25.4Dia</t>
  </si>
  <si>
    <t>EN15AM&gt;25.4Dia</t>
  </si>
  <si>
    <t>EN15AM&gt;19A/F(Hex)</t>
  </si>
  <si>
    <t>16MnCr56-12.7Dia</t>
  </si>
  <si>
    <t>16MnCr512.7-25.4Dia</t>
  </si>
  <si>
    <t>16MnCr5&gt;25.4Dia</t>
  </si>
  <si>
    <t>20MnCr56-12.7Dia</t>
  </si>
  <si>
    <t>20MnCr512.7-25.4Dia</t>
  </si>
  <si>
    <t>20MnCr5&gt;25.4Dia</t>
  </si>
  <si>
    <t>EN196-12.7Dia</t>
  </si>
  <si>
    <t>EN1912.7-25.4Dia</t>
  </si>
  <si>
    <t>EN19&gt;25.4Dia</t>
  </si>
  <si>
    <t>15B41BrightBar</t>
  </si>
  <si>
    <t>EN8DRectangularSection</t>
  </si>
  <si>
    <t>EN3B6-12.7Dia</t>
  </si>
  <si>
    <t>EN912.7-25.4Dia</t>
  </si>
  <si>
    <t>EN52</t>
  </si>
  <si>
    <t>SS-304Dia17</t>
  </si>
  <si>
    <t>C45C</t>
  </si>
  <si>
    <t>S48CBrightBar</t>
  </si>
  <si>
    <t>BarMachiningScrap</t>
  </si>
  <si>
    <t>Forging</t>
  </si>
  <si>
    <t>En355BlackBar</t>
  </si>
  <si>
    <t>20MnCrBBlackBar</t>
  </si>
  <si>
    <t>20MnCr5BlackBar</t>
  </si>
  <si>
    <t>16MnCr5BlackBar</t>
  </si>
  <si>
    <t>C70S6BlackBar</t>
  </si>
  <si>
    <t>SAE15B41BlackBar</t>
  </si>
  <si>
    <t>CK45BlackBar</t>
  </si>
  <si>
    <t>EN19BlackBar</t>
  </si>
  <si>
    <t>40Cr4BlackBar</t>
  </si>
  <si>
    <t>SAE1548BlackBar</t>
  </si>
  <si>
    <t>38MnSiVS6BlackBar</t>
  </si>
  <si>
    <t>EN8BlackBar</t>
  </si>
  <si>
    <t>P8.810B21</t>
  </si>
  <si>
    <t>P8.815B25</t>
  </si>
  <si>
    <t>P10.95140</t>
  </si>
  <si>
    <t>P10.941Cr4</t>
  </si>
  <si>
    <t>P12.94140</t>
  </si>
  <si>
    <t>P12.94135</t>
  </si>
  <si>
    <t>SUP11ABrightbar</t>
  </si>
  <si>
    <t>SS201Dia6.85</t>
  </si>
  <si>
    <t>En353BlackBar</t>
  </si>
  <si>
    <t>EN1ABlackbar</t>
  </si>
  <si>
    <t>ForgingScrap</t>
  </si>
  <si>
    <t>SAE1043M</t>
  </si>
  <si>
    <t>SAE1030</t>
  </si>
  <si>
    <t>A105</t>
  </si>
  <si>
    <t>Reference</t>
  </si>
  <si>
    <t>EN8  blackbar Rm rate-9.5 INR</t>
  </si>
  <si>
    <t>SAE1541H</t>
  </si>
  <si>
    <t>SAE1541</t>
  </si>
  <si>
    <t>Gray Cast Iron FG220</t>
  </si>
  <si>
    <t>Gray Cast Iron FG300</t>
  </si>
  <si>
    <t>SG 450/10 Bracket Ascast cost</t>
  </si>
  <si>
    <t>SG 500/7 Bracket Ascast cost</t>
  </si>
  <si>
    <t>SG</t>
  </si>
  <si>
    <t>GI</t>
  </si>
  <si>
    <t>SG 600/3 Bracket Ascast cost</t>
  </si>
  <si>
    <t>Oct'23</t>
  </si>
  <si>
    <t>Commodity</t>
  </si>
  <si>
    <t>ADI  Ascast cost</t>
  </si>
  <si>
    <t>Includes additives and isothermal heat tratment</t>
  </si>
  <si>
    <t>Jan'24</t>
  </si>
  <si>
    <t>Cast iron scrap</t>
  </si>
  <si>
    <t>Mar'24</t>
  </si>
  <si>
    <t>Conv</t>
  </si>
  <si>
    <t>D25-1</t>
  </si>
  <si>
    <t>Apr'24</t>
  </si>
  <si>
    <t>Foundry returns</t>
  </si>
  <si>
    <t>Jul'24</t>
  </si>
  <si>
    <t>Cu</t>
  </si>
  <si>
    <t>Sn</t>
  </si>
  <si>
    <t>Mg</t>
  </si>
  <si>
    <t>Bentonite</t>
  </si>
  <si>
    <t>Coal Dust</t>
  </si>
  <si>
    <t>Graphite Coke</t>
  </si>
  <si>
    <t>CPC (Coke)</t>
  </si>
  <si>
    <t>Fe Mg</t>
  </si>
  <si>
    <t>FeSi</t>
  </si>
  <si>
    <t>FeMn</t>
  </si>
  <si>
    <t>Fe-Cr</t>
  </si>
  <si>
    <t>FeS</t>
  </si>
  <si>
    <t>Inoculation</t>
  </si>
  <si>
    <t>Template</t>
  </si>
  <si>
    <t>Steel Casting</t>
  </si>
  <si>
    <t>C4-W</t>
  </si>
  <si>
    <t>IS4923 Rectangle tube</t>
  </si>
  <si>
    <t>Market price from sourcing</t>
  </si>
  <si>
    <t>IS 3074 ERW Tube</t>
  </si>
  <si>
    <t>YST355-GI</t>
  </si>
  <si>
    <t>YST240-GI</t>
  </si>
  <si>
    <t>Alumunium Alloy</t>
  </si>
  <si>
    <t>AL Extrusion_AC Pipes</t>
  </si>
  <si>
    <t>AL Extrusion</t>
  </si>
  <si>
    <t>AL Panel</t>
  </si>
  <si>
    <t>Alumunium Alloy Scrap</t>
  </si>
  <si>
    <t>ADC 12</t>
  </si>
  <si>
    <t>AlSi10Mg(LM 9)</t>
  </si>
  <si>
    <t>Costimator Database</t>
  </si>
  <si>
    <t>AlSi8Cu3(LM 24)</t>
  </si>
  <si>
    <t>AlSi7Mg(LM25)</t>
  </si>
  <si>
    <t>Virgin Aluminium</t>
  </si>
  <si>
    <t>LME</t>
  </si>
  <si>
    <t>Pipes</t>
  </si>
  <si>
    <t>Meter</t>
  </si>
  <si>
    <t>Sainest supplier</t>
  </si>
  <si>
    <t>Hytrel   6 Dia</t>
  </si>
  <si>
    <t>Hytrel   8 Dia</t>
  </si>
  <si>
    <t>Hytrel   9 Dia</t>
  </si>
  <si>
    <t>Hytrel   12 Dia</t>
  </si>
  <si>
    <t>Hytrel   15 Dia</t>
  </si>
  <si>
    <t>Hytrel   16 Dia</t>
  </si>
  <si>
    <t>Corrugated Sleeve   6 Dia</t>
  </si>
  <si>
    <t>Corrugated Sleeve   8 Dia</t>
  </si>
  <si>
    <t>Corrugated Sleeve   9 Dia</t>
  </si>
  <si>
    <t>Corrugated Sleeve   12 Dia</t>
  </si>
  <si>
    <t>Corrugated Sleeve   16 Dia</t>
  </si>
  <si>
    <t>Corrugated Sleeve   30 Dia</t>
  </si>
  <si>
    <t>Corrugated Sleeve   32 Dia</t>
  </si>
  <si>
    <t>Corrugated Sleeve   40 Dia</t>
  </si>
  <si>
    <t>Corrugated Sleeve   50 Dia</t>
  </si>
  <si>
    <t>Procap + Sticker   6 Dia</t>
  </si>
  <si>
    <t>Procap + Sticker   8 Dia</t>
  </si>
  <si>
    <t>Procap + Sticker   9 Dia</t>
  </si>
  <si>
    <t>Procap + Sticker   12 Dia</t>
  </si>
  <si>
    <t>Procap + Sticker   16 Dia</t>
  </si>
  <si>
    <t>PA12  6 X 4 Dia</t>
  </si>
  <si>
    <t>PA 12  8 X 6 Dia</t>
  </si>
  <si>
    <t>PA 12  9 X 6 Dia</t>
  </si>
  <si>
    <t>PA 12  12 X 10 Dia</t>
  </si>
  <si>
    <t>PA 12  15 X 12 Dia</t>
  </si>
  <si>
    <t>PA 12  16 X 12 Dia</t>
  </si>
  <si>
    <t>PA 12  10 X 8 Dia</t>
  </si>
  <si>
    <t>PA 12  12 X 9 Dia</t>
  </si>
  <si>
    <t>PA 12  13 X 10 Dia</t>
  </si>
  <si>
    <t>PA 12  16 X 14 Dia</t>
  </si>
  <si>
    <t>Air Brake Hose 11 mm dia ( SAEJ1402)</t>
  </si>
  <si>
    <t>Air Brake Hose 14 mm dia ( SAEJ1402)</t>
  </si>
  <si>
    <t>Cable Tie</t>
  </si>
  <si>
    <t>Tape</t>
  </si>
  <si>
    <t>Silicon hose</t>
  </si>
  <si>
    <t>Moulding</t>
  </si>
  <si>
    <t>derived from Sep'20 RM rate</t>
  </si>
  <si>
    <t>SIAM report</t>
  </si>
  <si>
    <t>AL Database</t>
  </si>
  <si>
    <t>http://dir.indiamart.com/impcat/thermoplastic-elastomer.html</t>
  </si>
  <si>
    <t>FRP Template</t>
  </si>
  <si>
    <t>PU Foam- 12mm Thick</t>
  </si>
  <si>
    <t>Sq Mtr</t>
  </si>
  <si>
    <t>60kg/sqm</t>
  </si>
  <si>
    <t>PU Foam- 25mm Thick</t>
  </si>
  <si>
    <t>PU Foam- 50mm Thick</t>
  </si>
  <si>
    <t>PU Foam- 75mm Thick</t>
  </si>
  <si>
    <t>Adhesive (TSR 102 of M/s. Bostik or equivalent)</t>
  </si>
  <si>
    <t>Non Woven Fabric 100 GSM</t>
  </si>
  <si>
    <t>Ceramic Blanket 12mm thick</t>
  </si>
  <si>
    <t>Non Metallic</t>
  </si>
  <si>
    <t>PVB-0.76mm thk</t>
  </si>
  <si>
    <t>Natural Rubber</t>
  </si>
  <si>
    <t xml:space="preserve">
</t>
  </si>
  <si>
    <t>Synthetic Rubber (SBR-1502)</t>
  </si>
  <si>
    <t>Poly Butadiene Rubber</t>
  </si>
  <si>
    <t>SIAM</t>
  </si>
  <si>
    <t>NBR</t>
  </si>
  <si>
    <t>Yarn</t>
  </si>
  <si>
    <t>Aramid canvas</t>
  </si>
  <si>
    <t>Carbon Black</t>
  </si>
  <si>
    <t>Clear glass/mm thk</t>
  </si>
  <si>
    <t>Tinted glass/mm thk</t>
  </si>
  <si>
    <t>New Sand</t>
  </si>
  <si>
    <t>Non-Ferrous</t>
  </si>
  <si>
    <t>Zinc</t>
  </si>
  <si>
    <t>Lead</t>
  </si>
  <si>
    <t>Nickel</t>
  </si>
  <si>
    <t>Platinum</t>
  </si>
  <si>
    <t>SAIM</t>
  </si>
  <si>
    <t>Palladium</t>
  </si>
  <si>
    <t>Rhodium</t>
  </si>
  <si>
    <t>Tin</t>
  </si>
  <si>
    <t>Cobalt</t>
  </si>
  <si>
    <t>Molybdenum</t>
  </si>
  <si>
    <t>Brass scrap</t>
  </si>
  <si>
    <t>Sand core</t>
  </si>
  <si>
    <t>Reference PP cost</t>
  </si>
  <si>
    <t>HSQCR GA</t>
  </si>
  <si>
    <t>SS 409</t>
  </si>
  <si>
    <t>Import cost</t>
  </si>
  <si>
    <t>ISLC Channel</t>
  </si>
  <si>
    <t>Assumption</t>
  </si>
  <si>
    <t>1.5XIS2062 cost</t>
  </si>
  <si>
    <t>SS 304 - Sheet Metal</t>
  </si>
  <si>
    <t>SS 304 - EGR Pipe dia 14mm to 22mm</t>
  </si>
  <si>
    <t>eCOMMERCE SITE</t>
  </si>
  <si>
    <t>Polyphenylene sulfide</t>
  </si>
  <si>
    <t>AED Rubber</t>
  </si>
  <si>
    <t>Kuma-Chennai</t>
  </si>
  <si>
    <t>HOSE R1-3/4 Regular Temp</t>
  </si>
  <si>
    <t>HOSE R1-3/4 High Temp</t>
  </si>
  <si>
    <t>HOSE R2-1/2 Regular Temp</t>
  </si>
  <si>
    <t>HOSE R2-1/2 High Temp</t>
  </si>
  <si>
    <t>HOSE R2-5/8 Regular Temp</t>
  </si>
  <si>
    <t>HOSE R2-5/8 High Temp</t>
  </si>
  <si>
    <t>HOSE R2-3/4 Regular Temp</t>
  </si>
  <si>
    <t>HOSE R2-3/4 High Temp</t>
  </si>
  <si>
    <t>HOSE R6-1/4 Regular Temp</t>
  </si>
  <si>
    <t>HOSE R6-1/4 High Temp</t>
  </si>
  <si>
    <t>HOSE R6-3/8 Regular Temp</t>
  </si>
  <si>
    <t>HOSE R6-3/8 High Temp</t>
  </si>
  <si>
    <t>HOSE R6-1/2 Regular Temp</t>
  </si>
  <si>
    <t>HOSE R6-1/2 High Temp</t>
  </si>
  <si>
    <t>HOSE R6-5/8 Regular Temp</t>
  </si>
  <si>
    <t>HOSE R6-5/8 High Temp</t>
  </si>
  <si>
    <t>HOSE R6-3/4 Regular Temp</t>
  </si>
  <si>
    <t>HOSE R6-3/4 High Temp</t>
  </si>
  <si>
    <t>HOSE R6-7/8 Regular Temp</t>
  </si>
  <si>
    <t>HOSE R6-7/8 High Temp</t>
  </si>
  <si>
    <t>HOSE R2-3/16 Regular Temp</t>
  </si>
  <si>
    <t>SS316 - Sheet Metal</t>
  </si>
  <si>
    <t>Others</t>
  </si>
  <si>
    <t>SPRING GUARD</t>
  </si>
  <si>
    <t>SPRING GUARD - 1/2" Æ 12.7</t>
  </si>
  <si>
    <t>SPRING GUARD - 5/8"Æ 15.88</t>
  </si>
  <si>
    <t>SPRING GUARD - 3/4" Æ 19.05</t>
  </si>
  <si>
    <t>Heatshield</t>
  </si>
  <si>
    <t>Exhaust Pipe heatshield for Ø3"</t>
  </si>
  <si>
    <t>Exhaust Pipe heatshield for Ø4"</t>
  </si>
  <si>
    <t>TATA KWL rim steel</t>
  </si>
  <si>
    <t>YST-38</t>
  </si>
  <si>
    <t>AISI1029/C-25</t>
  </si>
  <si>
    <t>Spring-Suspension</t>
  </si>
  <si>
    <t>SUP9</t>
  </si>
  <si>
    <t>Dec - 2024 SS Approved rate</t>
  </si>
  <si>
    <t>SUP11A</t>
  </si>
  <si>
    <t>51CrV4</t>
  </si>
  <si>
    <t>Semi elliptical process wastage</t>
  </si>
  <si>
    <t>% On finish wt.</t>
  </si>
  <si>
    <t>SS Settled</t>
  </si>
  <si>
    <t>Semi elliptical shearing wastage</t>
  </si>
  <si>
    <t>Parabolic process wastage</t>
  </si>
  <si>
    <t>Parabolic shearing wastage</t>
  </si>
  <si>
    <t>Packing plate process wastage</t>
  </si>
  <si>
    <t>Non Metals</t>
  </si>
  <si>
    <t>Plywood with 0.7mm density-2440X1220mm</t>
  </si>
  <si>
    <t>nos.</t>
  </si>
  <si>
    <t>Shell core</t>
  </si>
  <si>
    <t>Shell core-intricate design</t>
  </si>
  <si>
    <t>Phosphor bronze</t>
  </si>
  <si>
    <t>52crmov4Brightbar</t>
  </si>
  <si>
    <t>ISMC Channel</t>
  </si>
  <si>
    <t>SAE1141 Black bar</t>
  </si>
  <si>
    <t>CDW OD-180mm X Thk-4mm</t>
  </si>
  <si>
    <t>Imported from Metalfer SPA</t>
  </si>
  <si>
    <t>HR-TISTEN 55</t>
  </si>
  <si>
    <t>RM mar-22: Rs.70/kg</t>
  </si>
  <si>
    <t>SS304 - SHEET</t>
  </si>
  <si>
    <t>SS304 -Pipes</t>
  </si>
  <si>
    <t>BONDING FILM</t>
  </si>
  <si>
    <t>Volza</t>
  </si>
  <si>
    <t>GLASS FIBRE</t>
  </si>
  <si>
    <t>MDI &amp; CATALYST</t>
  </si>
  <si>
    <t>PU FOAM 7 MM</t>
  </si>
  <si>
    <t>SQM</t>
  </si>
  <si>
    <t>RS 6.86 per mm Thickness( Quote Ref - FM604668)</t>
  </si>
  <si>
    <t>PU FOAM-9mm</t>
  </si>
  <si>
    <t>PU FOAM-12mm</t>
  </si>
  <si>
    <t>KGAPL QUOTE - B0Y37020</t>
  </si>
  <si>
    <t xml:space="preserve">Top Fabric </t>
  </si>
  <si>
    <t xml:space="preserve">Bottom Fabric </t>
  </si>
  <si>
    <t>PROTECTIVE FILM</t>
  </si>
  <si>
    <t>GLASS FIBRE MAT</t>
  </si>
  <si>
    <t>NVH</t>
  </si>
  <si>
    <t>Resin felt</t>
  </si>
  <si>
    <t>CrBBlackBar</t>
  </si>
  <si>
    <t>Derived</t>
  </si>
  <si>
    <t>CrB rate=EN19-5.5</t>
  </si>
  <si>
    <t>SS440C</t>
  </si>
  <si>
    <t>Gasket material FM519-6020SZ</t>
  </si>
  <si>
    <t>SG 450/10 Bracket Ascast cost_Hub</t>
  </si>
  <si>
    <t>Sheet metal</t>
  </si>
  <si>
    <t>2 mm Shearing</t>
  </si>
  <si>
    <t>1250 mm</t>
  </si>
  <si>
    <t>Per stroke</t>
  </si>
  <si>
    <t>4 mm Shearing</t>
  </si>
  <si>
    <t>5 mm Shearing</t>
  </si>
  <si>
    <t>6 mm Shearing</t>
  </si>
  <si>
    <t>8 mm Shearing</t>
  </si>
  <si>
    <t>10 mm Shearing</t>
  </si>
  <si>
    <t>12 mm Shearing</t>
  </si>
  <si>
    <t>Press Brake operation 40T</t>
  </si>
  <si>
    <t>Press Brake operation 80T</t>
  </si>
  <si>
    <t>Press Brake operation 100T</t>
  </si>
  <si>
    <t>Press Brake operation 160T</t>
  </si>
  <si>
    <t>10 T Mechanical press</t>
  </si>
  <si>
    <t>20 T Mechanical press</t>
  </si>
  <si>
    <t>30 T Mechanical press</t>
  </si>
  <si>
    <t>40 T Mechanical press</t>
  </si>
  <si>
    <t>50 T Mechanical press</t>
  </si>
  <si>
    <t>60 T Mechanical press</t>
  </si>
  <si>
    <t>80 T Mechanical press</t>
  </si>
  <si>
    <t>100 T Mechanical press</t>
  </si>
  <si>
    <t>100 T Hydraulic press</t>
  </si>
  <si>
    <t>160 T Mechanical press</t>
  </si>
  <si>
    <t>160 T Hydraulic press</t>
  </si>
  <si>
    <t>200 T Mechanical press</t>
  </si>
  <si>
    <t>200 T Hydraulic press</t>
  </si>
  <si>
    <t>250 T Mechanical press</t>
  </si>
  <si>
    <t>250 T Hydraulic press</t>
  </si>
  <si>
    <t>350 T Mechanical press</t>
  </si>
  <si>
    <t>350 T Hydraulic press</t>
  </si>
  <si>
    <t>400 T Mechanical press</t>
  </si>
  <si>
    <t>400 T Hydraulic press</t>
  </si>
  <si>
    <t>500 T Mechanical press</t>
  </si>
  <si>
    <t>500 T Hydraulic press</t>
  </si>
  <si>
    <t>600 T Mechanical press</t>
  </si>
  <si>
    <t>600 T Hydraulic press</t>
  </si>
  <si>
    <t>800 T Mechanical press</t>
  </si>
  <si>
    <t>800 T Hydraulic press</t>
  </si>
  <si>
    <t>1000 T Mechanical press</t>
  </si>
  <si>
    <t>1000 T Hydraulic press</t>
  </si>
  <si>
    <t>per piece</t>
  </si>
  <si>
    <t>Block Setting</t>
  </si>
  <si>
    <t>Flitch Cropping &gt;30 Kgs</t>
  </si>
  <si>
    <t>Per piece</t>
  </si>
  <si>
    <t>Flitch Cropping &lt;30 Kgs</t>
  </si>
  <si>
    <t>Bending charge Per Kgs</t>
  </si>
  <si>
    <t>Per kg</t>
  </si>
  <si>
    <t>Rivet hole reaming</t>
  </si>
  <si>
    <t>Per hole</t>
  </si>
  <si>
    <t>Rivetting SPM</t>
  </si>
  <si>
    <t>Part No punching &lt;10 Kgs</t>
  </si>
  <si>
    <t>Part No punching &gt;10 &lt; 20 Kgs</t>
  </si>
  <si>
    <t>Part No punching &gt; 20 Kgs</t>
  </si>
  <si>
    <t>Turret Punching &lt; 25 Dia</t>
  </si>
  <si>
    <t>Turret Punching &gt; 25 Dia</t>
  </si>
  <si>
    <t>Laser Cutting Hole spotting</t>
  </si>
  <si>
    <t>Laser Cutting 2 mm</t>
  </si>
  <si>
    <t>Per metre</t>
  </si>
  <si>
    <t>Laser Cutting 4 mm</t>
  </si>
  <si>
    <t>Laser Cutting 5 mm</t>
  </si>
  <si>
    <t>Laser Cutting 6 mm</t>
  </si>
  <si>
    <t>Laser Cutting 8 mm</t>
  </si>
  <si>
    <t>Laser Cutting 10 mm</t>
  </si>
  <si>
    <t>Laser Cutting 12 mm</t>
  </si>
  <si>
    <t>CNC Plasma Cutting 5 mm</t>
  </si>
  <si>
    <t>CNC Plasma Cutting 8 mm</t>
  </si>
  <si>
    <t>CNC Plasma Cutting 10 mm</t>
  </si>
  <si>
    <t>CNC Plasma Cutting 12 mm</t>
  </si>
  <si>
    <t>CNC Plasma Cutting 15 mm</t>
  </si>
  <si>
    <t>CNC Plasma Cutting 20 mm</t>
  </si>
  <si>
    <t>Circular saw cutting 1</t>
  </si>
  <si>
    <t>Circular saw cutting 2</t>
  </si>
  <si>
    <t>Power hack saw cuttng 1</t>
  </si>
  <si>
    <t>Power hack saw cuttng 2</t>
  </si>
  <si>
    <t>Tack Welding</t>
  </si>
  <si>
    <t>Per tack</t>
  </si>
  <si>
    <t>Projection &amp; Spot Welding</t>
  </si>
  <si>
    <t>Per spot</t>
  </si>
  <si>
    <t>Co2 Welding 3 mm</t>
  </si>
  <si>
    <t>Co2 Welding 4 mm</t>
  </si>
  <si>
    <t>Co2 Welding 5 mm</t>
  </si>
  <si>
    <t>Co2 Welding 6 mm</t>
  </si>
  <si>
    <t>Co2 Welding 8 mm</t>
  </si>
  <si>
    <t>Seam Welding For CR sheet</t>
  </si>
  <si>
    <t>Seam Welding Alumanized sheet</t>
  </si>
  <si>
    <t>Casting</t>
  </si>
  <si>
    <t>GDC &lt;0.5 Kg</t>
  </si>
  <si>
    <t>&lt;0.5 Kg</t>
  </si>
  <si>
    <t>Per Kg</t>
  </si>
  <si>
    <t>Costimator</t>
  </si>
  <si>
    <t>GDC 0.51 to 2.0 Kgs</t>
  </si>
  <si>
    <t>0.51 to 2.0 Kgs</t>
  </si>
  <si>
    <t>GDC &gt; 2 Kgs</t>
  </si>
  <si>
    <t>&gt; 2 Kgs</t>
  </si>
  <si>
    <t>PDC 250T</t>
  </si>
  <si>
    <t>250T</t>
  </si>
  <si>
    <t>per shot</t>
  </si>
  <si>
    <t>PDC 400T</t>
  </si>
  <si>
    <t>400T</t>
  </si>
  <si>
    <t>PDC 650T</t>
  </si>
  <si>
    <t>650T</t>
  </si>
  <si>
    <t>PDC 800T</t>
  </si>
  <si>
    <t>800T</t>
  </si>
  <si>
    <t>PDC 900T</t>
  </si>
  <si>
    <t>900T</t>
  </si>
  <si>
    <t>extrapolated(=0.2979*900-92.212)</t>
  </si>
  <si>
    <t>PDC 1000T</t>
  </si>
  <si>
    <t>1000T</t>
  </si>
  <si>
    <t>extrapolated(=0.2979*1000-92.212)</t>
  </si>
  <si>
    <t>PDC 1600T</t>
  </si>
  <si>
    <t>1600T</t>
  </si>
  <si>
    <t>PDC 2000T</t>
  </si>
  <si>
    <t>2000T</t>
  </si>
  <si>
    <t>Green Sand Casting</t>
  </si>
  <si>
    <t>Hub</t>
  </si>
  <si>
    <t>Bracket Below 5 kg</t>
  </si>
  <si>
    <t>Fly wheel</t>
  </si>
  <si>
    <t>Bracket Above 5 KG</t>
  </si>
  <si>
    <t>Grey Cast Iron</t>
  </si>
  <si>
    <t>SG 500/7</t>
  </si>
  <si>
    <t>Exhaust manifold</t>
  </si>
  <si>
    <t>SG 600/3</t>
  </si>
  <si>
    <t>SIMO</t>
  </si>
  <si>
    <t>SG 450/10</t>
  </si>
  <si>
    <t>EPDM Hoses</t>
  </si>
  <si>
    <t>Mixing</t>
  </si>
  <si>
    <t>Extrusion</t>
  </si>
  <si>
    <t>&lt;10 Dia ID</t>
  </si>
  <si>
    <t>Per Meter</t>
  </si>
  <si>
    <t>11 &lt; 20 Dia ID</t>
  </si>
  <si>
    <t>21 &lt; 30 Dia ID</t>
  </si>
  <si>
    <t>&gt;30 Dia ID</t>
  </si>
  <si>
    <t xml:space="preserve">Braiding </t>
  </si>
  <si>
    <t>per CC</t>
  </si>
  <si>
    <t>Id printing cost/pre-cutting/post cutting/</t>
  </si>
  <si>
    <t>Per nos</t>
  </si>
  <si>
    <t>Silicon Hoses</t>
  </si>
  <si>
    <t>Silicon</t>
  </si>
  <si>
    <t>Calendering</t>
  </si>
  <si>
    <t>Per Sq.Meter</t>
  </si>
  <si>
    <t>Hose Building</t>
  </si>
  <si>
    <t>Post Curing</t>
  </si>
  <si>
    <t>Loading / Unloading / demandreling / Finishing / Cleaning / Inspection</t>
  </si>
  <si>
    <t>Gears</t>
  </si>
  <si>
    <t>Shafts</t>
  </si>
  <si>
    <t>Synchro Parts</t>
  </si>
  <si>
    <t>Axle Arm</t>
  </si>
  <si>
    <t>Axle Beam</t>
  </si>
  <si>
    <t>Crank Shaft</t>
  </si>
  <si>
    <t>Fasteners - Cold Forging</t>
  </si>
  <si>
    <t>Fasteners - Flat Rolling</t>
  </si>
  <si>
    <t>High Tensile</t>
  </si>
  <si>
    <t>Fasteners - Circular Rolling</t>
  </si>
  <si>
    <t>Low Tensile</t>
  </si>
  <si>
    <t>Fasteners - Hot Forging</t>
  </si>
  <si>
    <t>Heat Treatment</t>
  </si>
  <si>
    <t>Iso thermal Annealing</t>
  </si>
  <si>
    <t>Normalising</t>
  </si>
  <si>
    <t>Annealing</t>
  </si>
  <si>
    <t>Case Carburising</t>
  </si>
  <si>
    <t>Hardening and Tempering</t>
  </si>
  <si>
    <t>In-house facility</t>
  </si>
  <si>
    <t>SUB CONTRACT</t>
  </si>
  <si>
    <t>Fasteners</t>
  </si>
  <si>
    <t>Carbursing</t>
  </si>
  <si>
    <t>Carbonitriding</t>
  </si>
  <si>
    <t>Forming</t>
  </si>
  <si>
    <t>per Bend</t>
  </si>
  <si>
    <t>per Assembly</t>
  </si>
  <si>
    <t>Cutting - Rubber Hoses</t>
  </si>
  <si>
    <t>per Cut</t>
  </si>
  <si>
    <t>Crimping - Rubber Hoses</t>
  </si>
  <si>
    <t>Per Crimp</t>
  </si>
  <si>
    <t>Brazing</t>
  </si>
  <si>
    <t>Machining</t>
  </si>
  <si>
    <t>Milling</t>
  </si>
  <si>
    <t>Per Hour</t>
  </si>
  <si>
    <t>CNC Lathe</t>
  </si>
  <si>
    <t>Size 2</t>
  </si>
  <si>
    <t>HMC</t>
  </si>
  <si>
    <t>Size?</t>
  </si>
  <si>
    <t>Size 3</t>
  </si>
  <si>
    <t>BALANCING</t>
  </si>
  <si>
    <t>Cylindrical Grinding</t>
  </si>
  <si>
    <t>Conventional-Size 2</t>
  </si>
  <si>
    <t>VMC</t>
  </si>
  <si>
    <t>12.7 to 25.4</t>
  </si>
  <si>
    <t>Centreless Grinding</t>
  </si>
  <si>
    <t>&gt;50 Dia</t>
  </si>
  <si>
    <t>Traub</t>
  </si>
  <si>
    <t>A42</t>
  </si>
  <si>
    <t>A60</t>
  </si>
  <si>
    <t>Size 1</t>
  </si>
  <si>
    <t>Thread Rolling</t>
  </si>
  <si>
    <t>25 to 45 mm Dia</t>
  </si>
  <si>
    <t>VTL</t>
  </si>
  <si>
    <t>A25</t>
  </si>
  <si>
    <t>size 2</t>
  </si>
  <si>
    <t>Size 0</t>
  </si>
  <si>
    <t>&lt;50 dia</t>
  </si>
  <si>
    <t>Per hour</t>
  </si>
  <si>
    <t>Conventional-Size 1</t>
  </si>
  <si>
    <t>A32</t>
  </si>
  <si>
    <t>Broaching</t>
  </si>
  <si>
    <t>3MT</t>
  </si>
  <si>
    <t>6MT</t>
  </si>
  <si>
    <t>10MT</t>
  </si>
  <si>
    <t>16MT</t>
  </si>
  <si>
    <t>25MT</t>
  </si>
  <si>
    <t>Size 4</t>
  </si>
  <si>
    <t>LATHE</t>
  </si>
  <si>
    <t>Gear Grinding - CNC</t>
  </si>
  <si>
    <t>Pallet size 500*400</t>
  </si>
  <si>
    <t xml:space="preserve">CNC Hobbing </t>
  </si>
  <si>
    <t xml:space="preserve">Conventional Hobbing </t>
  </si>
  <si>
    <t xml:space="preserve">VMC </t>
  </si>
  <si>
    <t>Size 5</t>
  </si>
  <si>
    <t>Conventional-Size3</t>
  </si>
  <si>
    <t>CNC-Size1</t>
  </si>
  <si>
    <t>CNC-Size2</t>
  </si>
  <si>
    <t>CNC-Size3</t>
  </si>
  <si>
    <t>Pallet size 700*600</t>
  </si>
  <si>
    <t>Polygon Milling</t>
  </si>
  <si>
    <t>upto 50 Dia</t>
  </si>
  <si>
    <t>Automatic</t>
  </si>
  <si>
    <t>Upto 25mm Dia</t>
  </si>
  <si>
    <t>upto 12.7 Dia</t>
  </si>
  <si>
    <t>Conventional</t>
  </si>
  <si>
    <t>Tapping-Up to M20</t>
  </si>
  <si>
    <t>Tapping-M20 to M40</t>
  </si>
  <si>
    <t>per Hour</t>
  </si>
  <si>
    <t>1300T</t>
  </si>
  <si>
    <t>850T</t>
  </si>
  <si>
    <t>500T</t>
  </si>
  <si>
    <t>350T</t>
  </si>
  <si>
    <t>300T</t>
  </si>
  <si>
    <t>150T</t>
  </si>
  <si>
    <t>100T</t>
  </si>
  <si>
    <t>60T</t>
  </si>
  <si>
    <t>Cutting Ø 4.67</t>
  </si>
  <si>
    <t>Dia 4.67</t>
  </si>
  <si>
    <t>Per operation</t>
  </si>
  <si>
    <t>Cutting Ø 6.35 to 10.00</t>
  </si>
  <si>
    <t>Dia 6.35 to 10.00</t>
  </si>
  <si>
    <t>Cutting Ø 12.7</t>
  </si>
  <si>
    <t>Dia 12.7</t>
  </si>
  <si>
    <t>Cutting Ø 15.87</t>
  </si>
  <si>
    <t>Dia 15.87</t>
  </si>
  <si>
    <t>Cutting Ø 19</t>
  </si>
  <si>
    <t>Dia 19</t>
  </si>
  <si>
    <t>Cutting Ø 25.4</t>
  </si>
  <si>
    <t>Dia 25.4</t>
  </si>
  <si>
    <t>Cutting Ø 31.75</t>
  </si>
  <si>
    <t>Dia 31.75</t>
  </si>
  <si>
    <t>Cutting Ø 44.45-50.80</t>
  </si>
  <si>
    <t>Dia 44.45-50.80</t>
  </si>
  <si>
    <t>Cutting Ø 57.5</t>
  </si>
  <si>
    <t>Dia 57.5</t>
  </si>
  <si>
    <t>Cutting Ø 63.5</t>
  </si>
  <si>
    <t>Dia 63.5</t>
  </si>
  <si>
    <t>Cutting Ø 76.2</t>
  </si>
  <si>
    <t>Dia 76.2</t>
  </si>
  <si>
    <t>Cutting Ø 101</t>
  </si>
  <si>
    <t>Dia 101</t>
  </si>
  <si>
    <t>Chamfering Ø 4.67</t>
  </si>
  <si>
    <t>Chamfering Ø 6.35 to 10.00</t>
  </si>
  <si>
    <t>Chamfering Ø 12.7</t>
  </si>
  <si>
    <t>Chamfering Ø 15.87</t>
  </si>
  <si>
    <t>Chamfering Ø 19</t>
  </si>
  <si>
    <t>Chamfering Ø 25.4</t>
  </si>
  <si>
    <t>Chamfering Ø 31.75</t>
  </si>
  <si>
    <t>Chamfering Ø 44.45-50.80</t>
  </si>
  <si>
    <t>Chamfering Ø 57.5</t>
  </si>
  <si>
    <t>Chamfering Ø 63.5</t>
  </si>
  <si>
    <t>Chamfering Ø 76.2</t>
  </si>
  <si>
    <t>Chamfering Ø 101</t>
  </si>
  <si>
    <t>Deburring Ø 4.67</t>
  </si>
  <si>
    <t>Deburring Ø 6.35 to 10.00</t>
  </si>
  <si>
    <t>Deburring Ø 12.7</t>
  </si>
  <si>
    <t>Deburring Ø 15.87</t>
  </si>
  <si>
    <t>Deburring Ø 19</t>
  </si>
  <si>
    <t>Deburring Ø 25.4</t>
  </si>
  <si>
    <t>Deburring Ø 31.75</t>
  </si>
  <si>
    <t>Deburring Ø 44.45-50.80</t>
  </si>
  <si>
    <t>Deburring Ø 57.5</t>
  </si>
  <si>
    <t>Deburring Ø 63.5</t>
  </si>
  <si>
    <t>Deburring Ø 76.2</t>
  </si>
  <si>
    <t>Deburring Ø 101</t>
  </si>
  <si>
    <t>Flaring Ø 4.67</t>
  </si>
  <si>
    <t>Flaring Ø 6.35 to 10.00</t>
  </si>
  <si>
    <t>Flaring Ø 12.7</t>
  </si>
  <si>
    <t>Flaring Ø 15.87</t>
  </si>
  <si>
    <t>Flaring Ø 19</t>
  </si>
  <si>
    <t>Flaring Ø 25.4</t>
  </si>
  <si>
    <t>Flaring Ø 31.75</t>
  </si>
  <si>
    <t>Flaring Ø 44.45-50.80</t>
  </si>
  <si>
    <t>Flaring Ø 57.5</t>
  </si>
  <si>
    <t>Flaring Ø 63.5</t>
  </si>
  <si>
    <t>Flaring Ø 76.2</t>
  </si>
  <si>
    <t>Flaring Ø 101</t>
  </si>
  <si>
    <t>Beading Ø 4.67</t>
  </si>
  <si>
    <t>Beading Ø 6.35 to 10.00</t>
  </si>
  <si>
    <t>Beading Ø 12.7</t>
  </si>
  <si>
    <t>Beading Ø 15.87</t>
  </si>
  <si>
    <t>Beading Ø 19</t>
  </si>
  <si>
    <t>Beading Ø 25.4</t>
  </si>
  <si>
    <t>Beading Ø 31.75</t>
  </si>
  <si>
    <t>Beading Ø 44.45-50.80</t>
  </si>
  <si>
    <t>Beading Ø 57.5</t>
  </si>
  <si>
    <t>Beading Ø 63.5</t>
  </si>
  <si>
    <t>Beading Ø 76.2</t>
  </si>
  <si>
    <t>Beading Ø 101</t>
  </si>
  <si>
    <t>Squeezing Ø 4.67</t>
  </si>
  <si>
    <t>Squeezing Ø 6.35 to 10.00</t>
  </si>
  <si>
    <t>Squeezing Ø 12.7</t>
  </si>
  <si>
    <t>Squeezing Ø 15.87</t>
  </si>
  <si>
    <t>Squeezing Ø 19</t>
  </si>
  <si>
    <t>Squeezing Ø 25.4</t>
  </si>
  <si>
    <t>Squeezing Ø 31.75</t>
  </si>
  <si>
    <t>Squeezing Ø 44.45-50.80</t>
  </si>
  <si>
    <t>Squeezing Ø 57.5</t>
  </si>
  <si>
    <t>Squeezing Ø 63.5</t>
  </si>
  <si>
    <t>Squeezing Ø 76.2</t>
  </si>
  <si>
    <t>Squeezing Ø 101</t>
  </si>
  <si>
    <t>Bending Ø 4.67</t>
  </si>
  <si>
    <t>Bending Ø 6.35 to 10.00</t>
  </si>
  <si>
    <t>Bending Ø 12.7</t>
  </si>
  <si>
    <t>Bending Ø 15.87</t>
  </si>
  <si>
    <t>Bending Ø 19</t>
  </si>
  <si>
    <t>Bending Ø 25.4</t>
  </si>
  <si>
    <t>Bending Ø 31.75</t>
  </si>
  <si>
    <t>Bending Ø 44.45-50.80</t>
  </si>
  <si>
    <t>Bending Ø 57.5</t>
  </si>
  <si>
    <t>Bending Ø 63.5</t>
  </si>
  <si>
    <t>Bending Ø 76.2</t>
  </si>
  <si>
    <t>Bending Ø 101</t>
  </si>
  <si>
    <t>Slotting Ø 6.35 to 10.00</t>
  </si>
  <si>
    <t>Slotting Ø 12.7</t>
  </si>
  <si>
    <t>Slotting Ø 15.87</t>
  </si>
  <si>
    <t>Slotting Ø 19</t>
  </si>
  <si>
    <t>Slotting Ø 25.4</t>
  </si>
  <si>
    <t>Slotting Ø 31.75</t>
  </si>
  <si>
    <t>Slotting Ø 44.45-50.80</t>
  </si>
  <si>
    <t>Slotting Ø 57.5</t>
  </si>
  <si>
    <t>Slotting Ø 63.5</t>
  </si>
  <si>
    <t>Slotting Ø 76.2</t>
  </si>
  <si>
    <t>Slotting Ø 101</t>
  </si>
  <si>
    <t>Leak/ Press Testing Ø 4.67</t>
  </si>
  <si>
    <t>Leak/ Press Testing Ø 6.35 to 10.00</t>
  </si>
  <si>
    <t>Leak/ Press Testing Ø 12.7</t>
  </si>
  <si>
    <t>Leak/ Press Testing Ø 15.87</t>
  </si>
  <si>
    <t>Leak/ Press Testing Ø 19</t>
  </si>
  <si>
    <t>Leak/ Press Testing Ø 25.4</t>
  </si>
  <si>
    <t>Leak/ Press Testing Ø 31.75</t>
  </si>
  <si>
    <t>Leak/ Press Testing Ø 44.45-50.80</t>
  </si>
  <si>
    <t>Leak/ Press Testing Ø 57.5</t>
  </si>
  <si>
    <t>Leak/ Press Testing Ø 63.5</t>
  </si>
  <si>
    <t>Leak/ Press Testing Ø 76.2</t>
  </si>
  <si>
    <t>Leak/ Press Testing Ø 101</t>
  </si>
  <si>
    <t>Fitment Checking Ø 4.67</t>
  </si>
  <si>
    <t>Fitment Checking Ø 6.35 to 10.00</t>
  </si>
  <si>
    <t>Fitment Checking Ø 12.7</t>
  </si>
  <si>
    <t>Fitment Checking Ø 15.87</t>
  </si>
  <si>
    <t>Fitment Checking Ø 19</t>
  </si>
  <si>
    <t>Fitment Checking Ø 25.4</t>
  </si>
  <si>
    <t>Fitment Checking Ø 31.75</t>
  </si>
  <si>
    <t>Fitment Checking Ø 44.45-50.80</t>
  </si>
  <si>
    <t>Fitment Checking Ø 57.5</t>
  </si>
  <si>
    <t>Fitment Checking Ø 63.5</t>
  </si>
  <si>
    <t>Fitment Checking Ø 76.2</t>
  </si>
  <si>
    <t>Fitment Checking Ø 101</t>
  </si>
  <si>
    <t>Air / Oil Flushing Ø 4.67</t>
  </si>
  <si>
    <t>Air / Oil Flushing Ø 6.35 to 10.00</t>
  </si>
  <si>
    <t>Air / Oil Flushing Ø 12.7</t>
  </si>
  <si>
    <t>Air / Oil Flushing Ø 15.87</t>
  </si>
  <si>
    <t>Air / Oil Flushing Ø 19</t>
  </si>
  <si>
    <t>Air / Oil Flushing Ø 25.4</t>
  </si>
  <si>
    <t>Air / Oil Flushing Ø 31.75</t>
  </si>
  <si>
    <t>Air / Oil Flushing Ø 44.45-50.80</t>
  </si>
  <si>
    <t>Air / Oil Flushing Ø 57.5</t>
  </si>
  <si>
    <t>Air / Oil Flushing Ø 63.5</t>
  </si>
  <si>
    <t>Air / Oil Flushing Ø 76.2</t>
  </si>
  <si>
    <t>Air / Oil Flushing Ø 101</t>
  </si>
  <si>
    <t>Identification / Part no punching Ø 4.67</t>
  </si>
  <si>
    <t>Identification / Part no punching Ø 6.35 to 10.00</t>
  </si>
  <si>
    <t>Identification / Part no punching Ø 12.7</t>
  </si>
  <si>
    <t>Identification / Part no punching Ø 15.87</t>
  </si>
  <si>
    <t>Identification / Part no punching Ø 19</t>
  </si>
  <si>
    <t>Identification / Part no punching Ø 25.4</t>
  </si>
  <si>
    <t>Identification / Part no punching Ø 31.75</t>
  </si>
  <si>
    <t>Identification / Part no punching Ø 44.45-50.80</t>
  </si>
  <si>
    <t>Identification / Part no punching Ø 57.5</t>
  </si>
  <si>
    <t>Identification / Part no punching Ø 63.5</t>
  </si>
  <si>
    <t>Identification / Part no punching Ø 76.2</t>
  </si>
  <si>
    <t>Identification / Part no punching Ø 101</t>
  </si>
  <si>
    <t xml:space="preserve">Pipe Welding </t>
  </si>
  <si>
    <t xml:space="preserve">Pipe Brazing </t>
  </si>
  <si>
    <t xml:space="preserve">Sizing Ø 63.5 </t>
  </si>
  <si>
    <t>EA</t>
  </si>
  <si>
    <t>Sizing Ø 76.2</t>
  </si>
  <si>
    <t>DIa 76.2</t>
  </si>
  <si>
    <t>Sizing Ø 101</t>
  </si>
  <si>
    <t>Dia 101.6</t>
  </si>
  <si>
    <t>Hose Cutting Lower Pressure</t>
  </si>
  <si>
    <t>Lower Pressure</t>
  </si>
  <si>
    <t>Hose Cutting Higher Pressure</t>
  </si>
  <si>
    <t>Higher Pressure</t>
  </si>
  <si>
    <t>Hose Crimping Lower Pressure</t>
  </si>
  <si>
    <t>Hose Crimping Higher Pressure</t>
  </si>
  <si>
    <t>Shearing</t>
  </si>
  <si>
    <t>Jacket</t>
  </si>
  <si>
    <t>Rolling</t>
  </si>
  <si>
    <t>Per Operation</t>
  </si>
  <si>
    <t>Body Tacking</t>
  </si>
  <si>
    <t>Embossing</t>
  </si>
  <si>
    <t>240 Dia / Eliptical</t>
  </si>
  <si>
    <t>300 Dia</t>
  </si>
  <si>
    <t>Deburring</t>
  </si>
  <si>
    <t>Sheets</t>
  </si>
  <si>
    <t>Per No</t>
  </si>
  <si>
    <t>Inspection</t>
  </si>
  <si>
    <t>Pipe Rolling</t>
  </si>
  <si>
    <t>Perforation</t>
  </si>
  <si>
    <t>Per Line</t>
  </si>
  <si>
    <t>Glass Wool filling</t>
  </si>
  <si>
    <t>Canning</t>
  </si>
  <si>
    <t>6.77 dia x 4.76 Inch</t>
  </si>
  <si>
    <t>7.5 dia x 7 Inch</t>
  </si>
  <si>
    <t>Horizontal Actuation Pressing</t>
  </si>
  <si>
    <t>CNC Plasma Cutting</t>
  </si>
  <si>
    <t>2 mm</t>
  </si>
  <si>
    <t>Surface Finish</t>
  </si>
  <si>
    <t>ADFT BLACK PAINT</t>
  </si>
  <si>
    <t>ADFT Black paint with top coat</t>
  </si>
  <si>
    <t>ED Coating</t>
  </si>
  <si>
    <t>per Sq.mtr</t>
  </si>
  <si>
    <t>Seam Welding&lt;2 mm</t>
  </si>
  <si>
    <t>TIG Welding steel</t>
  </si>
  <si>
    <t>TIG Welding stainless steel</t>
  </si>
  <si>
    <t>Wiring Harness</t>
  </si>
  <si>
    <t>Conversion</t>
  </si>
  <si>
    <t>on RM Cost</t>
  </si>
  <si>
    <t>Ultrasonic Welding</t>
  </si>
  <si>
    <t>Powder Coating(EP)&lt;0.5 sq.mtr</t>
  </si>
  <si>
    <t>Powder Coating(EP)&gt;=0.5 sq.mtr</t>
  </si>
  <si>
    <t>Powder Coating(PP)</t>
  </si>
  <si>
    <t xml:space="preserve">CED Coating </t>
  </si>
  <si>
    <t>Under body black</t>
  </si>
  <si>
    <t>CED Coating+Top coat</t>
  </si>
  <si>
    <t>Zinc rich primer</t>
  </si>
  <si>
    <t>Transportation</t>
  </si>
  <si>
    <t>RM transport-PNR Supplier</t>
  </si>
  <si>
    <t>Input Wt</t>
  </si>
  <si>
    <t>RM transport-Chennai Supplier</t>
  </si>
  <si>
    <t>RM transport-Hosur Supplier</t>
  </si>
  <si>
    <t>Surface Finish Transport</t>
  </si>
  <si>
    <t>Finish wt</t>
  </si>
  <si>
    <t>Oil Application</t>
  </si>
  <si>
    <t>Shot blasting</t>
  </si>
  <si>
    <t>cast wt.</t>
  </si>
  <si>
    <t>Impregnation</t>
  </si>
  <si>
    <t>Melting cost</t>
  </si>
  <si>
    <t>Vacuum forming</t>
  </si>
  <si>
    <t>Dehumidification ABS thk-1 to 2mm</t>
  </si>
  <si>
    <t>Humidity- Above 1.5%</t>
  </si>
  <si>
    <t>MHR calculation</t>
  </si>
  <si>
    <t>Dehumidification ABS thk-2.1 to 4mm</t>
  </si>
  <si>
    <t>Dehumidification ABS thk-4.1 to 6mm</t>
  </si>
  <si>
    <t>Dehumidification ABS thk-6.1 to 2mm</t>
  </si>
  <si>
    <t>Humidity- 1 to 1.5%</t>
  </si>
  <si>
    <t>Humidity- 0.5 to 1%</t>
  </si>
  <si>
    <t>Vaccum Forming Cost</t>
  </si>
  <si>
    <t>per hour</t>
  </si>
  <si>
    <t>CNC Trimming cost</t>
  </si>
  <si>
    <t>Black paint for Cast&amp;Forged parts</t>
  </si>
  <si>
    <t>Forged wt</t>
  </si>
  <si>
    <t>Roll forming machine</t>
  </si>
  <si>
    <t>SPM-Wheel rim</t>
  </si>
  <si>
    <t>Wheel rim-End cutting machine</t>
  </si>
  <si>
    <t>per operation</t>
  </si>
  <si>
    <t>Wheel rim-Horizontal expanding M/C</t>
  </si>
  <si>
    <t>Wheel rim-Curving machine</t>
  </si>
  <si>
    <t>Wheel rim-Roll forming machine</t>
  </si>
  <si>
    <t>Wheel rim-Rolling and planishing machine</t>
  </si>
  <si>
    <t>per metre</t>
  </si>
  <si>
    <t>Wheel rim-Valve hole punching operation</t>
  </si>
  <si>
    <t>Wheel rim-Weld slag Trimming operation</t>
  </si>
  <si>
    <t>Wheel rim-Flaring operation</t>
  </si>
  <si>
    <t>Wheel rim-Runout measuring machine</t>
  </si>
  <si>
    <t>Wheel ring-coiling and Forming machine</t>
  </si>
  <si>
    <t>Wheel rim-Flash Butt welding</t>
  </si>
  <si>
    <t>Labour</t>
  </si>
  <si>
    <t>Production worker (SemiSkilled)</t>
  </si>
  <si>
    <t>Production worker (unSkilled)</t>
  </si>
  <si>
    <t>SS Welding 3 mm</t>
  </si>
  <si>
    <t>SS Tack welding</t>
  </si>
  <si>
    <t>per tack</t>
  </si>
  <si>
    <t>Hose Cutting Ø 4.67</t>
  </si>
  <si>
    <t>Hose Cutting Ø 6.35 to 10.00</t>
  </si>
  <si>
    <t>Hose Cutting Ø 12.7</t>
  </si>
  <si>
    <t>Hose Cutting Ø 15.87</t>
  </si>
  <si>
    <t>Hose Cutting Ø 19</t>
  </si>
  <si>
    <t>Hose Cutting Ø 25.4</t>
  </si>
  <si>
    <t>Hose Cutting Ø 31.75</t>
  </si>
  <si>
    <t>Hose Cutting Ø 44.45-50.80</t>
  </si>
  <si>
    <t>Hose Cutting Ø 57.5</t>
  </si>
  <si>
    <t>Hose Cutting Ø 63.5</t>
  </si>
  <si>
    <t>Hose Cutting Ø 76.2</t>
  </si>
  <si>
    <t>Hose Cutting Ø 101</t>
  </si>
  <si>
    <t>Hose Chamfering Ø 4.67</t>
  </si>
  <si>
    <t>Hose Chamfering Ø 6.35 to 10.00</t>
  </si>
  <si>
    <t>Hose Chamfering Ø 12.7</t>
  </si>
  <si>
    <t>Hose Chamfering Ø 15.87</t>
  </si>
  <si>
    <t>Hose Chamfering Ø 19</t>
  </si>
  <si>
    <t>Hose Chamfering Ø 25.4</t>
  </si>
  <si>
    <t>Hose Chamfering Ø 31.75</t>
  </si>
  <si>
    <t>Hose Chamfering Ø 44.45-50.80</t>
  </si>
  <si>
    <t>Hose Chamfering Ø 57.5</t>
  </si>
  <si>
    <t>Hose Chamfering Ø 63.5</t>
  </si>
  <si>
    <t>Hose Chamfering Ø 76.2</t>
  </si>
  <si>
    <t>Hose Chamfering Ø 101</t>
  </si>
  <si>
    <t>Millipore / Flushing - only for Compressor pipe Ø 15.87</t>
  </si>
  <si>
    <t>Millipore / Flushing - only for Compressor pipe Ø 19</t>
  </si>
  <si>
    <t>Millipore / Flushing - only for Compressor pipe Ø 25.4</t>
  </si>
  <si>
    <t>Buffing Ø 4.67</t>
  </si>
  <si>
    <t>Buffing Ø 6.35 to 10.00</t>
  </si>
  <si>
    <t>Buffing Ø 12.7</t>
  </si>
  <si>
    <t>Buffing Ø 15.87</t>
  </si>
  <si>
    <t>Buffing Ø 19</t>
  </si>
  <si>
    <t>Buffing Ø 25.4</t>
  </si>
  <si>
    <t>Buffing Ø 31.75</t>
  </si>
  <si>
    <t>Buffing Ø 44.45-50.80</t>
  </si>
  <si>
    <t>Buffing Ø 57.5</t>
  </si>
  <si>
    <t>Buffing Ø 63.5</t>
  </si>
  <si>
    <t>Buffing Ø 76.2</t>
  </si>
  <si>
    <t>Buffing Ø 101</t>
  </si>
  <si>
    <t>Paint Touch Up Ø 4.67</t>
  </si>
  <si>
    <t>Paint Touch Up Ø 6.35 to 10.00</t>
  </si>
  <si>
    <t>Paint Touch Up Ø 12.7</t>
  </si>
  <si>
    <t>Paint Touch Up Ø 15.87</t>
  </si>
  <si>
    <t>Paint Touch Up Ø 19</t>
  </si>
  <si>
    <t>Paint Touch Up Ø 25.4</t>
  </si>
  <si>
    <t>Paint Touch Up Ø 31.75</t>
  </si>
  <si>
    <t>Paint Touch Up Ø 44.45-50.80</t>
  </si>
  <si>
    <t>Paint Touch Up Ø 57.5</t>
  </si>
  <si>
    <t>Paint Touch Up Ø 63.5</t>
  </si>
  <si>
    <t>Paint Touch Up Ø 76.2</t>
  </si>
  <si>
    <t>Paint Touch Up Ø 101</t>
  </si>
  <si>
    <t>Dust Cap Fitting Ø 4.67</t>
  </si>
  <si>
    <t>Dust Cap Fitting Ø 6.35 to 10.00</t>
  </si>
  <si>
    <t>Dust Cap Fitting Ø 12.7</t>
  </si>
  <si>
    <t>Dust Cap Fitting Ø 15.87</t>
  </si>
  <si>
    <t>Dust Cap Fitting Ø 19</t>
  </si>
  <si>
    <t>Dust Cap Fitting Ø 25.4</t>
  </si>
  <si>
    <t>Dust Cap Fitting Ø 31.75</t>
  </si>
  <si>
    <t>Dust Cap Fitting Ø 44.45-50.80</t>
  </si>
  <si>
    <t>Dust Cap Fitting Ø 57.5</t>
  </si>
  <si>
    <t>Dust Cap Fitting Ø 63.5</t>
  </si>
  <si>
    <t>Dust Cap Fitting Ø 76.2</t>
  </si>
  <si>
    <t>Dust Cap Fitting Ø 101</t>
  </si>
  <si>
    <t>Identification / Sticker (Fitting) Ø 4.67</t>
  </si>
  <si>
    <t>Identification / Sticker (Fitting) Ø 6.35 to 10.00</t>
  </si>
  <si>
    <t>Identification / Sticker (Fitting) Ø 12.7</t>
  </si>
  <si>
    <t>Identification / Sticker (Fitting) Ø 15.87</t>
  </si>
  <si>
    <t>Identification / Sticker (Fitting) Ø 19</t>
  </si>
  <si>
    <t>Identification / Sticker (Fitting) Ø 25.4</t>
  </si>
  <si>
    <t>Identification / Sticker (Fitting) Ø 31.75</t>
  </si>
  <si>
    <t>Identification / Sticker (Fitting) Ø 44.45-50.80</t>
  </si>
  <si>
    <t>Identification / Sticker (Fitting) Ø 57.5</t>
  </si>
  <si>
    <t>Identification / Sticker (Fitting) Ø 63.5</t>
  </si>
  <si>
    <t>Identification / Sticker (Fitting) Ø 76.2</t>
  </si>
  <si>
    <t>Identification / Sticker (Fitting) Ø 101</t>
  </si>
  <si>
    <t>Nipple Brazing Ø 4.67</t>
  </si>
  <si>
    <t>Nipple Brazing Ø 6.35 to 10.00</t>
  </si>
  <si>
    <t>Nipple Brazing Ø 12.7</t>
  </si>
  <si>
    <t>Nipple Brazing Ø 15.87</t>
  </si>
  <si>
    <t>Nipple Brazing Ø 19</t>
  </si>
  <si>
    <t>Nipple Brazing Ø 25.4</t>
  </si>
  <si>
    <t>Nut / Union Brazing Ø 4.67</t>
  </si>
  <si>
    <t>Nut / Union Brazing Ø 6.35 to 10.00</t>
  </si>
  <si>
    <t>Nut / Union Brazing Ø 12.7</t>
  </si>
  <si>
    <t>Nut / Union Brazing Ø 15.87</t>
  </si>
  <si>
    <t>Nut / Union Brazing Ø 19</t>
  </si>
  <si>
    <t>Zinc Passivation Plating/sq.mtr</t>
  </si>
  <si>
    <t>per sq.mtr</t>
  </si>
  <si>
    <t>High pressure test</t>
  </si>
  <si>
    <t>Per Piece</t>
  </si>
  <si>
    <t xml:space="preserve">QR Code </t>
  </si>
  <si>
    <t>Coil Bending</t>
  </si>
  <si>
    <t>EGR Pipe Slitting Ø 14-20,Thk. 0.3-0.6mm</t>
  </si>
  <si>
    <t>EGR Pipe Slitting Ø 21-25,Thk. 0.3-0.6mm</t>
  </si>
  <si>
    <t>EGR Pipe Slitting Ø 21-25,Thk. 0.8-1mm</t>
  </si>
  <si>
    <t>EGR Pipe Slitting Ø 26-30,Thk. 0.3-0.6mm</t>
  </si>
  <si>
    <t>EGR Pipe Slitting Ø 26-30,Thk. 0.8-1mm</t>
  </si>
  <si>
    <t>EGR Pipe Slitting Ø 30-35,Thk. 0.3-0.6mm</t>
  </si>
  <si>
    <t>EGR Pipe Slitting Ø 30-35,Thk. 0.8-1mm</t>
  </si>
  <si>
    <t>EGR Pipe Slitting Ø 35-40,Thk. 0.3-0.6mm</t>
  </si>
  <si>
    <t>EGR Pipe Slitting Ø 35-40,Thk. 0.8-1mm</t>
  </si>
  <si>
    <t>EGR Pipe Making Ø 14-20,Thk. 0.3-0.6mm</t>
  </si>
  <si>
    <t>EGR Pipe Making Ø 21-25,Thk. 0.3-0.6mm</t>
  </si>
  <si>
    <t>EGR Pipe Making Ø 21-25,Thk. 0.8-1mm</t>
  </si>
  <si>
    <t>EGR Pipe Making Ø 26-30,Thk. 0.3-0.6mm</t>
  </si>
  <si>
    <t>EGR Pipe Making Ø 26-30,Thk. 0.8-1mm</t>
  </si>
  <si>
    <t>EGR Pipe Making Ø 30-35,Thk. 0.3-0.6mm</t>
  </si>
  <si>
    <t>EGR Pipe Making Ø 30-35,Thk. 0.8-1mm</t>
  </si>
  <si>
    <t>EGR Pipe Making Ø 35-40,Thk. 0.3-0.6mm</t>
  </si>
  <si>
    <t>EGR Pipe Making Ø 35-40,Thk. 0.8-1mm</t>
  </si>
  <si>
    <t>EGR Pipe Cone FormingØ 14-20,Thk. 0.3-0.6mm</t>
  </si>
  <si>
    <t>EGR Pipe Cone FormingØ 21-25,Thk. 0.3-0.6mm</t>
  </si>
  <si>
    <t>EGR Pipe Cone FormingØ 21-25,Thk. 0.8-1mm</t>
  </si>
  <si>
    <t>EGR Pipe Cone FormingØ 26-30,Thk. 0.3-0.6mm</t>
  </si>
  <si>
    <t>EGR Pipe Cone FormingØ 26-30,Thk. 0.8-1mm</t>
  </si>
  <si>
    <t>EGR Pipe Cone FormingØ 30-35,Thk. 0.3-0.6mm</t>
  </si>
  <si>
    <t>EGR Pipe Cone FormingØ 30-35,Thk. 0.8-1mm</t>
  </si>
  <si>
    <t>EGR Pipe Cone FormingØ 35-40,Thk. 0.3-0.6mm</t>
  </si>
  <si>
    <t>EGR Pipe Cone FormingØ 35-40,Thk. 0.8-1mm</t>
  </si>
  <si>
    <t>EGR Pipe Hydro forming Ø 14-20,Thk. 0.3-0.6mm</t>
  </si>
  <si>
    <t>EGR Pipe Hydro forming Ø 21-25,Thk. 0.3-0.6mm</t>
  </si>
  <si>
    <t>EGR Pipe Hydro forming Ø 21-25,Thk. 0.8-1mm</t>
  </si>
  <si>
    <t>EGR Pipe Hydro forming Ø 26-30,Thk. 0.3-0.6mm</t>
  </si>
  <si>
    <t>EGR Pipe Hydro forming Ø 26-30,Thk. 0.8-1mm</t>
  </si>
  <si>
    <t>EGR Pipe Hydro forming Ø 30-35,Thk. 0.3-0.6mm</t>
  </si>
  <si>
    <t>EGR Pipe Hydro forming Ø 30-35,Thk. 0.8-1mm</t>
  </si>
  <si>
    <t>EGR Pipe Hydro forming Ø 35-40,Thk. 0.3-0.6mm</t>
  </si>
  <si>
    <t>EGR Pipe Hydro forming Ø 35-40,Thk. 0.8-1mm</t>
  </si>
  <si>
    <t>EGR Pipe End Cutting Ø 14-20,Thk. 0.3-0.6mm</t>
  </si>
  <si>
    <t>EGR Pipe End Cutting Ø 21-25,Thk. 0.3-0.6mm</t>
  </si>
  <si>
    <t>EGR Pipe End Cutting Ø 21-25,Thk. 0.8-1mm</t>
  </si>
  <si>
    <t>EGR Pipe End Cutting Ø 26-30,Thk. 0.3-0.6mm</t>
  </si>
  <si>
    <t>EGR Pipe End Cutting Ø 26-30,Thk. 0.8-1mm</t>
  </si>
  <si>
    <t>EGR Pipe End Cutting Ø 30-35,Thk. 0.3-0.6mm</t>
  </si>
  <si>
    <t>EGR Pipe End Cutting Ø 30-35,Thk. 0.8-1mm</t>
  </si>
  <si>
    <t>EGR Pipe End Cutting Ø 35-40,Thk. 0.3-0.6mm</t>
  </si>
  <si>
    <t>EGR Pipe End Cutting Ø 35-40,Thk. 0.8-1mm</t>
  </si>
  <si>
    <t>EGR Pipe DeburringØ 14-20,Thk. 0.3-0.6mm</t>
  </si>
  <si>
    <t>EGR Pipe DeburringØ 21-25,Thk. 0.3-0.6mm</t>
  </si>
  <si>
    <t>EGR Pipe DeburringØ 21-25,Thk. 0.8-1mm</t>
  </si>
  <si>
    <t>EGR Pipe DeburringØ 26-30,Thk. 0.3-0.6mm</t>
  </si>
  <si>
    <t>EGR Pipe DeburringØ 26-30,Thk. 0.8-1mm</t>
  </si>
  <si>
    <t>EGR Pipe DeburringØ 30-35,Thk. 0.3-0.6mm</t>
  </si>
  <si>
    <t>EGR Pipe DeburringØ 30-35,Thk. 0.8-1mm</t>
  </si>
  <si>
    <t>EGR Pipe DeburringØ 35-40,Thk. 0.3-0.6mm</t>
  </si>
  <si>
    <t>EGR Pipe DeburringØ 35-40,Thk. 0.8-1mm</t>
  </si>
  <si>
    <t>EGR Pipe Ultrasonic Cleaning Ø 14-20,Thk. 0.3-0.6mm</t>
  </si>
  <si>
    <t>EGR Pipe Ultrasonic Cleaning Ø 21-25,Thk. 0.3-0.6mm</t>
  </si>
  <si>
    <t>EGR Pipe Ultrasonic Cleaning Ø 21-25,Thk. 0.8-1mm</t>
  </si>
  <si>
    <t>EGR Pipe Ultrasonic Cleaning Ø 26-30,Thk. 0.3-0.6mm</t>
  </si>
  <si>
    <t>EGR Pipe Ultrasonic Cleaning Ø 26-30,Thk. 0.8-1mm</t>
  </si>
  <si>
    <t>EGR Pipe Ultrasonic Cleaning Ø 30-35,Thk. 0.3-0.6mm</t>
  </si>
  <si>
    <t>EGR Pipe Ultrasonic Cleaning Ø 30-35,Thk. 0.8-1mm</t>
  </si>
  <si>
    <t>EGR Pipe Ultrasonic Cleaning Ø 35-40,Thk. 0.3-0.6mm</t>
  </si>
  <si>
    <t>EGR Pipe Ultrasonic Cleaning Ø 35-40,Thk. 0.8-1mm</t>
  </si>
  <si>
    <t>EGR Pipe Machine Bending - Cost/Bend (0.6- 1mm) Ø 14-20,Thk. 0.3-0.6mm</t>
  </si>
  <si>
    <t>EGR Pipe Machine Bending - Cost/Bend (0.6- 1mm) Ø 21-25,Thk. 0.3-0.6mm</t>
  </si>
  <si>
    <t>EGR Pipe Machine Bending - Cost/Bend (0.6- 1mm) Ø 21-25,Thk. 0.8-1mm</t>
  </si>
  <si>
    <t>EGR Pipe Machine Bending - Cost/Bend (0.6- 1mm) Ø 26-30,Thk. 0.3-0.6mm</t>
  </si>
  <si>
    <t>EGR Pipe Machine Bending - Cost/Bend (0.6- 1mm) Ø 26-30,Thk. 0.8-1mm</t>
  </si>
  <si>
    <t>EGR Pipe Machine Bending - Cost/Bend (0.6- 1mm) Ø 30-35,Thk. 0.3-0.6mm</t>
  </si>
  <si>
    <t>EGR Pipe Machine Bending - Cost/Bend (0.6- 1mm) Ø 30-35,Thk. 0.8-1mm</t>
  </si>
  <si>
    <t>EGR Pipe Machine Bending - Cost/Bend (0.6- 1mm) Ø 35-40,Thk. 0.3-0.6mm</t>
  </si>
  <si>
    <t>EGR Pipe Machine Bending - Cost/Bend (0.6- 1mm) Ø 35-40,Thk. 0.8-1mm</t>
  </si>
  <si>
    <t>EGR Pipe Bellow Bending - Cost/Bend (upto  0.6  manual bending, and &gt;0.6 mc bnding)Ø 14-20,Thk. 0.3-0.6mm</t>
  </si>
  <si>
    <t>EGR Pipe Bellow Bending - Cost/Bend (upto  0.6  manual bending, and &gt;0.6 mc bnding)Ø 21-25,Thk. 0.3-0.6mm</t>
  </si>
  <si>
    <t>EGR Pipe Bellow Bending - Cost/Bend (upto  0.6  manual bending, and &gt;0.6 mc bnding)Ø 21-25,Thk. 0.8-1mm</t>
  </si>
  <si>
    <t>EGR Pipe Bellow Bending - Cost/Bend (upto  0.6  manual bending, and &gt;0.6 mc bnding)Ø 26-30,Thk. 0.3-0.6mm</t>
  </si>
  <si>
    <t>EGR Pipe Bellow Bending - Cost/Bend (upto  0.6  manual bending, and &gt;0.6 mc bnding)Ø 26-30,Thk. 0.8-1mm</t>
  </si>
  <si>
    <t>EGR Pipe Bellow Bending - Cost/Bend (upto  0.6  manual bending, and &gt;0.6 mc bnding)Ø 30-35,Thk. 0.3-0.6mm</t>
  </si>
  <si>
    <t>EGR Pipe Bellow Bending - Cost/Bend (upto  0.6  manual bending, and &gt;0.6 mc bnding)Ø 30-35,Thk. 0.8-1mm</t>
  </si>
  <si>
    <t>EGR Pipe Bellow Bending - Cost/Bend (upto  0.6  manual bending, and &gt;0.6 mc bnding)Ø 35-40,Thk. 0.3-0.6mm</t>
  </si>
  <si>
    <t>EGR Pipe Bellow Bending - Cost/Bend (upto  0.6  manual bending, and &gt;0.6 mc bnding)Ø 35-40,Thk. 0.8-1mm</t>
  </si>
  <si>
    <t>EGR Pipe Furnace Brazing upto 600mmØ 14-20,Thk. 0.3-0.6mm</t>
  </si>
  <si>
    <t>EGR Pipe Furnace Brazing upto 600mmØ 21-25,Thk. 0.3-0.6mm</t>
  </si>
  <si>
    <t>EGR Pipe Furnace Brazing upto 600mmØ 21-25,Thk. 0.8-1mm</t>
  </si>
  <si>
    <t>EGR Pipe Furnace Brazing upto 600mmØ 26-30,Thk. 0.3-0.6mm</t>
  </si>
  <si>
    <t>EGR Pipe Furnace Brazing upto 600mmØ 26-30,Thk. 0.8-1mm</t>
  </si>
  <si>
    <t>EGR Pipe Furnace Brazing upto 600mmØ 30-35,Thk. 0.3-0.6mm</t>
  </si>
  <si>
    <t>EGR Pipe Furnace Brazing upto 600mmØ 30-35,Thk. 0.8-1mm</t>
  </si>
  <si>
    <t>EGR Pipe Furnace Brazing upto 600mmØ 35-40,Thk. 0.3-0.6mm</t>
  </si>
  <si>
    <t>EGR Pipe Furnace Brazing upto 600mmØ 35-40,Thk. 0.8-1mm</t>
  </si>
  <si>
    <t>EGR Pipe Furnace Brazing 601-1200 mm Ø 14-20,Thk. 0.3-0.6mm</t>
  </si>
  <si>
    <t>EGR Pipe Furnace Brazing 601-1200 mm Ø 21-25,Thk. 0.3-0.6mm</t>
  </si>
  <si>
    <t>EGR Pipe Furnace Brazing 601-1200 mm Ø 21-25,Thk. 0.8-1mm</t>
  </si>
  <si>
    <t>EGR Pipe Furnace Brazing 601-1200 mm Ø 26-30,Thk. 0.3-0.6mm</t>
  </si>
  <si>
    <t>EGR Pipe Furnace Brazing 601-1200 mm Ø 26-30,Thk. 0.8-1mm</t>
  </si>
  <si>
    <t>EGR Pipe Furnace Brazing 601-1200 mm  Ø 30-35,Thk. 0.3-0.6mm</t>
  </si>
  <si>
    <t>EGR Pipe Furnace Brazing 601-1200 mm  Ø 30-35,Thk. 0.8-1mm</t>
  </si>
  <si>
    <t>EGR Pipe Furnace Brazing 601-1200 mm  Ø 35-40,Thk. 0.3-0.6mm</t>
  </si>
  <si>
    <t>EGR Pipe Furnace Brazing 601-1200 mm Ø 35-40,Thk. 0.8-1mm</t>
  </si>
  <si>
    <t>EGR Pipe Leak testing Ø 14-20,Thk. 0.3-0.6mm</t>
  </si>
  <si>
    <t>per meter</t>
  </si>
  <si>
    <t>EGR Pipe Leak testing Ø 21-25,Thk. 0.3-0.6mm</t>
  </si>
  <si>
    <t>EGR Pipe Leak testing Ø 21-25,Thk. 0.8-1mm</t>
  </si>
  <si>
    <t>EGR Pipe Leak testing Ø 26-30,Thk. 0.3-0.6mm</t>
  </si>
  <si>
    <t>EGR Pipe Leak testing Ø 26-30,Thk. 0.8-1mm</t>
  </si>
  <si>
    <t>EGR Pipe Leak testing Ø 30-35,Thk. 0.3-0.6mm</t>
  </si>
  <si>
    <t>EGR Pipe Leak testing Ø 30-35,Thk. 0.8-1mm</t>
  </si>
  <si>
    <t>EGR Pipe Leak testing Ø 35-40,Thk. 0.3-0.6mm</t>
  </si>
  <si>
    <t>EGR Pipe Leak testing Ø 35-40,Thk. 0.8-1mm</t>
  </si>
  <si>
    <t>EGR Pipe FIF Checking Ø 14-20,Thk. 0.3-0.6mm</t>
  </si>
  <si>
    <t>EGR Pipe FIF Checking Ø 21-25,Thk. 0.3-0.6mm</t>
  </si>
  <si>
    <t>EGR Pipe FIF Checking Ø 21-25,Thk. 0.8-1mm</t>
  </si>
  <si>
    <t>EGR Pipe FIF Checking Ø 26-30,Thk. 0.3-0.6mm</t>
  </si>
  <si>
    <t>EGR Pipe FIF Checking Ø 26-30,Thk. 0.8-1mm</t>
  </si>
  <si>
    <t>EGR Pipe FIF Checking Ø 30-35,Thk. 0.3-0.6mm</t>
  </si>
  <si>
    <t>EGR Pipe FIF Checking Ø 30-35,Thk. 0.8-1mm</t>
  </si>
  <si>
    <t>EGR Pipe FIF Checking Ø 35-40,Thk. 0.3-0.6mm</t>
  </si>
  <si>
    <t>EGR Pipe FIF Checking Ø 35-40,Thk. 0.8-1mm</t>
  </si>
  <si>
    <t>EGR Pipe Visual Check Ø 14-20,Thk. 0.3-0.6mm</t>
  </si>
  <si>
    <t>EGR Pipe Visual Check Ø 21-25,Thk. 0.3-0.6mm</t>
  </si>
  <si>
    <t>EGR Pipe Visual Check Ø 21-25,Thk. 0.8-1mm</t>
  </si>
  <si>
    <t>EGR Pipe Visual Check Ø 26-30,Thk. 0.3-0.6mm</t>
  </si>
  <si>
    <t>EGR Pipe Visual Check Ø 26-30,Thk. 0.8-1mm</t>
  </si>
  <si>
    <t>EGR Pipe Visual Check Ø 30-35,Thk. 0.3-0.6mm</t>
  </si>
  <si>
    <t>EGR Pipe Visual Check Ø 30-35,Thk. 0.8-1mm</t>
  </si>
  <si>
    <t>EGR Pipe Visual Check Ø 35-40,Thk. 0.3-0.6mm</t>
  </si>
  <si>
    <t>EGR Pipe Visual Check Ø 35-40,Thk. 0.8-1mm</t>
  </si>
  <si>
    <t>EGR Pipe Water Flushing Ø 14-20,Thk. 0.3-0.6mm</t>
  </si>
  <si>
    <t>EGR Pipe Water Flushing Ø 21-25,Thk. 0.3-0.6mm</t>
  </si>
  <si>
    <t>EGR Pipe Water Flushing Ø 21-25,Thk. 0.8-1mm</t>
  </si>
  <si>
    <t>EGR Pipe Water Flushing Ø 26-30,Thk. 0.3-0.6mm</t>
  </si>
  <si>
    <t>EGR Pipe Water Flushing Ø 26-30,Thk. 0.8-1mm</t>
  </si>
  <si>
    <t>EGR Pipe Water Flushing Ø 30-35,Thk. 0.3-0.6mm</t>
  </si>
  <si>
    <t>EGR Pipe Water Flushing Ø 30-35,Thk. 0.8-1mm</t>
  </si>
  <si>
    <t>EGR Pipe Water Flushing Ø 35-40,Thk. 0.3-0.6mm</t>
  </si>
  <si>
    <t>EGR Pipe Water Flushing Ø 35-40,Thk. 0.8-1mm</t>
  </si>
  <si>
    <t>EGR Pipe Tack welding</t>
  </si>
  <si>
    <t>EGR Pipe welding</t>
  </si>
  <si>
    <t>EGR Pipe Lot marking</t>
  </si>
  <si>
    <t>Pipe cutting includesTrimming / Finishing / Deburring  /oiling</t>
  </si>
  <si>
    <t>per bend</t>
  </si>
  <si>
    <t>Color coating</t>
  </si>
  <si>
    <t>per Sqr Mtr</t>
  </si>
  <si>
    <t>JAI Norms Semi elliptical rolling</t>
  </si>
  <si>
    <t>per kg on finish wt.</t>
  </si>
  <si>
    <t>JAI Norms Parabolic rolling</t>
  </si>
  <si>
    <t>JAI Norms Painting cost</t>
  </si>
  <si>
    <t>per kg on Assy wt.</t>
  </si>
  <si>
    <t>JAI Norms Packing plate mfg. cost</t>
  </si>
  <si>
    <t>Hard chrome plating</t>
  </si>
  <si>
    <t>per sq. inch</t>
  </si>
  <si>
    <t>Induction hardening/mm thick</t>
  </si>
  <si>
    <t>TT Norms Semi elliptical rolling</t>
  </si>
  <si>
    <t>Rs/kg On finish wt.</t>
  </si>
  <si>
    <t>TT Norms Parabolic rolling</t>
  </si>
  <si>
    <t>TT Norms Packing plate mfg. cost</t>
  </si>
  <si>
    <t>TT Norms Painting cost</t>
  </si>
  <si>
    <t>Rs/kg on Assy wt.</t>
  </si>
  <si>
    <t>Sourcing Input - During MBP Discussion</t>
  </si>
  <si>
    <t>T6 treatment for aluminium alloy</t>
  </si>
  <si>
    <t>Zinc Passivation Plating/kg</t>
  </si>
  <si>
    <t>Band saw cutting</t>
  </si>
  <si>
    <t>per sq.inch</t>
  </si>
  <si>
    <t>Zinc plating</t>
  </si>
  <si>
    <t>3000 T Hydraulic press</t>
  </si>
  <si>
    <t>Orbital forging</t>
  </si>
  <si>
    <t>Moulding - Liner</t>
  </si>
  <si>
    <t>Per SQM</t>
  </si>
  <si>
    <t>Quote Ref - FM604668</t>
  </si>
  <si>
    <t>Waterjet Triming - Liner</t>
  </si>
  <si>
    <t>PerMeter</t>
  </si>
  <si>
    <t>MHR - 1411, meter ref - 739102VA0A</t>
  </si>
  <si>
    <t>ASSY - Liner</t>
  </si>
  <si>
    <t>Inspection - Liner</t>
  </si>
  <si>
    <t>Co2 Welding 10 mm</t>
  </si>
  <si>
    <t>Co2 Welding 12 mm</t>
  </si>
  <si>
    <t>Tack Welding _Robot</t>
  </si>
  <si>
    <t>Co2 Welding 3 mm_Robot</t>
  </si>
  <si>
    <t>Co2 Welding 4 mm_Robot</t>
  </si>
  <si>
    <t>Co2 Welding 5 mm_Robot</t>
  </si>
  <si>
    <t>Co2 Welding 6 mm_Robot</t>
  </si>
  <si>
    <t>Co2 Welding 8 mm_Robot</t>
  </si>
  <si>
    <t>Co2 Welding 10 mm_Robot</t>
  </si>
  <si>
    <t>Co2 Welding 12 mm_Robot</t>
  </si>
  <si>
    <t>Jotun Powder costing</t>
  </si>
  <si>
    <t>per SQM</t>
  </si>
  <si>
    <t>AL Pipes</t>
  </si>
  <si>
    <t>Ultrasonic cleaning Dia 9mm</t>
  </si>
  <si>
    <t>Ultrasonic cleaning Dia 12mm</t>
  </si>
  <si>
    <t>Ultrasonic cleaning Dia 16mm</t>
  </si>
  <si>
    <t>Condenser/Evaporator brazing</t>
  </si>
  <si>
    <t>Helium Leak Test-Condenser/evaporator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</si>
</sst>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 * #,##0.00_ ;_ * \-#,##0.00_ ;_ * &quot;-&quot;??_ ;_ @_ "/>
    <numFmt numFmtId="164" formatCode="0.000"/>
    <numFmt numFmtId="165" formatCode="0.0"/>
    <numFmt numFmtId="166" formatCode="[$-409]mmm\-yy;@"/>
    <numFmt numFmtId="167" formatCode="[$-409]dd\-mmm\-yy;@"/>
    <numFmt numFmtId="168" formatCode="0.0000"/>
    <numFmt numFmtId="169" formatCode="_(* #,##0_);_(* \(#,##0\);_(* &quot;-&quot;_);_(@_)"/>
    <numFmt numFmtId="170" formatCode="_(* #,##0.00_);_(* \(#,##0.00\);_(* &quot;-&quot;_);_(@_)"/>
    <numFmt numFmtId="171" formatCode="_(* #,##0.00_);_(* \(#,##0.00\);_(* &quot;-&quot;??_);_(@_)"/>
    <numFmt numFmtId="172" formatCode="0.00000"/>
    <numFmt numFmtId="173" formatCode="_(* #,##0.0000_);_(* \(#,##0.0000\);_(* &quot;-&quot;_);_(@_)"/>
    <numFmt numFmtId="174" formatCode="_(* #,##0_);_(* \(#,##0\);_(* &quot;-&quot;??_);_(@_)"/>
    <numFmt numFmtId="175" formatCode="_(* #,##0.0_);_(* \(#,##0.0\);_(* &quot;-&quot;_);_(@_)"/>
    <numFmt numFmtId="176" formatCode="_(* #,##0.000_);_(* \(#,##0.000\);_(* &quot;-&quot;_);_(@_)"/>
    <numFmt numFmtId="177" formatCode="_(* #,##0.000_);_(* \(#,##0.000\);_(* &quot;-&quot;??_);_(@_)"/>
    <numFmt numFmtId="178" formatCode="_ [$₹-4009]\ * #,##0.000_ ;_ [$₹-4009]\ * \-#,##0.000_ ;_ [$₹-4009]\ * &quot;-&quot;???_ ;_ @_ "/>
    <numFmt numFmtId="179" formatCode="_(* #,##0.0000_);_(* \(#,##0.0000\);_(* &quot;-&quot;??_);_(@_)"/>
    <numFmt numFmtId="180" formatCode="_(&quot;$&quot;* #,##0.00_);_(&quot;$&quot;* \(#,##0.00\);_(&quot;$&quot;* &quot;-&quot;??_);_(@_)"/>
    <numFmt numFmtId="181" formatCode="0.0%"/>
    <numFmt numFmtId="182" formatCode="0&quot;:1&quot;"/>
    <numFmt numFmtId="183" formatCode="&quot;&gt;&quot;#&quot;T&quot;"/>
    <numFmt numFmtId="184" formatCode="#,##0.0&quot; s&quot;"/>
    <numFmt numFmtId="185" formatCode="&quot;$&quot;#,##0.00"/>
    <numFmt numFmtId="186" formatCode="[$-409]d\-mmm\-yy;@"/>
    <numFmt numFmtId="187" formatCode="0.00&quot; Kg&quot;"/>
    <numFmt numFmtId="188" formatCode="00.00\ &quot;Rs/Kg&quot;"/>
  </numFmts>
  <fonts count="70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</font>
    <font>
      <u/>
      <sz val="1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sz val="11"/>
      <name val="Times New Roman"/>
      <family val="1"/>
    </font>
    <font>
      <sz val="11"/>
      <name val="Times New Roman"/>
      <family val="1"/>
    </font>
    <font>
      <sz val="10"/>
      <name val="Times New Roman"/>
      <family val="1"/>
    </font>
    <font>
      <b/>
      <i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9C650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indexed="1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name val="Courier New"/>
      <family val="3"/>
    </font>
    <font>
      <b/>
      <sz val="20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name val="Calibri"/>
      <family val="2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6EDBD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CC4E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AB7F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D9D9D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theme="9" tint="-0.249977111117893"/>
      </left>
      <right/>
      <top style="dotted">
        <color theme="9" tint="-0.249977111117893"/>
      </top>
      <bottom style="dotted">
        <color theme="9" tint="-0.249977111117893"/>
      </bottom>
      <diagonal/>
    </border>
    <border>
      <left style="dotted">
        <color theme="9" tint="-0.249977111117893"/>
      </left>
      <right style="dotted">
        <color theme="9" tint="-0.249977111117893"/>
      </right>
      <top style="dotted">
        <color theme="9" tint="-0.249977111117893"/>
      </top>
      <bottom style="dotted">
        <color theme="9" tint="-0.249977111117893"/>
      </bottom>
      <diagonal/>
    </border>
    <border>
      <left/>
      <right style="dotted">
        <color theme="9" tint="-0.249977111117893"/>
      </right>
      <top style="dotted">
        <color theme="9" tint="-0.249977111117893"/>
      </top>
      <bottom style="dotted">
        <color theme="9" tint="-0.249977111117893"/>
      </bottom>
      <diagonal/>
    </border>
    <border>
      <left style="dashed">
        <color theme="7" tint="0.39997558519241921"/>
      </left>
      <right/>
      <top style="dashed">
        <color theme="7" tint="0.39997558519241921"/>
      </top>
      <bottom style="dashed">
        <color theme="7" tint="0.39997558519241921"/>
      </bottom>
      <diagonal/>
    </border>
    <border>
      <left/>
      <right/>
      <top style="dashed">
        <color theme="7" tint="0.39997558519241921"/>
      </top>
      <bottom style="dashed">
        <color theme="7" tint="0.39997558519241921"/>
      </bottom>
      <diagonal/>
    </border>
    <border>
      <left/>
      <right style="dashed">
        <color theme="7" tint="0.39997558519241921"/>
      </right>
      <top style="dashed">
        <color theme="7" tint="0.39997558519241921"/>
      </top>
      <bottom style="dashed">
        <color theme="7" tint="0.39997558519241921"/>
      </bottom>
      <diagonal/>
    </border>
    <border>
      <left style="dotted">
        <color theme="9" tint="-0.249977111117893"/>
      </left>
      <right/>
      <top/>
      <bottom style="dotted">
        <color theme="9" tint="-0.249977111117893"/>
      </bottom>
      <diagonal/>
    </border>
    <border>
      <left style="dotted">
        <color theme="9" tint="-0.249977111117893"/>
      </left>
      <right style="dotted">
        <color theme="9" tint="-0.249977111117893"/>
      </right>
      <top/>
      <bottom style="dotted">
        <color theme="9" tint="-0.249977111117893"/>
      </bottom>
      <diagonal/>
    </border>
    <border>
      <left/>
      <right style="dotted">
        <color theme="9" tint="-0.249977111117893"/>
      </right>
      <top/>
      <bottom style="dotted">
        <color theme="9" tint="-0.249977111117893"/>
      </bottom>
      <diagonal/>
    </border>
    <border>
      <left style="dashed">
        <color theme="7" tint="0.39997558519241921"/>
      </left>
      <right/>
      <top/>
      <bottom/>
      <diagonal/>
    </border>
    <border>
      <left style="dashed">
        <color theme="7" tint="0.39997558519241921"/>
      </left>
      <right style="dashed">
        <color theme="7" tint="0.39997558519241921"/>
      </right>
      <top/>
      <bottom/>
      <diagonal/>
    </border>
    <border>
      <left/>
      <right style="dashed">
        <color theme="7" tint="0.39997558519241921"/>
      </right>
      <top/>
      <bottom/>
      <diagonal/>
    </border>
    <border>
      <left style="dashed">
        <color theme="7" tint="0.39997558519241921"/>
      </left>
      <right style="dotted">
        <color theme="7" tint="0.39997558519241921"/>
      </right>
      <top style="dashed">
        <color theme="7" tint="0.39997558519241921"/>
      </top>
      <bottom/>
      <diagonal/>
    </border>
    <border>
      <left style="dashed">
        <color theme="7" tint="0.39997558519241921"/>
      </left>
      <right style="dashed">
        <color theme="7" tint="0.39997558519241921"/>
      </right>
      <top style="dashed">
        <color theme="7" tint="0.39997558519241921"/>
      </top>
      <bottom style="dashed">
        <color theme="7" tint="0.39997558519241921"/>
      </bottom>
      <diagonal/>
    </border>
    <border>
      <left style="dashed">
        <color theme="7" tint="0.39997558519241921"/>
      </left>
      <right style="dotted">
        <color theme="7" tint="0.39997558519241921"/>
      </right>
      <top/>
      <bottom style="dashed">
        <color theme="7" tint="0.39997558519241921"/>
      </bottom>
      <diagonal/>
    </border>
    <border>
      <left/>
      <right style="dashed">
        <color theme="7" tint="0.39997558519241921"/>
      </right>
      <top/>
      <bottom style="dashed">
        <color theme="7" tint="0.39997558519241921"/>
      </bottom>
      <diagonal/>
    </border>
    <border>
      <left style="dashed">
        <color theme="7" tint="0.39997558519241921"/>
      </left>
      <right style="dotted">
        <color theme="7" tint="0.39997558519241921"/>
      </right>
      <top/>
      <bottom/>
      <diagonal/>
    </border>
    <border>
      <left style="dashed">
        <color theme="7" tint="0.39997558519241921"/>
      </left>
      <right/>
      <top/>
      <bottom style="dashed">
        <color theme="7" tint="0.39997558519241921"/>
      </bottom>
      <diagonal/>
    </border>
    <border>
      <left style="dashed">
        <color theme="7" tint="0.39997558519241921"/>
      </left>
      <right style="dashed">
        <color theme="7" tint="0.39997558519241921"/>
      </right>
      <top/>
      <bottom style="dashed">
        <color theme="7" tint="0.39997558519241921"/>
      </bottom>
      <diagonal/>
    </border>
    <border>
      <left/>
      <right style="dashed">
        <color theme="7" tint="0.39997558519241921"/>
      </right>
      <top style="dashed">
        <color theme="7" tint="0.39997558519241921"/>
      </top>
      <bottom/>
      <diagonal/>
    </border>
    <border>
      <left style="dotted">
        <color theme="9" tint="-0.249977111117893"/>
      </left>
      <right/>
      <top style="dotted">
        <color theme="9" tint="-0.249977111117893"/>
      </top>
      <bottom/>
      <diagonal/>
    </border>
    <border>
      <left/>
      <right/>
      <top style="dotted">
        <color theme="9" tint="-0.249977111117893"/>
      </top>
      <bottom/>
      <diagonal/>
    </border>
    <border>
      <left style="dotted">
        <color theme="9" tint="-0.249977111117893"/>
      </left>
      <right style="dotted">
        <color theme="9" tint="-0.249977111117893"/>
      </right>
      <top style="dotted">
        <color theme="9" tint="-0.249977111117893"/>
      </top>
      <bottom/>
      <diagonal/>
    </border>
    <border>
      <left/>
      <right/>
      <top style="dotted">
        <color theme="9" tint="-0.249977111117893"/>
      </top>
      <bottom style="dotted">
        <color theme="9" tint="-0.249977111117893"/>
      </bottom>
      <diagonal/>
    </border>
    <border>
      <left style="dotted">
        <color theme="9" tint="-0.249977111117893"/>
      </left>
      <right/>
      <top/>
      <bottom/>
      <diagonal/>
    </border>
    <border>
      <left style="dotted">
        <color theme="9" tint="-0.249977111117893"/>
      </left>
      <right style="dotted">
        <color theme="9" tint="-0.249977111117893"/>
      </right>
      <top/>
      <bottom/>
      <diagonal/>
    </border>
    <border>
      <left/>
      <right/>
      <top/>
      <bottom style="dotted">
        <color theme="9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7" tint="0.79998168889431442"/>
      </left>
      <right style="thin">
        <color theme="7" tint="0.79998168889431442"/>
      </right>
      <top style="thin">
        <color theme="7" tint="0.79998168889431442"/>
      </top>
      <bottom style="dotted">
        <color theme="7" tint="0.7999816888943144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5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9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0" fontId="2" fillId="0" borderId="0"/>
    <xf numFmtId="18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2" fillId="18" borderId="0" applyNumberFormat="0" applyBorder="0" applyAlignment="0" applyProtection="0"/>
    <xf numFmtId="0" fontId="9" fillId="19" borderId="0" applyNumberFormat="0" applyBorder="0" applyAlignment="0" applyProtection="0"/>
    <xf numFmtId="0" fontId="2" fillId="20" borderId="0" applyNumberFormat="0" applyBorder="0" applyAlignment="0" applyProtection="0"/>
    <xf numFmtId="0" fontId="21" fillId="0" borderId="0"/>
    <xf numFmtId="9" fontId="54" fillId="0" borderId="0" applyFont="0" applyFill="0" applyBorder="0" applyAlignment="0" applyProtection="0"/>
    <xf numFmtId="171" fontId="54" fillId="0" borderId="0" applyFont="0" applyFill="0" applyBorder="0" applyAlignment="0" applyProtection="0"/>
    <xf numFmtId="0" fontId="57" fillId="32" borderId="0" applyNumberFormat="0" applyBorder="0" applyAlignment="0" applyProtection="0"/>
  </cellStyleXfs>
  <cellXfs count="979">
    <xf numFmtId="0" fontId="0" fillId="0" borderId="0" xfId="0"/>
    <xf numFmtId="0" fontId="0" fillId="0" borderId="1" xfId="0" applyBorder="1"/>
    <xf numFmtId="2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3" fillId="0" borderId="1" xfId="0" applyFont="1" applyBorder="1"/>
    <xf numFmtId="164" fontId="0" fillId="0" borderId="0" xfId="0" applyNumberFormat="1"/>
    <xf numFmtId="0" fontId="0" fillId="0" borderId="0" xfId="0" applyAlignment="1">
      <alignment vertical="top"/>
    </xf>
    <xf numFmtId="0" fontId="3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vertical="center"/>
    </xf>
    <xf numFmtId="170" fontId="5" fillId="0" borderId="0" xfId="3" applyNumberFormat="1" applyFont="1" applyBorder="1" applyAlignment="1">
      <alignment vertical="center"/>
    </xf>
    <xf numFmtId="169" fontId="5" fillId="0" borderId="0" xfId="3" applyFont="1" applyBorder="1" applyAlignment="1">
      <alignment vertical="center"/>
    </xf>
    <xf numFmtId="171" fontId="0" fillId="0" borderId="0" xfId="4" applyFont="1" applyBorder="1"/>
    <xf numFmtId="0" fontId="3" fillId="0" borderId="0" xfId="0" applyFont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/>
    </xf>
    <xf numFmtId="0" fontId="5" fillId="0" borderId="19" xfId="0" applyFont="1" applyBorder="1" applyAlignment="1">
      <alignment horizontal="left" vertical="center"/>
    </xf>
    <xf numFmtId="169" fontId="5" fillId="6" borderId="1" xfId="3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horizontal="center" vertical="center"/>
    </xf>
    <xf numFmtId="9" fontId="5" fillId="6" borderId="1" xfId="1" applyFont="1" applyFill="1" applyBorder="1" applyAlignment="1">
      <alignment horizontal="center" vertical="center"/>
    </xf>
    <xf numFmtId="2" fontId="0" fillId="6" borderId="1" xfId="4" applyNumberFormat="1" applyFont="1" applyFill="1" applyBorder="1" applyAlignment="1">
      <alignment horizontal="center" vertical="center"/>
    </xf>
    <xf numFmtId="2" fontId="5" fillId="6" borderId="1" xfId="0" applyNumberFormat="1" applyFont="1" applyFill="1" applyBorder="1" applyAlignment="1">
      <alignment horizontal="right" vertical="center"/>
    </xf>
    <xf numFmtId="2" fontId="5" fillId="8" borderId="1" xfId="0" applyNumberFormat="1" applyFont="1" applyFill="1" applyBorder="1" applyAlignment="1">
      <alignment horizontal="center" vertical="center"/>
    </xf>
    <xf numFmtId="2" fontId="5" fillId="6" borderId="1" xfId="0" applyNumberFormat="1" applyFont="1" applyFill="1" applyBorder="1" applyAlignment="1">
      <alignment horizontal="center" vertical="center"/>
    </xf>
    <xf numFmtId="164" fontId="5" fillId="0" borderId="0" xfId="0" applyNumberFormat="1" applyFont="1"/>
    <xf numFmtId="0" fontId="5" fillId="0" borderId="0" xfId="0" applyFont="1" applyAlignment="1">
      <alignment horizontal="right" vertical="center"/>
    </xf>
    <xf numFmtId="169" fontId="5" fillId="0" borderId="0" xfId="3" applyFont="1" applyFill="1" applyBorder="1" applyAlignment="1">
      <alignment horizontal="right" vertical="center"/>
    </xf>
    <xf numFmtId="169" fontId="5" fillId="0" borderId="0" xfId="3" applyFont="1" applyFill="1" applyBorder="1" applyAlignment="1">
      <alignment vertical="center"/>
    </xf>
    <xf numFmtId="173" fontId="5" fillId="0" borderId="0" xfId="3" applyNumberFormat="1" applyFont="1" applyFill="1" applyBorder="1" applyAlignment="1">
      <alignment vertical="center"/>
    </xf>
    <xf numFmtId="170" fontId="5" fillId="0" borderId="0" xfId="3" applyNumberFormat="1" applyFont="1" applyFill="1" applyBorder="1" applyAlignment="1">
      <alignment vertical="center"/>
    </xf>
    <xf numFmtId="170" fontId="13" fillId="0" borderId="0" xfId="3" applyNumberFormat="1" applyFont="1" applyFill="1" applyBorder="1" applyAlignment="1">
      <alignment horizontal="left" vertical="center"/>
    </xf>
    <xf numFmtId="170" fontId="5" fillId="0" borderId="0" xfId="3" applyNumberFormat="1" applyFont="1" applyFill="1" applyBorder="1" applyAlignment="1">
      <alignment horizontal="left" vertical="center"/>
    </xf>
    <xf numFmtId="170" fontId="5" fillId="0" borderId="0" xfId="3" applyNumberFormat="1" applyFont="1" applyFill="1" applyBorder="1" applyAlignment="1">
      <alignment horizontal="right" vertical="center"/>
    </xf>
    <xf numFmtId="170" fontId="14" fillId="0" borderId="0" xfId="3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70" fontId="4" fillId="0" borderId="0" xfId="2" applyNumberFormat="1" applyFill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175" fontId="11" fillId="0" borderId="0" xfId="3" applyNumberFormat="1" applyFont="1" applyFill="1" applyBorder="1" applyAlignment="1">
      <alignment horizontal="left" vertical="center"/>
    </xf>
    <xf numFmtId="0" fontId="1" fillId="0" borderId="0" xfId="0" applyFont="1"/>
    <xf numFmtId="173" fontId="5" fillId="0" borderId="0" xfId="3" applyNumberFormat="1" applyFont="1" applyFill="1" applyBorder="1" applyAlignment="1">
      <alignment horizontal="left" vertical="center"/>
    </xf>
    <xf numFmtId="170" fontId="11" fillId="9" borderId="1" xfId="3" applyNumberFormat="1" applyFont="1" applyFill="1" applyBorder="1" applyAlignment="1">
      <alignment horizontal="center" vertical="center"/>
    </xf>
    <xf numFmtId="169" fontId="11" fillId="9" borderId="1" xfId="3" applyFont="1" applyFill="1" applyBorder="1" applyAlignment="1">
      <alignment horizontal="center" vertical="center"/>
    </xf>
    <xf numFmtId="175" fontId="5" fillId="0" borderId="1" xfId="3" applyNumberFormat="1" applyFont="1" applyBorder="1" applyAlignment="1">
      <alignment horizontal="center" vertical="center"/>
    </xf>
    <xf numFmtId="175" fontId="5" fillId="6" borderId="1" xfId="3" applyNumberFormat="1" applyFont="1" applyFill="1" applyBorder="1" applyAlignment="1">
      <alignment horizontal="center" vertical="center"/>
    </xf>
    <xf numFmtId="175" fontId="11" fillId="6" borderId="1" xfId="3" applyNumberFormat="1" applyFont="1" applyFill="1" applyBorder="1" applyAlignment="1">
      <alignment horizontal="center" vertical="center"/>
    </xf>
    <xf numFmtId="0" fontId="16" fillId="0" borderId="0" xfId="0" applyFont="1"/>
    <xf numFmtId="169" fontId="11" fillId="0" borderId="0" xfId="3" applyFont="1" applyFill="1" applyBorder="1" applyAlignment="1">
      <alignment vertical="center"/>
    </xf>
    <xf numFmtId="170" fontId="5" fillId="0" borderId="1" xfId="3" applyNumberFormat="1" applyFont="1" applyBorder="1" applyAlignment="1">
      <alignment horizontal="center" vertical="center"/>
    </xf>
    <xf numFmtId="169" fontId="5" fillId="0" borderId="1" xfId="3" applyFont="1" applyBorder="1" applyAlignment="1">
      <alignment horizontal="center" vertical="center"/>
    </xf>
    <xf numFmtId="170" fontId="5" fillId="0" borderId="1" xfId="3" applyNumberFormat="1" applyFont="1" applyFill="1" applyBorder="1" applyAlignment="1">
      <alignment horizontal="center" vertical="center"/>
    </xf>
    <xf numFmtId="176" fontId="11" fillId="9" borderId="1" xfId="3" applyNumberFormat="1" applyFont="1" applyFill="1" applyBorder="1" applyAlignment="1">
      <alignment horizontal="center" vertical="center"/>
    </xf>
    <xf numFmtId="176" fontId="5" fillId="0" borderId="0" xfId="3" applyNumberFormat="1" applyFont="1" applyFill="1" applyBorder="1" applyAlignment="1">
      <alignment vertical="center"/>
    </xf>
    <xf numFmtId="176" fontId="5" fillId="0" borderId="0" xfId="3" applyNumberFormat="1" applyFont="1" applyFill="1" applyBorder="1" applyAlignment="1">
      <alignment horizontal="right" vertical="center"/>
    </xf>
    <xf numFmtId="177" fontId="11" fillId="9" borderId="1" xfId="0" applyNumberFormat="1" applyFont="1" applyFill="1" applyBorder="1" applyAlignment="1">
      <alignment horizontal="center"/>
    </xf>
    <xf numFmtId="169" fontId="17" fillId="0" borderId="1" xfId="3" applyFont="1" applyBorder="1" applyAlignment="1">
      <alignment horizontal="center" vertical="center"/>
    </xf>
    <xf numFmtId="0" fontId="11" fillId="0" borderId="0" xfId="0" applyFont="1"/>
    <xf numFmtId="169" fontId="11" fillId="0" borderId="0" xfId="3" applyFont="1" applyBorder="1" applyAlignment="1">
      <alignment horizontal="left" vertical="center"/>
    </xf>
    <xf numFmtId="0" fontId="5" fillId="0" borderId="1" xfId="0" applyFont="1" applyBorder="1"/>
    <xf numFmtId="171" fontId="11" fillId="9" borderId="1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6" borderId="1" xfId="0" applyFont="1" applyFill="1" applyBorder="1" applyAlignment="1">
      <alignment horizontal="left" vertical="center"/>
    </xf>
    <xf numFmtId="1" fontId="5" fillId="6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5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3" fillId="6" borderId="0" xfId="0" applyFont="1" applyFill="1"/>
    <xf numFmtId="0" fontId="0" fillId="6" borderId="0" xfId="0" applyFill="1"/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9" borderId="1" xfId="0" applyFont="1" applyFill="1" applyBorder="1"/>
    <xf numFmtId="170" fontId="0" fillId="0" borderId="0" xfId="3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 applyAlignment="1">
      <alignment vertical="center"/>
    </xf>
    <xf numFmtId="1" fontId="3" fillId="10" borderId="2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5" applyFont="1" applyBorder="1"/>
    <xf numFmtId="0" fontId="0" fillId="6" borderId="1" xfId="0" applyFill="1" applyBorder="1" applyAlignment="1">
      <alignment horizontal="right" vertical="center"/>
    </xf>
    <xf numFmtId="1" fontId="5" fillId="6" borderId="1" xfId="0" applyNumberFormat="1" applyFont="1" applyFill="1" applyBorder="1" applyAlignment="1">
      <alignment horizontal="right" vertical="center"/>
    </xf>
    <xf numFmtId="170" fontId="0" fillId="6" borderId="1" xfId="3" applyNumberFormat="1" applyFont="1" applyFill="1" applyBorder="1" applyAlignment="1">
      <alignment horizontal="right" vertical="center"/>
    </xf>
    <xf numFmtId="2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right"/>
    </xf>
    <xf numFmtId="0" fontId="0" fillId="6" borderId="1" xfId="0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" fontId="3" fillId="6" borderId="3" xfId="0" applyNumberFormat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right"/>
    </xf>
    <xf numFmtId="1" fontId="3" fillId="6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20" fillId="5" borderId="23" xfId="0" applyFont="1" applyFill="1" applyBorder="1" applyAlignment="1">
      <alignment horizontal="center" vertical="center"/>
    </xf>
    <xf numFmtId="0" fontId="20" fillId="5" borderId="24" xfId="0" applyFont="1" applyFill="1" applyBorder="1" applyAlignment="1">
      <alignment horizontal="center" vertical="center"/>
    </xf>
    <xf numFmtId="0" fontId="20" fillId="5" borderId="25" xfId="0" applyFont="1" applyFill="1" applyBorder="1" applyAlignment="1">
      <alignment horizontal="center" vertical="center"/>
    </xf>
    <xf numFmtId="0" fontId="0" fillId="8" borderId="29" xfId="0" applyFill="1" applyBorder="1" applyAlignment="1">
      <alignment horizontal="left" vertical="center" indent="2"/>
    </xf>
    <xf numFmtId="0" fontId="0" fillId="8" borderId="30" xfId="0" applyFill="1" applyBorder="1" applyAlignment="1">
      <alignment horizontal="left" vertical="center" indent="2"/>
    </xf>
    <xf numFmtId="0" fontId="0" fillId="8" borderId="31" xfId="0" applyFill="1" applyBorder="1" applyAlignment="1">
      <alignment horizontal="left" vertical="center" indent="2"/>
    </xf>
    <xf numFmtId="0" fontId="20" fillId="11" borderId="32" xfId="0" applyFont="1" applyFill="1" applyBorder="1"/>
    <xf numFmtId="0" fontId="0" fillId="0" borderId="33" xfId="0" applyBorder="1"/>
    <xf numFmtId="0" fontId="0" fillId="0" borderId="34" xfId="0" applyBorder="1"/>
    <xf numFmtId="0" fontId="20" fillId="11" borderId="26" xfId="0" applyFont="1" applyFill="1" applyBorder="1"/>
    <xf numFmtId="0" fontId="0" fillId="0" borderId="36" xfId="0" applyBorder="1"/>
    <xf numFmtId="0" fontId="0" fillId="0" borderId="28" xfId="0" applyBorder="1"/>
    <xf numFmtId="0" fontId="0" fillId="9" borderId="25" xfId="0" applyFill="1" applyBorder="1"/>
    <xf numFmtId="0" fontId="0" fillId="9" borderId="31" xfId="0" applyFill="1" applyBorder="1"/>
    <xf numFmtId="0" fontId="20" fillId="11" borderId="40" xfId="0" applyFont="1" applyFill="1" applyBorder="1"/>
    <xf numFmtId="0" fontId="0" fillId="0" borderId="41" xfId="0" applyBorder="1"/>
    <xf numFmtId="0" fontId="0" fillId="6" borderId="38" xfId="0" applyFill="1" applyBorder="1"/>
    <xf numFmtId="164" fontId="0" fillId="9" borderId="31" xfId="0" applyNumberFormat="1" applyFill="1" applyBorder="1"/>
    <xf numFmtId="0" fontId="20" fillId="0" borderId="0" xfId="0" applyFont="1"/>
    <xf numFmtId="1" fontId="0" fillId="9" borderId="31" xfId="0" applyNumberFormat="1" applyFill="1" applyBorder="1"/>
    <xf numFmtId="165" fontId="0" fillId="6" borderId="38" xfId="0" applyNumberFormat="1" applyFill="1" applyBorder="1"/>
    <xf numFmtId="0" fontId="21" fillId="0" borderId="0" xfId="0" applyFont="1"/>
    <xf numFmtId="0" fontId="22" fillId="0" borderId="0" xfId="0" applyFont="1"/>
    <xf numFmtId="0" fontId="0" fillId="0" borderId="0" xfId="0" applyAlignment="1">
      <alignment horizontal="right"/>
    </xf>
    <xf numFmtId="0" fontId="23" fillId="0" borderId="0" xfId="0" applyFont="1"/>
    <xf numFmtId="0" fontId="24" fillId="0" borderId="0" xfId="0" applyFont="1" applyAlignment="1">
      <alignment horizontal="center"/>
    </xf>
    <xf numFmtId="0" fontId="25" fillId="0" borderId="0" xfId="0" applyFont="1"/>
    <xf numFmtId="0" fontId="26" fillId="0" borderId="0" xfId="0" applyFont="1"/>
    <xf numFmtId="0" fontId="20" fillId="11" borderId="33" xfId="0" applyFont="1" applyFill="1" applyBorder="1"/>
    <xf numFmtId="0" fontId="20" fillId="11" borderId="36" xfId="0" applyFont="1" applyFill="1" applyBorder="1"/>
    <xf numFmtId="1" fontId="25" fillId="8" borderId="45" xfId="0" applyNumberFormat="1" applyFont="1" applyFill="1" applyBorder="1" applyAlignment="1">
      <alignment horizontal="right" vertical="center"/>
    </xf>
    <xf numFmtId="0" fontId="20" fillId="11" borderId="26" xfId="0" applyFont="1" applyFill="1" applyBorder="1" applyAlignment="1">
      <alignment horizontal="left" vertical="center" wrapText="1"/>
    </xf>
    <xf numFmtId="0" fontId="20" fillId="11" borderId="41" xfId="0" applyFont="1" applyFill="1" applyBorder="1"/>
    <xf numFmtId="0" fontId="0" fillId="0" borderId="38" xfId="0" applyBorder="1"/>
    <xf numFmtId="1" fontId="25" fillId="8" borderId="24" xfId="0" applyNumberFormat="1" applyFont="1" applyFill="1" applyBorder="1" applyAlignment="1">
      <alignment horizontal="right" vertical="center"/>
    </xf>
    <xf numFmtId="2" fontId="25" fillId="9" borderId="48" xfId="0" applyNumberFormat="1" applyFont="1" applyFill="1" applyBorder="1" applyAlignment="1">
      <alignment horizontal="right" vertical="center"/>
    </xf>
    <xf numFmtId="2" fontId="25" fillId="8" borderId="24" xfId="0" applyNumberFormat="1" applyFont="1" applyFill="1" applyBorder="1" applyAlignment="1">
      <alignment horizontal="right" vertical="center"/>
    </xf>
    <xf numFmtId="2" fontId="25" fillId="9" borderId="24" xfId="0" applyNumberFormat="1" applyFont="1" applyFill="1" applyBorder="1" applyAlignment="1">
      <alignment horizontal="right" vertical="center"/>
    </xf>
    <xf numFmtId="2" fontId="25" fillId="9" borderId="30" xfId="0" applyNumberFormat="1" applyFont="1" applyFill="1" applyBorder="1" applyAlignment="1">
      <alignment horizontal="right" vertical="center"/>
    </xf>
    <xf numFmtId="165" fontId="25" fillId="8" borderId="24" xfId="0" applyNumberFormat="1" applyFont="1" applyFill="1" applyBorder="1" applyAlignment="1">
      <alignment horizontal="right" vertical="center"/>
    </xf>
    <xf numFmtId="0" fontId="5" fillId="2" borderId="1" xfId="0" applyFont="1" applyFill="1" applyBorder="1"/>
    <xf numFmtId="0" fontId="3" fillId="12" borderId="1" xfId="0" applyFont="1" applyFill="1" applyBorder="1" applyAlignment="1">
      <alignment vertical="center" wrapText="1"/>
    </xf>
    <xf numFmtId="0" fontId="0" fillId="6" borderId="5" xfId="0" applyFill="1" applyBorder="1" applyAlignment="1">
      <alignment horizontal="right"/>
    </xf>
    <xf numFmtId="165" fontId="0" fillId="6" borderId="1" xfId="0" applyNumberFormat="1" applyFill="1" applyBorder="1" applyAlignment="1">
      <alignment horizontal="right"/>
    </xf>
    <xf numFmtId="0" fontId="28" fillId="0" borderId="0" xfId="0" applyFont="1" applyAlignment="1">
      <alignment horizontal="left"/>
    </xf>
    <xf numFmtId="0" fontId="3" fillId="12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1" fillId="12" borderId="1" xfId="0" applyFont="1" applyFill="1" applyBorder="1" applyAlignment="1">
      <alignment vertical="center" wrapText="1"/>
    </xf>
    <xf numFmtId="0" fontId="0" fillId="0" borderId="1" xfId="0" applyBorder="1" applyAlignment="1">
      <alignment horizontal="left"/>
    </xf>
    <xf numFmtId="0" fontId="18" fillId="0" borderId="0" xfId="2" applyFont="1" applyFill="1"/>
    <xf numFmtId="177" fontId="5" fillId="0" borderId="0" xfId="0" applyNumberFormat="1" applyFont="1"/>
    <xf numFmtId="179" fontId="5" fillId="0" borderId="0" xfId="4" applyNumberFormat="1" applyFont="1" applyFill="1" applyBorder="1"/>
    <xf numFmtId="0" fontId="11" fillId="0" borderId="1" xfId="0" applyFont="1" applyBorder="1" applyAlignment="1">
      <alignment wrapText="1"/>
    </xf>
    <xf numFmtId="164" fontId="5" fillId="0" borderId="1" xfId="0" applyNumberFormat="1" applyFont="1" applyBorder="1"/>
    <xf numFmtId="0" fontId="4" fillId="0" borderId="0" xfId="2" applyFill="1"/>
    <xf numFmtId="170" fontId="0" fillId="0" borderId="0" xfId="3" applyNumberFormat="1" applyFont="1" applyBorder="1" applyAlignment="1">
      <alignment horizontal="right" vertical="center"/>
    </xf>
    <xf numFmtId="0" fontId="3" fillId="12" borderId="21" xfId="0" applyFont="1" applyFill="1" applyBorder="1" applyAlignment="1">
      <alignment horizontal="center" vertical="center" wrapText="1"/>
    </xf>
    <xf numFmtId="0" fontId="3" fillId="12" borderId="21" xfId="0" applyFont="1" applyFill="1" applyBorder="1" applyAlignment="1">
      <alignment horizontal="right" vertical="center" wrapText="1"/>
    </xf>
    <xf numFmtId="0" fontId="0" fillId="0" borderId="1" xfId="0" applyBorder="1" applyAlignment="1">
      <alignment horizontal="right" vertical="center"/>
    </xf>
    <xf numFmtId="1" fontId="5" fillId="0" borderId="1" xfId="0" applyNumberFormat="1" applyFont="1" applyBorder="1" applyAlignment="1">
      <alignment horizontal="right" vertical="center"/>
    </xf>
    <xf numFmtId="2" fontId="5" fillId="0" borderId="1" xfId="0" applyNumberFormat="1" applyFont="1" applyBorder="1" applyAlignment="1">
      <alignment horizontal="right" vertical="center"/>
    </xf>
    <xf numFmtId="164" fontId="0" fillId="0" borderId="1" xfId="0" applyNumberFormat="1" applyBorder="1" applyAlignment="1">
      <alignment vertical="center"/>
    </xf>
    <xf numFmtId="0" fontId="0" fillId="4" borderId="1" xfId="0" applyFill="1" applyBorder="1" applyAlignment="1">
      <alignment vertical="center"/>
    </xf>
    <xf numFmtId="0" fontId="30" fillId="0" borderId="1" xfId="0" applyFont="1" applyBorder="1" applyAlignment="1">
      <alignment horizontal="center" vertical="center"/>
    </xf>
    <xf numFmtId="2" fontId="0" fillId="0" borderId="0" xfId="0" applyNumberFormat="1"/>
    <xf numFmtId="2" fontId="30" fillId="0" borderId="1" xfId="0" applyNumberFormat="1" applyFont="1" applyBorder="1" applyAlignment="1">
      <alignment horizontal="center" vertical="center"/>
    </xf>
    <xf numFmtId="2" fontId="30" fillId="0" borderId="19" xfId="0" applyNumberFormat="1" applyFont="1" applyBorder="1" applyAlignment="1">
      <alignment horizontal="center" vertical="center"/>
    </xf>
    <xf numFmtId="1" fontId="31" fillId="10" borderId="1" xfId="0" applyNumberFormat="1" applyFont="1" applyFill="1" applyBorder="1" applyAlignment="1">
      <alignment horizontal="center" vertical="center"/>
    </xf>
    <xf numFmtId="174" fontId="0" fillId="0" borderId="0" xfId="4" applyNumberFormat="1" applyFont="1" applyBorder="1"/>
    <xf numFmtId="1" fontId="5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71" fontId="3" fillId="0" borderId="0" xfId="0" applyNumberFormat="1" applyFont="1" applyAlignment="1">
      <alignment horizontal="center" vertical="center"/>
    </xf>
    <xf numFmtId="2" fontId="0" fillId="13" borderId="1" xfId="0" applyNumberFormat="1" applyFill="1" applyBorder="1"/>
    <xf numFmtId="164" fontId="5" fillId="0" borderId="1" xfId="0" applyNumberFormat="1" applyFont="1" applyBorder="1" applyAlignment="1">
      <alignment horizontal="right" vertical="center"/>
    </xf>
    <xf numFmtId="170" fontId="0" fillId="0" borderId="1" xfId="3" applyNumberFormat="1" applyFont="1" applyFill="1" applyBorder="1" applyAlignment="1">
      <alignment horizontal="right" vertical="center"/>
    </xf>
    <xf numFmtId="0" fontId="10" fillId="0" borderId="0" xfId="0" applyFont="1" applyAlignment="1">
      <alignment vertical="center"/>
    </xf>
    <xf numFmtId="0" fontId="28" fillId="0" borderId="1" xfId="0" applyFont="1" applyBorder="1" applyAlignment="1">
      <alignment horizontal="left"/>
    </xf>
    <xf numFmtId="2" fontId="29" fillId="0" borderId="0" xfId="0" applyNumberFormat="1" applyFont="1"/>
    <xf numFmtId="0" fontId="5" fillId="0" borderId="1" xfId="0" applyFont="1" applyBorder="1" applyAlignment="1">
      <alignment wrapText="1"/>
    </xf>
    <xf numFmtId="2" fontId="5" fillId="6" borderId="19" xfId="0" applyNumberFormat="1" applyFont="1" applyFill="1" applyBorder="1" applyAlignment="1">
      <alignment horizontal="center" vertical="center"/>
    </xf>
    <xf numFmtId="2" fontId="5" fillId="6" borderId="5" xfId="0" applyNumberFormat="1" applyFont="1" applyFill="1" applyBorder="1" applyAlignment="1">
      <alignment horizontal="center" vertical="center"/>
    </xf>
    <xf numFmtId="1" fontId="5" fillId="6" borderId="19" xfId="0" applyNumberFormat="1" applyFont="1" applyFill="1" applyBorder="1" applyAlignment="1">
      <alignment horizontal="center" vertical="center"/>
    </xf>
    <xf numFmtId="1" fontId="5" fillId="6" borderId="20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right" vertical="center" wrapText="1"/>
    </xf>
    <xf numFmtId="164" fontId="12" fillId="12" borderId="1" xfId="0" applyNumberFormat="1" applyFont="1" applyFill="1" applyBorder="1" applyAlignment="1">
      <alignment vertical="center"/>
    </xf>
    <xf numFmtId="0" fontId="12" fillId="12" borderId="1" xfId="0" applyFont="1" applyFill="1" applyBorder="1" applyAlignment="1">
      <alignment vertical="center"/>
    </xf>
    <xf numFmtId="0" fontId="0" fillId="12" borderId="1" xfId="0" applyFill="1" applyBorder="1" applyAlignment="1">
      <alignment horizontal="center" vertical="center" wrapText="1"/>
    </xf>
    <xf numFmtId="2" fontId="0" fillId="12" borderId="1" xfId="0" applyNumberFormat="1" applyFill="1" applyBorder="1" applyAlignment="1">
      <alignment horizontal="center" vertical="center" wrapText="1"/>
    </xf>
    <xf numFmtId="0" fontId="0" fillId="12" borderId="1" xfId="0" applyFill="1" applyBorder="1" applyAlignment="1">
      <alignment vertical="center" wrapText="1"/>
    </xf>
    <xf numFmtId="0" fontId="0" fillId="12" borderId="1" xfId="0" applyFill="1" applyBorder="1" applyAlignment="1">
      <alignment horizontal="left" vertical="center" wrapText="1"/>
    </xf>
    <xf numFmtId="2" fontId="0" fillId="12" borderId="1" xfId="0" applyNumberForma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1" xfId="0" applyFill="1" applyBorder="1" applyAlignment="1">
      <alignment vertical="center"/>
    </xf>
    <xf numFmtId="2" fontId="0" fillId="12" borderId="1" xfId="0" applyNumberFormat="1" applyFill="1" applyBorder="1" applyAlignment="1">
      <alignment vertical="center"/>
    </xf>
    <xf numFmtId="0" fontId="10" fillId="0" borderId="0" xfId="0" applyFont="1" applyAlignment="1">
      <alignment horizontal="left"/>
    </xf>
    <xf numFmtId="0" fontId="5" fillId="6" borderId="19" xfId="0" applyFont="1" applyFill="1" applyBorder="1" applyAlignment="1">
      <alignment horizontal="left" vertical="center"/>
    </xf>
    <xf numFmtId="9" fontId="5" fillId="6" borderId="19" xfId="1" applyFont="1" applyFill="1" applyBorder="1" applyAlignment="1">
      <alignment horizontal="center" vertical="center"/>
    </xf>
    <xf numFmtId="165" fontId="5" fillId="6" borderId="19" xfId="0" applyNumberFormat="1" applyFont="1" applyFill="1" applyBorder="1" applyAlignment="1">
      <alignment horizontal="center" vertical="center"/>
    </xf>
    <xf numFmtId="168" fontId="0" fillId="0" borderId="1" xfId="0" applyNumberFormat="1" applyBorder="1"/>
    <xf numFmtId="0" fontId="0" fillId="6" borderId="1" xfId="0" applyFill="1" applyBorder="1"/>
    <xf numFmtId="0" fontId="30" fillId="6" borderId="1" xfId="0" applyFont="1" applyFill="1" applyBorder="1" applyAlignment="1">
      <alignment horizontal="center" vertical="center"/>
    </xf>
    <xf numFmtId="2" fontId="30" fillId="6" borderId="1" xfId="0" applyNumberFormat="1" applyFont="1" applyFill="1" applyBorder="1" applyAlignment="1">
      <alignment horizontal="center" vertical="center"/>
    </xf>
    <xf numFmtId="9" fontId="30" fillId="6" borderId="1" xfId="1" applyFont="1" applyFill="1" applyBorder="1" applyAlignment="1">
      <alignment horizontal="center" vertical="center"/>
    </xf>
    <xf numFmtId="0" fontId="0" fillId="6" borderId="1" xfId="0" applyFill="1" applyBorder="1" applyAlignment="1">
      <alignment vertical="center"/>
    </xf>
    <xf numFmtId="0" fontId="0" fillId="6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/>
    <xf numFmtId="0" fontId="32" fillId="0" borderId="1" xfId="0" applyFont="1" applyBorder="1"/>
    <xf numFmtId="9" fontId="0" fillId="6" borderId="1" xfId="1" applyFont="1" applyFill="1" applyBorder="1"/>
    <xf numFmtId="1" fontId="0" fillId="6" borderId="1" xfId="0" applyNumberFormat="1" applyFill="1" applyBorder="1"/>
    <xf numFmtId="0" fontId="0" fillId="6" borderId="1" xfId="5" applyFont="1" applyFill="1" applyBorder="1"/>
    <xf numFmtId="165" fontId="0" fillId="0" borderId="1" xfId="0" applyNumberFormat="1" applyBorder="1" applyAlignment="1">
      <alignment vertical="center"/>
    </xf>
    <xf numFmtId="0" fontId="33" fillId="0" borderId="22" xfId="0" applyFont="1" applyBorder="1"/>
    <xf numFmtId="10" fontId="19" fillId="0" borderId="22" xfId="0" applyNumberFormat="1" applyFont="1" applyBorder="1"/>
    <xf numFmtId="10" fontId="19" fillId="0" borderId="22" xfId="0" applyNumberFormat="1" applyFont="1" applyBorder="1" applyAlignment="1">
      <alignment wrapText="1"/>
    </xf>
    <xf numFmtId="9" fontId="19" fillId="0" borderId="22" xfId="0" applyNumberFormat="1" applyFont="1" applyBorder="1" applyAlignment="1">
      <alignment wrapText="1"/>
    </xf>
    <xf numFmtId="9" fontId="19" fillId="0" borderId="22" xfId="0" applyNumberFormat="1" applyFont="1" applyBorder="1"/>
    <xf numFmtId="0" fontId="33" fillId="0" borderId="22" xfId="0" applyFont="1" applyBorder="1" applyAlignment="1">
      <alignment wrapText="1"/>
    </xf>
    <xf numFmtId="1" fontId="0" fillId="0" borderId="1" xfId="0" applyNumberFormat="1" applyBorder="1" applyAlignment="1">
      <alignment horizontal="center" vertical="center"/>
    </xf>
    <xf numFmtId="9" fontId="0" fillId="0" borderId="16" xfId="1" applyFont="1" applyBorder="1" applyAlignment="1">
      <alignment horizontal="center" vertical="center"/>
    </xf>
    <xf numFmtId="0" fontId="0" fillId="6" borderId="8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/>
    </xf>
    <xf numFmtId="0" fontId="3" fillId="6" borderId="14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12" fillId="0" borderId="0" xfId="0" applyFont="1"/>
    <xf numFmtId="0" fontId="11" fillId="0" borderId="14" xfId="0" applyFont="1" applyBorder="1"/>
    <xf numFmtId="2" fontId="0" fillId="4" borderId="7" xfId="0" applyNumberFormat="1" applyFill="1" applyBorder="1"/>
    <xf numFmtId="0" fontId="11" fillId="0" borderId="59" xfId="0" applyFont="1" applyBorder="1"/>
    <xf numFmtId="2" fontId="0" fillId="4" borderId="60" xfId="0" applyNumberFormat="1" applyFill="1" applyBorder="1"/>
    <xf numFmtId="0" fontId="5" fillId="0" borderId="1" xfId="3" applyNumberFormat="1" applyFont="1" applyFill="1" applyBorder="1" applyAlignment="1">
      <alignment horizontal="left" vertical="center"/>
    </xf>
    <xf numFmtId="0" fontId="5" fillId="0" borderId="1" xfId="3" applyNumberFormat="1" applyFont="1" applyFill="1" applyBorder="1" applyAlignment="1">
      <alignment horizontal="center" vertical="center"/>
    </xf>
    <xf numFmtId="0" fontId="5" fillId="6" borderId="1" xfId="3" applyNumberFormat="1" applyFont="1" applyFill="1" applyBorder="1" applyAlignment="1">
      <alignment horizontal="center" vertical="center"/>
    </xf>
    <xf numFmtId="169" fontId="5" fillId="0" borderId="1" xfId="3" applyFont="1" applyFill="1" applyBorder="1" applyAlignment="1">
      <alignment horizontal="left" vertical="center"/>
    </xf>
    <xf numFmtId="164" fontId="5" fillId="0" borderId="1" xfId="0" applyNumberFormat="1" applyFont="1" applyBorder="1" applyAlignment="1">
      <alignment horizontal="center" vertical="center"/>
    </xf>
    <xf numFmtId="172" fontId="5" fillId="0" borderId="1" xfId="0" applyNumberFormat="1" applyFont="1" applyBorder="1" applyAlignment="1">
      <alignment vertical="center"/>
    </xf>
    <xf numFmtId="0" fontId="5" fillId="6" borderId="8" xfId="0" applyFont="1" applyFill="1" applyBorder="1" applyAlignment="1">
      <alignment horizontal="center" vertical="center"/>
    </xf>
    <xf numFmtId="0" fontId="3" fillId="6" borderId="1" xfId="0" applyFont="1" applyFill="1" applyBorder="1"/>
    <xf numFmtId="0" fontId="3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65" fontId="0" fillId="6" borderId="3" xfId="0" applyNumberFormat="1" applyFill="1" applyBorder="1"/>
    <xf numFmtId="2" fontId="5" fillId="0" borderId="19" xfId="0" applyNumberFormat="1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0" fillId="4" borderId="1" xfId="0" applyFill="1" applyBorder="1"/>
    <xf numFmtId="0" fontId="4" fillId="0" borderId="0" xfId="2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" fontId="0" fillId="0" borderId="1" xfId="5" applyNumberFormat="1" applyFont="1" applyBorder="1"/>
    <xf numFmtId="0" fontId="0" fillId="0" borderId="1" xfId="5" applyFont="1" applyBorder="1" applyAlignment="1">
      <alignment horizontal="center" vertical="center"/>
    </xf>
    <xf numFmtId="170" fontId="11" fillId="12" borderId="1" xfId="3" applyNumberFormat="1" applyFont="1" applyFill="1" applyBorder="1" applyAlignment="1">
      <alignment horizontal="center" vertical="center" wrapText="1"/>
    </xf>
    <xf numFmtId="169" fontId="11" fillId="12" borderId="1" xfId="3" applyFont="1" applyFill="1" applyBorder="1" applyAlignment="1">
      <alignment horizontal="center" vertical="center" wrapText="1"/>
    </xf>
    <xf numFmtId="0" fontId="11" fillId="0" borderId="1" xfId="0" applyFont="1" applyBorder="1"/>
    <xf numFmtId="2" fontId="0" fillId="4" borderId="1" xfId="0" applyNumberFormat="1" applyFill="1" applyBorder="1"/>
    <xf numFmtId="0" fontId="3" fillId="0" borderId="1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left"/>
    </xf>
    <xf numFmtId="2" fontId="0" fillId="0" borderId="1" xfId="0" applyNumberFormat="1" applyBorder="1" applyAlignment="1">
      <alignment horizontal="right"/>
    </xf>
    <xf numFmtId="2" fontId="0" fillId="6" borderId="1" xfId="0" applyNumberFormat="1" applyFill="1" applyBorder="1" applyAlignment="1">
      <alignment horizontal="right"/>
    </xf>
    <xf numFmtId="1" fontId="0" fillId="0" borderId="0" xfId="0" applyNumberFormat="1"/>
    <xf numFmtId="9" fontId="19" fillId="0" borderId="4" xfId="0" applyNumberFormat="1" applyFont="1" applyBorder="1" applyAlignment="1">
      <alignment wrapText="1"/>
    </xf>
    <xf numFmtId="9" fontId="19" fillId="0" borderId="4" xfId="0" applyNumberFormat="1" applyFont="1" applyBorder="1"/>
    <xf numFmtId="0" fontId="36" fillId="0" borderId="0" xfId="0" applyFont="1"/>
    <xf numFmtId="0" fontId="37" fillId="0" borderId="0" xfId="0" applyFont="1"/>
    <xf numFmtId="0" fontId="37" fillId="0" borderId="0" xfId="0" applyFont="1" applyAlignment="1">
      <alignment vertical="center"/>
    </xf>
    <xf numFmtId="170" fontId="37" fillId="0" borderId="0" xfId="3" applyNumberFormat="1" applyFont="1" applyBorder="1" applyAlignment="1">
      <alignment vertical="center"/>
    </xf>
    <xf numFmtId="169" fontId="37" fillId="0" borderId="0" xfId="3" applyFont="1" applyBorder="1" applyAlignment="1">
      <alignment vertical="center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right" vertical="center"/>
    </xf>
    <xf numFmtId="170" fontId="37" fillId="0" borderId="0" xfId="3" applyNumberFormat="1" applyFont="1" applyFill="1" applyBorder="1" applyAlignment="1">
      <alignment horizontal="right" vertical="center"/>
    </xf>
    <xf numFmtId="169" fontId="37" fillId="0" borderId="0" xfId="3" applyFont="1" applyFill="1" applyBorder="1" applyAlignment="1">
      <alignment horizontal="right" vertical="center"/>
    </xf>
    <xf numFmtId="3" fontId="37" fillId="0" borderId="0" xfId="0" applyNumberFormat="1" applyFont="1"/>
    <xf numFmtId="0" fontId="37" fillId="0" borderId="0" xfId="0" applyFont="1" applyAlignment="1">
      <alignment horizontal="center"/>
    </xf>
    <xf numFmtId="168" fontId="37" fillId="0" borderId="0" xfId="0" applyNumberFormat="1" applyFont="1"/>
    <xf numFmtId="9" fontId="37" fillId="0" borderId="0" xfId="0" applyNumberFormat="1" applyFont="1"/>
    <xf numFmtId="172" fontId="37" fillId="0" borderId="0" xfId="0" applyNumberFormat="1" applyFont="1"/>
    <xf numFmtId="179" fontId="37" fillId="0" borderId="0" xfId="4" applyNumberFormat="1" applyFont="1" applyFill="1" applyBorder="1"/>
    <xf numFmtId="0" fontId="38" fillId="0" borderId="0" xfId="2" applyFont="1" applyFill="1"/>
    <xf numFmtId="177" fontId="37" fillId="0" borderId="0" xfId="0" applyNumberFormat="1" applyFont="1"/>
    <xf numFmtId="171" fontId="37" fillId="0" borderId="0" xfId="0" applyNumberFormat="1" applyFont="1"/>
    <xf numFmtId="0" fontId="39" fillId="0" borderId="0" xfId="2" applyFont="1" applyFill="1"/>
    <xf numFmtId="2" fontId="37" fillId="0" borderId="0" xfId="0" applyNumberFormat="1" applyFont="1"/>
    <xf numFmtId="0" fontId="36" fillId="0" borderId="0" xfId="0" applyFont="1" applyAlignment="1">
      <alignment horizontal="center"/>
    </xf>
    <xf numFmtId="172" fontId="36" fillId="0" borderId="0" xfId="0" applyNumberFormat="1" applyFont="1"/>
    <xf numFmtId="170" fontId="37" fillId="0" borderId="0" xfId="3" applyNumberFormat="1" applyFont="1" applyFill="1" applyBorder="1" applyAlignment="1">
      <alignment vertical="center"/>
    </xf>
    <xf numFmtId="169" fontId="37" fillId="0" borderId="0" xfId="3" applyFont="1" applyFill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left" vertical="center" shrinkToFit="1"/>
    </xf>
    <xf numFmtId="0" fontId="5" fillId="0" borderId="19" xfId="0" applyFont="1" applyBorder="1" applyAlignment="1">
      <alignment horizontal="center" vertical="center"/>
    </xf>
    <xf numFmtId="168" fontId="5" fillId="0" borderId="19" xfId="0" applyNumberFormat="1" applyFont="1" applyBorder="1" applyAlignment="1">
      <alignment horizontal="right" vertical="center"/>
    </xf>
    <xf numFmtId="164" fontId="5" fillId="6" borderId="19" xfId="0" applyNumberFormat="1" applyFont="1" applyFill="1" applyBorder="1" applyAlignment="1">
      <alignment horizontal="center" vertical="center"/>
    </xf>
    <xf numFmtId="164" fontId="5" fillId="14" borderId="19" xfId="0" applyNumberFormat="1" applyFont="1" applyFill="1" applyBorder="1" applyAlignment="1">
      <alignment horizontal="right" vertical="center"/>
    </xf>
    <xf numFmtId="2" fontId="5" fillId="14" borderId="19" xfId="0" applyNumberFormat="1" applyFont="1" applyFill="1" applyBorder="1" applyAlignment="1">
      <alignment horizontal="right" vertical="center"/>
    </xf>
    <xf numFmtId="0" fontId="0" fillId="0" borderId="19" xfId="0" applyBorder="1"/>
    <xf numFmtId="0" fontId="0" fillId="14" borderId="19" xfId="0" applyFill="1" applyBorder="1" applyAlignment="1">
      <alignment horizontal="center" vertical="center"/>
    </xf>
    <xf numFmtId="165" fontId="5" fillId="14" borderId="19" xfId="0" applyNumberFormat="1" applyFont="1" applyFill="1" applyBorder="1" applyAlignment="1">
      <alignment horizontal="center" vertical="center"/>
    </xf>
    <xf numFmtId="9" fontId="5" fillId="14" borderId="19" xfId="0" applyNumberFormat="1" applyFont="1" applyFill="1" applyBorder="1" applyAlignment="1">
      <alignment horizontal="center" vertical="center"/>
    </xf>
    <xf numFmtId="2" fontId="5" fillId="14" borderId="19" xfId="0" applyNumberFormat="1" applyFont="1" applyFill="1" applyBorder="1" applyAlignment="1">
      <alignment horizontal="center" vertical="center"/>
    </xf>
    <xf numFmtId="172" fontId="5" fillId="0" borderId="19" xfId="0" applyNumberFormat="1" applyFont="1" applyBorder="1" applyAlignment="1">
      <alignment horizontal="center" vertical="center"/>
    </xf>
    <xf numFmtId="1" fontId="5" fillId="14" borderId="19" xfId="0" applyNumberFormat="1" applyFont="1" applyFill="1" applyBorder="1" applyAlignment="1">
      <alignment horizontal="center" vertical="center"/>
    </xf>
    <xf numFmtId="164" fontId="5" fillId="14" borderId="1" xfId="0" applyNumberFormat="1" applyFont="1" applyFill="1" applyBorder="1" applyAlignment="1">
      <alignment horizontal="center" vertical="center"/>
    </xf>
    <xf numFmtId="168" fontId="5" fillId="0" borderId="19" xfId="0" applyNumberFormat="1" applyFont="1" applyBorder="1" applyAlignment="1">
      <alignment horizontal="center" vertical="center"/>
    </xf>
    <xf numFmtId="0" fontId="18" fillId="0" borderId="20" xfId="2" applyFont="1" applyBorder="1" applyAlignment="1">
      <alignment horizontal="left" vertical="center" wrapText="1"/>
    </xf>
    <xf numFmtId="168" fontId="5" fillId="0" borderId="1" xfId="0" applyNumberFormat="1" applyFont="1" applyBorder="1" applyAlignment="1">
      <alignment horizontal="right" vertical="center"/>
    </xf>
    <xf numFmtId="0" fontId="0" fillId="14" borderId="1" xfId="0" applyFill="1" applyBorder="1" applyAlignment="1">
      <alignment horizontal="center" vertical="center"/>
    </xf>
    <xf numFmtId="9" fontId="5" fillId="14" borderId="1" xfId="0" applyNumberFormat="1" applyFont="1" applyFill="1" applyBorder="1" applyAlignment="1">
      <alignment horizontal="center" vertical="center"/>
    </xf>
    <xf numFmtId="2" fontId="5" fillId="14" borderId="1" xfId="0" applyNumberFormat="1" applyFont="1" applyFill="1" applyBorder="1" applyAlignment="1">
      <alignment horizontal="center" vertical="center"/>
    </xf>
    <xf numFmtId="172" fontId="5" fillId="0" borderId="1" xfId="0" applyNumberFormat="1" applyFon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0" fontId="18" fillId="0" borderId="15" xfId="2" applyFont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2" fontId="5" fillId="14" borderId="1" xfId="0" applyNumberFormat="1" applyFont="1" applyFill="1" applyBorder="1" applyAlignment="1">
      <alignment horizontal="right" vertical="center"/>
    </xf>
    <xf numFmtId="9" fontId="37" fillId="0" borderId="1" xfId="1" applyFont="1" applyBorder="1" applyAlignment="1">
      <alignment horizontal="center" vertical="center"/>
    </xf>
    <xf numFmtId="9" fontId="5" fillId="0" borderId="1" xfId="1" applyFont="1" applyBorder="1" applyAlignment="1">
      <alignment horizontal="center" vertical="center"/>
    </xf>
    <xf numFmtId="9" fontId="37" fillId="0" borderId="0" xfId="1" applyFont="1"/>
    <xf numFmtId="9" fontId="5" fillId="0" borderId="0" xfId="1" applyFont="1"/>
    <xf numFmtId="0" fontId="3" fillId="16" borderId="16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center"/>
    </xf>
    <xf numFmtId="2" fontId="3" fillId="4" borderId="65" xfId="0" applyNumberFormat="1" applyFont="1" applyFill="1" applyBorder="1" applyAlignment="1">
      <alignment horizontal="center" vertical="center"/>
    </xf>
    <xf numFmtId="0" fontId="23" fillId="0" borderId="19" xfId="0" applyFont="1" applyBorder="1" applyAlignment="1">
      <alignment horizontal="left" vertical="center" shrinkToFit="1"/>
    </xf>
    <xf numFmtId="164" fontId="5" fillId="14" borderId="19" xfId="0" applyNumberFormat="1" applyFont="1" applyFill="1" applyBorder="1" applyAlignment="1">
      <alignment horizontal="center" vertical="center"/>
    </xf>
    <xf numFmtId="0" fontId="0" fillId="6" borderId="58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23" fillId="0" borderId="16" xfId="0" applyFont="1" applyBorder="1" applyAlignment="1">
      <alignment horizontal="left" vertical="center" wrapText="1"/>
    </xf>
    <xf numFmtId="0" fontId="5" fillId="0" borderId="16" xfId="0" applyFont="1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168" fontId="5" fillId="0" borderId="16" xfId="0" applyNumberFormat="1" applyFont="1" applyBorder="1" applyAlignment="1">
      <alignment horizontal="right" vertical="center"/>
    </xf>
    <xf numFmtId="2" fontId="5" fillId="6" borderId="16" xfId="0" applyNumberFormat="1" applyFont="1" applyFill="1" applyBorder="1" applyAlignment="1">
      <alignment horizontal="center" vertical="center"/>
    </xf>
    <xf numFmtId="164" fontId="5" fillId="14" borderId="63" xfId="0" applyNumberFormat="1" applyFont="1" applyFill="1" applyBorder="1" applyAlignment="1">
      <alignment horizontal="right" vertical="center"/>
    </xf>
    <xf numFmtId="2" fontId="5" fillId="14" borderId="63" xfId="0" applyNumberFormat="1" applyFont="1" applyFill="1" applyBorder="1" applyAlignment="1">
      <alignment horizontal="right" vertical="center"/>
    </xf>
    <xf numFmtId="0" fontId="0" fillId="0" borderId="16" xfId="0" applyBorder="1"/>
    <xf numFmtId="0" fontId="0" fillId="14" borderId="16" xfId="0" applyFill="1" applyBorder="1" applyAlignment="1">
      <alignment horizontal="center" vertical="center"/>
    </xf>
    <xf numFmtId="2" fontId="5" fillId="0" borderId="16" xfId="0" applyNumberFormat="1" applyFont="1" applyBorder="1" applyAlignment="1">
      <alignment horizontal="center" vertical="center"/>
    </xf>
    <xf numFmtId="165" fontId="5" fillId="14" borderId="63" xfId="0" applyNumberFormat="1" applyFont="1" applyFill="1" applyBorder="1" applyAlignment="1">
      <alignment horizontal="center" vertical="center"/>
    </xf>
    <xf numFmtId="9" fontId="5" fillId="14" borderId="16" xfId="0" applyNumberFormat="1" applyFont="1" applyFill="1" applyBorder="1" applyAlignment="1">
      <alignment horizontal="center" vertical="center"/>
    </xf>
    <xf numFmtId="2" fontId="5" fillId="14" borderId="16" xfId="0" applyNumberFormat="1" applyFont="1" applyFill="1" applyBorder="1" applyAlignment="1">
      <alignment horizontal="center" vertical="center"/>
    </xf>
    <xf numFmtId="172" fontId="5" fillId="0" borderId="16" xfId="0" applyNumberFormat="1" applyFont="1" applyBorder="1" applyAlignment="1">
      <alignment horizontal="center" vertical="center"/>
    </xf>
    <xf numFmtId="1" fontId="5" fillId="14" borderId="63" xfId="0" applyNumberFormat="1" applyFont="1" applyFill="1" applyBorder="1" applyAlignment="1">
      <alignment horizontal="center" vertical="center"/>
    </xf>
    <xf numFmtId="164" fontId="5" fillId="14" borderId="16" xfId="0" applyNumberFormat="1" applyFont="1" applyFill="1" applyBorder="1" applyAlignment="1">
      <alignment horizontal="center" vertical="center"/>
    </xf>
    <xf numFmtId="168" fontId="5" fillId="0" borderId="16" xfId="0" applyNumberFormat="1" applyFont="1" applyBorder="1" applyAlignment="1">
      <alignment horizontal="center" vertical="center"/>
    </xf>
    <xf numFmtId="2" fontId="5" fillId="14" borderId="63" xfId="0" applyNumberFormat="1" applyFont="1" applyFill="1" applyBorder="1" applyAlignment="1">
      <alignment horizontal="center" vertical="center"/>
    </xf>
    <xf numFmtId="0" fontId="18" fillId="0" borderId="64" xfId="2" applyFont="1" applyBorder="1" applyAlignment="1">
      <alignment horizontal="left" vertical="center" wrapText="1"/>
    </xf>
    <xf numFmtId="0" fontId="5" fillId="6" borderId="16" xfId="0" applyFont="1" applyFill="1" applyBorder="1" applyAlignment="1">
      <alignment horizontal="left" vertical="center"/>
    </xf>
    <xf numFmtId="2" fontId="0" fillId="6" borderId="1" xfId="0" applyNumberFormat="1" applyFill="1" applyBorder="1" applyAlignment="1">
      <alignment horizontal="right" vertical="center"/>
    </xf>
    <xf numFmtId="2" fontId="0" fillId="6" borderId="21" xfId="0" applyNumberFormat="1" applyFill="1" applyBorder="1" applyAlignment="1">
      <alignment horizontal="center" vertical="center"/>
    </xf>
    <xf numFmtId="2" fontId="0" fillId="17" borderId="21" xfId="0" applyNumberFormat="1" applyFill="1" applyBorder="1" applyAlignment="1">
      <alignment horizontal="center" vertical="center"/>
    </xf>
    <xf numFmtId="2" fontId="0" fillId="10" borderId="21" xfId="0" applyNumberFormat="1" applyFill="1" applyBorder="1" applyAlignment="1">
      <alignment horizontal="center" vertical="center"/>
    </xf>
    <xf numFmtId="2" fontId="0" fillId="17" borderId="1" xfId="0" applyNumberFormat="1" applyFill="1" applyBorder="1" applyAlignment="1">
      <alignment horizontal="right" vertical="center"/>
    </xf>
    <xf numFmtId="2" fontId="0" fillId="10" borderId="1" xfId="0" applyNumberFormat="1" applyFill="1" applyBorder="1" applyAlignment="1">
      <alignment horizontal="right" vertical="center"/>
    </xf>
    <xf numFmtId="2" fontId="0" fillId="10" borderId="1" xfId="0" applyNumberFormat="1" applyFill="1" applyBorder="1" applyAlignment="1">
      <alignment horizontal="center" vertical="center"/>
    </xf>
    <xf numFmtId="0" fontId="6" fillId="0" borderId="0" xfId="0" applyFont="1"/>
    <xf numFmtId="0" fontId="3" fillId="22" borderId="57" xfId="0" applyFont="1" applyFill="1" applyBorder="1" applyAlignment="1">
      <alignment horizontal="center"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50" xfId="0" applyFont="1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/>
    </xf>
    <xf numFmtId="0" fontId="0" fillId="6" borderId="19" xfId="0" applyFill="1" applyBorder="1" applyAlignment="1">
      <alignment horizontal="left" vertical="center" wrapText="1"/>
    </xf>
    <xf numFmtId="1" fontId="0" fillId="6" borderId="19" xfId="0" applyNumberFormat="1" applyFill="1" applyBorder="1" applyAlignment="1">
      <alignment horizontal="center"/>
    </xf>
    <xf numFmtId="2" fontId="0" fillId="6" borderId="19" xfId="0" applyNumberFormat="1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0" borderId="20" xfId="0" applyBorder="1"/>
    <xf numFmtId="0" fontId="0" fillId="0" borderId="15" xfId="0" applyBorder="1"/>
    <xf numFmtId="0" fontId="0" fillId="0" borderId="64" xfId="0" applyBorder="1"/>
    <xf numFmtId="0" fontId="0" fillId="4" borderId="0" xfId="0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4" borderId="18" xfId="0" applyFont="1" applyFill="1" applyBorder="1" applyAlignment="1">
      <alignment horizontal="center" vertical="center" wrapText="1"/>
    </xf>
    <xf numFmtId="0" fontId="44" fillId="22" borderId="18" xfId="0" applyFont="1" applyFill="1" applyBorder="1" applyAlignment="1">
      <alignment horizontal="center" vertical="center" wrapText="1"/>
    </xf>
    <xf numFmtId="0" fontId="44" fillId="9" borderId="18" xfId="0" applyFont="1" applyFill="1" applyBorder="1" applyAlignment="1">
      <alignment horizontal="center" vertical="center" wrapText="1"/>
    </xf>
    <xf numFmtId="165" fontId="44" fillId="22" borderId="18" xfId="0" applyNumberFormat="1" applyFont="1" applyFill="1" applyBorder="1" applyAlignment="1">
      <alignment horizontal="center" vertical="center" wrapText="1"/>
    </xf>
    <xf numFmtId="0" fontId="44" fillId="26" borderId="50" xfId="0" applyFont="1" applyFill="1" applyBorder="1" applyAlignment="1">
      <alignment horizontal="center" vertical="center" wrapText="1"/>
    </xf>
    <xf numFmtId="0" fontId="3" fillId="22" borderId="1" xfId="0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4" fillId="9" borderId="1" xfId="0" applyFont="1" applyFill="1" applyBorder="1" applyAlignment="1">
      <alignment horizontal="center" vertical="center" wrapText="1"/>
    </xf>
    <xf numFmtId="165" fontId="44" fillId="2" borderId="1" xfId="0" applyNumberFormat="1" applyFont="1" applyFill="1" applyBorder="1" applyAlignment="1">
      <alignment horizontal="center" vertical="center" wrapText="1"/>
    </xf>
    <xf numFmtId="0" fontId="0" fillId="6" borderId="19" xfId="0" applyFill="1" applyBorder="1" applyAlignment="1">
      <alignment horizontal="left"/>
    </xf>
    <xf numFmtId="0" fontId="0" fillId="4" borderId="19" xfId="0" applyFill="1" applyBorder="1" applyAlignment="1">
      <alignment horizontal="center"/>
    </xf>
    <xf numFmtId="0" fontId="5" fillId="6" borderId="19" xfId="0" applyFont="1" applyFill="1" applyBorder="1" applyAlignment="1">
      <alignment horizontal="center"/>
    </xf>
    <xf numFmtId="1" fontId="5" fillId="6" borderId="19" xfId="8" applyNumberFormat="1" applyFont="1" applyFill="1" applyBorder="1" applyAlignment="1">
      <alignment horizontal="center"/>
    </xf>
    <xf numFmtId="0" fontId="5" fillId="6" borderId="19" xfId="8" applyFont="1" applyFill="1" applyBorder="1" applyAlignment="1">
      <alignment horizontal="center"/>
    </xf>
    <xf numFmtId="2" fontId="5" fillId="6" borderId="19" xfId="8" applyNumberFormat="1" applyFont="1" applyFill="1" applyBorder="1" applyAlignment="1">
      <alignment horizontal="center"/>
    </xf>
    <xf numFmtId="1" fontId="5" fillId="6" borderId="19" xfId="0" applyNumberFormat="1" applyFont="1" applyFill="1" applyBorder="1" applyAlignment="1">
      <alignment horizontal="center"/>
    </xf>
    <xf numFmtId="0" fontId="5" fillId="6" borderId="19" xfId="0" applyFont="1" applyFill="1" applyBorder="1" applyAlignment="1">
      <alignment horizontal="left"/>
    </xf>
    <xf numFmtId="0" fontId="5" fillId="6" borderId="19" xfId="0" applyFont="1" applyFill="1" applyBorder="1" applyAlignment="1">
      <alignment horizontal="right"/>
    </xf>
    <xf numFmtId="165" fontId="0" fillId="6" borderId="19" xfId="0" applyNumberFormat="1" applyFill="1" applyBorder="1" applyAlignment="1">
      <alignment horizontal="center"/>
    </xf>
    <xf numFmtId="9" fontId="0" fillId="6" borderId="19" xfId="0" applyNumberFormat="1" applyFill="1" applyBorder="1" applyAlignment="1">
      <alignment horizontal="center"/>
    </xf>
    <xf numFmtId="165" fontId="3" fillId="6" borderId="20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37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9" fontId="0" fillId="6" borderId="1" xfId="0" applyNumberFormat="1" applyFill="1" applyBorder="1" applyAlignment="1">
      <alignment horizontal="center"/>
    </xf>
    <xf numFmtId="0" fontId="0" fillId="27" borderId="1" xfId="0" applyFill="1" applyBorder="1" applyAlignment="1">
      <alignment horizontal="center" vertical="center" wrapText="1"/>
    </xf>
    <xf numFmtId="0" fontId="21" fillId="27" borderId="1" xfId="0" applyFont="1" applyFill="1" applyBorder="1" applyAlignment="1">
      <alignment horizontal="center" vertical="center" wrapText="1"/>
    </xf>
    <xf numFmtId="0" fontId="23" fillId="27" borderId="1" xfId="0" applyFont="1" applyFill="1" applyBorder="1" applyAlignment="1">
      <alignment horizontal="center" vertical="center" wrapText="1"/>
    </xf>
    <xf numFmtId="0" fontId="21" fillId="22" borderId="1" xfId="0" applyFont="1" applyFill="1" applyBorder="1" applyAlignment="1">
      <alignment horizontal="center" vertical="center" wrapText="1"/>
    </xf>
    <xf numFmtId="0" fontId="0" fillId="22" borderId="1" xfId="0" applyFill="1" applyBorder="1" applyAlignment="1">
      <alignment horizontal="center" vertical="center" wrapText="1"/>
    </xf>
    <xf numFmtId="0" fontId="21" fillId="22" borderId="3" xfId="0" applyFont="1" applyFill="1" applyBorder="1" applyAlignment="1">
      <alignment horizontal="center" vertical="center" wrapText="1"/>
    </xf>
    <xf numFmtId="0" fontId="23" fillId="22" borderId="1" xfId="0" applyFont="1" applyFill="1" applyBorder="1" applyAlignment="1">
      <alignment horizontal="center" vertical="center" wrapText="1"/>
    </xf>
    <xf numFmtId="0" fontId="0" fillId="27" borderId="21" xfId="0" applyFill="1" applyBorder="1" applyAlignment="1">
      <alignment horizontal="center"/>
    </xf>
    <xf numFmtId="0" fontId="21" fillId="27" borderId="21" xfId="0" applyFont="1" applyFill="1" applyBorder="1" applyAlignment="1">
      <alignment horizontal="center"/>
    </xf>
    <xf numFmtId="0" fontId="23" fillId="27" borderId="21" xfId="0" applyFont="1" applyFill="1" applyBorder="1" applyAlignment="1">
      <alignment horizontal="center"/>
    </xf>
    <xf numFmtId="0" fontId="21" fillId="22" borderId="21" xfId="0" applyFont="1" applyFill="1" applyBorder="1" applyAlignment="1">
      <alignment horizontal="center" vertical="center"/>
    </xf>
    <xf numFmtId="0" fontId="0" fillId="22" borderId="21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5" fillId="6" borderId="1" xfId="0" applyFont="1" applyFill="1" applyBorder="1"/>
    <xf numFmtId="1" fontId="5" fillId="6" borderId="1" xfId="0" applyNumberFormat="1" applyFont="1" applyFill="1" applyBorder="1"/>
    <xf numFmtId="1" fontId="21" fillId="6" borderId="1" xfId="0" applyNumberFormat="1" applyFont="1" applyFill="1" applyBorder="1" applyAlignment="1">
      <alignment horizontal="center"/>
    </xf>
    <xf numFmtId="9" fontId="5" fillId="6" borderId="1" xfId="1" applyFont="1" applyFill="1" applyBorder="1" applyAlignment="1">
      <alignment horizontal="center"/>
    </xf>
    <xf numFmtId="1" fontId="5" fillId="6" borderId="1" xfId="0" applyNumberFormat="1" applyFont="1" applyFill="1" applyBorder="1" applyAlignment="1">
      <alignment horizontal="center"/>
    </xf>
    <xf numFmtId="0" fontId="21" fillId="6" borderId="1" xfId="0" applyFont="1" applyFill="1" applyBorder="1" applyAlignment="1">
      <alignment horizontal="left"/>
    </xf>
    <xf numFmtId="2" fontId="21" fillId="6" borderId="1" xfId="0" applyNumberFormat="1" applyFont="1" applyFill="1" applyBorder="1"/>
    <xf numFmtId="2" fontId="21" fillId="6" borderId="1" xfId="0" applyNumberFormat="1" applyFont="1" applyFill="1" applyBorder="1" applyAlignment="1">
      <alignment horizontal="center"/>
    </xf>
    <xf numFmtId="182" fontId="5" fillId="6" borderId="1" xfId="0" applyNumberFormat="1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9" fontId="5" fillId="6" borderId="4" xfId="1" applyFont="1" applyFill="1" applyBorder="1" applyAlignment="1">
      <alignment horizontal="center"/>
    </xf>
    <xf numFmtId="0" fontId="5" fillId="6" borderId="4" xfId="0" applyFont="1" applyFill="1" applyBorder="1" applyAlignment="1">
      <alignment horizontal="left"/>
    </xf>
    <xf numFmtId="165" fontId="5" fillId="6" borderId="1" xfId="0" applyNumberFormat="1" applyFont="1" applyFill="1" applyBorder="1"/>
    <xf numFmtId="2" fontId="5" fillId="6" borderId="3" xfId="0" applyNumberFormat="1" applyFont="1" applyFill="1" applyBorder="1" applyAlignment="1">
      <alignment horizontal="center"/>
    </xf>
    <xf numFmtId="2" fontId="5" fillId="6" borderId="1" xfId="0" applyNumberFormat="1" applyFont="1" applyFill="1" applyBorder="1"/>
    <xf numFmtId="0" fontId="29" fillId="0" borderId="0" xfId="0" applyFont="1"/>
    <xf numFmtId="0" fontId="29" fillId="0" borderId="14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6" borderId="1" xfId="0" applyFont="1" applyFill="1" applyBorder="1"/>
    <xf numFmtId="2" fontId="46" fillId="0" borderId="1" xfId="0" applyNumberFormat="1" applyFont="1" applyBorder="1"/>
    <xf numFmtId="0" fontId="45" fillId="0" borderId="1" xfId="0" applyFont="1" applyBorder="1"/>
    <xf numFmtId="183" fontId="45" fillId="0" borderId="8" xfId="0" applyNumberFormat="1" applyFont="1" applyBorder="1" applyAlignment="1">
      <alignment horizontal="left"/>
    </xf>
    <xf numFmtId="183" fontId="45" fillId="0" borderId="1" xfId="0" applyNumberFormat="1" applyFont="1" applyBorder="1" applyAlignment="1">
      <alignment horizontal="left"/>
    </xf>
    <xf numFmtId="0" fontId="45" fillId="0" borderId="15" xfId="0" applyFont="1" applyBorder="1"/>
    <xf numFmtId="0" fontId="45" fillId="0" borderId="8" xfId="0" applyFont="1" applyBorder="1"/>
    <xf numFmtId="0" fontId="48" fillId="28" borderId="1" xfId="9" applyFont="1" applyFill="1" applyBorder="1" applyAlignment="1">
      <alignment horizontal="center" vertical="center"/>
    </xf>
    <xf numFmtId="2" fontId="14" fillId="0" borderId="1" xfId="0" applyNumberFormat="1" applyFont="1" applyBorder="1"/>
    <xf numFmtId="0" fontId="29" fillId="29" borderId="0" xfId="0" applyFont="1" applyFill="1"/>
    <xf numFmtId="0" fontId="49" fillId="29" borderId="0" xfId="0" applyFont="1" applyFill="1"/>
    <xf numFmtId="0" fontId="29" fillId="29" borderId="77" xfId="0" applyFont="1" applyFill="1" applyBorder="1"/>
    <xf numFmtId="0" fontId="29" fillId="0" borderId="1" xfId="0" applyFont="1" applyBorder="1" applyAlignment="1">
      <alignment horizontal="center" vertical="center"/>
    </xf>
    <xf numFmtId="0" fontId="29" fillId="29" borderId="58" xfId="0" applyFont="1" applyFill="1" applyBorder="1" applyAlignment="1">
      <alignment horizontal="left"/>
    </xf>
    <xf numFmtId="0" fontId="29" fillId="29" borderId="19" xfId="0" applyFont="1" applyFill="1" applyBorder="1" applyAlignment="1">
      <alignment horizontal="left"/>
    </xf>
    <xf numFmtId="165" fontId="46" fillId="0" borderId="20" xfId="0" applyNumberFormat="1" applyFont="1" applyBorder="1"/>
    <xf numFmtId="4" fontId="29" fillId="29" borderId="0" xfId="0" applyNumberFormat="1" applyFont="1" applyFill="1"/>
    <xf numFmtId="3" fontId="29" fillId="0" borderId="0" xfId="0" applyNumberFormat="1" applyFont="1"/>
    <xf numFmtId="3" fontId="49" fillId="0" borderId="0" xfId="0" applyNumberFormat="1" applyFont="1"/>
    <xf numFmtId="3" fontId="29" fillId="0" borderId="77" xfId="0" applyNumberFormat="1" applyFont="1" applyBorder="1"/>
    <xf numFmtId="0" fontId="16" fillId="29" borderId="79" xfId="0" applyFont="1" applyFill="1" applyBorder="1" applyAlignment="1">
      <alignment horizontal="center"/>
    </xf>
    <xf numFmtId="0" fontId="16" fillId="29" borderId="80" xfId="0" applyFont="1" applyFill="1" applyBorder="1" applyAlignment="1">
      <alignment horizontal="center"/>
    </xf>
    <xf numFmtId="0" fontId="16" fillId="29" borderId="81" xfId="0" applyFont="1" applyFill="1" applyBorder="1" applyAlignment="1">
      <alignment horizontal="center"/>
    </xf>
    <xf numFmtId="0" fontId="16" fillId="29" borderId="82" xfId="0" applyFont="1" applyFill="1" applyBorder="1" applyAlignment="1">
      <alignment horizontal="center"/>
    </xf>
    <xf numFmtId="0" fontId="16" fillId="6" borderId="1" xfId="0" applyFont="1" applyFill="1" applyBorder="1"/>
    <xf numFmtId="0" fontId="29" fillId="29" borderId="8" xfId="0" applyFont="1" applyFill="1" applyBorder="1" applyAlignment="1">
      <alignment horizontal="left"/>
    </xf>
    <xf numFmtId="0" fontId="29" fillId="29" borderId="1" xfId="0" applyFont="1" applyFill="1" applyBorder="1" applyAlignment="1">
      <alignment horizontal="left"/>
    </xf>
    <xf numFmtId="165" fontId="46" fillId="0" borderId="15" xfId="0" applyNumberFormat="1" applyFont="1" applyBorder="1"/>
    <xf numFmtId="4" fontId="49" fillId="29" borderId="0" xfId="0" applyNumberFormat="1" applyFont="1" applyFill="1"/>
    <xf numFmtId="0" fontId="16" fillId="29" borderId="84" xfId="0" applyFont="1" applyFill="1" applyBorder="1"/>
    <xf numFmtId="0" fontId="16" fillId="29" borderId="85" xfId="0" applyFont="1" applyFill="1" applyBorder="1"/>
    <xf numFmtId="184" fontId="29" fillId="0" borderId="84" xfId="0" applyNumberFormat="1" applyFont="1" applyBorder="1"/>
    <xf numFmtId="184" fontId="29" fillId="0" borderId="86" xfId="0" applyNumberFormat="1" applyFont="1" applyBorder="1"/>
    <xf numFmtId="184" fontId="29" fillId="0" borderId="85" xfId="0" applyNumberFormat="1" applyFont="1" applyBorder="1"/>
    <xf numFmtId="184" fontId="29" fillId="0" borderId="87" xfId="0" applyNumberFormat="1" applyFont="1" applyBorder="1"/>
    <xf numFmtId="1" fontId="16" fillId="0" borderId="1" xfId="0" applyNumberFormat="1" applyFont="1" applyBorder="1" applyAlignment="1">
      <alignment horizontal="center" vertical="center"/>
    </xf>
    <xf numFmtId="0" fontId="14" fillId="29" borderId="8" xfId="0" applyFont="1" applyFill="1" applyBorder="1"/>
    <xf numFmtId="0" fontId="14" fillId="29" borderId="1" xfId="0" applyFont="1" applyFill="1" applyBorder="1" applyAlignment="1">
      <alignment horizontal="left"/>
    </xf>
    <xf numFmtId="182" fontId="14" fillId="14" borderId="15" xfId="0" applyNumberFormat="1" applyFont="1" applyFill="1" applyBorder="1"/>
    <xf numFmtId="0" fontId="14" fillId="29" borderId="10" xfId="0" applyFont="1" applyFill="1" applyBorder="1"/>
    <xf numFmtId="0" fontId="14" fillId="29" borderId="16" xfId="0" applyFont="1" applyFill="1" applyBorder="1" applyAlignment="1">
      <alignment horizontal="left"/>
    </xf>
    <xf numFmtId="1" fontId="14" fillId="14" borderId="64" xfId="0" applyNumberFormat="1" applyFont="1" applyFill="1" applyBorder="1"/>
    <xf numFmtId="0" fontId="51" fillId="0" borderId="0" xfId="2" applyFont="1"/>
    <xf numFmtId="0" fontId="14" fillId="0" borderId="0" xfId="0" applyFont="1"/>
    <xf numFmtId="0" fontId="16" fillId="29" borderId="79" xfId="0" applyFont="1" applyFill="1" applyBorder="1"/>
    <xf numFmtId="0" fontId="16" fillId="29" borderId="80" xfId="0" applyFont="1" applyFill="1" applyBorder="1"/>
    <xf numFmtId="184" fontId="29" fillId="0" borderId="79" xfId="0" applyNumberFormat="1" applyFont="1" applyBorder="1"/>
    <xf numFmtId="184" fontId="29" fillId="0" borderId="81" xfId="0" applyNumberFormat="1" applyFont="1" applyBorder="1"/>
    <xf numFmtId="184" fontId="29" fillId="0" borderId="80" xfId="0" applyNumberFormat="1" applyFont="1" applyBorder="1"/>
    <xf numFmtId="184" fontId="29" fillId="0" borderId="82" xfId="0" applyNumberFormat="1" applyFont="1" applyBorder="1"/>
    <xf numFmtId="183" fontId="45" fillId="0" borderId="10" xfId="0" applyNumberFormat="1" applyFont="1" applyBorder="1" applyAlignment="1">
      <alignment horizontal="left"/>
    </xf>
    <xf numFmtId="0" fontId="45" fillId="0" borderId="16" xfId="0" applyFont="1" applyBorder="1"/>
    <xf numFmtId="183" fontId="45" fillId="0" borderId="16" xfId="0" applyNumberFormat="1" applyFont="1" applyBorder="1" applyAlignment="1">
      <alignment horizontal="left"/>
    </xf>
    <xf numFmtId="0" fontId="45" fillId="0" borderId="64" xfId="0" applyFont="1" applyBorder="1"/>
    <xf numFmtId="0" fontId="29" fillId="0" borderId="1" xfId="0" applyFont="1" applyBorder="1"/>
    <xf numFmtId="3" fontId="29" fillId="0" borderId="0" xfId="7" applyNumberFormat="1" applyFont="1"/>
    <xf numFmtId="0" fontId="4" fillId="0" borderId="0" xfId="2"/>
    <xf numFmtId="0" fontId="29" fillId="30" borderId="58" xfId="0" applyFont="1" applyFill="1" applyBorder="1"/>
    <xf numFmtId="0" fontId="29" fillId="30" borderId="19" xfId="0" applyFont="1" applyFill="1" applyBorder="1"/>
    <xf numFmtId="0" fontId="29" fillId="30" borderId="20" xfId="0" applyFont="1" applyFill="1" applyBorder="1"/>
    <xf numFmtId="183" fontId="45" fillId="30" borderId="8" xfId="0" applyNumberFormat="1" applyFont="1" applyFill="1" applyBorder="1" applyAlignment="1">
      <alignment horizontal="left"/>
    </xf>
    <xf numFmtId="0" fontId="45" fillId="30" borderId="1" xfId="0" applyFont="1" applyFill="1" applyBorder="1"/>
    <xf numFmtId="183" fontId="45" fillId="30" borderId="1" xfId="0" applyNumberFormat="1" applyFont="1" applyFill="1" applyBorder="1" applyAlignment="1">
      <alignment horizontal="left"/>
    </xf>
    <xf numFmtId="0" fontId="45" fillId="30" borderId="15" xfId="0" applyFont="1" applyFill="1" applyBorder="1"/>
    <xf numFmtId="3" fontId="29" fillId="0" borderId="0" xfId="7" applyNumberFormat="1" applyFont="1" applyAlignment="1"/>
    <xf numFmtId="9" fontId="29" fillId="0" borderId="0" xfId="0" applyNumberFormat="1" applyFont="1"/>
    <xf numFmtId="0" fontId="45" fillId="0" borderId="10" xfId="0" applyFont="1" applyBorder="1"/>
    <xf numFmtId="0" fontId="29" fillId="30" borderId="1" xfId="0" applyFont="1" applyFill="1" applyBorder="1"/>
    <xf numFmtId="4" fontId="29" fillId="29" borderId="56" xfId="0" applyNumberFormat="1" applyFont="1" applyFill="1" applyBorder="1"/>
    <xf numFmtId="3" fontId="29" fillId="0" borderId="56" xfId="0" applyNumberFormat="1" applyFont="1" applyBorder="1"/>
    <xf numFmtId="3" fontId="49" fillId="0" borderId="56" xfId="0" applyNumberFormat="1" applyFont="1" applyBorder="1"/>
    <xf numFmtId="3" fontId="29" fillId="0" borderId="72" xfId="0" applyNumberFormat="1" applyFont="1" applyBorder="1"/>
    <xf numFmtId="183" fontId="45" fillId="30" borderId="10" xfId="0" applyNumberFormat="1" applyFont="1" applyFill="1" applyBorder="1"/>
    <xf numFmtId="0" fontId="29" fillId="30" borderId="16" xfId="0" applyFont="1" applyFill="1" applyBorder="1"/>
    <xf numFmtId="183" fontId="45" fillId="30" borderId="16" xfId="0" applyNumberFormat="1" applyFont="1" applyFill="1" applyBorder="1" applyAlignment="1">
      <alignment horizontal="left"/>
    </xf>
    <xf numFmtId="0" fontId="29" fillId="30" borderId="64" xfId="0" applyFont="1" applyFill="1" applyBorder="1"/>
    <xf numFmtId="0" fontId="0" fillId="0" borderId="14" xfId="0" applyBorder="1" applyAlignment="1">
      <alignment horizontal="left" vertical="center"/>
    </xf>
    <xf numFmtId="2" fontId="52" fillId="0" borderId="6" xfId="0" applyNumberFormat="1" applyFont="1" applyBorder="1" applyAlignment="1">
      <alignment horizontal="right" vertical="center"/>
    </xf>
    <xf numFmtId="0" fontId="0" fillId="0" borderId="7" xfId="0" applyBorder="1" applyAlignment="1">
      <alignment horizontal="left" vertical="center"/>
    </xf>
    <xf numFmtId="0" fontId="0" fillId="6" borderId="58" xfId="0" applyFill="1" applyBorder="1" applyAlignment="1">
      <alignment horizontal="left" vertical="center" wrapText="1"/>
    </xf>
    <xf numFmtId="0" fontId="5" fillId="0" borderId="19" xfId="0" applyFont="1" applyBorder="1" applyAlignment="1">
      <alignment horizontal="right" vertical="center"/>
    </xf>
    <xf numFmtId="0" fontId="0" fillId="6" borderId="20" xfId="0" applyFill="1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2" fontId="52" fillId="0" borderId="1" xfId="0" applyNumberFormat="1" applyFont="1" applyBorder="1" applyAlignment="1">
      <alignment horizontal="right" vertical="center"/>
    </xf>
    <xf numFmtId="0" fontId="0" fillId="0" borderId="15" xfId="0" applyBorder="1" applyAlignment="1">
      <alignment horizontal="left" vertical="center"/>
    </xf>
    <xf numFmtId="0" fontId="0" fillId="6" borderId="8" xfId="0" applyFill="1" applyBorder="1" applyAlignment="1">
      <alignment horizontal="left" vertical="center" wrapText="1"/>
    </xf>
    <xf numFmtId="0" fontId="5" fillId="0" borderId="1" xfId="0" applyFont="1" applyBorder="1" applyAlignment="1">
      <alignment horizontal="right" vertical="center"/>
    </xf>
    <xf numFmtId="0" fontId="0" fillId="6" borderId="15" xfId="0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2" fontId="52" fillId="0" borderId="16" xfId="0" applyNumberFormat="1" applyFont="1" applyBorder="1" applyAlignment="1">
      <alignment horizontal="right" vertical="center"/>
    </xf>
    <xf numFmtId="0" fontId="0" fillId="0" borderId="64" xfId="0" applyBorder="1" applyAlignment="1">
      <alignment horizontal="left" vertical="center"/>
    </xf>
    <xf numFmtId="165" fontId="5" fillId="0" borderId="1" xfId="0" applyNumberFormat="1" applyFont="1" applyBorder="1" applyAlignment="1">
      <alignment horizontal="right" vertical="center"/>
    </xf>
    <xf numFmtId="9" fontId="5" fillId="0" borderId="1" xfId="1" applyFont="1" applyFill="1" applyBorder="1" applyAlignment="1">
      <alignment horizontal="right" vertical="center"/>
    </xf>
    <xf numFmtId="0" fontId="0" fillId="0" borderId="58" xfId="0" applyBorder="1" applyAlignment="1">
      <alignment vertical="center"/>
    </xf>
    <xf numFmtId="0" fontId="0" fillId="0" borderId="20" xfId="0" applyBorder="1" applyAlignment="1">
      <alignment horizontal="left" vertical="center" indent="1"/>
    </xf>
    <xf numFmtId="0" fontId="0" fillId="0" borderId="8" xfId="0" applyBorder="1" applyAlignment="1">
      <alignment vertical="center"/>
    </xf>
    <xf numFmtId="0" fontId="0" fillId="0" borderId="15" xfId="0" applyBorder="1" applyAlignment="1">
      <alignment horizontal="left" vertical="center" indent="1"/>
    </xf>
    <xf numFmtId="0" fontId="0" fillId="6" borderId="10" xfId="0" applyFill="1" applyBorder="1" applyAlignment="1">
      <alignment horizontal="left" vertical="center" wrapText="1"/>
    </xf>
    <xf numFmtId="1" fontId="5" fillId="0" borderId="16" xfId="0" applyNumberFormat="1" applyFont="1" applyBorder="1" applyAlignment="1">
      <alignment horizontal="right" vertical="center"/>
    </xf>
    <xf numFmtId="0" fontId="0" fillId="6" borderId="64" xfId="0" applyFill="1" applyBorder="1" applyAlignment="1">
      <alignment horizontal="left" vertical="center" wrapText="1"/>
    </xf>
    <xf numFmtId="0" fontId="53" fillId="0" borderId="0" xfId="0" applyFont="1" applyAlignment="1">
      <alignment horizontal="left"/>
    </xf>
    <xf numFmtId="0" fontId="0" fillId="0" borderId="10" xfId="0" applyBorder="1" applyAlignment="1">
      <alignment vertical="center"/>
    </xf>
    <xf numFmtId="0" fontId="5" fillId="0" borderId="16" xfId="0" applyFont="1" applyBorder="1" applyAlignment="1">
      <alignment horizontal="right" vertical="center"/>
    </xf>
    <xf numFmtId="0" fontId="0" fillId="0" borderId="64" xfId="0" applyBorder="1" applyAlignment="1">
      <alignment horizontal="left" vertical="center" indent="1"/>
    </xf>
    <xf numFmtId="185" fontId="0" fillId="0" borderId="0" xfId="0" applyNumberFormat="1" applyAlignment="1">
      <alignment horizontal="left" vertical="center"/>
    </xf>
    <xf numFmtId="1" fontId="3" fillId="6" borderId="6" xfId="0" applyNumberFormat="1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" fontId="3" fillId="6" borderId="16" xfId="0" applyNumberFormat="1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64" xfId="0" applyFont="1" applyFill="1" applyBorder="1" applyAlignment="1">
      <alignment horizontal="center" vertical="center" wrapText="1"/>
    </xf>
    <xf numFmtId="0" fontId="5" fillId="6" borderId="58" xfId="0" applyFont="1" applyFill="1" applyBorder="1" applyAlignment="1">
      <alignment horizontal="center"/>
    </xf>
    <xf numFmtId="0" fontId="1" fillId="0" borderId="19" xfId="0" applyFont="1" applyBorder="1"/>
    <xf numFmtId="174" fontId="5" fillId="6" borderId="19" xfId="4" applyNumberFormat="1" applyFont="1" applyFill="1" applyBorder="1"/>
    <xf numFmtId="174" fontId="5" fillId="0" borderId="19" xfId="4" applyNumberFormat="1" applyFont="1" applyFill="1" applyBorder="1" applyProtection="1"/>
    <xf numFmtId="1" fontId="5" fillId="6" borderId="19" xfId="0" applyNumberFormat="1" applyFont="1" applyFill="1" applyBorder="1"/>
    <xf numFmtId="0" fontId="5" fillId="0" borderId="19" xfId="0" applyFont="1" applyBorder="1"/>
    <xf numFmtId="2" fontId="5" fillId="0" borderId="19" xfId="0" applyNumberFormat="1" applyFont="1" applyBorder="1"/>
    <xf numFmtId="9" fontId="5" fillId="6" borderId="19" xfId="0" applyNumberFormat="1" applyFont="1" applyFill="1" applyBorder="1"/>
    <xf numFmtId="174" fontId="5" fillId="6" borderId="19" xfId="4" applyNumberFormat="1" applyFont="1" applyFill="1" applyBorder="1" applyAlignment="1">
      <alignment horizontal="center" vertical="center"/>
    </xf>
    <xf numFmtId="171" fontId="5" fillId="6" borderId="20" xfId="4" applyFont="1" applyFill="1" applyBorder="1"/>
    <xf numFmtId="171" fontId="5" fillId="0" borderId="0" xfId="4" applyFont="1" applyFill="1" applyBorder="1"/>
    <xf numFmtId="0" fontId="5" fillId="6" borderId="8" xfId="0" applyFont="1" applyFill="1" applyBorder="1" applyAlignment="1">
      <alignment horizontal="center"/>
    </xf>
    <xf numFmtId="0" fontId="1" fillId="0" borderId="1" xfId="0" applyFont="1" applyBorder="1"/>
    <xf numFmtId="174" fontId="5" fillId="6" borderId="1" xfId="4" applyNumberFormat="1" applyFont="1" applyFill="1" applyBorder="1"/>
    <xf numFmtId="174" fontId="5" fillId="0" borderId="1" xfId="4" applyNumberFormat="1" applyFont="1" applyFill="1" applyBorder="1" applyProtection="1"/>
    <xf numFmtId="2" fontId="5" fillId="0" borderId="1" xfId="0" applyNumberFormat="1" applyFont="1" applyBorder="1"/>
    <xf numFmtId="9" fontId="5" fillId="6" borderId="1" xfId="0" applyNumberFormat="1" applyFont="1" applyFill="1" applyBorder="1"/>
    <xf numFmtId="174" fontId="5" fillId="6" borderId="1" xfId="4" applyNumberFormat="1" applyFont="1" applyFill="1" applyBorder="1" applyAlignment="1">
      <alignment horizontal="center" vertical="center"/>
    </xf>
    <xf numFmtId="171" fontId="5" fillId="6" borderId="15" xfId="4" applyFont="1" applyFill="1" applyBorder="1"/>
    <xf numFmtId="174" fontId="5" fillId="6" borderId="1" xfId="4" applyNumberFormat="1" applyFont="1" applyFill="1" applyBorder="1" applyProtection="1"/>
    <xf numFmtId="1" fontId="5" fillId="0" borderId="1" xfId="0" applyNumberFormat="1" applyFont="1" applyBorder="1"/>
    <xf numFmtId="0" fontId="5" fillId="6" borderId="10" xfId="0" applyFont="1" applyFill="1" applyBorder="1" applyAlignment="1">
      <alignment horizontal="center"/>
    </xf>
    <xf numFmtId="0" fontId="5" fillId="0" borderId="16" xfId="0" applyFont="1" applyBorder="1"/>
    <xf numFmtId="174" fontId="5" fillId="6" borderId="16" xfId="4" applyNumberFormat="1" applyFont="1" applyFill="1" applyBorder="1"/>
    <xf numFmtId="174" fontId="5" fillId="0" borderId="16" xfId="4" applyNumberFormat="1" applyFont="1" applyFill="1" applyBorder="1" applyProtection="1"/>
    <xf numFmtId="174" fontId="5" fillId="6" borderId="16" xfId="4" applyNumberFormat="1" applyFont="1" applyFill="1" applyBorder="1" applyProtection="1"/>
    <xf numFmtId="1" fontId="5" fillId="0" borderId="16" xfId="0" applyNumberFormat="1" applyFont="1" applyBorder="1"/>
    <xf numFmtId="9" fontId="5" fillId="6" borderId="16" xfId="0" applyNumberFormat="1" applyFont="1" applyFill="1" applyBorder="1"/>
    <xf numFmtId="174" fontId="5" fillId="6" borderId="16" xfId="4" applyNumberFormat="1" applyFont="1" applyFill="1" applyBorder="1" applyAlignment="1">
      <alignment horizontal="center" vertical="center"/>
    </xf>
    <xf numFmtId="171" fontId="5" fillId="6" borderId="64" xfId="4" applyFont="1" applyFill="1" applyBorder="1"/>
    <xf numFmtId="0" fontId="5" fillId="0" borderId="90" xfId="0" applyFont="1" applyBorder="1" applyAlignment="1">
      <alignment horizontal="left" indent="1"/>
    </xf>
    <xf numFmtId="0" fontId="36" fillId="0" borderId="0" xfId="0" applyFont="1" applyAlignment="1">
      <alignment horizontal="center" vertical="center"/>
    </xf>
    <xf numFmtId="0" fontId="36" fillId="16" borderId="14" xfId="0" applyFont="1" applyFill="1" applyBorder="1"/>
    <xf numFmtId="0" fontId="36" fillId="16" borderId="6" xfId="0" applyFont="1" applyFill="1" applyBorder="1"/>
    <xf numFmtId="0" fontId="36" fillId="16" borderId="7" xfId="0" applyFont="1" applyFill="1" applyBorder="1"/>
    <xf numFmtId="0" fontId="36" fillId="0" borderId="1" xfId="0" applyFont="1" applyBorder="1"/>
    <xf numFmtId="1" fontId="36" fillId="0" borderId="1" xfId="0" applyNumberFormat="1" applyFont="1" applyBorder="1"/>
    <xf numFmtId="0" fontId="36" fillId="16" borderId="58" xfId="0" applyFont="1" applyFill="1" applyBorder="1"/>
    <xf numFmtId="0" fontId="36" fillId="16" borderId="19" xfId="0" applyFont="1" applyFill="1" applyBorder="1"/>
    <xf numFmtId="0" fontId="36" fillId="16" borderId="20" xfId="0" applyFont="1" applyFill="1" applyBorder="1"/>
    <xf numFmtId="0" fontId="36" fillId="0" borderId="8" xfId="0" applyFont="1" applyBorder="1"/>
    <xf numFmtId="2" fontId="36" fillId="0" borderId="1" xfId="0" applyNumberFormat="1" applyFont="1" applyBorder="1"/>
    <xf numFmtId="1" fontId="36" fillId="0" borderId="0" xfId="0" applyNumberFormat="1" applyFont="1"/>
    <xf numFmtId="0" fontId="3" fillId="22" borderId="17" xfId="0" applyFont="1" applyFill="1" applyBorder="1" applyAlignment="1">
      <alignment horizontal="center" vertical="center" wrapText="1"/>
    </xf>
    <xf numFmtId="0" fontId="3" fillId="0" borderId="77" xfId="0" applyFont="1" applyBorder="1"/>
    <xf numFmtId="0" fontId="43" fillId="0" borderId="0" xfId="0" applyFont="1" applyAlignment="1">
      <alignment horizontal="left" indent="24"/>
    </xf>
    <xf numFmtId="164" fontId="0" fillId="6" borderId="1" xfId="0" applyNumberFormat="1" applyFill="1" applyBorder="1"/>
    <xf numFmtId="165" fontId="0" fillId="6" borderId="1" xfId="0" applyNumberFormat="1" applyFill="1" applyBorder="1"/>
    <xf numFmtId="165" fontId="3" fillId="6" borderId="1" xfId="0" applyNumberFormat="1" applyFont="1" applyFill="1" applyBorder="1"/>
    <xf numFmtId="164" fontId="0" fillId="0" borderId="1" xfId="0" applyNumberFormat="1" applyBorder="1"/>
    <xf numFmtId="0" fontId="3" fillId="6" borderId="1" xfId="0" applyFont="1" applyFill="1" applyBorder="1" applyAlignment="1">
      <alignment horizontal="center" vertical="center"/>
    </xf>
    <xf numFmtId="0" fontId="5" fillId="6" borderId="1" xfId="11" applyFont="1" applyFill="1" applyBorder="1"/>
    <xf numFmtId="0" fontId="5" fillId="0" borderId="1" xfId="11" applyFont="1" applyBorder="1"/>
    <xf numFmtId="1" fontId="5" fillId="6" borderId="1" xfId="11" applyNumberFormat="1" applyFont="1" applyFill="1" applyBorder="1"/>
    <xf numFmtId="9" fontId="5" fillId="6" borderId="1" xfId="12" applyFont="1" applyFill="1" applyBorder="1" applyProtection="1"/>
    <xf numFmtId="165" fontId="5" fillId="6" borderId="1" xfId="11" applyNumberFormat="1" applyFont="1" applyFill="1" applyBorder="1"/>
    <xf numFmtId="2" fontId="5" fillId="6" borderId="1" xfId="11" applyNumberFormat="1" applyFont="1" applyFill="1" applyBorder="1"/>
    <xf numFmtId="2" fontId="11" fillId="6" borderId="1" xfId="11" applyNumberFormat="1" applyFont="1" applyFill="1" applyBorder="1"/>
    <xf numFmtId="1" fontId="5" fillId="6" borderId="1" xfId="13" applyNumberFormat="1" applyFont="1" applyFill="1" applyBorder="1" applyAlignment="1" applyProtection="1">
      <alignment horizontal="center" vertical="center"/>
    </xf>
    <xf numFmtId="1" fontId="11" fillId="6" borderId="1" xfId="13" applyNumberFormat="1" applyFont="1" applyFill="1" applyBorder="1" applyAlignment="1" applyProtection="1">
      <alignment horizontal="center" vertical="center"/>
    </xf>
    <xf numFmtId="0" fontId="11" fillId="31" borderId="1" xfId="11" applyFont="1" applyFill="1" applyBorder="1" applyAlignment="1">
      <alignment horizontal="center" vertical="center" wrapText="1"/>
    </xf>
    <xf numFmtId="165" fontId="5" fillId="0" borderId="1" xfId="11" applyNumberFormat="1" applyFont="1" applyBorder="1"/>
    <xf numFmtId="2" fontId="5" fillId="6" borderId="1" xfId="13" applyNumberFormat="1" applyFont="1" applyFill="1" applyBorder="1" applyAlignment="1" applyProtection="1">
      <alignment horizontal="center" vertical="center"/>
    </xf>
    <xf numFmtId="0" fontId="11" fillId="21" borderId="1" xfId="11" applyFont="1" applyFill="1" applyBorder="1" applyAlignment="1">
      <alignment horizontal="center" vertical="center" wrapText="1"/>
    </xf>
    <xf numFmtId="0" fontId="55" fillId="0" borderId="0" xfId="0" applyFont="1"/>
    <xf numFmtId="2" fontId="30" fillId="6" borderId="19" xfId="0" applyNumberFormat="1" applyFont="1" applyFill="1" applyBorder="1" applyAlignment="1">
      <alignment horizontal="center" vertical="center"/>
    </xf>
    <xf numFmtId="0" fontId="30" fillId="6" borderId="19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0" fontId="0" fillId="0" borderId="0" xfId="3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18" fillId="0" borderId="1" xfId="2" applyFont="1" applyBorder="1" applyAlignment="1" applyProtection="1">
      <alignment horizontal="left" vertical="center" wrapText="1"/>
    </xf>
    <xf numFmtId="168" fontId="5" fillId="0" borderId="1" xfId="0" applyNumberFormat="1" applyFont="1" applyBorder="1" applyAlignment="1">
      <alignment horizontal="left" vertical="center"/>
    </xf>
    <xf numFmtId="165" fontId="5" fillId="6" borderId="1" xfId="0" applyNumberFormat="1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 shrinkToFit="1"/>
    </xf>
    <xf numFmtId="2" fontId="14" fillId="0" borderId="1" xfId="0" applyNumberFormat="1" applyFont="1" applyBorder="1" applyAlignment="1">
      <alignment horizontal="center" vertical="center" shrinkToFit="1"/>
    </xf>
    <xf numFmtId="2" fontId="14" fillId="6" borderId="1" xfId="0" applyNumberFormat="1" applyFont="1" applyFill="1" applyBorder="1" applyAlignment="1">
      <alignment horizontal="center" vertical="center" shrinkToFit="1"/>
    </xf>
    <xf numFmtId="2" fontId="56" fillId="6" borderId="1" xfId="0" applyNumberFormat="1" applyFont="1" applyFill="1" applyBorder="1" applyAlignment="1">
      <alignment horizontal="center" vertical="center" shrinkToFit="1"/>
    </xf>
    <xf numFmtId="1" fontId="14" fillId="0" borderId="1" xfId="0" applyNumberFormat="1" applyFont="1" applyBorder="1" applyAlignment="1">
      <alignment horizontal="center" vertical="center" shrinkToFit="1"/>
    </xf>
    <xf numFmtId="168" fontId="14" fillId="6" borderId="1" xfId="0" applyNumberFormat="1" applyFont="1" applyFill="1" applyBorder="1" applyAlignment="1">
      <alignment horizontal="center" vertical="center" shrinkToFit="1"/>
    </xf>
    <xf numFmtId="164" fontId="14" fillId="6" borderId="1" xfId="0" applyNumberFormat="1" applyFont="1" applyFill="1" applyBorder="1" applyAlignment="1">
      <alignment horizontal="center" vertical="center" shrinkToFit="1"/>
    </xf>
    <xf numFmtId="2" fontId="16" fillId="15" borderId="1" xfId="0" applyNumberFormat="1" applyFont="1" applyFill="1" applyBorder="1" applyAlignment="1">
      <alignment horizontal="center" vertical="center" shrinkToFit="1"/>
    </xf>
    <xf numFmtId="0" fontId="29" fillId="0" borderId="0" xfId="0" applyFont="1" applyAlignment="1">
      <alignment horizontal="center" vertical="center" shrinkToFit="1"/>
    </xf>
    <xf numFmtId="0" fontId="12" fillId="12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textRotation="90" shrinkToFit="1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5" fillId="6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vertical="center"/>
    </xf>
    <xf numFmtId="175" fontId="0" fillId="6" borderId="1" xfId="3" applyNumberFormat="1" applyFont="1" applyFill="1" applyBorder="1" applyAlignment="1">
      <alignment horizontal="right" vertical="center"/>
    </xf>
    <xf numFmtId="2" fontId="0" fillId="17" borderId="1" xfId="0" applyNumberFormat="1" applyFill="1" applyBorder="1" applyAlignment="1">
      <alignment horizontal="center" vertical="center"/>
    </xf>
    <xf numFmtId="2" fontId="11" fillId="32" borderId="1" xfId="14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8" fontId="5" fillId="6" borderId="1" xfId="0" applyNumberFormat="1" applyFont="1" applyFill="1" applyBorder="1" applyAlignment="1">
      <alignment horizontal="left" vertical="center"/>
    </xf>
    <xf numFmtId="0" fontId="12" fillId="6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right" vertical="center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horizontal="left" vertical="center" wrapText="1"/>
    </xf>
    <xf numFmtId="0" fontId="29" fillId="6" borderId="58" xfId="0" applyFont="1" applyFill="1" applyBorder="1"/>
    <xf numFmtId="0" fontId="29" fillId="6" borderId="8" xfId="0" applyFont="1" applyFill="1" applyBorder="1"/>
    <xf numFmtId="0" fontId="29" fillId="6" borderId="10" xfId="0" applyFont="1" applyFill="1" applyBorder="1"/>
    <xf numFmtId="0" fontId="35" fillId="0" borderId="0" xfId="0" applyFont="1" applyAlignment="1">
      <alignment vertical="center"/>
    </xf>
    <xf numFmtId="0" fontId="11" fillId="0" borderId="21" xfId="0" applyFont="1" applyBorder="1"/>
    <xf numFmtId="2" fontId="0" fillId="4" borderId="21" xfId="0" applyNumberFormat="1" applyFill="1" applyBorder="1"/>
    <xf numFmtId="0" fontId="14" fillId="26" borderId="1" xfId="0" applyFont="1" applyFill="1" applyBorder="1" applyAlignment="1">
      <alignment horizontal="center" vertical="center" shrinkToFit="1"/>
    </xf>
    <xf numFmtId="0" fontId="37" fillId="0" borderId="1" xfId="0" applyFont="1" applyBorder="1"/>
    <xf numFmtId="0" fontId="37" fillId="26" borderId="1" xfId="0" applyFont="1" applyFill="1" applyBorder="1"/>
    <xf numFmtId="165" fontId="0" fillId="23" borderId="1" xfId="0" applyNumberFormat="1" applyFill="1" applyBorder="1" applyAlignment="1">
      <alignment horizontal="left"/>
    </xf>
    <xf numFmtId="0" fontId="58" fillId="0" borderId="0" xfId="0" applyFont="1"/>
    <xf numFmtId="0" fontId="59" fillId="0" borderId="0" xfId="0" applyFont="1"/>
    <xf numFmtId="0" fontId="59" fillId="0" borderId="0" xfId="0" applyFont="1" applyAlignment="1">
      <alignment horizontal="center"/>
    </xf>
    <xf numFmtId="0" fontId="60" fillId="0" borderId="1" xfId="0" applyFont="1" applyBorder="1"/>
    <xf numFmtId="0" fontId="60" fillId="0" borderId="21" xfId="0" applyFont="1" applyBorder="1"/>
    <xf numFmtId="0" fontId="60" fillId="0" borderId="22" xfId="0" applyFont="1" applyBorder="1" applyAlignment="1">
      <alignment vertical="center"/>
    </xf>
    <xf numFmtId="0" fontId="60" fillId="0" borderId="22" xfId="0" applyFont="1" applyBorder="1"/>
    <xf numFmtId="0" fontId="60" fillId="0" borderId="22" xfId="0" applyFont="1" applyBorder="1" applyAlignment="1">
      <alignment vertical="center" wrapText="1"/>
    </xf>
    <xf numFmtId="10" fontId="59" fillId="0" borderId="22" xfId="1" applyNumberFormat="1" applyFont="1" applyBorder="1" applyAlignment="1">
      <alignment wrapText="1"/>
    </xf>
    <xf numFmtId="9" fontId="59" fillId="0" borderId="22" xfId="1" applyFont="1" applyBorder="1" applyAlignment="1">
      <alignment wrapText="1"/>
    </xf>
    <xf numFmtId="181" fontId="59" fillId="0" borderId="22" xfId="1" applyNumberFormat="1" applyFont="1" applyBorder="1" applyAlignment="1">
      <alignment wrapText="1"/>
    </xf>
    <xf numFmtId="9" fontId="59" fillId="0" borderId="22" xfId="0" applyNumberFormat="1" applyFont="1" applyBorder="1"/>
    <xf numFmtId="9" fontId="61" fillId="0" borderId="22" xfId="0" applyNumberFormat="1" applyFont="1" applyBorder="1" applyAlignment="1">
      <alignment wrapText="1"/>
    </xf>
    <xf numFmtId="181" fontId="59" fillId="0" borderId="22" xfId="0" applyNumberFormat="1" applyFont="1" applyBorder="1" applyAlignment="1">
      <alignment wrapText="1"/>
    </xf>
    <xf numFmtId="9" fontId="59" fillId="0" borderId="22" xfId="0" applyNumberFormat="1" applyFont="1" applyBorder="1" applyAlignment="1">
      <alignment wrapText="1"/>
    </xf>
    <xf numFmtId="10" fontId="61" fillId="0" borderId="22" xfId="0" applyNumberFormat="1" applyFont="1" applyBorder="1" applyAlignment="1">
      <alignment wrapText="1"/>
    </xf>
    <xf numFmtId="0" fontId="59" fillId="0" borderId="0" xfId="0" applyFont="1" applyAlignment="1">
      <alignment wrapText="1"/>
    </xf>
    <xf numFmtId="2" fontId="0" fillId="0" borderId="19" xfId="0" applyNumberFormat="1" applyBorder="1" applyAlignment="1">
      <alignment vertical="center"/>
    </xf>
    <xf numFmtId="172" fontId="21" fillId="6" borderId="1" xfId="0" applyNumberFormat="1" applyFont="1" applyFill="1" applyBorder="1"/>
    <xf numFmtId="164" fontId="0" fillId="8" borderId="1" xfId="0" applyNumberFormat="1" applyFill="1" applyBorder="1"/>
    <xf numFmtId="0" fontId="3" fillId="0" borderId="0" xfId="0" quotePrefix="1" applyFont="1"/>
    <xf numFmtId="0" fontId="0" fillId="6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9" fontId="0" fillId="6" borderId="19" xfId="1" applyFont="1" applyFill="1" applyBorder="1" applyAlignment="1">
      <alignment horizontal="center" vertical="center"/>
    </xf>
    <xf numFmtId="1" fontId="0" fillId="6" borderId="19" xfId="0" applyNumberFormat="1" applyFill="1" applyBorder="1" applyAlignment="1">
      <alignment horizontal="center" vertical="center"/>
    </xf>
    <xf numFmtId="2" fontId="0" fillId="6" borderId="19" xfId="0" applyNumberFormat="1" applyFill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6" borderId="19" xfId="0" applyFill="1" applyBorder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/>
    </xf>
    <xf numFmtId="0" fontId="9" fillId="0" borderId="0" xfId="0" applyFont="1"/>
    <xf numFmtId="0" fontId="62" fillId="0" borderId="0" xfId="0" applyFont="1"/>
    <xf numFmtId="0" fontId="63" fillId="0" borderId="0" xfId="0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1" xfId="5" applyFont="1" applyFill="1" applyBorder="1" applyAlignment="1">
      <alignment horizontal="center" vertical="center"/>
    </xf>
    <xf numFmtId="0" fontId="0" fillId="30" borderId="54" xfId="0" applyFill="1" applyBorder="1" applyAlignment="1">
      <alignment horizontal="left" vertical="center"/>
    </xf>
    <xf numFmtId="0" fontId="0" fillId="30" borderId="4" xfId="0" applyFill="1" applyBorder="1" applyAlignment="1">
      <alignment horizontal="left" vertical="center"/>
    </xf>
    <xf numFmtId="0" fontId="0" fillId="30" borderId="55" xfId="0" applyFill="1" applyBorder="1" applyAlignment="1">
      <alignment horizontal="left" vertical="center"/>
    </xf>
    <xf numFmtId="0" fontId="0" fillId="30" borderId="12" xfId="0" applyFill="1" applyBorder="1" applyAlignment="1">
      <alignment horizontal="left" vertical="center"/>
    </xf>
    <xf numFmtId="166" fontId="0" fillId="30" borderId="3" xfId="0" applyNumberFormat="1" applyFill="1" applyBorder="1" applyAlignment="1">
      <alignment vertical="center"/>
    </xf>
    <xf numFmtId="166" fontId="0" fillId="30" borderId="4" xfId="0" applyNumberFormat="1" applyFill="1" applyBorder="1" applyAlignment="1">
      <alignment vertical="center"/>
    </xf>
    <xf numFmtId="166" fontId="0" fillId="30" borderId="11" xfId="0" applyNumberFormat="1" applyFill="1" applyBorder="1" applyAlignment="1">
      <alignment vertical="center"/>
    </xf>
    <xf numFmtId="166" fontId="0" fillId="30" borderId="12" xfId="0" applyNumberFormat="1" applyFill="1" applyBorder="1" applyAlignment="1">
      <alignment vertical="center"/>
    </xf>
    <xf numFmtId="0" fontId="0" fillId="30" borderId="3" xfId="0" applyFill="1" applyBorder="1" applyAlignment="1">
      <alignment horizontal="left" vertical="center"/>
    </xf>
    <xf numFmtId="0" fontId="0" fillId="30" borderId="11" xfId="0" applyFill="1" applyBorder="1" applyAlignment="1">
      <alignment horizontal="left" vertical="center"/>
    </xf>
    <xf numFmtId="0" fontId="29" fillId="0" borderId="15" xfId="0" applyFont="1" applyBorder="1"/>
    <xf numFmtId="0" fontId="29" fillId="0" borderId="8" xfId="0" applyFont="1" applyBorder="1"/>
    <xf numFmtId="0" fontId="29" fillId="0" borderId="64" xfId="0" applyFont="1" applyBorder="1"/>
    <xf numFmtId="0" fontId="29" fillId="0" borderId="10" xfId="0" applyFont="1" applyBorder="1"/>
    <xf numFmtId="0" fontId="29" fillId="0" borderId="16" xfId="0" applyFont="1" applyBorder="1"/>
    <xf numFmtId="0" fontId="45" fillId="0" borderId="6" xfId="0" applyFont="1" applyBorder="1" applyAlignment="1">
      <alignment horizontal="center" vertical="center" wrapText="1"/>
    </xf>
    <xf numFmtId="0" fontId="14" fillId="7" borderId="71" xfId="0" applyFont="1" applyFill="1" applyBorder="1" applyAlignment="1">
      <alignment horizontal="center" vertical="center"/>
    </xf>
    <xf numFmtId="0" fontId="14" fillId="7" borderId="69" xfId="0" applyFont="1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45" fillId="0" borderId="14" xfId="0" applyFont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2" fontId="46" fillId="0" borderId="1" xfId="0" applyNumberFormat="1" applyFont="1" applyBorder="1" applyAlignment="1">
      <alignment horizontal="center" vertical="center"/>
    </xf>
    <xf numFmtId="0" fontId="47" fillId="18" borderId="0" xfId="8" applyFont="1" applyAlignment="1">
      <alignment horizontal="center" vertical="center"/>
    </xf>
    <xf numFmtId="0" fontId="45" fillId="0" borderId="6" xfId="0" applyFont="1" applyBorder="1" applyAlignment="1">
      <alignment horizontal="center" vertical="center"/>
    </xf>
    <xf numFmtId="0" fontId="65" fillId="7" borderId="68" xfId="0" applyFont="1" applyFill="1" applyBorder="1" applyAlignment="1">
      <alignment horizontal="left" vertical="center"/>
    </xf>
    <xf numFmtId="186" fontId="66" fillId="4" borderId="22" xfId="0" applyNumberFormat="1" applyFont="1" applyFill="1" applyBorder="1" applyAlignment="1">
      <alignment vertical="center"/>
    </xf>
    <xf numFmtId="18" fontId="66" fillId="4" borderId="22" xfId="0" applyNumberFormat="1" applyFont="1" applyFill="1" applyBorder="1" applyAlignment="1">
      <alignment vertical="center"/>
    </xf>
    <xf numFmtId="0" fontId="4" fillId="0" borderId="0" xfId="2" applyAlignment="1">
      <alignment vertical="center"/>
    </xf>
    <xf numFmtId="0" fontId="5" fillId="4" borderId="1" xfId="0" applyFont="1" applyFill="1" applyBorder="1"/>
    <xf numFmtId="1" fontId="0" fillId="0" borderId="1" xfId="0" applyNumberFormat="1" applyBorder="1" applyAlignment="1">
      <alignment horizontal="left" vertical="center" wrapText="1"/>
    </xf>
    <xf numFmtId="0" fontId="5" fillId="4" borderId="1" xfId="0" quotePrefix="1" applyFont="1" applyFill="1" applyBorder="1"/>
    <xf numFmtId="0" fontId="0" fillId="4" borderId="1" xfId="5" applyFont="1" applyFill="1" applyBorder="1"/>
    <xf numFmtId="164" fontId="5" fillId="6" borderId="1" xfId="0" applyNumberFormat="1" applyFont="1" applyFill="1" applyBorder="1" applyAlignment="1">
      <alignment horizontal="right" vertical="center"/>
    </xf>
    <xf numFmtId="2" fontId="5" fillId="33" borderId="1" xfId="0" applyNumberFormat="1" applyFont="1" applyFill="1" applyBorder="1" applyAlignment="1">
      <alignment horizontal="right" vertical="center"/>
    </xf>
    <xf numFmtId="187" fontId="3" fillId="6" borderId="1" xfId="0" applyNumberFormat="1" applyFont="1" applyFill="1" applyBorder="1" applyAlignment="1">
      <alignment horizontal="center" vertical="center"/>
    </xf>
    <xf numFmtId="0" fontId="0" fillId="6" borderId="34" xfId="0" applyFill="1" applyBorder="1"/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9" fontId="0" fillId="0" borderId="1" xfId="0" applyNumberFormat="1" applyBorder="1"/>
    <xf numFmtId="1" fontId="0" fillId="0" borderId="1" xfId="0" applyNumberFormat="1" applyBorder="1"/>
    <xf numFmtId="0" fontId="0" fillId="0" borderId="3" xfId="0" applyBorder="1"/>
    <xf numFmtId="0" fontId="0" fillId="0" borderId="54" xfId="0" applyBorder="1"/>
    <xf numFmtId="1" fontId="3" fillId="0" borderId="54" xfId="0" applyNumberFormat="1" applyFont="1" applyBorder="1" applyAlignment="1">
      <alignment horizontal="right"/>
    </xf>
    <xf numFmtId="0" fontId="3" fillId="0" borderId="91" xfId="0" applyFont="1" applyBorder="1"/>
    <xf numFmtId="0" fontId="3" fillId="0" borderId="5" xfId="0" applyFont="1" applyBorder="1"/>
    <xf numFmtId="1" fontId="0" fillId="34" borderId="1" xfId="0" applyNumberFormat="1" applyFill="1" applyBorder="1"/>
    <xf numFmtId="0" fontId="0" fillId="34" borderId="1" xfId="0" applyFill="1" applyBorder="1"/>
    <xf numFmtId="0" fontId="5" fillId="0" borderId="1" xfId="0" applyFont="1" applyBorder="1" applyAlignment="1">
      <alignment vertical="center"/>
    </xf>
    <xf numFmtId="1" fontId="3" fillId="35" borderId="1" xfId="0" applyNumberFormat="1" applyFont="1" applyFill="1" applyBorder="1"/>
    <xf numFmtId="0" fontId="5" fillId="7" borderId="19" xfId="0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33" fillId="0" borderId="1" xfId="0" applyFont="1" applyBorder="1"/>
    <xf numFmtId="0" fontId="33" fillId="0" borderId="4" xfId="0" applyFont="1" applyBorder="1"/>
    <xf numFmtId="0" fontId="19" fillId="0" borderId="5" xfId="0" applyFont="1" applyBorder="1"/>
    <xf numFmtId="181" fontId="19" fillId="0" borderId="4" xfId="0" applyNumberFormat="1" applyFont="1" applyBorder="1" applyAlignment="1">
      <alignment wrapText="1"/>
    </xf>
    <xf numFmtId="181" fontId="19" fillId="0" borderId="4" xfId="0" applyNumberFormat="1" applyFont="1" applyBorder="1"/>
    <xf numFmtId="0" fontId="6" fillId="0" borderId="0" xfId="0" applyFont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67" fontId="0" fillId="30" borderId="3" xfId="0" applyNumberFormat="1" applyFill="1" applyBorder="1" applyAlignment="1">
      <alignment horizontal="left" vertical="center"/>
    </xf>
    <xf numFmtId="167" fontId="0" fillId="30" borderId="9" xfId="0" applyNumberFormat="1" applyFill="1" applyBorder="1" applyAlignment="1">
      <alignment horizontal="left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0" fontId="0" fillId="6" borderId="54" xfId="0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30" borderId="3" xfId="0" applyFill="1" applyBorder="1" applyAlignment="1">
      <alignment horizontal="left" vertical="center"/>
    </xf>
    <xf numFmtId="0" fontId="0" fillId="30" borderId="9" xfId="0" applyFill="1" applyBorder="1" applyAlignment="1">
      <alignment horizontal="left" vertical="center"/>
    </xf>
    <xf numFmtId="0" fontId="0" fillId="6" borderId="11" xfId="0" applyFill="1" applyBorder="1" applyAlignment="1">
      <alignment horizontal="left" vertical="center"/>
    </xf>
    <xf numFmtId="0" fontId="0" fillId="6" borderId="12" xfId="0" applyFill="1" applyBorder="1" applyAlignment="1">
      <alignment horizontal="left" vertical="center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0" fillId="6" borderId="55" xfId="0" applyFill="1" applyBorder="1" applyAlignment="1">
      <alignment horizontal="left" vertical="center"/>
    </xf>
    <xf numFmtId="1" fontId="0" fillId="0" borderId="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9" fontId="0" fillId="0" borderId="16" xfId="1" applyFont="1" applyBorder="1" applyAlignment="1">
      <alignment horizontal="center" vertical="center"/>
    </xf>
    <xf numFmtId="9" fontId="0" fillId="0" borderId="64" xfId="1" applyFont="1" applyBorder="1" applyAlignment="1">
      <alignment horizontal="center" vertical="center"/>
    </xf>
    <xf numFmtId="0" fontId="3" fillId="6" borderId="66" xfId="0" applyFont="1" applyFill="1" applyBorder="1" applyAlignment="1">
      <alignment horizontal="center" vertical="center" wrapText="1"/>
    </xf>
    <xf numFmtId="0" fontId="3" fillId="6" borderId="67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54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6" borderId="54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 wrapText="1"/>
    </xf>
    <xf numFmtId="164" fontId="12" fillId="6" borderId="3" xfId="0" applyNumberFormat="1" applyFont="1" applyFill="1" applyBorder="1" applyAlignment="1">
      <alignment horizontal="center" vertical="center" wrapText="1"/>
    </xf>
    <xf numFmtId="164" fontId="12" fillId="6" borderId="54" xfId="0" applyNumberFormat="1" applyFont="1" applyFill="1" applyBorder="1" applyAlignment="1">
      <alignment horizontal="center" vertical="center" wrapText="1"/>
    </xf>
    <xf numFmtId="164" fontId="12" fillId="6" borderId="4" xfId="0" applyNumberFormat="1" applyFont="1" applyFill="1" applyBorder="1" applyAlignment="1">
      <alignment horizontal="center" vertical="center" wrapText="1"/>
    </xf>
    <xf numFmtId="170" fontId="11" fillId="14" borderId="1" xfId="3" applyNumberFormat="1" applyFont="1" applyFill="1" applyBorder="1" applyAlignment="1">
      <alignment horizontal="center" vertical="center"/>
    </xf>
    <xf numFmtId="0" fontId="34" fillId="7" borderId="1" xfId="0" applyFont="1" applyFill="1" applyBorder="1" applyAlignment="1">
      <alignment horizontal="center" vertical="center"/>
    </xf>
    <xf numFmtId="170" fontId="35" fillId="0" borderId="21" xfId="3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 wrapText="1"/>
    </xf>
    <xf numFmtId="0" fontId="3" fillId="16" borderId="16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left" vertical="center" wrapText="1"/>
    </xf>
    <xf numFmtId="0" fontId="3" fillId="16" borderId="64" xfId="0" applyFont="1" applyFill="1" applyBorder="1" applyAlignment="1">
      <alignment horizontal="left" vertical="center" wrapText="1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0" xfId="0" applyFont="1" applyFill="1" applyBorder="1" applyAlignment="1">
      <alignment horizontal="center" vertical="center" wrapText="1"/>
    </xf>
    <xf numFmtId="0" fontId="3" fillId="16" borderId="62" xfId="0" applyFont="1" applyFill="1" applyBorder="1" applyAlignment="1">
      <alignment horizontal="center" vertical="center" wrapText="1"/>
    </xf>
    <xf numFmtId="0" fontId="3" fillId="16" borderId="63" xfId="0" applyFont="1" applyFill="1" applyBorder="1" applyAlignment="1">
      <alignment horizontal="center" vertical="center" wrapText="1"/>
    </xf>
    <xf numFmtId="164" fontId="3" fillId="16" borderId="6" xfId="0" applyNumberFormat="1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/>
    </xf>
    <xf numFmtId="0" fontId="3" fillId="0" borderId="54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34" borderId="3" xfId="0" applyNumberFormat="1" applyFill="1" applyBorder="1" applyAlignment="1">
      <alignment horizontal="center"/>
    </xf>
    <xf numFmtId="1" fontId="0" fillId="34" borderId="4" xfId="0" applyNumberFormat="1" applyFill="1" applyBorder="1" applyAlignment="1">
      <alignment horizontal="center"/>
    </xf>
    <xf numFmtId="0" fontId="0" fillId="34" borderId="3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3" fillId="35" borderId="3" xfId="0" applyNumberFormat="1" applyFont="1" applyFill="1" applyBorder="1" applyAlignment="1">
      <alignment horizontal="center"/>
    </xf>
    <xf numFmtId="2" fontId="3" fillId="35" borderId="54" xfId="0" applyNumberFormat="1" applyFont="1" applyFill="1" applyBorder="1" applyAlignment="1">
      <alignment horizontal="center"/>
    </xf>
    <xf numFmtId="2" fontId="3" fillId="35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" fillId="4" borderId="1" xfId="0" applyFont="1" applyFill="1" applyBorder="1" applyAlignment="1">
      <alignment horizontal="center"/>
    </xf>
    <xf numFmtId="0" fontId="3" fillId="25" borderId="1" xfId="0" applyFont="1" applyFill="1" applyBorder="1" applyAlignment="1">
      <alignment horizontal="center"/>
    </xf>
    <xf numFmtId="0" fontId="6" fillId="22" borderId="68" xfId="0" applyFont="1" applyFill="1" applyBorder="1" applyAlignment="1">
      <alignment horizontal="center" vertical="center" wrapText="1"/>
    </xf>
    <xf numFmtId="0" fontId="6" fillId="22" borderId="69" xfId="0" applyFont="1" applyFill="1" applyBorder="1" applyAlignment="1">
      <alignment horizontal="center" vertical="center" wrapText="1"/>
    </xf>
    <xf numFmtId="0" fontId="3" fillId="24" borderId="57" xfId="0" applyFont="1" applyFill="1" applyBorder="1" applyAlignment="1">
      <alignment horizontal="center"/>
    </xf>
    <xf numFmtId="0" fontId="3" fillId="24" borderId="18" xfId="0" applyFont="1" applyFill="1" applyBorder="1" applyAlignment="1">
      <alignment horizontal="center"/>
    </xf>
    <xf numFmtId="0" fontId="3" fillId="24" borderId="50" xfId="0" applyFont="1" applyFill="1" applyBorder="1" applyAlignment="1">
      <alignment horizontal="center"/>
    </xf>
    <xf numFmtId="0" fontId="3" fillId="25" borderId="3" xfId="0" applyFont="1" applyFill="1" applyBorder="1" applyAlignment="1">
      <alignment horizontal="center"/>
    </xf>
    <xf numFmtId="0" fontId="3" fillId="25" borderId="54" xfId="0" applyFont="1" applyFill="1" applyBorder="1" applyAlignment="1">
      <alignment horizontal="center"/>
    </xf>
    <xf numFmtId="0" fontId="3" fillId="25" borderId="4" xfId="0" applyFont="1" applyFill="1" applyBorder="1" applyAlignment="1">
      <alignment horizontal="center"/>
    </xf>
    <xf numFmtId="0" fontId="3" fillId="0" borderId="7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74" xfId="0" applyFont="1" applyBorder="1" applyAlignment="1">
      <alignment horizontal="center"/>
    </xf>
    <xf numFmtId="0" fontId="3" fillId="0" borderId="76" xfId="0" applyFont="1" applyBorder="1" applyAlignment="1">
      <alignment horizontal="center"/>
    </xf>
    <xf numFmtId="0" fontId="3" fillId="0" borderId="75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3" fillId="24" borderId="1" xfId="0" applyFont="1" applyFill="1" applyBorder="1" applyAlignment="1">
      <alignment horizontal="center"/>
    </xf>
    <xf numFmtId="0" fontId="3" fillId="24" borderId="3" xfId="0" applyFont="1" applyFill="1" applyBorder="1" applyAlignment="1">
      <alignment horizontal="center"/>
    </xf>
    <xf numFmtId="0" fontId="3" fillId="24" borderId="54" xfId="0" applyFont="1" applyFill="1" applyBorder="1" applyAlignment="1">
      <alignment horizontal="center"/>
    </xf>
    <xf numFmtId="0" fontId="3" fillId="24" borderId="4" xfId="0" applyFont="1" applyFill="1" applyBorder="1" applyAlignment="1">
      <alignment horizontal="center"/>
    </xf>
    <xf numFmtId="0" fontId="0" fillId="24" borderId="1" xfId="0" applyFill="1" applyBorder="1" applyAlignment="1">
      <alignment horizontal="center" vertical="center"/>
    </xf>
    <xf numFmtId="0" fontId="0" fillId="24" borderId="3" xfId="0" applyFill="1" applyBorder="1" applyAlignment="1">
      <alignment horizontal="center" vertical="center"/>
    </xf>
    <xf numFmtId="0" fontId="0" fillId="24" borderId="54" xfId="0" applyFill="1" applyBorder="1" applyAlignment="1">
      <alignment horizontal="center" vertical="center"/>
    </xf>
    <xf numFmtId="0" fontId="0" fillId="24" borderId="4" xfId="0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22" borderId="2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left" vertical="center"/>
    </xf>
    <xf numFmtId="0" fontId="3" fillId="22" borderId="21" xfId="0" applyFont="1" applyFill="1" applyBorder="1" applyAlignment="1">
      <alignment horizontal="left" vertical="center"/>
    </xf>
    <xf numFmtId="0" fontId="3" fillId="21" borderId="74" xfId="0" applyFont="1" applyFill="1" applyBorder="1" applyAlignment="1">
      <alignment horizontal="center" vertical="center"/>
    </xf>
    <xf numFmtId="0" fontId="3" fillId="21" borderId="76" xfId="0" applyFont="1" applyFill="1" applyBorder="1" applyAlignment="1">
      <alignment horizontal="center" vertical="center"/>
    </xf>
    <xf numFmtId="0" fontId="3" fillId="21" borderId="75" xfId="0" applyFont="1" applyFill="1" applyBorder="1" applyAlignment="1">
      <alignment horizontal="center" vertical="center"/>
    </xf>
    <xf numFmtId="0" fontId="3" fillId="21" borderId="68" xfId="0" applyFont="1" applyFill="1" applyBorder="1" applyAlignment="1">
      <alignment horizontal="center"/>
    </xf>
    <xf numFmtId="0" fontId="3" fillId="21" borderId="71" xfId="0" applyFont="1" applyFill="1" applyBorder="1" applyAlignment="1">
      <alignment horizontal="center"/>
    </xf>
    <xf numFmtId="0" fontId="3" fillId="21" borderId="69" xfId="0" applyFont="1" applyFill="1" applyBorder="1" applyAlignment="1">
      <alignment horizontal="center"/>
    </xf>
    <xf numFmtId="0" fontId="3" fillId="21" borderId="68" xfId="0" applyFont="1" applyFill="1" applyBorder="1" applyAlignment="1">
      <alignment horizontal="center" vertical="center"/>
    </xf>
    <xf numFmtId="0" fontId="3" fillId="21" borderId="71" xfId="0" applyFont="1" applyFill="1" applyBorder="1" applyAlignment="1">
      <alignment horizontal="center" vertical="center"/>
    </xf>
    <xf numFmtId="0" fontId="3" fillId="21" borderId="69" xfId="0" applyFont="1" applyFill="1" applyBorder="1" applyAlignment="1">
      <alignment horizontal="center" vertical="center"/>
    </xf>
    <xf numFmtId="0" fontId="3" fillId="6" borderId="89" xfId="0" applyFont="1" applyFill="1" applyBorder="1" applyAlignment="1">
      <alignment horizontal="center" vertical="center" wrapText="1"/>
    </xf>
    <xf numFmtId="0" fontId="3" fillId="6" borderId="73" xfId="0" applyFont="1" applyFill="1" applyBorder="1" applyAlignment="1">
      <alignment horizontal="center" vertical="center" wrapText="1"/>
    </xf>
    <xf numFmtId="0" fontId="3" fillId="6" borderId="62" xfId="0" applyFont="1" applyFill="1" applyBorder="1" applyAlignment="1">
      <alignment horizontal="center" vertical="center" wrapText="1"/>
    </xf>
    <xf numFmtId="0" fontId="3" fillId="6" borderId="6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1" fillId="31" borderId="1" xfId="11" applyFont="1" applyFill="1" applyBorder="1" applyAlignment="1">
      <alignment horizontal="center" vertical="center" wrapText="1"/>
    </xf>
    <xf numFmtId="0" fontId="11" fillId="31" borderId="3" xfId="11" applyFont="1" applyFill="1" applyBorder="1" applyAlignment="1">
      <alignment horizontal="center" vertical="center" wrapText="1"/>
    </xf>
    <xf numFmtId="0" fontId="11" fillId="31" borderId="54" xfId="11" applyFont="1" applyFill="1" applyBorder="1" applyAlignment="1">
      <alignment horizontal="center" vertical="center" wrapText="1"/>
    </xf>
    <xf numFmtId="0" fontId="11" fillId="31" borderId="4" xfId="11" applyFont="1" applyFill="1" applyBorder="1" applyAlignment="1">
      <alignment horizontal="center" vertical="center" wrapText="1"/>
    </xf>
    <xf numFmtId="0" fontId="20" fillId="11" borderId="26" xfId="0" applyFont="1" applyFill="1" applyBorder="1" applyAlignment="1">
      <alignment horizontal="center"/>
    </xf>
    <xf numFmtId="0" fontId="20" fillId="11" borderId="27" xfId="0" applyFont="1" applyFill="1" applyBorder="1" applyAlignment="1">
      <alignment horizontal="center"/>
    </xf>
    <xf numFmtId="0" fontId="20" fillId="11" borderId="28" xfId="0" applyFont="1" applyFill="1" applyBorder="1" applyAlignment="1">
      <alignment horizontal="center"/>
    </xf>
    <xf numFmtId="0" fontId="27" fillId="5" borderId="47" xfId="0" applyFont="1" applyFill="1" applyBorder="1" applyAlignment="1">
      <alignment horizontal="left" wrapText="1"/>
    </xf>
    <xf numFmtId="0" fontId="27" fillId="5" borderId="0" xfId="0" applyFont="1" applyFill="1" applyAlignment="1">
      <alignment horizontal="left" wrapText="1"/>
    </xf>
    <xf numFmtId="0" fontId="27" fillId="5" borderId="23" xfId="0" applyFont="1" applyFill="1" applyBorder="1" applyAlignment="1">
      <alignment horizontal="left" vertical="top" wrapText="1"/>
    </xf>
    <xf numFmtId="0" fontId="27" fillId="5" borderId="46" xfId="0" applyFont="1" applyFill="1" applyBorder="1" applyAlignment="1">
      <alignment horizontal="left" vertical="top" wrapText="1"/>
    </xf>
    <xf numFmtId="0" fontId="20" fillId="11" borderId="38" xfId="0" applyFont="1" applyFill="1" applyBorder="1" applyAlignment="1">
      <alignment horizontal="center"/>
    </xf>
    <xf numFmtId="0" fontId="27" fillId="5" borderId="23" xfId="0" applyFont="1" applyFill="1" applyBorder="1" applyAlignment="1">
      <alignment horizontal="left" wrapText="1"/>
    </xf>
    <xf numFmtId="0" fontId="27" fillId="5" borderId="46" xfId="0" applyFont="1" applyFill="1" applyBorder="1" applyAlignment="1">
      <alignment horizontal="left" wrapText="1"/>
    </xf>
    <xf numFmtId="0" fontId="27" fillId="5" borderId="29" xfId="0" applyFont="1" applyFill="1" applyBorder="1" applyAlignment="1">
      <alignment horizontal="left" wrapText="1"/>
    </xf>
    <xf numFmtId="0" fontId="27" fillId="5" borderId="49" xfId="0" applyFont="1" applyFill="1" applyBorder="1" applyAlignment="1">
      <alignment horizontal="left" wrapText="1"/>
    </xf>
    <xf numFmtId="0" fontId="27" fillId="5" borderId="43" xfId="0" applyFont="1" applyFill="1" applyBorder="1" applyAlignment="1">
      <alignment horizontal="left" wrapText="1"/>
    </xf>
    <xf numFmtId="0" fontId="27" fillId="5" borderId="44" xfId="0" applyFont="1" applyFill="1" applyBorder="1" applyAlignment="1">
      <alignment horizontal="left" wrapText="1"/>
    </xf>
    <xf numFmtId="0" fontId="20" fillId="5" borderId="23" xfId="0" applyFont="1" applyFill="1" applyBorder="1" applyAlignment="1">
      <alignment horizontal="left"/>
    </xf>
    <xf numFmtId="0" fontId="20" fillId="5" borderId="25" xfId="0" applyFont="1" applyFill="1" applyBorder="1" applyAlignment="1">
      <alignment horizontal="left"/>
    </xf>
    <xf numFmtId="0" fontId="20" fillId="11" borderId="35" xfId="0" applyFont="1" applyFill="1" applyBorder="1" applyAlignment="1">
      <alignment horizontal="center" wrapText="1"/>
    </xf>
    <xf numFmtId="0" fontId="20" fillId="11" borderId="37" xfId="0" applyFont="1" applyFill="1" applyBorder="1" applyAlignment="1">
      <alignment horizontal="center" wrapText="1"/>
    </xf>
    <xf numFmtId="0" fontId="0" fillId="6" borderId="42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20" fillId="11" borderId="39" xfId="0" applyFont="1" applyFill="1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29" fillId="0" borderId="66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12" fillId="20" borderId="0" xfId="10" applyFont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4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/>
    </xf>
    <xf numFmtId="0" fontId="29" fillId="6" borderId="4" xfId="0" applyFont="1" applyFill="1" applyBorder="1" applyAlignment="1">
      <alignment horizontal="center"/>
    </xf>
    <xf numFmtId="0" fontId="48" fillId="28" borderId="21" xfId="9" applyFont="1" applyFill="1" applyBorder="1" applyAlignment="1">
      <alignment horizontal="center" vertical="center"/>
    </xf>
    <xf numFmtId="0" fontId="48" fillId="28" borderId="19" xfId="9" applyFont="1" applyFill="1" applyBorder="1" applyAlignment="1">
      <alignment horizontal="center" vertical="center"/>
    </xf>
    <xf numFmtId="0" fontId="48" fillId="28" borderId="3" xfId="9" applyFont="1" applyFill="1" applyBorder="1" applyAlignment="1">
      <alignment horizontal="center" vertical="center"/>
    </xf>
    <xf numFmtId="0" fontId="48" fillId="28" borderId="54" xfId="9" applyFont="1" applyFill="1" applyBorder="1" applyAlignment="1">
      <alignment horizontal="center" vertical="center"/>
    </xf>
    <xf numFmtId="0" fontId="48" fillId="28" borderId="4" xfId="9" applyFont="1" applyFill="1" applyBorder="1" applyAlignment="1">
      <alignment horizontal="center" vertical="center"/>
    </xf>
    <xf numFmtId="0" fontId="16" fillId="29" borderId="68" xfId="0" applyFont="1" applyFill="1" applyBorder="1" applyAlignment="1">
      <alignment horizontal="center"/>
    </xf>
    <xf numFmtId="0" fontId="16" fillId="29" borderId="71" xfId="0" applyFont="1" applyFill="1" applyBorder="1" applyAlignment="1">
      <alignment horizontal="center"/>
    </xf>
    <xf numFmtId="0" fontId="16" fillId="29" borderId="69" xfId="0" applyFont="1" applyFill="1" applyBorder="1" applyAlignment="1">
      <alignment horizontal="center"/>
    </xf>
    <xf numFmtId="0" fontId="16" fillId="29" borderId="74" xfId="0" applyFont="1" applyFill="1" applyBorder="1" applyAlignment="1">
      <alignment horizontal="center" wrapText="1"/>
    </xf>
    <xf numFmtId="0" fontId="16" fillId="29" borderId="75" xfId="0" applyFont="1" applyFill="1" applyBorder="1" applyAlignment="1">
      <alignment horizontal="center" wrapText="1"/>
    </xf>
    <xf numFmtId="0" fontId="16" fillId="29" borderId="78" xfId="0" applyFont="1" applyFill="1" applyBorder="1" applyAlignment="1">
      <alignment horizontal="center"/>
    </xf>
    <xf numFmtId="0" fontId="16" fillId="29" borderId="0" xfId="0" applyFont="1" applyFill="1" applyAlignment="1">
      <alignment horizontal="center"/>
    </xf>
    <xf numFmtId="0" fontId="16" fillId="29" borderId="77" xfId="0" applyFont="1" applyFill="1" applyBorder="1" applyAlignment="1">
      <alignment horizontal="center"/>
    </xf>
    <xf numFmtId="0" fontId="16" fillId="29" borderId="65" xfId="0" applyFont="1" applyFill="1" applyBorder="1" applyAlignment="1">
      <alignment horizontal="center" vertical="center" textRotation="90"/>
    </xf>
    <xf numFmtId="0" fontId="16" fillId="29" borderId="83" xfId="0" applyFont="1" applyFill="1" applyBorder="1" applyAlignment="1">
      <alignment horizontal="center" vertical="center" textRotation="90"/>
    </xf>
    <xf numFmtId="0" fontId="16" fillId="29" borderId="88" xfId="0" applyFont="1" applyFill="1" applyBorder="1" applyAlignment="1">
      <alignment horizontal="center" vertical="center" textRotation="90"/>
    </xf>
    <xf numFmtId="0" fontId="29" fillId="0" borderId="68" xfId="0" applyFont="1" applyBorder="1" applyAlignment="1">
      <alignment horizontal="center"/>
    </xf>
    <xf numFmtId="0" fontId="29" fillId="0" borderId="71" xfId="0" applyFont="1" applyBorder="1" applyAlignment="1">
      <alignment horizontal="center"/>
    </xf>
    <xf numFmtId="0" fontId="29" fillId="0" borderId="69" xfId="0" applyFont="1" applyBorder="1" applyAlignment="1">
      <alignment horizontal="center"/>
    </xf>
    <xf numFmtId="0" fontId="16" fillId="29" borderId="75" xfId="0" applyFont="1" applyFill="1" applyBorder="1" applyAlignment="1">
      <alignment horizontal="center"/>
    </xf>
    <xf numFmtId="0" fontId="16" fillId="29" borderId="70" xfId="0" applyFont="1" applyFill="1" applyBorder="1" applyAlignment="1">
      <alignment horizontal="center"/>
    </xf>
    <xf numFmtId="0" fontId="16" fillId="29" borderId="72" xfId="0" applyFont="1" applyFill="1" applyBorder="1" applyAlignment="1">
      <alignment horizontal="center"/>
    </xf>
    <xf numFmtId="0" fontId="16" fillId="29" borderId="74" xfId="0" applyFont="1" applyFill="1" applyBorder="1" applyAlignment="1">
      <alignment horizontal="center"/>
    </xf>
    <xf numFmtId="0" fontId="16" fillId="29" borderId="76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19" fillId="0" borderId="19" xfId="0" applyFont="1" applyBorder="1"/>
    <xf numFmtId="15" fontId="19" fillId="0" borderId="5" xfId="0" applyNumberFormat="1" applyFont="1" applyBorder="1"/>
    <xf numFmtId="0" fontId="69" fillId="0" borderId="5" xfId="0" applyFont="1" applyBorder="1"/>
    <xf numFmtId="0" fontId="17" fillId="0" borderId="5" xfId="0" applyFont="1" applyBorder="1"/>
    <xf numFmtId="188" fontId="59" fillId="0" borderId="0" xfId="0" applyNumberFormat="1" applyFont="1"/>
    <xf numFmtId="0" fontId="19" fillId="0" borderId="4" xfId="0" applyFont="1" applyBorder="1"/>
    <xf numFmtId="0" fontId="19" fillId="0" borderId="5" xfId="0" applyFont="1" applyBorder="1" applyAlignment="1">
      <alignment wrapText="1"/>
    </xf>
    <xf numFmtId="0" fontId="19" fillId="36" borderId="5" xfId="0" applyFont="1" applyFill="1" applyBorder="1"/>
    <xf numFmtId="0" fontId="19" fillId="0" borderId="0" xfId="0" applyFont="1"/>
    <xf numFmtId="0" fontId="19" fillId="0" borderId="92" xfId="0" applyFont="1" applyBorder="1"/>
    <xf numFmtId="15" fontId="19" fillId="0" borderId="92" xfId="0" applyNumberFormat="1" applyFont="1" applyBorder="1"/>
    <xf numFmtId="0" fontId="59" fillId="0" borderId="93" xfId="0" applyFont="1" applyBorder="1"/>
    <xf numFmtId="0" fontId="19" fillId="0" borderId="93" xfId="0" applyFont="1" applyBorder="1"/>
    <xf numFmtId="15" fontId="19" fillId="0" borderId="93" xfId="0" applyNumberFormat="1" applyFont="1" applyBorder="1"/>
    <xf numFmtId="0" fontId="19" fillId="0" borderId="94" xfId="0" applyFont="1" applyBorder="1"/>
    <xf numFmtId="0" fontId="19" fillId="0" borderId="22" xfId="0" applyFont="1" applyBorder="1"/>
    <xf numFmtId="0" fontId="59" fillId="0" borderId="22" xfId="0" applyFont="1" applyBorder="1"/>
    <xf numFmtId="15" fontId="19" fillId="0" borderId="22" xfId="0" applyNumberFormat="1" applyFont="1" applyBorder="1"/>
    <xf numFmtId="0" fontId="19" fillId="0" borderId="2" xfId="0" applyFont="1" applyBorder="1"/>
    <xf numFmtId="0" fontId="59" fillId="0" borderId="95" xfId="0" applyFont="1" applyBorder="1"/>
    <xf numFmtId="15" fontId="19" fillId="0" borderId="95" xfId="0" applyNumberFormat="1" applyFont="1" applyBorder="1"/>
    <xf numFmtId="0" fontId="19" fillId="0" borderId="95" xfId="0" applyFont="1" applyBorder="1"/>
    <xf numFmtId="15" fontId="59" fillId="0" borderId="93" xfId="0" applyNumberFormat="1" applyFont="1" applyBorder="1"/>
    <xf numFmtId="0" fontId="17" fillId="0" borderId="22" xfId="0" applyFont="1" applyBorder="1"/>
    <xf numFmtId="14" fontId="59" fillId="0" borderId="22" xfId="0" applyNumberFormat="1" applyFont="1" applyBorder="1"/>
    <xf numFmtId="0" fontId="19" fillId="0" borderId="1" xfId="0" applyFont="1" applyBorder="1"/>
    <xf numFmtId="15" fontId="19" fillId="0" borderId="4" xfId="0" applyNumberFormat="1" applyFont="1" applyBorder="1"/>
    <xf numFmtId="0" fontId="19" fillId="0" borderId="21" xfId="0" applyFont="1" applyBorder="1"/>
    <xf numFmtId="0" fontId="19" fillId="0" borderId="96" xfId="0" applyFont="1" applyBorder="1"/>
    <xf numFmtId="14" fontId="19" fillId="0" borderId="96" xfId="0" applyNumberFormat="1" applyFont="1" applyBorder="1"/>
    <xf numFmtId="14" fontId="19" fillId="0" borderId="97" xfId="0" applyNumberFormat="1" applyFont="1" applyBorder="1"/>
    <xf numFmtId="14" fontId="19" fillId="0" borderId="92" xfId="0" applyNumberFormat="1" applyFont="1" applyBorder="1"/>
    <xf numFmtId="15" fontId="59" fillId="0" borderId="22" xfId="0" applyNumberFormat="1" applyFont="1" applyBorder="1"/>
    <xf numFmtId="165" fontId="59" fillId="0" borderId="22" xfId="0" applyNumberFormat="1" applyFont="1" applyBorder="1"/>
    <xf numFmtId="186" fontId="59" fillId="0" borderId="22" xfId="0" applyNumberFormat="1" applyFont="1" applyBorder="1"/>
    <xf numFmtId="165" fontId="19" fillId="0" borderId="22" xfId="0" applyNumberFormat="1" applyFont="1" applyBorder="1"/>
    <xf numFmtId="165" fontId="59" fillId="0" borderId="93" xfId="0" applyNumberFormat="1" applyFont="1" applyBorder="1"/>
    <xf numFmtId="186" fontId="59" fillId="0" borderId="93" xfId="0" applyNumberFormat="1" applyFont="1" applyBorder="1"/>
    <xf numFmtId="0" fontId="59" fillId="0" borderId="98" xfId="0" applyFont="1" applyBorder="1"/>
    <xf numFmtId="165" fontId="59" fillId="0" borderId="98" xfId="0" applyNumberFormat="1" applyFont="1" applyBorder="1"/>
    <xf numFmtId="186" fontId="59" fillId="0" borderId="98" xfId="0" applyNumberFormat="1" applyFont="1" applyBorder="1"/>
    <xf numFmtId="15" fontId="59" fillId="0" borderId="98" xfId="0" applyNumberFormat="1" applyFont="1" applyBorder="1"/>
    <xf numFmtId="165" fontId="19" fillId="0" borderId="93" xfId="0" applyNumberFormat="1" applyFont="1" applyBorder="1"/>
    <xf numFmtId="165" fontId="59" fillId="0" borderId="95" xfId="0" applyNumberFormat="1" applyFont="1" applyBorder="1"/>
    <xf numFmtId="186" fontId="59" fillId="0" borderId="95" xfId="0" applyNumberFormat="1" applyFont="1" applyBorder="1"/>
    <xf numFmtId="165" fontId="17" fillId="0" borderId="22" xfId="0" applyNumberFormat="1" applyFont="1" applyBorder="1"/>
    <xf numFmtId="165" fontId="17" fillId="0" borderId="93" xfId="0" applyNumberFormat="1" applyFont="1" applyBorder="1"/>
    <xf numFmtId="0" fontId="59" fillId="0" borderId="99" xfId="0" applyFont="1" applyBorder="1"/>
    <xf numFmtId="15" fontId="59" fillId="0" borderId="100" xfId="0" applyNumberFormat="1" applyFont="1" applyBorder="1"/>
    <xf numFmtId="15" fontId="59" fillId="0" borderId="95" xfId="0" applyNumberFormat="1" applyFont="1" applyBorder="1"/>
    <xf numFmtId="0" fontId="0" fillId="0" borderId="22" xfId="0" applyBorder="1"/>
    <xf numFmtId="15" fontId="0" fillId="0" borderId="22" xfId="0" applyNumberFormat="1" applyBorder="1"/>
    <xf numFmtId="0" fontId="0" fillId="0" borderId="93" xfId="0" applyBorder="1"/>
    <xf numFmtId="15" fontId="0" fillId="0" borderId="97" xfId="0" applyNumberFormat="1" applyBorder="1"/>
    <xf numFmtId="15" fontId="0" fillId="0" borderId="93" xfId="0" applyNumberFormat="1" applyBorder="1"/>
  </cellXfs>
  <cellStyles count="15">
    <cellStyle name="60% - Accent6 2" xfId="10" xr:uid="{00000000-0005-0000-0000-000000000000}"/>
    <cellStyle name="Accent6" xfId="9" builtinId="49"/>
    <cellStyle name="Bad" xfId="14" builtinId="27"/>
    <cellStyle name="Comma" xfId="7" builtinId="3"/>
    <cellStyle name="Comma [0] 2" xfId="3" xr:uid="{00000000-0005-0000-0000-000004000000}"/>
    <cellStyle name="Comma 2" xfId="4" xr:uid="{00000000-0005-0000-0000-000005000000}"/>
    <cellStyle name="Comma 23" xfId="13" xr:uid="{00000000-0005-0000-0000-000006000000}"/>
    <cellStyle name="Currency 2" xfId="6" xr:uid="{00000000-0005-0000-0000-000007000000}"/>
    <cellStyle name="Hyperlink" xfId="2" builtinId="8"/>
    <cellStyle name="Neutral" xfId="8" builtinId="28"/>
    <cellStyle name="Normal" xfId="0" builtinId="0"/>
    <cellStyle name="Normal 3 2" xfId="5" xr:uid="{00000000-0005-0000-0000-00000B000000}"/>
    <cellStyle name="Normal_Cost estimation format" xfId="11" xr:uid="{00000000-0005-0000-0000-00000C000000}"/>
    <cellStyle name="Percent" xfId="1" builtinId="5"/>
    <cellStyle name="Percent 5" xfId="12" xr:uid="{00000000-0005-0000-0000-00000E000000}"/>
  </cellStyles>
  <dxfs count="99">
    <dxf>
      <font>
        <b/>
        <i val="0"/>
        <color auto="1"/>
      </font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FCC"/>
        </patternFill>
      </fill>
    </dxf>
    <dxf>
      <fill>
        <patternFill>
          <bgColor rgb="FFFF66FF"/>
        </patternFill>
      </fill>
    </dxf>
    <dxf>
      <fill>
        <patternFill>
          <bgColor rgb="FF0066FF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FCC"/>
        </patternFill>
      </fill>
    </dxf>
    <dxf>
      <fill>
        <patternFill>
          <bgColor rgb="FFFF66FF"/>
        </patternFill>
      </fill>
    </dxf>
    <dxf>
      <fill>
        <patternFill>
          <bgColor rgb="FF0066FF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theme="4" tint="0.39994506668294322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00FFFF"/>
      <color rgb="FFFFCDCD"/>
      <color rgb="FFD6EDBD"/>
      <color rgb="FF99FF99"/>
      <color rgb="FFFF5050"/>
      <color rgb="FF0066FF"/>
      <color rgb="FFFF66FF"/>
      <color rgb="FF00FFCC"/>
      <color rgb="FFE8CA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6.xml"/><Relationship Id="rId47" Type="http://schemas.openxmlformats.org/officeDocument/2006/relationships/externalLink" Target="externalLinks/externalLink11.xml"/><Relationship Id="rId50" Type="http://schemas.openxmlformats.org/officeDocument/2006/relationships/externalLink" Target="externalLinks/externalLink14.xml"/><Relationship Id="rId55" Type="http://schemas.openxmlformats.org/officeDocument/2006/relationships/externalLink" Target="externalLinks/externalLink19.xml"/><Relationship Id="rId63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externalLink" Target="externalLinks/externalLink4.xml"/><Relationship Id="rId45" Type="http://schemas.openxmlformats.org/officeDocument/2006/relationships/externalLink" Target="externalLinks/externalLink9.xml"/><Relationship Id="rId53" Type="http://schemas.openxmlformats.org/officeDocument/2006/relationships/externalLink" Target="externalLinks/externalLink17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7.xml"/><Relationship Id="rId48" Type="http://schemas.openxmlformats.org/officeDocument/2006/relationships/externalLink" Target="externalLinks/externalLink12.xml"/><Relationship Id="rId56" Type="http://schemas.openxmlformats.org/officeDocument/2006/relationships/externalLink" Target="externalLinks/externalLink20.xml"/><Relationship Id="rId64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externalLink" Target="externalLinks/externalLink10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5.xml"/><Relationship Id="rId54" Type="http://schemas.openxmlformats.org/officeDocument/2006/relationships/externalLink" Target="externalLinks/externalLink18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3.xml"/><Relationship Id="rId57" Type="http://schemas.openxmlformats.org/officeDocument/2006/relationships/externalLink" Target="externalLinks/externalLink2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8.xml"/><Relationship Id="rId52" Type="http://schemas.openxmlformats.org/officeDocument/2006/relationships/externalLink" Target="externalLinks/externalLink16.xml"/><Relationship Id="rId60" Type="http://schemas.openxmlformats.org/officeDocument/2006/relationships/sharedStrings" Target="sharedString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060499696291177E-2"/>
          <c:y val="5.3486150907354348E-2"/>
          <c:w val="0.93941459281723005"/>
          <c:h val="0.78195459091968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C4-4E0B-B84E-0DBC406CDC52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C4-4E0B-B84E-0DBC406CDC52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C4-4E0B-B84E-0DBC406CDC5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5C4-4E0B-B84E-0DBC406CDC52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5C4-4E0B-B84E-0DBC406CDC52}"/>
              </c:ext>
            </c:extLst>
          </c:dPt>
          <c:dPt>
            <c:idx val="5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5C4-4E0B-B84E-0DBC406CDC52}"/>
              </c:ext>
            </c:extLst>
          </c:dPt>
          <c:dPt>
            <c:idx val="6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5C4-4E0B-B84E-0DBC406CDC52}"/>
              </c:ext>
            </c:extLst>
          </c:dPt>
          <c:dPt>
            <c:idx val="7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5C4-4E0B-B84E-0DBC406CDC52}"/>
              </c:ext>
            </c:extLst>
          </c:dPt>
          <c:dPt>
            <c:idx val="8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5C4-4E0B-B84E-0DBC406CDC52}"/>
              </c:ext>
            </c:extLst>
          </c:dPt>
          <c:dPt>
            <c:idx val="9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5C4-4E0B-B84E-0DBC406CDC5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5C4-4E0B-B84E-0DBC406CDC52}"/>
              </c:ext>
            </c:extLst>
          </c:dPt>
          <c:dLbls>
            <c:dLbl>
              <c:idx val="0"/>
              <c:layout>
                <c:manualLayout>
                  <c:x val="-7.1364852809991082E-3"/>
                  <c:y val="-0.1594202898550724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C4-4E0B-B84E-0DBC406CDC5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C4-4E0B-B84E-0DBC406CDC5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C4-4E0B-B84E-0DBC406CDC52}"/>
                </c:ext>
              </c:extLst>
            </c:dLbl>
            <c:dLbl>
              <c:idx val="3"/>
              <c:layout>
                <c:manualLayout>
                  <c:x val="4.1048131088830201E-17"/>
                  <c:y val="-0.2991663138881833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C4-4E0B-B84E-0DBC406CDC5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C4-4E0B-B84E-0DBC406CDC5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C4-4E0B-B84E-0DBC406CDC52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5C4-4E0B-B84E-0DBC406CDC52}"/>
                </c:ext>
              </c:extLst>
            </c:dLbl>
            <c:dLbl>
              <c:idx val="7"/>
              <c:layout>
                <c:manualLayout>
                  <c:x val="3.0789098465965493E-3"/>
                  <c:y val="-0.3843188553043772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5C4-4E0B-B84E-0DBC406CDC5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5C4-4E0B-B84E-0DBC406CDC5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5C4-4E0B-B84E-0DBC406CDC52}"/>
                </c:ext>
              </c:extLst>
            </c:dLbl>
            <c:dLbl>
              <c:idx val="10"/>
              <c:layout>
                <c:manualLayout>
                  <c:x val="-4.6877389696565004E-3"/>
                  <c:y val="-0.3777323399091242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5C4-4E0B-B84E-0DBC406CD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Summary!$C$13:$M$13</c:f>
              <c:strCache>
                <c:ptCount val="11"/>
                <c:pt idx="0">
                  <c:v>Direct RM Cost</c:v>
                </c:pt>
                <c:pt idx="1">
                  <c:v>Allowance cost</c:v>
                </c:pt>
                <c:pt idx="2">
                  <c:v>BOP cost</c:v>
                </c:pt>
                <c:pt idx="3">
                  <c:v>Total RM cost</c:v>
                </c:pt>
                <c:pt idx="4">
                  <c:v>Process Cost</c:v>
                </c:pt>
                <c:pt idx="5">
                  <c:v>OH</c:v>
                </c:pt>
                <c:pt idx="6">
                  <c:v>Profit</c:v>
                </c:pt>
                <c:pt idx="7">
                  <c:v>Total Basic Cost</c:v>
                </c:pt>
                <c:pt idx="8">
                  <c:v>Amortization</c:v>
                </c:pt>
                <c:pt idx="9">
                  <c:v>Packing Cost</c:v>
                </c:pt>
                <c:pt idx="10">
                  <c:v>Total Cost</c:v>
                </c:pt>
              </c:strCache>
            </c:strRef>
          </c:cat>
          <c:val>
            <c:numRef>
              <c:f>Summary!$C$14:$M$14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5C4-4E0B-B84E-0DBC406CDC52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55C4-4E0B-B84E-0DBC406CDC52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55C4-4E0B-B84E-0DBC406CDC52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55C4-4E0B-B84E-0DBC406CDC5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55C4-4E0B-B84E-0DBC406CDC5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5C4-4E0B-B84E-0DBC406CDC52}"/>
                </c:ext>
              </c:extLst>
            </c:dLbl>
            <c:dLbl>
              <c:idx val="1"/>
              <c:layout>
                <c:manualLayout>
                  <c:x val="-2.180567534647492E-17"/>
                  <c:y val="-0.471014492753623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5C4-4E0B-B84E-0DBC406CDC52}"/>
                </c:ext>
              </c:extLst>
            </c:dLbl>
            <c:dLbl>
              <c:idx val="2"/>
              <c:layout>
                <c:manualLayout>
                  <c:x val="0"/>
                  <c:y val="-0.2934782608695652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5C4-4E0B-B84E-0DBC406CDC52}"/>
                </c:ext>
              </c:extLst>
            </c:dLbl>
            <c:dLbl>
              <c:idx val="4"/>
              <c:layout>
                <c:manualLayout>
                  <c:x val="-1.3764652214442968E-3"/>
                  <c:y val="-0.1265772020432929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5C4-4E0B-B84E-0DBC406CDC52}"/>
                </c:ext>
              </c:extLst>
            </c:dLbl>
            <c:dLbl>
              <c:idx val="5"/>
              <c:layout>
                <c:manualLayout>
                  <c:x val="-3.5682426404995541E-3"/>
                  <c:y val="-9.42028985507246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5C4-4E0B-B84E-0DBC406CDC52}"/>
                </c:ext>
              </c:extLst>
            </c:dLbl>
            <c:dLbl>
              <c:idx val="6"/>
              <c:layout>
                <c:manualLayout>
                  <c:x val="-2.3788284269997901E-3"/>
                  <c:y val="-7.246376811594203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5C4-4E0B-B84E-0DBC406CDC52}"/>
                </c:ext>
              </c:extLst>
            </c:dLbl>
            <c:dLbl>
              <c:idx val="8"/>
              <c:layout>
                <c:manualLayout>
                  <c:x val="-1.1969914340052581E-3"/>
                  <c:y val="-5.90751559280896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5C4-4E0B-B84E-0DBC406CDC52}"/>
                </c:ext>
              </c:extLst>
            </c:dLbl>
            <c:dLbl>
              <c:idx val="9"/>
              <c:layout>
                <c:manualLayout>
                  <c:x val="0"/>
                  <c:y val="-5.36471528015519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5C4-4E0B-B84E-0DBC406CD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Summary!$C$13:$M$13</c:f>
              <c:strCache>
                <c:ptCount val="11"/>
                <c:pt idx="0">
                  <c:v>Direct RM Cost</c:v>
                </c:pt>
                <c:pt idx="1">
                  <c:v>Allowance cost</c:v>
                </c:pt>
                <c:pt idx="2">
                  <c:v>BOP cost</c:v>
                </c:pt>
                <c:pt idx="3">
                  <c:v>Total RM cost</c:v>
                </c:pt>
                <c:pt idx="4">
                  <c:v>Process Cost</c:v>
                </c:pt>
                <c:pt idx="5">
                  <c:v>OH</c:v>
                </c:pt>
                <c:pt idx="6">
                  <c:v>Profit</c:v>
                </c:pt>
                <c:pt idx="7">
                  <c:v>Total Basic Cost</c:v>
                </c:pt>
                <c:pt idx="8">
                  <c:v>Amortization</c:v>
                </c:pt>
                <c:pt idx="9">
                  <c:v>Packing Cost</c:v>
                </c:pt>
                <c:pt idx="10">
                  <c:v>Total Cost</c:v>
                </c:pt>
              </c:strCache>
            </c:strRef>
          </c:cat>
          <c:val>
            <c:numRef>
              <c:f>Summary!$C$15:$M$15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5C4-4E0B-B84E-0DBC406CDC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773124687"/>
        <c:axId val="1773114287"/>
      </c:barChart>
      <c:catAx>
        <c:axId val="1773124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114287"/>
        <c:crosses val="autoZero"/>
        <c:auto val="1"/>
        <c:lblAlgn val="ctr"/>
        <c:lblOffset val="100"/>
        <c:noMultiLvlLbl val="0"/>
      </c:catAx>
      <c:valAx>
        <c:axId val="1773114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124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179294</xdr:colOff>
      <xdr:row>12</xdr:row>
      <xdr:rowOff>67235</xdr:rowOff>
    </xdr:from>
    <xdr:to>
      <xdr:col>14</xdr:col>
      <xdr:colOff>96931</xdr:colOff>
      <xdr:row>31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64995</xdr:colOff>
      <xdr:row>11</xdr:row>
      <xdr:rowOff>144491</xdr:rowOff>
    </xdr:from>
    <xdr:to>
      <xdr:col>14</xdr:col>
      <xdr:colOff>188819</xdr:colOff>
      <xdr:row>31</xdr:row>
      <xdr:rowOff>110938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995" y="2464109"/>
          <a:ext cx="11621059" cy="3776447"/>
        </a:xfrm>
        <a:prstGeom prst="frame">
          <a:avLst>
            <a:gd name="adj1" fmla="val 3128"/>
          </a:avLst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114299</xdr:colOff>
      <xdr:row>1</xdr:row>
      <xdr:rowOff>19050</xdr:rowOff>
    </xdr:from>
    <xdr:to>
      <xdr:col>14</xdr:col>
      <xdr:colOff>161924</xdr:colOff>
      <xdr:row>10</xdr:row>
      <xdr:rowOff>180975</xdr:rowOff>
    </xdr:to>
    <xdr:sp macro="" textlink="">
      <xdr:nvSpPr>
        <xdr:cNvPr id="4" name="Fram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299" y="209550"/>
          <a:ext cx="10906125" cy="2095500"/>
        </a:xfrm>
        <a:prstGeom prst="frame">
          <a:avLst>
            <a:gd name="adj1" fmla="val 3128"/>
          </a:avLst>
        </a:prstGeom>
        <a:solidFill>
          <a:schemeClr val="accent6">
            <a:lumMod val="40000"/>
            <a:lumOff val="60000"/>
          </a:schemeClr>
        </a:solidFill>
        <a:ln w="76200"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590549</xdr:colOff>
      <xdr:row>0</xdr:row>
      <xdr:rowOff>123825</xdr:rowOff>
    </xdr:from>
    <xdr:to>
      <xdr:col>9</xdr:col>
      <xdr:colOff>704849</xdr:colOff>
      <xdr:row>1</xdr:row>
      <xdr:rowOff>138328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67199" y="123825"/>
          <a:ext cx="3705225" cy="205003"/>
        </a:xfrm>
        <a:prstGeom prst="roundRect">
          <a:avLst/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/>
            <a:t>Clean Sheet Costing - Breakup details</a:t>
          </a:r>
        </a:p>
      </xdr:txBody>
    </xdr:sp>
    <xdr:clientData/>
  </xdr:twoCellAnchor>
  <xdr:twoCellAnchor>
    <xdr:from>
      <xdr:col>5</xdr:col>
      <xdr:colOff>495300</xdr:colOff>
      <xdr:row>11</xdr:row>
      <xdr:rowOff>95250</xdr:rowOff>
    </xdr:from>
    <xdr:to>
      <xdr:col>9</xdr:col>
      <xdr:colOff>609600</xdr:colOff>
      <xdr:row>12</xdr:row>
      <xdr:rowOff>123825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200525" y="2409825"/>
          <a:ext cx="3505200" cy="219075"/>
        </a:xfrm>
        <a:prstGeom prst="roundRect">
          <a:avLst/>
        </a:prstGeom>
        <a:solidFill>
          <a:schemeClr val="bg1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/>
            <a:t> CSC Breakup-Waterfall chart</a:t>
          </a:r>
        </a:p>
      </xdr:txBody>
    </xdr:sp>
    <xdr:clientData/>
  </xdr:twoCellAnchor>
  <xdr:twoCellAnchor>
    <xdr:from>
      <xdr:col>12</xdr:col>
      <xdr:colOff>825647</xdr:colOff>
      <xdr:row>32</xdr:row>
      <xdr:rowOff>69989</xdr:rowOff>
    </xdr:from>
    <xdr:to>
      <xdr:col>14</xdr:col>
      <xdr:colOff>84067</xdr:colOff>
      <xdr:row>32</xdr:row>
      <xdr:rowOff>641490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433473" y="6381337"/>
          <a:ext cx="1064029" cy="571501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895350</xdr:colOff>
          <xdr:row>32</xdr:row>
          <xdr:rowOff>152400</xdr:rowOff>
        </xdr:from>
        <xdr:to>
          <xdr:col>14</xdr:col>
          <xdr:colOff>38100</xdr:colOff>
          <xdr:row>32</xdr:row>
          <xdr:rowOff>571500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0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Cost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209658</xdr:colOff>
      <xdr:row>32</xdr:row>
      <xdr:rowOff>67015</xdr:rowOff>
    </xdr:from>
    <xdr:to>
      <xdr:col>2</xdr:col>
      <xdr:colOff>121137</xdr:colOff>
      <xdr:row>32</xdr:row>
      <xdr:rowOff>638021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09658" y="6378363"/>
          <a:ext cx="1071044" cy="571006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32</xdr:row>
          <xdr:rowOff>142875</xdr:rowOff>
        </xdr:from>
        <xdr:to>
          <xdr:col>2</xdr:col>
          <xdr:colOff>76200</xdr:colOff>
          <xdr:row>32</xdr:row>
          <xdr:rowOff>581025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0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73397</xdr:colOff>
      <xdr:row>0</xdr:row>
      <xdr:rowOff>95810</xdr:rowOff>
    </xdr:from>
    <xdr:to>
      <xdr:col>3</xdr:col>
      <xdr:colOff>795618</xdr:colOff>
      <xdr:row>0</xdr:row>
      <xdr:rowOff>609600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3397" y="95810"/>
          <a:ext cx="2235015" cy="513790"/>
        </a:xfrm>
        <a:prstGeom prst="rect">
          <a:avLst/>
        </a:prstGeom>
        <a:ln w="38100">
          <a:solidFill>
            <a:srgbClr val="FF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3</xdr:col>
          <xdr:colOff>733425</xdr:colOff>
          <xdr:row>0</xdr:row>
          <xdr:rowOff>552450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01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After Filling BOM Click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584200</xdr:colOff>
      <xdr:row>1</xdr:row>
      <xdr:rowOff>180087</xdr:rowOff>
    </xdr:from>
    <xdr:to>
      <xdr:col>15</xdr:col>
      <xdr:colOff>321205</xdr:colOff>
      <xdr:row>14</xdr:row>
      <xdr:rowOff>95510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6260" y="362967"/>
          <a:ext cx="5467245" cy="2658623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7</xdr:row>
      <xdr:rowOff>62914</xdr:rowOff>
    </xdr:from>
    <xdr:to>
      <xdr:col>23</xdr:col>
      <xdr:colOff>480219</xdr:colOff>
      <xdr:row>32</xdr:row>
      <xdr:rowOff>67508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9525" y="1708834"/>
          <a:ext cx="4699794" cy="45765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57149</xdr:rowOff>
    </xdr:from>
    <xdr:to>
      <xdr:col>5</xdr:col>
      <xdr:colOff>9525</xdr:colOff>
      <xdr:row>15</xdr:row>
      <xdr:rowOff>28574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361949" y="438149"/>
          <a:ext cx="4457701" cy="2447925"/>
        </a:xfrm>
        <a:prstGeom prst="frame">
          <a:avLst>
            <a:gd name="adj1" fmla="val 3128"/>
          </a:avLst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809625</xdr:colOff>
      <xdr:row>2</xdr:row>
      <xdr:rowOff>9525</xdr:rowOff>
    </xdr:from>
    <xdr:to>
      <xdr:col>3</xdr:col>
      <xdr:colOff>466725</xdr:colOff>
      <xdr:row>3</xdr:row>
      <xdr:rowOff>9525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419225" y="390525"/>
          <a:ext cx="1809750" cy="190500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>
              <a:solidFill>
                <a:schemeClr val="tx1"/>
              </a:solidFill>
            </a:rPr>
            <a:t>Sheet Width Calc</a:t>
          </a:r>
        </a:p>
      </xdr:txBody>
    </xdr:sp>
    <xdr:clientData/>
  </xdr:twoCellAnchor>
  <xdr:twoCellAnchor>
    <xdr:from>
      <xdr:col>7</xdr:col>
      <xdr:colOff>419100</xdr:colOff>
      <xdr:row>2</xdr:row>
      <xdr:rowOff>104777</xdr:rowOff>
    </xdr:from>
    <xdr:to>
      <xdr:col>14</xdr:col>
      <xdr:colOff>161926</xdr:colOff>
      <xdr:row>16</xdr:row>
      <xdr:rowOff>76200</xdr:rowOff>
    </xdr:to>
    <xdr:sp macro="" textlink="">
      <xdr:nvSpPr>
        <xdr:cNvPr id="4" name="Frame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6762750" y="485777"/>
          <a:ext cx="5438776" cy="2638423"/>
        </a:xfrm>
        <a:prstGeom prst="frame">
          <a:avLst>
            <a:gd name="adj1" fmla="val 1632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1752598</xdr:colOff>
      <xdr:row>1</xdr:row>
      <xdr:rowOff>180974</xdr:rowOff>
    </xdr:from>
    <xdr:to>
      <xdr:col>12</xdr:col>
      <xdr:colOff>209549</xdr:colOff>
      <xdr:row>3</xdr:row>
      <xdr:rowOff>9525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9315448" y="371474"/>
          <a:ext cx="1476376" cy="209551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/>
            <a:t>Cutting Force Calc</a:t>
          </a:r>
        </a:p>
      </xdr:txBody>
    </xdr:sp>
    <xdr:clientData/>
  </xdr:twoCellAnchor>
  <xdr:twoCellAnchor>
    <xdr:from>
      <xdr:col>0</xdr:col>
      <xdr:colOff>438150</xdr:colOff>
      <xdr:row>31</xdr:row>
      <xdr:rowOff>47625</xdr:rowOff>
    </xdr:from>
    <xdr:to>
      <xdr:col>4</xdr:col>
      <xdr:colOff>759143</xdr:colOff>
      <xdr:row>40</xdr:row>
      <xdr:rowOff>57150</xdr:rowOff>
    </xdr:to>
    <xdr:pic>
      <xdr:nvPicPr>
        <xdr:cNvPr id="6" name="Picture 5" descr="DSCN0472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6162675"/>
          <a:ext cx="3969068" cy="172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209549</xdr:colOff>
      <xdr:row>21</xdr:row>
      <xdr:rowOff>114300</xdr:rowOff>
    </xdr:from>
    <xdr:to>
      <xdr:col>9</xdr:col>
      <xdr:colOff>19050</xdr:colOff>
      <xdr:row>43</xdr:row>
      <xdr:rowOff>180975</xdr:rowOff>
    </xdr:to>
    <xdr:sp macro="" textlink="">
      <xdr:nvSpPr>
        <xdr:cNvPr id="7" name="Frame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209549" y="4114800"/>
          <a:ext cx="7372351" cy="4467225"/>
        </a:xfrm>
        <a:prstGeom prst="frame">
          <a:avLst>
            <a:gd name="adj1" fmla="val 1632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142874</xdr:colOff>
      <xdr:row>22</xdr:row>
      <xdr:rowOff>9524</xdr:rowOff>
    </xdr:from>
    <xdr:to>
      <xdr:col>14</xdr:col>
      <xdr:colOff>352425</xdr:colOff>
      <xdr:row>42</xdr:row>
      <xdr:rowOff>47625</xdr:rowOff>
    </xdr:to>
    <xdr:sp macro="" textlink="">
      <xdr:nvSpPr>
        <xdr:cNvPr id="8" name="Frame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/>
      </xdr:nvSpPr>
      <xdr:spPr>
        <a:xfrm>
          <a:off x="6953249" y="4200524"/>
          <a:ext cx="2828926" cy="4038601"/>
        </a:xfrm>
        <a:prstGeom prst="frame">
          <a:avLst>
            <a:gd name="adj1" fmla="val 3128"/>
          </a:avLst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304799</xdr:colOff>
      <xdr:row>21</xdr:row>
      <xdr:rowOff>47625</xdr:rowOff>
    </xdr:from>
    <xdr:to>
      <xdr:col>4</xdr:col>
      <xdr:colOff>1104899</xdr:colOff>
      <xdr:row>22</xdr:row>
      <xdr:rowOff>85725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SpPr/>
      </xdr:nvSpPr>
      <xdr:spPr>
        <a:xfrm>
          <a:off x="3067049" y="4048125"/>
          <a:ext cx="1685925" cy="22860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/>
            <a:t>Bending Force Calc</a:t>
          </a:r>
        </a:p>
      </xdr:txBody>
    </xdr:sp>
    <xdr:clientData/>
  </xdr:twoCellAnchor>
  <xdr:twoCellAnchor>
    <xdr:from>
      <xdr:col>11</xdr:col>
      <xdr:colOff>323849</xdr:colOff>
      <xdr:row>21</xdr:row>
      <xdr:rowOff>133349</xdr:rowOff>
    </xdr:from>
    <xdr:to>
      <xdr:col>13</xdr:col>
      <xdr:colOff>619124</xdr:colOff>
      <xdr:row>22</xdr:row>
      <xdr:rowOff>180974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SpPr/>
      </xdr:nvSpPr>
      <xdr:spPr>
        <a:xfrm>
          <a:off x="10296524" y="4133849"/>
          <a:ext cx="1514475" cy="238125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>
              <a:solidFill>
                <a:schemeClr val="tx1"/>
              </a:solidFill>
            </a:rPr>
            <a:t>Welding Calc</a:t>
          </a:r>
        </a:p>
      </xdr:txBody>
    </xdr:sp>
    <xdr:clientData/>
  </xdr:twoCellAnchor>
  <xdr:twoCellAnchor>
    <xdr:from>
      <xdr:col>9</xdr:col>
      <xdr:colOff>1733550</xdr:colOff>
      <xdr:row>24</xdr:row>
      <xdr:rowOff>0</xdr:rowOff>
    </xdr:from>
    <xdr:to>
      <xdr:col>12</xdr:col>
      <xdr:colOff>228600</xdr:colOff>
      <xdr:row>25</xdr:row>
      <xdr:rowOff>47625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SpPr/>
      </xdr:nvSpPr>
      <xdr:spPr>
        <a:xfrm>
          <a:off x="9296400" y="4572000"/>
          <a:ext cx="1514475" cy="238125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200" b="1" i="1">
              <a:solidFill>
                <a:schemeClr val="tx1"/>
              </a:solidFill>
            </a:rPr>
            <a:t>Method 1</a:t>
          </a: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12</xdr:col>
      <xdr:colOff>295275</xdr:colOff>
      <xdr:row>36</xdr:row>
      <xdr:rowOff>47625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SpPr/>
      </xdr:nvSpPr>
      <xdr:spPr>
        <a:xfrm>
          <a:off x="9363075" y="6877050"/>
          <a:ext cx="1514475" cy="238125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200" b="1" i="1">
              <a:solidFill>
                <a:schemeClr val="tx1"/>
              </a:solidFill>
            </a:rPr>
            <a:t>Method 2</a:t>
          </a:r>
        </a:p>
      </xdr:txBody>
    </xdr:sp>
    <xdr:clientData/>
  </xdr:twoCellAnchor>
  <xdr:twoCellAnchor>
    <xdr:from>
      <xdr:col>14</xdr:col>
      <xdr:colOff>504825</xdr:colOff>
      <xdr:row>3</xdr:row>
      <xdr:rowOff>117475</xdr:rowOff>
    </xdr:from>
    <xdr:to>
      <xdr:col>18</xdr:col>
      <xdr:colOff>120650</xdr:colOff>
      <xdr:row>16</xdr:row>
      <xdr:rowOff>123825</xdr:rowOff>
    </xdr:to>
    <xdr:sp macro="" textlink="">
      <xdr:nvSpPr>
        <xdr:cNvPr id="13" name="Frame 12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SpPr/>
      </xdr:nvSpPr>
      <xdr:spPr>
        <a:xfrm>
          <a:off x="12544425" y="688975"/>
          <a:ext cx="3311525" cy="2482850"/>
        </a:xfrm>
        <a:prstGeom prst="frame">
          <a:avLst>
            <a:gd name="adj1" fmla="val 1632"/>
          </a:avLst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549275</xdr:colOff>
      <xdr:row>2</xdr:row>
      <xdr:rowOff>28575</xdr:rowOff>
    </xdr:from>
    <xdr:to>
      <xdr:col>16</xdr:col>
      <xdr:colOff>549276</xdr:colOff>
      <xdr:row>3</xdr:row>
      <xdr:rowOff>41276</xdr:rowOff>
    </xdr:to>
    <xdr:sp macro="" textlink="">
      <xdr:nvSpPr>
        <xdr:cNvPr id="14" name="Rounded Rectangle 4">
          <a:extLst>
            <a:ext uri="{FF2B5EF4-FFF2-40B4-BE49-F238E27FC236}">
              <a16:creationId xmlns:a16="http://schemas.microsoft.com/office/drawing/2014/main" id="{00000000-0008-0000-1E00-00000E000000}"/>
            </a:ext>
          </a:extLst>
        </xdr:cNvPr>
        <xdr:cNvSpPr/>
      </xdr:nvSpPr>
      <xdr:spPr>
        <a:xfrm>
          <a:off x="13198475" y="409575"/>
          <a:ext cx="1866901" cy="203201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/>
            <a:t>Forming Force Calc</a:t>
          </a:r>
        </a:p>
      </xdr:txBody>
    </xdr:sp>
    <xdr:clientData/>
  </xdr:twoCellAnchor>
  <xdr:twoCellAnchor>
    <xdr:from>
      <xdr:col>2</xdr:col>
      <xdr:colOff>49866</xdr:colOff>
      <xdr:row>47</xdr:row>
      <xdr:rowOff>149040</xdr:rowOff>
    </xdr:from>
    <xdr:to>
      <xdr:col>13</xdr:col>
      <xdr:colOff>369794</xdr:colOff>
      <xdr:row>59</xdr:row>
      <xdr:rowOff>158565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SpPr/>
      </xdr:nvSpPr>
      <xdr:spPr>
        <a:xfrm>
          <a:off x="1840566" y="9312090"/>
          <a:ext cx="9721103" cy="2371725"/>
        </a:xfrm>
        <a:prstGeom prst="rect">
          <a:avLst/>
        </a:prstGeom>
        <a:noFill/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632573</xdr:colOff>
      <xdr:row>46</xdr:row>
      <xdr:rowOff>186578</xdr:rowOff>
    </xdr:from>
    <xdr:to>
      <xdr:col>9</xdr:col>
      <xdr:colOff>272303</xdr:colOff>
      <xdr:row>47</xdr:row>
      <xdr:rowOff>177053</xdr:rowOff>
    </xdr:to>
    <xdr:sp macro="" textlink="">
      <xdr:nvSpPr>
        <xdr:cNvPr id="16" name="Rounded Rectangle 5">
          <a:extLst>
            <a:ext uri="{FF2B5EF4-FFF2-40B4-BE49-F238E27FC236}">
              <a16:creationId xmlns:a16="http://schemas.microsoft.com/office/drawing/2014/main" id="{00000000-0008-0000-1E00-000010000000}"/>
            </a:ext>
          </a:extLst>
        </xdr:cNvPr>
        <xdr:cNvSpPr/>
      </xdr:nvSpPr>
      <xdr:spPr>
        <a:xfrm>
          <a:off x="5442698" y="9159128"/>
          <a:ext cx="2392455" cy="180975"/>
        </a:xfrm>
        <a:prstGeom prst="roundRect">
          <a:avLst/>
        </a:prstGeom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/>
            <a:t>Developed Length Calculator</a:t>
          </a:r>
        </a:p>
      </xdr:txBody>
    </xdr:sp>
    <xdr:clientData/>
  </xdr:twoCellAnchor>
  <xdr:twoCellAnchor>
    <xdr:from>
      <xdr:col>2</xdr:col>
      <xdr:colOff>352425</xdr:colOff>
      <xdr:row>61</xdr:row>
      <xdr:rowOff>171451</xdr:rowOff>
    </xdr:from>
    <xdr:to>
      <xdr:col>12</xdr:col>
      <xdr:colOff>190500</xdr:colOff>
      <xdr:row>73</xdr:row>
      <xdr:rowOff>180976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SpPr/>
      </xdr:nvSpPr>
      <xdr:spPr>
        <a:xfrm>
          <a:off x="2143125" y="12077701"/>
          <a:ext cx="8629650" cy="2324100"/>
        </a:xfrm>
        <a:prstGeom prst="rect">
          <a:avLst/>
        </a:prstGeom>
        <a:noFill/>
        <a:ln w="571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161925</xdr:colOff>
      <xdr:row>61</xdr:row>
      <xdr:rowOff>85725</xdr:rowOff>
    </xdr:from>
    <xdr:to>
      <xdr:col>8</xdr:col>
      <xdr:colOff>552450</xdr:colOff>
      <xdr:row>62</xdr:row>
      <xdr:rowOff>76200</xdr:rowOff>
    </xdr:to>
    <xdr:sp macro="" textlink="">
      <xdr:nvSpPr>
        <xdr:cNvPr id="18" name="Rounded Rectangle 5">
          <a:extLst>
            <a:ext uri="{FF2B5EF4-FFF2-40B4-BE49-F238E27FC236}">
              <a16:creationId xmlns:a16="http://schemas.microsoft.com/office/drawing/2014/main" id="{00000000-0008-0000-1E00-000012000000}"/>
            </a:ext>
          </a:extLst>
        </xdr:cNvPr>
        <xdr:cNvSpPr/>
      </xdr:nvSpPr>
      <xdr:spPr>
        <a:xfrm>
          <a:off x="5895975" y="11991975"/>
          <a:ext cx="1609725" cy="180975"/>
        </a:xfrm>
        <a:prstGeom prst="roundRect">
          <a:avLst/>
        </a:prstGeom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400" b="1" i="1"/>
            <a:t>Developed Length Calculator</a:t>
          </a:r>
        </a:p>
      </xdr:txBody>
    </xdr:sp>
    <xdr:clientData/>
  </xdr:twoCellAnchor>
  <xdr:twoCellAnchor editAs="oneCell">
    <xdr:from>
      <xdr:col>14</xdr:col>
      <xdr:colOff>222437</xdr:colOff>
      <xdr:row>48</xdr:row>
      <xdr:rowOff>152400</xdr:rowOff>
    </xdr:from>
    <xdr:to>
      <xdr:col>15</xdr:col>
      <xdr:colOff>1273268</xdr:colOff>
      <xdr:row>57</xdr:row>
      <xdr:rowOff>94906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2187" y="9534525"/>
          <a:ext cx="1660431" cy="1676056"/>
        </a:xfrm>
        <a:prstGeom prst="rect">
          <a:avLst/>
        </a:prstGeom>
      </xdr:spPr>
    </xdr:pic>
    <xdr:clientData/>
  </xdr:twoCellAnchor>
  <xdr:twoCellAnchor editAs="oneCell">
    <xdr:from>
      <xdr:col>12</xdr:col>
      <xdr:colOff>379319</xdr:colOff>
      <xdr:row>65</xdr:row>
      <xdr:rowOff>46505</xdr:rowOff>
    </xdr:from>
    <xdr:to>
      <xdr:col>14</xdr:col>
      <xdr:colOff>323225</xdr:colOff>
      <xdr:row>70</xdr:row>
      <xdr:rowOff>118840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619" y="12705230"/>
          <a:ext cx="1258356" cy="10343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104775</xdr:rowOff>
    </xdr:to>
    <xdr:sp macro="" textlink="">
      <xdr:nvSpPr>
        <xdr:cNvPr id="6" name="AutoShape 3" descr="relationship between cavity pressure wall thickness and path to thickness ratio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95250" y="757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.3.47\lsk%20calc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vcnas\PRICING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shokleyland.sharepoint.com/WINDOWS/TEMP/G7-4137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30333;&#30707;\200&#38306;&#20418;\LL&#29983;&#28079;&#3164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shokleyland.sharepoint.com/Cost%20Analysis/Quote%20Files/Saturn%20SUV/996282%20CONV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morrisn\My%20Documents\ALL%20INFO%20PC\old%20Neil's%20Excel\Technical%20Proposals\European%20Engine%20Alliance\EEA%204%20&amp;%206%20Cylinder%20Steel%20@%20100,000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ebmail.renault.fr/wms02/attach/ref%20pie%20+designationsnormalisees.xls?sid=n3l0p3eb2rer62o&amp;mbox=INBOX&amp;charset=escaped_unicode&amp;uid=2709&amp;number=2&amp;filename=ref%20pie%20+designationsnormalise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2.18.39.75\data\kr\Exports\2004-05\Actual\Profitability%2004-05\Hemant\F.Y.%202002-03\Book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ml3\ka0kb0_4\Documents%20and%20Settings\SHA00811\Local%20Settings\Temporary%20Internet%20Files\OLKEE\7-6\Temp\02&#32076;&#29702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rp7\budget-f2005\Documents%20and%20Settings\msethi\Desktop\Budget-F2005%20on%20Erp7\Budget%20Data-F2005\Reference%20Data\Buisness%20Plan-2004...-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apun001\GSCM\DOCUME~1\digapark\LOCALS~1\Temp\notesE1EF34\&#29255;&#26704;\&#65335;&#65313;\&#65335;&#65313;\&#22522;&#28857;&#21407;&#20385;\WA_SAP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ml2\bv1_2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vcnas\Users\vkn.alh2\AppData\Local\Microsoft\Windows\INetCache\Content.Outlook\1XQDOFUR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vcnas\product_costing$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oshiba\Users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1check.rediff.com/&#20491;&#20154;&#12501;&#12457;&#12523;&#12480;&#12540;/MM&#12523;&#12494;&#12540;/&#25285;&#24403;&#26989;&#21209;/&#12375;&#12419;&#12375;&#65374;/&#26032;&#36554;&#65328;&#65362;&#65359;&#65354;/&#65331;&#65400;&#65431;&#65405;/&#65325;&#65325;/&#65315;&#65296;&#65300;&#65331;&amp;&#65315;/&#25285;&#24403;&#26989;&#21209;/&#12375;&#12419;&#12375;&#65374;/&#12409;&#12435;&#12385;&#12414;&#65374;&#12367;&#65311;/48810&#30495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vcnas\product_costing$\Users\baskar.b\AppData\Local\Microsoft\Windows\Temporary%20Internet%20Files\Content.Outlook\VPTQMCJ1\Transport%20Calculation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vcnas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Nilaeshh.Senthil\AppData\Local\Microsoft\Windows\Temporary%20Internet%20Files\Content.Outlook\YMT3TY9K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.3.58\Charles\&#20491;&#20154;&#12501;&#12457;&#12523;&#12480;&#12540;\MM&#12523;&#12494;&#12540;\&#25285;&#24403;&#26989;&#21209;\&#12375;&#12419;&#12375;&#65374;\&#26032;&#36554;&#65328;&#65362;&#65359;&#65354;\&#65331;&#65400;&#65431;&#65405;\&#65325;&#65325;\&#65315;&#65296;&#65300;&#65331;&amp;&#65315;\&#25285;&#24403;&#26989;&#21209;\&#12375;&#12419;&#12375;&#65374;\&#12409;&#12435;&#12385;&#12414;&#65374;&#12367;&#65311;\48810&#30495;.xls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microsoft.com/office/2019/04/relationships/externalLinkLongPath" Target="/Users/parthiban.c1/Ashok%20Leyland%20Ltd/Product%20Costing%20-%20Parthiban%20C/Department%20activities/Properitory%20part/Clutch%20oil%20reservoir/Ultra%20sonic%20welding/MHR_Ultrasonic%20welding%20machine_V1.xlsx?B165DD6B" TargetMode="External"/><Relationship Id="rId1" Type="http://schemas.openxmlformats.org/officeDocument/2006/relationships/externalLinkPath" Target="file:///\\B165DD6B\MHR_Ultrasonic%20welding%20machine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  <sheetName val="ENGINE_LOSS"/>
      <sheetName val="02"/>
      <sheetName val="03"/>
      <sheetName val="08"/>
      <sheetName val="13"/>
      <sheetName val="ﾊﾟｲﾌﾟ"/>
      <sheetName val="他材料費"/>
      <sheetName val="冷延鋼板"/>
      <sheetName val="熱延鋼板"/>
      <sheetName val="Material Input Status"/>
      <sheetName val="48810真"/>
      <sheetName val="①評価項目_メーカー"/>
      <sheetName val="SCH"/>
      <sheetName val="条件表"/>
      <sheetName val="Vehicle Parts List"/>
      <sheetName val="Labor"/>
      <sheetName val="Kalk_PKO"/>
      <sheetName val="事務所引越見積書"/>
      <sheetName val="#REF"/>
      <sheetName val="発注書"/>
      <sheetName val="res_mc"/>
      <sheetName val="●현황"/>
      <sheetName val="●목차"/>
      <sheetName val="BOM TOP"/>
      <sheetName val="Glcost"/>
      <sheetName val="MM利益・原価企画方針書ｶｸ１"/>
      <sheetName val="WG_00"/>
      <sheetName val="2000_ALL"/>
      <sheetName val="SUS_00"/>
      <sheetName val="품의서"/>
      <sheetName val="DECKBLATT"/>
      <sheetName val="N719(NC)"/>
      <sheetName val="Kalkulation"/>
      <sheetName val="HUNIT"/>
      <sheetName val="生涯利益計画ｼｰﾄ"/>
      <sheetName val="Header"/>
      <sheetName val="NPV1200"/>
      <sheetName val="input"/>
      <sheetName val="Kapitaleinsatz &amp; Umsatz"/>
      <sheetName val="Herstellkosten (Referenz)"/>
      <sheetName val="Working Capital"/>
      <sheetName val="添付１"/>
      <sheetName val="RIEPILOGO"/>
      <sheetName val="RFQI"/>
      <sheetName val="Sheet2"/>
      <sheetName val="Sheet1"/>
      <sheetName val="神奈川生産部"/>
      <sheetName val="99年度原単位"/>
      <sheetName val="１１月"/>
      <sheetName val="PO &amp; SA List"/>
      <sheetName val="094_APP別"/>
      <sheetName val="Start Here"/>
      <sheetName val="Seatbelt Guides"/>
      <sheetName val="Stowage Tray"/>
      <sheetName val="Constant"/>
      <sheetName val="WACC"/>
      <sheetName val="NCAB"/>
      <sheetName val="K440 can wake-up logic"/>
      <sheetName val="３発デ－タ"/>
      <sheetName val="full (2)"/>
      <sheetName val="TCA"/>
      <sheetName val="fkp"/>
      <sheetName val="材料使用量原紙"/>
      <sheetName val="Ideas Entered"/>
      <sheetName val="総合B"/>
      <sheetName val="Table"/>
      <sheetName val="MPL 技連"/>
      <sheetName val="342E BLOCK"/>
      <sheetName val="ES4"/>
      <sheetName val="saxo"/>
      <sheetName val="PRICE STRAT FOR 3F"/>
      <sheetName val="Config"/>
      <sheetName val="DATA_HEAD"/>
      <sheetName val="DATA_LIST"/>
      <sheetName val="DATA_HISTORY"/>
      <sheetName val="J or E"/>
      <sheetName val="MessageList"/>
      <sheetName val="BOM_TOP"/>
      <sheetName val="Material_Input_Status"/>
      <sheetName val="Vehicle_Parts_List"/>
      <sheetName val="TKBN_TKBNA"/>
      <sheetName val="推移データ"/>
      <sheetName val="工数集計"/>
      <sheetName val="表紙Ｐ２"/>
      <sheetName val="SUM14ZC1"/>
      <sheetName val="JOB_FO"/>
      <sheetName val="00-1"/>
      <sheetName val="HYO"/>
      <sheetName val="Titel"/>
      <sheetName val="Hyp"/>
      <sheetName val="A"/>
      <sheetName val="INFO"/>
      <sheetName val="PLM"/>
      <sheetName val="VAC BLK CALC "/>
      <sheetName val="e-BOM"/>
      <sheetName val="Blank AQR (old)"/>
      <sheetName val="CAP PLAN"/>
      <sheetName val="PKG &amp; FRT"/>
      <sheetName val="PROCESS INFO"/>
      <sheetName val="チーム案2英語"/>
      <sheetName val="Operating Plan Changes"/>
      <sheetName val="카메라"/>
      <sheetName val="ＴＡ２"/>
      <sheetName val="89"/>
      <sheetName val="ALPL"/>
      <sheetName val="square1"/>
      <sheetName val="Build Sheets"/>
      <sheetName val="d&amp;F"/>
      <sheetName val="ETRS"/>
      <sheetName val="Kapitaleinsatz_&amp;_Umsatz"/>
      <sheetName val="Herstellkosten_(Referenz)"/>
      <sheetName val="Working_Capital"/>
      <sheetName val="K440_can_wake-up_logic"/>
      <sheetName val="基本（編集禁止）"/>
      <sheetName val="ｺﾝﾄ構想再審査"/>
      <sheetName val="MATRIZ POR AREA"/>
      <sheetName val="段ﾎﾞｰﾙ箱図番･荷姿ｺｰﾄﾞ"/>
      <sheetName val="Sales"/>
      <sheetName val="組立費算出シート"/>
      <sheetName val="LCD(SEG)回路組立"/>
      <sheetName val="07実績"/>
      <sheetName val="挿入リスト"/>
      <sheetName val="DEPTEXP"/>
      <sheetName val="原単位表"/>
      <sheetName val="CASHFLOW"/>
      <sheetName val="３月ＫＤ"/>
      <sheetName val="算出一覧ＣⅡ"/>
      <sheetName val="ebom excel"/>
      <sheetName val="qad bom"/>
      <sheetName val="OM600"/>
      <sheetName val="Content"/>
      <sheetName val="Trim Dev Materials"/>
      <sheetName val="Labour"/>
      <sheetName val="Non Labour Forecast"/>
      <sheetName val="Costed Parts Matrix"/>
      <sheetName val="Engineering Assumptions"/>
      <sheetName val="Labour Forecast"/>
      <sheetName val="国产工装"/>
      <sheetName val="Default Rates"/>
      <sheetName val="Tables"/>
      <sheetName val="After Sales Supplier #'s"/>
      <sheetName val="FY99 Volume"/>
      <sheetName val="Tbom-tot"/>
      <sheetName val="Sep"/>
      <sheetName val="TT (13)"/>
      <sheetName val="AS-A"/>
      <sheetName val="T4-C_CAB"/>
      <sheetName val="New DYNA"/>
      <sheetName val="Forecast"/>
      <sheetName val="部品精度"/>
      <sheetName val="ｼｽﾃﾑ設定"/>
      <sheetName val="依頼書　Ｐ１"/>
      <sheetName val="Plan Sheet"/>
      <sheetName val="車体構成"/>
      <sheetName val="cover_org"/>
      <sheetName val="原価表"/>
      <sheetName val="基礎ﾃﾞｰﾀ"/>
      <sheetName val="ﾊﾞﾗﾝｽｼｰﾄ"/>
      <sheetName val="年度予算申請"/>
      <sheetName val="問題課題(pattern 3)"/>
      <sheetName val="VQS⑦-⑭"/>
      <sheetName val="VQS⑮"/>
      <sheetName val="APEAL詳細項目"/>
      <sheetName val="iqs_data"/>
      <sheetName val="iqs_index"/>
      <sheetName val="TOC"/>
      <sheetName val="01"/>
      <sheetName val="data"/>
      <sheetName val="新中部位"/>
      <sheetName val="Process Summary"/>
      <sheetName val="ECN-Mold Progress"/>
      <sheetName val="6호기"/>
      <sheetName val="PROFILE"/>
      <sheetName val="生産計画"/>
      <sheetName val="PRICE_STRAT_FOR_3F"/>
      <sheetName val="Seatbelt_Guides"/>
      <sheetName val="Stowage_Tray"/>
      <sheetName val="Ideas_Entered"/>
      <sheetName val="J_or_E"/>
      <sheetName val="Plan_Sheet"/>
      <sheetName val="tZR_39區分(案)0226"/>
      <sheetName val="Stamping Tool building Hrs"/>
      <sheetName val="Stamping Burden"/>
      <sheetName val="Parameters"/>
      <sheetName val="391.各"/>
      <sheetName val="E TOPICS"/>
      <sheetName val="集計結果"/>
      <sheetName val="一般"/>
      <sheetName val="管理"/>
      <sheetName val="管理職"/>
      <sheetName val="Table Master"/>
      <sheetName val="COST"/>
      <sheetName val="Report Key"/>
      <sheetName val="Europe PU-1"/>
      <sheetName val="Original ED&amp;D summary"/>
      <sheetName val="201consfdymar"/>
      <sheetName val="SM-13仕様一覧"/>
      <sheetName val="Base"/>
      <sheetName val="Calendar"/>
      <sheetName val="GRN Report 0706- 0307"/>
      <sheetName val="STANDARD_SEAT"/>
      <sheetName val="Features"/>
      <sheetName val="tesa micro hite"/>
      <sheetName val="Tooling breakdown"/>
      <sheetName val="Change"/>
      <sheetName val="PLFM01"/>
      <sheetName val="FR管理工程図"/>
      <sheetName val="Drop-Down Lists"/>
      <sheetName val="Content Pop-up Menu"/>
      <sheetName val="협조전"/>
      <sheetName val="PIT1"/>
      <sheetName val="TOTAL LIST"/>
      <sheetName val="Èå)_x0000_"/>
      <sheetName val=""/>
      <sheetName val="Wkz_PBD"/>
      <sheetName val="設変通知書 (E)"/>
      <sheetName val="FACT.B"/>
      <sheetName val="ﾒｲﾝﾒﾆｭｰ"/>
      <sheetName val="KD（業種別）"/>
      <sheetName val="現調（メーカ別）"/>
      <sheetName val="現調（業種別）"/>
      <sheetName val="com_cutWm21"/>
      <sheetName val="ALPL 030514"/>
      <sheetName val="Notice Link"/>
      <sheetName val="原単位表00"/>
      <sheetName val="U3J12"/>
      <sheetName val="ﾋﾟﾆｵﾝｾﾝｻ1万"/>
      <sheetName val="データ"/>
      <sheetName val="台数表"/>
      <sheetName val="51L2"/>
      <sheetName val="List"/>
      <sheetName val="表紙"/>
      <sheetName val="ＴＰ"/>
      <sheetName val="Address"/>
      <sheetName val="DFMEA"/>
      <sheetName val="Legend"/>
      <sheetName val="OPSTKFEB"/>
      <sheetName val="DEP"/>
      <sheetName val="Degreasing"/>
      <sheetName val="Primer"/>
      <sheetName val="Sandblasting"/>
      <sheetName val="cycle time reduction"/>
      <sheetName val="Base Info"/>
      <sheetName val="작성양식"/>
      <sheetName val="Contents"/>
      <sheetName val="Apr"/>
      <sheetName val="ASSUMPTIONS"/>
      <sheetName val="Assumption"/>
      <sheetName val="暂作价清单"/>
      <sheetName val="Stock Price"/>
      <sheetName val="XV0個人"/>
      <sheetName val="COST관리"/>
      <sheetName val="BND"/>
      <sheetName val="진행 DATA (2)"/>
      <sheetName val="Vol &amp; Assumpt"/>
      <sheetName val="ASSETS"/>
      <sheetName val="Ref IMM Sizes"/>
      <sheetName val="PLANTS"/>
      <sheetName val="Prog INFO"/>
      <sheetName val="GG S&amp;O List"/>
      <sheetName val="BOM系"/>
      <sheetName val="Pre-concept AX0"/>
      <sheetName val="IAC Quote Processes"/>
      <sheetName val="Sq Area INPUT"/>
      <sheetName val="Roll Out - Limit"/>
      <sheetName val="LPIM BLK CALC"/>
      <sheetName val="Import"/>
      <sheetName val="ASSET PLAN"/>
      <sheetName val=" Cycle Times"/>
      <sheetName val="DIE CUT ROLL CALC"/>
      <sheetName val="EFFICIENCY VS VOLUME"/>
      <sheetName val="TOOL INFO"/>
      <sheetName val="contract AGER"/>
      <sheetName val="contract APOR"/>
      <sheetName val="market AGER"/>
      <sheetName val="market APOR"/>
      <sheetName val="제조부문배부"/>
      <sheetName val="MAREA"/>
      <sheetName val="Marea MY"/>
      <sheetName val="ULYSSE"/>
      <sheetName val="Brava-o MY"/>
      <sheetName val="SEI"/>
      <sheetName val="TOT"/>
      <sheetName val="PANDA"/>
      <sheetName val="P.TO"/>
      <sheetName val="MULTIPLA"/>
      <sheetName val="COUPE"/>
      <sheetName val="Foglio1"/>
      <sheetName val="Part Pictorials"/>
      <sheetName val="MenuPicks"/>
      <sheetName val="月度報告書"/>
      <sheetName val="EPW 0630"/>
      <sheetName val="FB sepa S2"/>
      <sheetName val="計算結果"/>
      <sheetName val="Iss-unp"/>
      <sheetName val="Iss-wo"/>
      <sheetName val="Rct-unp"/>
      <sheetName val="JCAE Sale Price"/>
      <sheetName val="R FJS CAR (old)"/>
      <sheetName val="作業中"/>
      <sheetName val="MATRIZ_POR_AREA"/>
      <sheetName val="Productivity"/>
      <sheetName val="74上"/>
      <sheetName val="基準"/>
      <sheetName val="月次データ"/>
      <sheetName val="Japanese Summary"/>
      <sheetName val="ﾌﾗｸﾞ"/>
      <sheetName val="計算"/>
      <sheetName val="HPS Slit Coil (Centralia)"/>
      <sheetName val="ＣＡＭＹ　ＭⅢ"/>
      <sheetName val="PN LIST"/>
      <sheetName val="F7 Custom Service Center (CSC)"/>
      <sheetName val="F5 E1-TEI "/>
      <sheetName val="F5 Specific expenses Vol Drop"/>
      <sheetName val="F5 Specific expenses"/>
      <sheetName val="設計通知書原紙"/>
      <sheetName val="主要WH売上"/>
      <sheetName val="ｸﾗｾﾝｼｽﾃﾑFMEA"/>
      <sheetName val="SourceData"/>
      <sheetName val="システム記号リスト"/>
      <sheetName val="NYTO-model"/>
      <sheetName val="LESCI J77"/>
      <sheetName val="DV Release"/>
      <sheetName val="Read me first"/>
      <sheetName val="DETA1121ｋｋｋ"/>
      <sheetName val="JT3.0견적-구1"/>
      <sheetName val="Croisements (Ai - Ej - Mk) X85"/>
      <sheetName val="Total Income Statement"/>
      <sheetName val="Price J60E6"/>
      <sheetName val="Precios"/>
      <sheetName val="CAMCAL1"/>
      <sheetName val="残業計画"/>
      <sheetName val="ラミ"/>
      <sheetName val="DIEZEL動弁相場"/>
      <sheetName val="MOTEUR"/>
      <sheetName val="organization data"/>
      <sheetName val="Labor cost"/>
      <sheetName val="EUR"/>
      <sheetName val="X61B ZH2E L1 #1"/>
      <sheetName val="sheet17"/>
      <sheetName val="A33(引三引四)"/>
      <sheetName val="系統選單"/>
      <sheetName val="SU BOM 20071213"/>
      <sheetName val="転造盤まとめ"/>
      <sheetName val="結果一覧 ｼｰﾄ"/>
      <sheetName val="#REF!"/>
      <sheetName val="MOTOc_x0000_?_x0000_?ご?_x0012_?_x0012_??_x0000__x0000__x0000__x0000_?ご?_x0000_?_x0012_????_x0000_"/>
      <sheetName val="MOTOc_x0000_ࠀ_x0000_笰ごꒈ_x0012_ꐸ_x0012_뜝瞮_x0000__x0000__x0000__x0000_猰ごࠀ_x0000_ꒀ_x0012_嘻瞦咚瞦_x0000_"/>
      <sheetName val="MOTOc_x0000_?_x0000_?ご?_x0012_?_x0012_??_x0000_?ご?_x0000_?_x0012_????_x0000_?_x0000_?"/>
      <sheetName val="MOTOc_x0000_ࠀ笰ごꒈ_x0012_ꐸ_x0012_뜝瞮猰ごࠀꒀ_x0012_嘻瞦咚瞦یꑠ_x0012_噍瞦ՠڄ"/>
      <sheetName val="MOTOc_x0000_ࠀ笰ごꒈ_x0012_ꐸ_x0012_뜝瞮猰ごࠀꒀ_x0012_嘻瞦咚瞦৿ꑠ_x0012_噍瞦ՠষ"/>
      <sheetName val="MOTOc_x0000_ࠀ笰ごꒈ_x0012_ꐸ_x0012_뜝瞮猰ごࠀꒀ_x0012_嘻瞦咚瞦۲ꑠ_x0012_噍瞦ᕀč"/>
      <sheetName val="別紙3-1機能別ﾌﾞﾛｯｸ別原価目標"/>
      <sheetName val="別紙3-2Budget(機能、費目別)"/>
      <sheetName val="MOTOc_x0000_?_x0000_?ご?_x0012_?_x0012_??_x0000__x0000__x0000__x0000_&gt;ご?_x0000_?_x0012_????_x0000_"/>
      <sheetName val="MOTOc"/>
      <sheetName val="MOTOc_x0000_?_x0000_?ご?_x0012_?_x0012_??_x0000_&gt;ご?_x0000_?_x0012_????_x0000_?_x0000_?"/>
      <sheetName val="MOTOc_x0000_ࠀ_x0000_笰ごꒈ_x0012_ꐸ_x0012_뜝瞮_x0000_猰ごࠀ_x0000_ꒀ_x0012_嘻瞦咚瞦_x0000_ی_x0000_ꑠ"/>
      <sheetName val="MOTOc_x0000_ࠀ_x0000_笰ごꒈ_x0012_ꐸ_x0012_뜝瞮_x0000_猰ごࠀ_x0000_ꒀ_x0012_嘻瞦咚瞦_x0000_۲_x0000_ꑠ"/>
      <sheetName val="MOTGc_x0000_ࠀ_x0000_笰ごꒈ_x0012_ꐸ_x0012_뜝瞮_x0000__x0000__x0000__x0000_猰ごࠀ_x0000_ꒀ_x0012_嘻瞦咚瞦_x0000_"/>
      <sheetName val="Specific Data"/>
      <sheetName val="进口工装"/>
      <sheetName val="Input Sheet"/>
      <sheetName val="FIN5"/>
      <sheetName val="VTooling"/>
      <sheetName val="投资"/>
      <sheetName val="mster"/>
      <sheetName val="日程管理表"/>
      <sheetName val="财务计算"/>
      <sheetName val="gds"/>
      <sheetName val="計算ｼｰﾄ"/>
      <sheetName val="B-code"/>
      <sheetName val="MOTGc"/>
      <sheetName val="PREMISAS"/>
      <sheetName val="指数比較"/>
      <sheetName val="Budget"/>
      <sheetName val="Analyst"/>
      <sheetName val="Inputs and Data"/>
      <sheetName val="Feuil1"/>
      <sheetName val="会社情報"/>
      <sheetName val="日程"/>
      <sheetName val="進め方"/>
      <sheetName val="Materials"/>
      <sheetName val="Price"/>
      <sheetName val="XX98CALB"/>
      <sheetName val="３ドア"/>
      <sheetName val="WIRE"/>
      <sheetName val="配布版"/>
      <sheetName val="VIM Data"/>
      <sheetName val="PRIX 2009"/>
      <sheetName val="Ford"/>
      <sheetName val="TSM6709G"/>
      <sheetName val="WEIGHT"/>
      <sheetName val="MRSTE"/>
      <sheetName val="Inpanel"/>
      <sheetName val="Interior Trim"/>
      <sheetName val="元データー"/>
      <sheetName val="部品ﾘｽﾄ"/>
      <sheetName val="ﾀﾘﾌ"/>
      <sheetName val="実績"/>
      <sheetName val="INDEX"/>
      <sheetName val="Antivol D2"/>
      <sheetName val="IVP und Afa"/>
      <sheetName val="ﾊﾀﾀﾞ内示"/>
      <sheetName val="702.515.881t"/>
      <sheetName val="Param"/>
      <sheetName val="資材納入日程表"/>
      <sheetName val="Data 0101"/>
      <sheetName val=" DATA"/>
      <sheetName val="resume"/>
      <sheetName val="IPL"/>
      <sheetName val="表5-2 地区別CO2排出実績"/>
      <sheetName val="???"/>
      <sheetName val="RES"/>
      <sheetName val="LOTUS"/>
      <sheetName val="DD96.1.18"/>
      <sheetName val="Parameter"/>
      <sheetName val="VARIÁVEIS"/>
      <sheetName val="Reference "/>
      <sheetName val="645a 9-18 PTO 4.3"/>
      <sheetName val="Rules"/>
      <sheetName val="PRESENTATION"/>
      <sheetName val="VA"/>
      <sheetName val="H2"/>
      <sheetName val="Laser Weld"/>
      <sheetName val="LOAD HOURS"/>
      <sheetName val="Portfolio"/>
      <sheetName val="Gates"/>
      <sheetName val="Summary"/>
      <sheetName val="cc 0214 2300"/>
      <sheetName val="Fert.ablauf"/>
      <sheetName val="型上げ"/>
      <sheetName val="中実"/>
      <sheetName val="Cover"/>
      <sheetName val="PARAMETRES"/>
      <sheetName val="フォーム1"/>
      <sheetName val="Sheet5"/>
      <sheetName val="INV"/>
      <sheetName val="Handl_Komm"/>
      <sheetName val="TB Jan-Dec96"/>
      <sheetName val="Managerial Remuneration-Dec96"/>
      <sheetName val="BS&amp;PL_DEC96"/>
      <sheetName val="계약"/>
      <sheetName val="--- (2)"/>
      <sheetName val="Waterfall  0_Toolb"/>
      <sheetName val="생산"/>
      <sheetName val="Eng"/>
      <sheetName val="参考"/>
      <sheetName val="グラフ"/>
      <sheetName val="Internal"/>
      <sheetName val="BOM_TOP1"/>
      <sheetName val="Material_Input_Status1"/>
      <sheetName val="Vehicle_Parts_List1"/>
      <sheetName val="Kapitaleinsatz_&amp;_Umsatz1"/>
      <sheetName val="Herstellkosten_(Referenz)1"/>
      <sheetName val="Working_Capital1"/>
      <sheetName val="VAC_BLK_CALC_"/>
      <sheetName val="Blank_AQR_(old)"/>
      <sheetName val="CAP_PLAN"/>
      <sheetName val="PKG_&amp;_FRT"/>
      <sheetName val="PROCESS_INFO"/>
      <sheetName val="Seatbelt_Guides1"/>
      <sheetName val="Stowage_Tray1"/>
      <sheetName val="K440_can_wake-up_logic1"/>
      <sheetName val="full_(2)"/>
      <sheetName val="Ideas_Entered1"/>
      <sheetName val="MPL_技連"/>
      <sheetName val="342E_BLOCK"/>
      <sheetName val="PRICE_STRAT_FOR_3F1"/>
      <sheetName val="J_or_E1"/>
      <sheetName val="Build_Sheets"/>
      <sheetName val="MATRIZ_POR_AREA1"/>
      <sheetName val="ebom_excel"/>
      <sheetName val="qad_bom"/>
      <sheetName val="Trim_Dev_Materials"/>
      <sheetName val="Non_Labour_Forecast"/>
      <sheetName val="Costed_Parts_Matrix"/>
      <sheetName val="Engineering_Assumptions"/>
      <sheetName val="Labour_Forecast"/>
      <sheetName val="Default_Rates"/>
      <sheetName val="Stock_Price"/>
      <sheetName val="Process_Summary"/>
      <sheetName val="Plan_Sheet1"/>
      <sheetName val="After_Sales_Supplier_#'s"/>
      <sheetName val="FY99_Volume"/>
      <sheetName val="ECN-Mold_Progress"/>
      <sheetName val="TT_(13)"/>
      <sheetName val="New_DYNA"/>
      <sheetName val="진행_DATA_(2)"/>
      <sheetName val="Vol_&amp;_Assumpt"/>
      <sheetName val="Ref_IMM_Sizes"/>
      <sheetName val="Prog_INFO"/>
      <sheetName val="IAC_Quote_Processes"/>
      <sheetName val="Sq_Area_INPUT"/>
      <sheetName val="Stamping_Tool_building_Hrs"/>
      <sheetName val="Stamping_Burden"/>
      <sheetName val="391_各"/>
      <sheetName val="Table_Master"/>
      <sheetName val="Roll_Out_-_Limit"/>
      <sheetName val="LPIM_BLK_CALC"/>
      <sheetName val="ASSET_PLAN"/>
      <sheetName val="_Cycle_Times"/>
      <sheetName val="DIE_CUT_ROLL_CALC"/>
      <sheetName val="EFFICIENCY_VS_VOLUME"/>
      <sheetName val="TOOL_INFO"/>
      <sheetName val="contract_AGER"/>
      <sheetName val="contract_APOR"/>
      <sheetName val="market_AGER"/>
      <sheetName val="market_APOR"/>
      <sheetName val="Marea_MY"/>
      <sheetName val="Brava-o_MY"/>
      <sheetName val="P_TO"/>
      <sheetName val="Part_Pictorials"/>
      <sheetName val="EPW_0630"/>
      <sheetName val="Europe_PU-1"/>
      <sheetName val="FB_sepa_S2"/>
      <sheetName val="問題課題(pattern_3)"/>
      <sheetName val="JCAE_Sale_Price"/>
      <sheetName val="R_FJS_CAR_(old)"/>
      <sheetName val="Report_Key"/>
      <sheetName val="Original_ED&amp;D_summary"/>
      <sheetName val="Japanese_Summary"/>
      <sheetName val="HPS_Slit_Coil_(Centralia)"/>
      <sheetName val="PN_LIST"/>
      <sheetName val="F7_Custom_Service_Center_(CSC)"/>
      <sheetName val="F5_E1-TEI_"/>
      <sheetName val="F5_Specific_expenses_Vol_Drop"/>
      <sheetName val="F5_Specific_expenses"/>
      <sheetName val="LESCI_J77"/>
      <sheetName val="DV_Release"/>
      <sheetName val="Read_me_first"/>
      <sheetName val="JT3_0견적-구1"/>
      <sheetName val="Croisements_(Ai_-_Ej_-_Mk)_X85"/>
      <sheetName val="Total_Income_Statement"/>
      <sheetName val="Price_J60E6"/>
      <sheetName val="organization_data"/>
      <sheetName val="Labor_cost"/>
      <sheetName val="X61B_ZH2E_L1_#1"/>
      <sheetName val="SU_BOM_20071213"/>
      <sheetName val="結果一覧_ｼｰﾄ"/>
      <sheetName val="MOTOc??ご?????ご??????"/>
      <sheetName val="MOTOcࠀ笰ごꒈꐸ뜝瞮猰ごࠀꒀ嘻瞦咚瞦"/>
      <sheetName val="MOTOc??ご?????ご????????"/>
      <sheetName val="MOTOcࠀ笰ごꒈꐸ뜝瞮猰ごࠀꒀ嘻瞦咚瞦یꑠ噍瞦ՠڄ"/>
      <sheetName val="MOTOcࠀ笰ごꒈꐸ뜝瞮猰ごࠀꒀ嘻瞦咚瞦৿ꑠ噍瞦ՠষ"/>
      <sheetName val="Èå)"/>
      <sheetName val="___"/>
      <sheetName val="MOTOcࠀ笰ごꒈꐸ뜝瞮猰ごࠀꒀ嘻瞦咚瞦۲ꑠ噍瞦ᕀč"/>
      <sheetName val="MOTOc??ご????&gt;ご??????"/>
      <sheetName val="MOTOc??ご????&gt;ご????????"/>
      <sheetName val="MOTOcࠀ笰ごꒈꐸ뜝瞮猰ごࠀꒀ嘻瞦咚瞦یꑠ"/>
      <sheetName val="MOTOcࠀ笰ごꒈꐸ뜝瞮猰ごࠀꒀ嘻瞦咚瞦۲ꑠ"/>
      <sheetName val="MOTGcࠀ笰ごꒈꐸ뜝瞮猰ごࠀꒀ嘻瞦咚瞦"/>
      <sheetName val="Specific_Data"/>
      <sheetName val="Input_Sheet"/>
      <sheetName val="E_TOPICS"/>
      <sheetName val="Tooling_breakdown"/>
      <sheetName val="Inputs_and_Data"/>
      <sheetName val="cycle_time_reduction"/>
      <sheetName val="Base_Info"/>
      <sheetName val="GG_S&amp;O_List"/>
      <sheetName val="Operating_Plan_Changes"/>
      <sheetName val="Pre-concept_AX0"/>
      <sheetName val="VIM_Data"/>
      <sheetName val="PRIX_2009"/>
      <sheetName val="Interior_Trim"/>
      <sheetName val="Antivol_D2"/>
      <sheetName val="IVP_und_Afa"/>
      <sheetName val="702_515_881t"/>
      <sheetName val="Data_0101"/>
      <sheetName val="_DATA"/>
      <sheetName val="表5-2_地区別CO2排出実績"/>
      <sheetName val="DD96_1_18"/>
      <sheetName val="Reference_"/>
      <sheetName val="645a_9-18_PTO_4_3"/>
      <sheetName val="Laser_Weld"/>
      <sheetName val="LOAD_HOURS"/>
      <sheetName val="cc_0214_2300"/>
      <sheetName val="Fert_ablauf"/>
      <sheetName val="OPER. SPECS"/>
      <sheetName val="RAW MATERIAL"/>
      <sheetName val="Neuteileinfo"/>
      <sheetName val="CFLOW"/>
      <sheetName val="A-100전제"/>
      <sheetName val="차체 품안표"/>
      <sheetName val="CUSTOMER (DETAIL)"/>
      <sheetName val="132下実施期GAP"/>
      <sheetName val="효율계획(당월)"/>
      <sheetName val="전체실적"/>
      <sheetName val="改进计划"/>
      <sheetName val="尾门板总成 "/>
      <sheetName val="Exploded"/>
      <sheetName val="Exploded End Items"/>
      <sheetName val="Parameters SSR"/>
      <sheetName val="Just for calculation"/>
      <sheetName val="01重点管理ｴﾘｱ"/>
      <sheetName val="集計ﾘｽﾄ"/>
      <sheetName val="Burden 2800"/>
      <sheetName val="入力表"/>
      <sheetName val="工程別見積り"/>
      <sheetName val="金型サイズ"/>
      <sheetName val="工程別見積り (SP)"/>
      <sheetName val="Std_parts"/>
      <sheetName val="342A Block"/>
      <sheetName val="部品情報"/>
      <sheetName val="コード表"/>
      <sheetName val="Ideal Cost"/>
      <sheetName val="値マスタ"/>
      <sheetName val="#ofclose"/>
      <sheetName val="FORM"/>
      <sheetName val="W12B_RS"/>
      <sheetName val="ＨＸ準備費一覧"/>
      <sheetName val="工数海外比率"/>
      <sheetName val="Product Validation"/>
      <sheetName val="说明"/>
      <sheetName val="配方信息1"/>
      <sheetName val="配方信息"/>
      <sheetName val="BOM目录"/>
      <sheetName val="Sales price"/>
      <sheetName val="汇总"/>
      <sheetName val="模板"/>
      <sheetName val="VW373"/>
      <sheetName val="2XP"/>
      <sheetName val="2WF(FIT)"/>
      <sheetName val="A10 (2)"/>
      <sheetName val="A10"/>
      <sheetName val="POLO H GP"/>
      <sheetName val="AS21"/>
      <sheetName val="L538"/>
      <sheetName val="IP2X MCE"/>
      <sheetName val="VW321 (Lavida taxi)"/>
      <sheetName val="IP24 RSB CN"/>
      <sheetName val="CN200"/>
      <sheetName val="E17"/>
      <sheetName val="CN100"/>
      <sheetName val="SK371 (PV20140226)降密方案"/>
      <sheetName val="SK371 (PV20140226) "/>
      <sheetName val="SK371 (PV1)"/>
      <sheetName val="G29"/>
      <sheetName val="D2UB"/>
      <sheetName val="KC FOAM"/>
      <sheetName val="T6LA(2CE)"/>
      <sheetName val="X12G"/>
      <sheetName val="D15"/>
      <sheetName val="C60F"/>
      <sheetName val="B753  PV"/>
      <sheetName val="B81C (广州)"/>
      <sheetName val="B81C"/>
      <sheetName val="SGM318"/>
      <sheetName val="K211"/>
      <sheetName val="D2SC PV"/>
      <sheetName val="D2SC DV"/>
      <sheetName val="B754"/>
      <sheetName val="B753  PV (2)"/>
      <sheetName val="TFC MY14"/>
      <sheetName val="531"/>
      <sheetName val="AP13"/>
      <sheetName val="ZP11 EU"/>
      <sheetName val="BP31减薄版"/>
      <sheetName val="T4NA(2CN)"/>
      <sheetName val="E16(SGM)"/>
      <sheetName val="SGM318 (3)"/>
      <sheetName val="SGM318 (2)"/>
      <sheetName val="T88(42-1)NEW"/>
      <sheetName val="IP21 MCE"/>
      <sheetName val="M3M4"/>
      <sheetName val="J53R"/>
      <sheetName val="SK253 SB(M-A ENTRY SB)"/>
      <sheetName val="SK371"/>
      <sheetName val="Model S FL(SK461)"/>
      <sheetName val="LAVIDA DERIVAT"/>
      <sheetName val="EP11"/>
      <sheetName val="Model A TAXI"/>
      <sheetName val="B753"/>
      <sheetName val="SGM258 MY13"/>
      <sheetName val="T88(42-1)"/>
      <sheetName val="PSA"/>
      <sheetName val="New Model A20130304"/>
      <sheetName val="New Model A20120921"/>
      <sheetName val="New Model A"/>
      <sheetName val="New Model A降密"/>
      <sheetName val="IP22 EU&amp;UK"/>
      <sheetName val="T4NA(2CN) (2)"/>
      <sheetName val="T5AA"/>
      <sheetName val="GAMMA SUV"/>
      <sheetName val="T88(试制线)"/>
      <sheetName val="T88-42-2"/>
      <sheetName val="AP12"/>
      <sheetName val="E16(GMNA)"/>
      <sheetName val="BP31"/>
      <sheetName val="Model H GTI"/>
      <sheetName val="New Lavida"/>
      <sheetName val="E12"/>
      <sheetName val="柳州项目"/>
      <sheetName val="Model A"/>
      <sheetName val="X12F"/>
      <sheetName val="X12D"/>
      <sheetName val="IP22 CN L-CAR"/>
      <sheetName val="SGM201 R3 ISS"/>
      <sheetName val="Model S MP12"/>
      <sheetName val="Model F FL"/>
      <sheetName val="Model H Cross"/>
      <sheetName val="New Model K"/>
      <sheetName val="QBC20111216"/>
      <sheetName val="E11"/>
      <sheetName val="ZP11 MG"/>
      <sheetName val="TFC"/>
      <sheetName val="Sheet11"/>
      <sheetName val="List Data"/>
      <sheetName val="MASTER"/>
      <sheetName val="Coating"/>
      <sheetName val="Material Tables"/>
      <sheetName val="Weld Tool"/>
      <sheetName val="BOM Input"/>
      <sheetName val="Parts List"/>
      <sheetName val="Standards"/>
      <sheetName val="Workdays"/>
      <sheetName val="ALL PARTS PRICE LIST"/>
      <sheetName val="ptpcost1"/>
      <sheetName val="summary-1"/>
      <sheetName val="DATA_DELIVERY"/>
      <sheetName val="保証項目一覧"/>
      <sheetName val="115墌娃敖"/>
      <sheetName val="PART"/>
      <sheetName val="Ass'y-A (Day)"/>
      <sheetName val="67630,40-640AM"/>
      <sheetName val="達成729"/>
      <sheetName val="Annual Sales"/>
      <sheetName val="資材費"/>
      <sheetName val="売上"/>
      <sheetName val="Marginal'05-'08(Jul-Dec)"/>
      <sheetName val="BU Summary Data"/>
      <sheetName val="Material"/>
      <sheetName val="Anlagen"/>
      <sheetName val="Macro1"/>
      <sheetName val="Aztek"/>
      <sheetName val="PROTECTOR단가"/>
      <sheetName val="県別ﾏﾙﾁ"/>
      <sheetName val="Package.Presentation"/>
      <sheetName val="W-현원가"/>
      <sheetName val="?????"/>
      <sheetName val="????"/>
      <sheetName val="BOM"/>
      <sheetName val="Business Plan"/>
      <sheetName val="Purchasing"/>
      <sheetName val="PC%계산"/>
      <sheetName val="5 UPS Data"/>
      <sheetName val="415T原"/>
      <sheetName val="車会集約"/>
      <sheetName val="CONS0004"/>
      <sheetName val="MRS세부"/>
      <sheetName val="minimum lot size"/>
      <sheetName val="ＭⅢ"/>
      <sheetName val="フォーム2"/>
      <sheetName val="W_LBOOK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売上総益ﾃﾞｰﾀ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Part by Part"/>
      <sheetName val="システム"/>
      <sheetName val="加藤(評)"/>
      <sheetName val="日産ｺﾓﾝR"/>
      <sheetName val="設備保全"/>
      <sheetName val="inver"/>
      <sheetName val="Calculations_Parameters"/>
      <sheetName val="mix"/>
      <sheetName val="Volumes"/>
      <sheetName val="Dashboard"/>
      <sheetName val="094W原紙 "/>
      <sheetName val="Key Function in Master FMEA"/>
      <sheetName val="Sheet3"/>
      <sheetName val="構想書原紙"/>
      <sheetName val="ML"/>
      <sheetName val="06年度計画"/>
      <sheetName val="Process means"/>
      <sheetName val="Fixture List"/>
      <sheetName val="Sheet6 (3)"/>
      <sheetName val="주행"/>
      <sheetName val="MOTOR"/>
      <sheetName val="Rate"/>
      <sheetName val="Basic"/>
      <sheetName val="Customer Part Approval"/>
      <sheetName val="Development Start"/>
      <sheetName val="Final Production Release"/>
      <sheetName val="liste"/>
      <sheetName val="設定"/>
      <sheetName val="Ref"/>
      <sheetName val="Plant Data"/>
      <sheetName val="P&amp;L"/>
      <sheetName val="Sales by Customer"/>
      <sheetName val="Entity"/>
      <sheetName val="INTRO"/>
      <sheetName val="Makro1"/>
      <sheetName val="11"/>
      <sheetName val="H1"/>
      <sheetName val="exp"/>
      <sheetName val="FU"/>
      <sheetName val="Std-RawMat"/>
      <sheetName val="Std-Process"/>
      <sheetName val="Synthèse"/>
      <sheetName val="costes internos"/>
      <sheetName val="Embou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 refreshError="1"/>
      <sheetData sheetId="392" refreshError="1"/>
      <sheetData sheetId="393" refreshError="1"/>
      <sheetData sheetId="394" refreshError="1"/>
      <sheetData sheetId="395"/>
      <sheetData sheetId="396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/>
      <sheetData sheetId="749"/>
      <sheetData sheetId="750"/>
      <sheetData sheetId="751"/>
      <sheetData sheetId="752"/>
      <sheetData sheetId="753"/>
      <sheetData sheetId="754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S-SHT"/>
      <sheetName val="col F"/>
      <sheetName val="TOOLS"/>
      <sheetName val="NOTES"/>
      <sheetName val="Module1"/>
      <sheetName val="RECON"/>
      <sheetName val="col A"/>
      <sheetName val="col B"/>
    </sheetNames>
    <sheetDataSet>
      <sheetData sheetId="0" refreshError="1"/>
      <sheetData sheetId="1" refreshError="1"/>
      <sheetData sheetId="2" refreshError="1">
        <row r="279">
          <cell r="BA279" t="str">
            <v>Product can be produced as specified with no revision.</v>
          </cell>
        </row>
        <row r="280">
          <cell r="BA280" t="str">
            <v>Changes recommended.  Product can be improved or be</v>
          </cell>
        </row>
        <row r="281">
          <cell r="BA281" t="str">
            <v>less costly if proposed changes are incorporated.</v>
          </cell>
        </row>
        <row r="282">
          <cell r="BA282" t="str">
            <v>Changes recommended to achieve minimum Cpk.</v>
          </cell>
        </row>
        <row r="283">
          <cell r="BA283" t="str">
            <v>Design revision recommended to produce product within</v>
          </cell>
        </row>
        <row r="284">
          <cell r="BA284" t="str">
            <v>the specified Cpk requirements.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生涯利益計画ｼｰﾄ"/>
      <sheetName val="生涯利益計本文"/>
      <sheetName val="Sheet1"/>
      <sheetName val="LL生涯管"/>
      <sheetName val="計算ｼｰﾄ"/>
      <sheetName val="094_APP別"/>
      <sheetName val="総合B"/>
      <sheetName val="１１月"/>
      <sheetName val="244豪州一般ZD301生試"/>
      <sheetName val="MOTO"/>
      <sheetName val="sheet17"/>
      <sheetName val="391.各"/>
      <sheetName val="#REF"/>
      <sheetName val="集計結果"/>
      <sheetName val="HUNIT"/>
      <sheetName val="過不足ﾏﾄﾒ"/>
      <sheetName val="新目標"/>
      <sheetName val="14mmQfup"/>
      <sheetName val="ﾊﾞﾙﾌﾞﾘｰｸ"/>
      <sheetName val="神奈川生産部"/>
      <sheetName val="A"/>
      <sheetName val="条件表"/>
      <sheetName val="車会集約"/>
      <sheetName val="別紙3.2機能目標原価集約表"/>
      <sheetName val="納入不良"/>
      <sheetName val="表5-2 地区別CO2排出実績"/>
      <sheetName val="星取表"/>
      <sheetName val="DIEZEL動弁相場"/>
      <sheetName val="391_各"/>
      <sheetName val="Plant Data"/>
      <sheetName val="BoM"/>
      <sheetName val="P&amp;L"/>
      <sheetName val="Sum Graph"/>
      <sheetName val="見積依頼部品一覧"/>
      <sheetName val="生涯利益計画???"/>
      <sheetName val="生涯利益計画___"/>
      <sheetName val="P.12構成・管工図より"/>
      <sheetName val="VQS⑦-⑭"/>
      <sheetName val="VQS⑮"/>
      <sheetName val="PROFILE"/>
      <sheetName val="E"/>
      <sheetName val="F"/>
      <sheetName val="回帰分析"/>
      <sheetName val="静剛静ﾃﾞｰﾀ"/>
      <sheetName val="ｸﾞﾗﾌﾃﾞｰﾀ (2)"/>
      <sheetName val="Development Schedule"/>
      <sheetName val="4 contens summary"/>
      <sheetName val="Cover"/>
      <sheetName val="応力線図"/>
      <sheetName val="PU"/>
      <sheetName val="N719(NC)"/>
      <sheetName val="班部番別"/>
      <sheetName val="89"/>
      <sheetName val="MPL 技連"/>
      <sheetName val="342E BLOCK"/>
      <sheetName val="資產負債12"/>
      <sheetName val="ﾕｰｻﾞｰ設定"/>
      <sheetName val="ﾏｽﾀ"/>
      <sheetName val="APEAL詳細項目"/>
      <sheetName val="iqs_data"/>
      <sheetName val="iqs_index"/>
      <sheetName val="TOC"/>
      <sheetName val="data"/>
      <sheetName val="新中部位"/>
      <sheetName val="0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DGER"/>
      <sheetName val="RECON"/>
      <sheetName val="COVER"/>
      <sheetName val="OPS-SHT COL &quot;B&quot;"/>
      <sheetName val="OPS-SHT COL &quot;F&quot;"/>
      <sheetName val="FS-SHT"/>
      <sheetName val="MAT'L COL&quot;B&quot;"/>
      <sheetName val="MAT'L COL &quot;F&quot;"/>
      <sheetName val="TOOLS"/>
      <sheetName val="FEASIBILITY"/>
      <sheetName val="RECOM_CHGS"/>
      <sheetName val="PKG FORM"/>
      <sheetName val="PURCH QT"/>
      <sheetName val="INPUT - OUTP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chnical Proposal"/>
      <sheetName val="Section 1"/>
      <sheetName val="EEA Steel 4 Cyl Standard Time."/>
      <sheetName val="4 Cyl Pins with ALO "/>
      <sheetName val="EEA Steel 6 Cyl Standard Time."/>
      <sheetName val="6 Cyl Pins with ALO."/>
      <sheetName val="Joint Capacity @ 100,000 "/>
      <sheetName val="Joint Capacity Pins with ALO"/>
      <sheetName val="Revised Capacity for ALo 100K"/>
      <sheetName val=" Capital Inv @ 100,000"/>
      <sheetName val="Capital Inv @ 100k ALO. 7,12,01"/>
      <sheetName val="Section 3"/>
      <sheetName val="EEA Steel Tooling &amp; PPAP"/>
      <sheetName val="EEA Steel Ramp up"/>
      <sheetName val="Section 4"/>
      <sheetName val="Manpower Requirement @ 100k"/>
      <sheetName val="Section 5"/>
      <sheetName val="Assumptions &amp; Caveats"/>
    </sheetNames>
    <sheetDataSet>
      <sheetData sheetId="0" refreshError="1"/>
      <sheetData sheetId="1" refreshError="1"/>
      <sheetData sheetId="2" refreshError="1">
        <row r="9">
          <cell r="A9">
            <v>10</v>
          </cell>
        </row>
        <row r="10">
          <cell r="A10">
            <v>20</v>
          </cell>
        </row>
        <row r="11">
          <cell r="A11">
            <v>30</v>
          </cell>
        </row>
        <row r="12">
          <cell r="A12">
            <v>40</v>
          </cell>
        </row>
        <row r="13">
          <cell r="A13">
            <v>50</v>
          </cell>
        </row>
        <row r="14">
          <cell r="A14">
            <v>60</v>
          </cell>
        </row>
        <row r="15">
          <cell r="A15">
            <v>70</v>
          </cell>
        </row>
        <row r="16">
          <cell r="A16">
            <v>80</v>
          </cell>
        </row>
        <row r="17">
          <cell r="A17">
            <v>90</v>
          </cell>
        </row>
        <row r="18">
          <cell r="A18">
            <v>100</v>
          </cell>
        </row>
        <row r="19">
          <cell r="A19">
            <v>110</v>
          </cell>
        </row>
        <row r="20">
          <cell r="A20">
            <v>120</v>
          </cell>
        </row>
        <row r="21">
          <cell r="A21">
            <v>130</v>
          </cell>
        </row>
        <row r="22">
          <cell r="A22">
            <v>140</v>
          </cell>
        </row>
        <row r="23">
          <cell r="A23">
            <v>150</v>
          </cell>
        </row>
        <row r="24">
          <cell r="A24">
            <v>160</v>
          </cell>
        </row>
        <row r="25">
          <cell r="A25">
            <v>170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Parts List"/>
      <sheetName val="MOTO"/>
      <sheetName val="CASHFLOW"/>
      <sheetName val="DATA"/>
      <sheetName val="#REF"/>
      <sheetName val="Annex-1"/>
      <sheetName val="Bid_Sheet"/>
      <sheetName val="Setup &amp; Validation"/>
      <sheetName val="Sch1 - P&amp;L Summary"/>
      <sheetName val="Sch2 - BalSht Summary"/>
      <sheetName val="Sch3 - CFlow Summary"/>
      <sheetName val="Setup"/>
      <sheetName val="Tables"/>
      <sheetName val="Annexure G"/>
      <sheetName val="Form"/>
      <sheetName val="J1"/>
      <sheetName val="W-현원가"/>
      <sheetName val="A-100전제"/>
      <sheetName val="cf"/>
      <sheetName val="Financial Statements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ok1"/>
      <sheetName val="#REF"/>
      <sheetName val="netmatl."/>
      <sheetName val="corp"/>
      <sheetName val="B0_111350"/>
      <sheetName val="EDETNOV"/>
      <sheetName val="cvbu"/>
      <sheetName val="qty"/>
      <sheetName val="CVBUH2MONTHLY"/>
      <sheetName val="finalised"/>
      <sheetName val="Transportation"/>
      <sheetName val="change fdy"/>
      <sheetName val="MISforgeforging"/>
      <sheetName val="501frgmar"/>
      <sheetName val="FDY_PWR"/>
      <sheetName val="Dforgings"/>
      <sheetName val="IND9899"/>
      <sheetName val="Sheet1"/>
      <sheetName val="Sheet2"/>
      <sheetName val="Sheet3"/>
      <sheetName val="PRDMAR96"/>
      <sheetName val="RECON"/>
      <sheetName val="PCD_Matl"/>
      <sheetName val="PTP_Matrix"/>
      <sheetName val="FDY-MONTHLY"/>
      <sheetName val="divn-wise-PL (UPTO NOV'01)"/>
      <sheetName val="CUMMNOV"/>
      <sheetName val="Nov-01"/>
      <sheetName val="july02m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2経理"/>
      <sheetName val="#REF"/>
      <sheetName val="Operations 1 to 6"/>
      <sheetName val="Operations 7 to 12"/>
      <sheetName val="Operations 13 to 18"/>
      <sheetName val="HUNIT"/>
      <sheetName val="Business Plan"/>
      <sheetName val="After sales"/>
      <sheetName val="Plan Sheet"/>
      <sheetName val="CCM&amp;Target"/>
      <sheetName val="MPL 技連"/>
      <sheetName val="342E BLOCK"/>
      <sheetName val="レシオ表"/>
      <sheetName val="BOM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HEAD %"/>
      <sheetName val="REQUIREMENTS"/>
      <sheetName val="Assumption"/>
      <sheetName val="profitability statement"/>
      <sheetName val="Business Plan 03-04"/>
      <sheetName val="sales"/>
      <sheetName val="sale monthwise"/>
      <sheetName val="sale plan"/>
      <sheetName val="sale price"/>
      <sheetName val="materials"/>
      <sheetName val="Sheet3"/>
      <sheetName val="material cost"/>
      <sheetName val="localisation"/>
      <sheetName val="localisation sch"/>
      <sheetName val="selling exp."/>
      <sheetName val="personal"/>
      <sheetName val="manpower"/>
      <sheetName val="repair &amp; maintenance"/>
      <sheetName val="admin exp"/>
      <sheetName val="financial exp"/>
      <sheetName val="w capital"/>
      <sheetName val="fund flow"/>
      <sheetName val="balance sheet"/>
      <sheetName val="depreciation"/>
      <sheetName val="consumable"/>
      <sheetName val="capital exp."/>
      <sheetName val="cap summary"/>
      <sheetName val="elect deisel lpg 0203"/>
      <sheetName val="trial bal as per sap 31.3.03"/>
      <sheetName val="DEPRICIATION"/>
      <sheetName val="Addition-Mach"/>
      <sheetName val="03-04"/>
    </sheetNames>
    <sheetDataSet>
      <sheetData sheetId="0">
        <row r="18">
          <cell r="C18" t="str">
            <v xml:space="preserve">RATES &amp; TAXES </v>
          </cell>
        </row>
        <row r="19">
          <cell r="C19" t="str">
            <v>INSURANCE</v>
          </cell>
        </row>
        <row r="20">
          <cell r="C20" t="str">
            <v>VEHICLE RUNNING &amp; MAINTENANCE</v>
          </cell>
        </row>
        <row r="21">
          <cell r="C21" t="str">
            <v>TRAVELLING &amp; CONVEYANCE</v>
          </cell>
        </row>
        <row r="22">
          <cell r="C22" t="str">
            <v>DIRECTOR'S SITTING FEES</v>
          </cell>
        </row>
        <row r="23">
          <cell r="C23" t="str">
            <v>REPAIRS &amp; MAINT. (BLDG.&amp; P/M)</v>
          </cell>
        </row>
        <row r="24">
          <cell r="C24" t="str">
            <v>REPAIRS &amp; MAINT. (OTHERS)</v>
          </cell>
        </row>
        <row r="25">
          <cell r="C25" t="str">
            <v>DIRECTORS REMUNERATION</v>
          </cell>
        </row>
        <row r="26">
          <cell r="C26" t="str">
            <v>AUDIT FEES</v>
          </cell>
        </row>
        <row r="27">
          <cell r="C27" t="str">
            <v>LOSS ON SALES OF FIXED ASSETS</v>
          </cell>
        </row>
        <row r="28">
          <cell r="C28" t="str">
            <v>MISC.EXPENSES</v>
          </cell>
        </row>
        <row r="29">
          <cell r="C29" t="str">
            <v>PRELIMINARY/PUBLIC ISSUE &amp; DEFERRED REVENUE EXPENSES WRITTEN-OFF</v>
          </cell>
        </row>
        <row r="30">
          <cell r="C30" t="str">
            <v>FINANCIAL CHARGES</v>
          </cell>
        </row>
        <row r="31">
          <cell r="C31" t="str">
            <v>DEPRECIATION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4_APP別"/>
      <sheetName val="204_CHK"/>
      <sheetName val="204_APP別"/>
      <sheetName val="Sheet1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  <sheetName val="ﾊﾟｲﾌﾟ"/>
      <sheetName val="他材料費"/>
      <sheetName val="冷延鋼板"/>
      <sheetName val="熱延鋼板"/>
      <sheetName val="Material Input Status"/>
      <sheetName val="48810真"/>
      <sheetName val="①評価項目_メーカー"/>
      <sheetName val="SCH"/>
      <sheetName val="条件表"/>
      <sheetName val="Vehicle Parts List"/>
      <sheetName val="Labor"/>
      <sheetName val="Kalk_PKO"/>
      <sheetName val="事務所引越見積書"/>
      <sheetName val="#REF"/>
      <sheetName val="発注書"/>
      <sheetName val="res_mc"/>
      <sheetName val="●현황"/>
      <sheetName val="●목차"/>
      <sheetName val="BOM TOP"/>
      <sheetName val="Glcost"/>
      <sheetName val="MM利益・原価企画方針書ｶｸ１"/>
      <sheetName val="WG_00"/>
      <sheetName val="2000_ALL"/>
      <sheetName val="SUS_00"/>
      <sheetName val="품의서"/>
      <sheetName val="DECKBLATT"/>
      <sheetName val="N719(NC)"/>
      <sheetName val="Kalkulation"/>
      <sheetName val="HUNIT"/>
      <sheetName val="生涯利益計画ｼｰﾄ"/>
      <sheetName val="Header"/>
      <sheetName val="NPV1200"/>
      <sheetName val="input"/>
      <sheetName val="Kapitaleinsatz &amp; Umsatz"/>
      <sheetName val="Herstellkosten (Referenz)"/>
      <sheetName val="Working Capital"/>
      <sheetName val="添付１"/>
      <sheetName val="RIEPILOGO"/>
      <sheetName val="RFQI"/>
      <sheetName val="Sheet2"/>
      <sheetName val="Sheet1"/>
      <sheetName val="神奈川生産部"/>
      <sheetName val="99年度原単位"/>
      <sheetName val="１１月"/>
      <sheetName val="PO &amp; SA List"/>
      <sheetName val="094_APP別"/>
      <sheetName val="Start Here"/>
      <sheetName val="Seatbelt Guides"/>
      <sheetName val="Stowage Tray"/>
      <sheetName val="Constant"/>
      <sheetName val="WACC"/>
      <sheetName val="NCAB"/>
      <sheetName val="K440 can wake-up logic"/>
      <sheetName val="３発デ－タ"/>
      <sheetName val="full (2)"/>
      <sheetName val="TCA"/>
      <sheetName val="fkp"/>
      <sheetName val="材料使用量原紙"/>
      <sheetName val="Ideas Entered"/>
      <sheetName val="総合B"/>
      <sheetName val="Table"/>
      <sheetName val="MPL 技連"/>
      <sheetName val="342E BLOCK"/>
      <sheetName val="ES4"/>
      <sheetName val="saxo"/>
      <sheetName val="PRICE STRAT FOR 3F"/>
      <sheetName val="Config"/>
      <sheetName val="DATA_HEAD"/>
      <sheetName val="DATA_LIST"/>
      <sheetName val="DATA_HISTORY"/>
      <sheetName val="J or E"/>
      <sheetName val="MessageList"/>
      <sheetName val="BOM_TOP"/>
      <sheetName val="Material_Input_Status"/>
      <sheetName val="Vehicle_Parts_List"/>
      <sheetName val="TKBN_TKBNA"/>
      <sheetName val="推移データ"/>
      <sheetName val="工数集計"/>
      <sheetName val="表紙Ｐ２"/>
      <sheetName val="SUM14ZC1"/>
      <sheetName val="JOB_FO"/>
      <sheetName val="00-1"/>
      <sheetName val="HYO"/>
      <sheetName val="Titel"/>
      <sheetName val="Hyp"/>
      <sheetName val="A"/>
      <sheetName val="INFO"/>
      <sheetName val="PLM"/>
      <sheetName val="VAC BLK CALC "/>
      <sheetName val="e-BOM"/>
      <sheetName val="Blank AQR (old)"/>
      <sheetName val="CAP PLAN"/>
      <sheetName val="PKG &amp; FRT"/>
      <sheetName val="PROCESS INFO"/>
      <sheetName val="チーム案2英語"/>
      <sheetName val="Operating Plan Changes"/>
      <sheetName val="카메라"/>
      <sheetName val="ＴＡ２"/>
      <sheetName val="89"/>
      <sheetName val="ALPL"/>
      <sheetName val="square1"/>
      <sheetName val="Build Sheets"/>
      <sheetName val="d&amp;F"/>
      <sheetName val="ETRS"/>
      <sheetName val="Kapitaleinsatz_&amp;_Umsatz"/>
      <sheetName val="Herstellkosten_(Referenz)"/>
      <sheetName val="Working_Capital"/>
      <sheetName val="K440_can_wake-up_logic"/>
      <sheetName val="基本（編集禁止）"/>
      <sheetName val="ｺﾝﾄ構想再審査"/>
      <sheetName val="MATRIZ POR AREA"/>
      <sheetName val="段ﾎﾞｰﾙ箱図番･荷姿ｺｰﾄﾞ"/>
      <sheetName val="Sales"/>
      <sheetName val="組立費算出シート"/>
      <sheetName val="LCD(SEG)回路組立"/>
      <sheetName val="07実績"/>
      <sheetName val="挿入リスト"/>
      <sheetName val="DEPTEXP"/>
      <sheetName val="原単位表"/>
      <sheetName val="CASHFLOW"/>
      <sheetName val="３月ＫＤ"/>
      <sheetName val="算出一覧ＣⅡ"/>
      <sheetName val="ebom excel"/>
      <sheetName val="qad bom"/>
      <sheetName val="OM600"/>
      <sheetName val="Content"/>
      <sheetName val="Trim Dev Materials"/>
      <sheetName val="Labour"/>
      <sheetName val="Non Labour Forecast"/>
      <sheetName val="Costed Parts Matrix"/>
      <sheetName val="Engineering Assumptions"/>
      <sheetName val="Labour Forecast"/>
      <sheetName val="国产工装"/>
      <sheetName val="Default Rates"/>
      <sheetName val="Tables"/>
      <sheetName val="After Sales Supplier #'s"/>
      <sheetName val="FY99 Volume"/>
      <sheetName val="Tbom-tot"/>
      <sheetName val="Sep"/>
      <sheetName val="TT (13)"/>
      <sheetName val="AS-A"/>
      <sheetName val="T4-C_CAB"/>
      <sheetName val="New DYNA"/>
      <sheetName val="Forecast"/>
      <sheetName val="部品精度"/>
      <sheetName val="ｼｽﾃﾑ設定"/>
      <sheetName val="依頼書　Ｐ１"/>
      <sheetName val="Plan Sheet"/>
      <sheetName val="車体構成"/>
      <sheetName val="cover_org"/>
      <sheetName val="原価表"/>
      <sheetName val="基礎ﾃﾞｰﾀ"/>
      <sheetName val="ﾊﾞﾗﾝｽｼｰﾄ"/>
      <sheetName val="年度予算申請"/>
      <sheetName val="問題課題(pattern 3)"/>
      <sheetName val="VQS⑦-⑭"/>
      <sheetName val="VQS⑮"/>
      <sheetName val="APEAL詳細項目"/>
      <sheetName val="iqs_data"/>
      <sheetName val="iqs_index"/>
      <sheetName val="TOC"/>
      <sheetName val="01"/>
      <sheetName val="data"/>
      <sheetName val="新中部位"/>
      <sheetName val="Process Summary"/>
      <sheetName val="ECN-Mold Progress"/>
      <sheetName val="6호기"/>
      <sheetName val="PROFILE"/>
      <sheetName val="生産計画"/>
      <sheetName val="PRICE_STRAT_FOR_3F"/>
      <sheetName val="Seatbelt_Guides"/>
      <sheetName val="Stowage_Tray"/>
      <sheetName val="Ideas_Entered"/>
      <sheetName val="J_or_E"/>
      <sheetName val="Plan_Sheet"/>
      <sheetName val="tZR_39區分(案)0226"/>
      <sheetName val="Stamping Tool building Hrs"/>
      <sheetName val="Stamping Burden"/>
      <sheetName val="Parameters"/>
      <sheetName val="391.各"/>
      <sheetName val="E TOPICS"/>
      <sheetName val="集計結果"/>
      <sheetName val="一般"/>
      <sheetName val="管理"/>
      <sheetName val="管理職"/>
      <sheetName val="Table Master"/>
      <sheetName val="COST"/>
      <sheetName val="Report Key"/>
      <sheetName val="Europe PU-1"/>
      <sheetName val="Original ED&amp;D summary"/>
      <sheetName val="201consfdymar"/>
      <sheetName val="SM-13仕様一覧"/>
      <sheetName val="Base"/>
      <sheetName val="Calendar"/>
      <sheetName val="GRN Report 0706- 0307"/>
      <sheetName val="STANDARD_SEAT"/>
      <sheetName val="Features"/>
      <sheetName val="tesa micro hite"/>
      <sheetName val="Tooling breakdown"/>
      <sheetName val="Change"/>
      <sheetName val="PLFM01"/>
      <sheetName val="FR管理工程図"/>
      <sheetName val="TOTAL LIST"/>
      <sheetName val="Èå)_x0000_"/>
      <sheetName val=""/>
      <sheetName val="Wkz_PBD"/>
      <sheetName val="設変通知書 (E)"/>
      <sheetName val="FACT.B"/>
      <sheetName val="ﾒｲﾝﾒﾆｭｰ"/>
      <sheetName val="KD（業種別）"/>
      <sheetName val="現調（メーカ別）"/>
      <sheetName val="現調（業種別）"/>
      <sheetName val="com_cutWm21"/>
      <sheetName val="ALPL 030514"/>
      <sheetName val="Notice Link"/>
      <sheetName val="原単位表00"/>
      <sheetName val="U3J12"/>
      <sheetName val="ﾋﾟﾆｵﾝｾﾝｻ1万"/>
      <sheetName val="データ"/>
      <sheetName val="台数表"/>
      <sheetName val="51L2"/>
      <sheetName val="List"/>
      <sheetName val="表紙"/>
      <sheetName val="ＴＰ"/>
      <sheetName val="Address"/>
      <sheetName val="DFMEA"/>
      <sheetName val="Legend"/>
      <sheetName val="OPSTKFEB"/>
      <sheetName val="DEP"/>
      <sheetName val="Degreasing"/>
      <sheetName val="Primer"/>
      <sheetName val="Sandblasting"/>
      <sheetName val="cycle time reduction"/>
      <sheetName val="Base Info"/>
      <sheetName val="작성양식"/>
      <sheetName val="Contents"/>
      <sheetName val="Apr"/>
      <sheetName val="ASSUMPTIONS"/>
      <sheetName val="Assumption"/>
      <sheetName val="暂作价清单"/>
      <sheetName val="Stock Price"/>
      <sheetName val="XV0個人"/>
      <sheetName val="COST관리"/>
      <sheetName val="BND"/>
      <sheetName val="진행 DATA (2)"/>
      <sheetName val="Vol &amp; Assumpt"/>
      <sheetName val="ASSETS"/>
      <sheetName val="Ref IMM Sizes"/>
      <sheetName val="PLANTS"/>
      <sheetName val="Prog INFO"/>
      <sheetName val="GG S&amp;O List"/>
      <sheetName val="BOM系"/>
      <sheetName val="Pre-concept AX0"/>
      <sheetName val="IAC Quote Processes"/>
      <sheetName val="Sq Area INPUT"/>
      <sheetName val="Roll Out - Limit"/>
      <sheetName val="LPIM BLK CALC"/>
      <sheetName val="Import"/>
      <sheetName val="ASSET PLAN"/>
      <sheetName val=" Cycle Times"/>
      <sheetName val="DIE CUT ROLL CALC"/>
      <sheetName val="EFFICIENCY VS VOLUME"/>
      <sheetName val="TOOL INFO"/>
      <sheetName val="contract AGER"/>
      <sheetName val="contract APOR"/>
      <sheetName val="market AGER"/>
      <sheetName val="market APOR"/>
      <sheetName val="제조부문배부"/>
      <sheetName val="MAREA"/>
      <sheetName val="Marea MY"/>
      <sheetName val="ULYSSE"/>
      <sheetName val="Brava-o MY"/>
      <sheetName val="SEI"/>
      <sheetName val="TOT"/>
      <sheetName val="PANDA"/>
      <sheetName val="P.TO"/>
      <sheetName val="MULTIPLA"/>
      <sheetName val="COUPE"/>
      <sheetName val="Foglio1"/>
      <sheetName val="Part Pictorials"/>
      <sheetName val="MenuPicks"/>
      <sheetName val="月度報告書"/>
      <sheetName val="EPW 0630"/>
      <sheetName val="FB sepa S2"/>
      <sheetName val="計算結果"/>
      <sheetName val="Iss-unp"/>
      <sheetName val="Iss-wo"/>
      <sheetName val="Rct-unp"/>
      <sheetName val="JCAE Sale Price"/>
      <sheetName val="R FJS CAR (old)"/>
      <sheetName val="作業中"/>
      <sheetName val="MATRIZ_POR_AREA"/>
      <sheetName val="Productivity"/>
      <sheetName val="74上"/>
      <sheetName val="基準"/>
      <sheetName val="月次データ"/>
      <sheetName val="Japanese Summary"/>
      <sheetName val="ﾌﾗｸﾞ"/>
      <sheetName val="計算"/>
      <sheetName val="HPS Slit Coil (Centralia)"/>
      <sheetName val="ＣＡＭＹ　ＭⅢ"/>
      <sheetName val="PN LIST"/>
      <sheetName val="F7 Custom Service Center (CSC)"/>
      <sheetName val="F5 E1-TEI "/>
      <sheetName val="F5 Specific expenses Vol Drop"/>
      <sheetName val="F5 Specific expenses"/>
      <sheetName val="設計通知書原紙"/>
      <sheetName val="主要WH売上"/>
      <sheetName val="ｸﾗｾﾝｼｽﾃﾑFMEA"/>
      <sheetName val="SourceData"/>
      <sheetName val="システム記号リスト"/>
      <sheetName val="NYTO-model"/>
      <sheetName val="LESCI J77"/>
      <sheetName val="DV Release"/>
      <sheetName val="Read me first"/>
      <sheetName val="DETA1121ｋｋｋ"/>
      <sheetName val="JT3.0견적-구1"/>
      <sheetName val="Croisements (Ai - Ej - Mk) X85"/>
      <sheetName val="Total Income Statement"/>
      <sheetName val="Price J60E6"/>
      <sheetName val="Precios"/>
      <sheetName val="CAMCAL1"/>
      <sheetName val="残業計画"/>
      <sheetName val="ラミ"/>
      <sheetName val="DIEZEL動弁相場"/>
      <sheetName val="MOTEUR"/>
      <sheetName val="organization data"/>
      <sheetName val="Labor cost"/>
      <sheetName val="EUR"/>
      <sheetName val="X61B ZH2E L1 #1"/>
      <sheetName val="sheet17"/>
      <sheetName val="A33(引三引四)"/>
      <sheetName val="系統選單"/>
      <sheetName val="SU BOM 20071213"/>
      <sheetName val="転造盤まとめ"/>
      <sheetName val="結果一覧 ｼｰﾄ"/>
      <sheetName val="#REF!"/>
      <sheetName val="MOTOc_x0000_?_x0000_?ご?_x0012_?_x0012_??_x0000__x0000__x0000__x0000_?ご?_x0000_?_x0012_????_x0000_"/>
      <sheetName val="MOTOc_x0000_ࠀ_x0000_笰ごꒈ_x0012_ꐸ_x0012_뜝瞮_x0000__x0000__x0000__x0000_猰ごࠀ_x0000_ꒀ_x0012_嘻瞦咚瞦_x0000_"/>
      <sheetName val="MOTOc_x0000_?_x0000_?ご?_x0012_?_x0012_??_x0000_?ご?_x0000_?_x0012_????_x0000_?_x0000_?"/>
      <sheetName val="MOTOc_x0000_ࠀ笰ごꒈ_x0012_ꐸ_x0012_뜝瞮猰ごࠀꒀ_x0012_嘻瞦咚瞦یꑠ_x0012_噍瞦ՠڄ"/>
      <sheetName val="MOTOc_x0000_ࠀ笰ごꒈ_x0012_ꐸ_x0012_뜝瞮猰ごࠀꒀ_x0012_嘻瞦咚瞦৿ꑠ_x0012_噍瞦ՠষ"/>
      <sheetName val="MOTOc_x0000_ࠀ笰ごꒈ_x0012_ꐸ_x0012_뜝瞮猰ごࠀꒀ_x0012_嘻瞦咚瞦۲ꑠ_x0012_噍瞦ᕀč"/>
      <sheetName val="別紙3-1機能別ﾌﾞﾛｯｸ別原価目標"/>
      <sheetName val="別紙3-2Budget(機能、費目別)"/>
      <sheetName val="MOTOc_x0000_?_x0000_?ご?_x0012_?_x0012_??_x0000__x0000__x0000__x0000_&gt;ご?_x0000_?_x0012_????_x0000_"/>
      <sheetName val="MOTOc"/>
      <sheetName val="MOTOc_x0000_?_x0000_?ご?_x0012_?_x0012_??_x0000_&gt;ご?_x0000_?_x0012_????_x0000_?_x0000_?"/>
      <sheetName val="MOTOc_x0000_ࠀ_x0000_笰ごꒈ_x0012_ꐸ_x0012_뜝瞮_x0000_猰ごࠀ_x0000_ꒀ_x0012_嘻瞦咚瞦_x0000_ی_x0000_ꑠ"/>
      <sheetName val="MOTOc_x0000_ࠀ_x0000_笰ごꒈ_x0012_ꐸ_x0012_뜝瞮_x0000_猰ごࠀ_x0000_ꒀ_x0012_嘻瞦咚瞦_x0000_۲_x0000_ꑠ"/>
      <sheetName val="MOTGc_x0000_ࠀ_x0000_笰ごꒈ_x0012_ꐸ_x0012_뜝瞮_x0000__x0000__x0000__x0000_猰ごࠀ_x0000_ꒀ_x0012_嘻瞦咚瞦_x0000_"/>
      <sheetName val="Specific Data"/>
      <sheetName val="进口工装"/>
      <sheetName val="Input Sheet"/>
      <sheetName val="FIN5"/>
      <sheetName val="VTooling"/>
      <sheetName val="投资"/>
      <sheetName val="mster"/>
      <sheetName val="日程管理表"/>
      <sheetName val="财务计算"/>
      <sheetName val="gds"/>
      <sheetName val="計算ｼｰﾄ"/>
      <sheetName val="B-code"/>
      <sheetName val="MOTGc"/>
      <sheetName val="PREMISAS"/>
      <sheetName val="指数比較"/>
      <sheetName val="Budget"/>
      <sheetName val="Analyst"/>
      <sheetName val="Inputs and Data"/>
      <sheetName val="Feuil1"/>
      <sheetName val="会社情報"/>
      <sheetName val="日程"/>
      <sheetName val="進め方"/>
      <sheetName val="Materials"/>
      <sheetName val="Price"/>
      <sheetName val="XX98CALB"/>
      <sheetName val="３ドア"/>
      <sheetName val="WIRE"/>
      <sheetName val="配布版"/>
      <sheetName val="VIM Data"/>
      <sheetName val="PRIX 2009"/>
      <sheetName val="Ford"/>
      <sheetName val="TSM6709G"/>
      <sheetName val="WEIGHT"/>
      <sheetName val="MRSTE"/>
      <sheetName val="Inpanel"/>
      <sheetName val="Interior Trim"/>
      <sheetName val="元データー"/>
      <sheetName val="部品ﾘｽﾄ"/>
      <sheetName val="ﾀﾘﾌ"/>
      <sheetName val="実績"/>
      <sheetName val="INDEX"/>
      <sheetName val="Antivol D2"/>
      <sheetName val="IVP und Afa"/>
      <sheetName val="ﾊﾀﾀﾞ内示"/>
      <sheetName val="702.515.881t"/>
      <sheetName val="Param"/>
      <sheetName val="資材納入日程表"/>
      <sheetName val="Data 0101"/>
      <sheetName val=" DATA"/>
      <sheetName val="resume"/>
      <sheetName val="IPL"/>
      <sheetName val="表5-2 地区別CO2排出実績"/>
      <sheetName val="???"/>
      <sheetName val="RES"/>
      <sheetName val="LOTUS"/>
      <sheetName val="DD96.1.18"/>
      <sheetName val="Parameter"/>
      <sheetName val="VARIÁVEIS"/>
      <sheetName val="Reference "/>
      <sheetName val="645a 9-18 PTO 4.3"/>
      <sheetName val="Rules"/>
      <sheetName val="PRESENTATION"/>
      <sheetName val="VA"/>
      <sheetName val="H2"/>
      <sheetName val="Laser Weld"/>
      <sheetName val="LOAD HOURS"/>
      <sheetName val="Portfolio"/>
      <sheetName val="Gates"/>
      <sheetName val="Summary"/>
      <sheetName val="cc 0214 2300"/>
      <sheetName val="Fert.ablauf"/>
      <sheetName val="型上げ"/>
      <sheetName val="中実"/>
      <sheetName val="Cover"/>
      <sheetName val="PARAMETRES"/>
      <sheetName val="フォーム1"/>
      <sheetName val="Sheet5"/>
      <sheetName val="INV"/>
      <sheetName val="Handl_Komm"/>
      <sheetName val="TB Jan-Dec96"/>
      <sheetName val="Managerial Remuneration-Dec96"/>
      <sheetName val="BS&amp;PL_DEC96"/>
      <sheetName val="계약"/>
      <sheetName val="--- (2)"/>
      <sheetName val="Waterfall  0_Toolb"/>
      <sheetName val="생산"/>
      <sheetName val="Eng"/>
      <sheetName val="参考"/>
      <sheetName val="グラフ"/>
      <sheetName val="Internal"/>
      <sheetName val="BOM_TOP1"/>
      <sheetName val="Material_Input_Status1"/>
      <sheetName val="Vehicle_Parts_List1"/>
      <sheetName val="Kapitaleinsatz_&amp;_Umsatz1"/>
      <sheetName val="Herstellkosten_(Referenz)1"/>
      <sheetName val="Working_Capital1"/>
      <sheetName val="VAC_BLK_CALC_"/>
      <sheetName val="Blank_AQR_(old)"/>
      <sheetName val="CAP_PLAN"/>
      <sheetName val="PKG_&amp;_FRT"/>
      <sheetName val="PROCESS_INFO"/>
      <sheetName val="Seatbelt_Guides1"/>
      <sheetName val="Stowage_Tray1"/>
      <sheetName val="K440_can_wake-up_logic1"/>
      <sheetName val="full_(2)"/>
      <sheetName val="Ideas_Entered1"/>
      <sheetName val="MPL_技連"/>
      <sheetName val="342E_BLOCK"/>
      <sheetName val="PRICE_STRAT_FOR_3F1"/>
      <sheetName val="J_or_E1"/>
      <sheetName val="Build_Sheets"/>
      <sheetName val="MATRIZ_POR_AREA1"/>
      <sheetName val="ebom_excel"/>
      <sheetName val="qad_bom"/>
      <sheetName val="Trim_Dev_Materials"/>
      <sheetName val="Non_Labour_Forecast"/>
      <sheetName val="Costed_Parts_Matrix"/>
      <sheetName val="Engineering_Assumptions"/>
      <sheetName val="Labour_Forecast"/>
      <sheetName val="Default_Rates"/>
      <sheetName val="Stock_Price"/>
      <sheetName val="Process_Summary"/>
      <sheetName val="Plan_Sheet1"/>
      <sheetName val="After_Sales_Supplier_#'s"/>
      <sheetName val="FY99_Volume"/>
      <sheetName val="ECN-Mold_Progress"/>
      <sheetName val="TT_(13)"/>
      <sheetName val="New_DYNA"/>
      <sheetName val="진행_DATA_(2)"/>
      <sheetName val="Vol_&amp;_Assumpt"/>
      <sheetName val="Ref_IMM_Sizes"/>
      <sheetName val="Prog_INFO"/>
      <sheetName val="IAC_Quote_Processes"/>
      <sheetName val="Sq_Area_INPUT"/>
      <sheetName val="Stamping_Tool_building_Hrs"/>
      <sheetName val="Stamping_Burden"/>
      <sheetName val="391_各"/>
      <sheetName val="Table_Master"/>
      <sheetName val="Roll_Out_-_Limit"/>
      <sheetName val="LPIM_BLK_CALC"/>
      <sheetName val="ASSET_PLAN"/>
      <sheetName val="_Cycle_Times"/>
      <sheetName val="DIE_CUT_ROLL_CALC"/>
      <sheetName val="EFFICIENCY_VS_VOLUME"/>
      <sheetName val="TOOL_INFO"/>
      <sheetName val="contract_AGER"/>
      <sheetName val="contract_APOR"/>
      <sheetName val="market_AGER"/>
      <sheetName val="market_APOR"/>
      <sheetName val="Marea_MY"/>
      <sheetName val="Brava-o_MY"/>
      <sheetName val="P_TO"/>
      <sheetName val="Part_Pictorials"/>
      <sheetName val="EPW_0630"/>
      <sheetName val="Europe_PU-1"/>
      <sheetName val="FB_sepa_S2"/>
      <sheetName val="問題課題(pattern_3)"/>
      <sheetName val="JCAE_Sale_Price"/>
      <sheetName val="R_FJS_CAR_(old)"/>
      <sheetName val="Report_Key"/>
      <sheetName val="Original_ED&amp;D_summary"/>
      <sheetName val="Japanese_Summary"/>
      <sheetName val="HPS_Slit_Coil_(Centralia)"/>
      <sheetName val="PN_LIST"/>
      <sheetName val="F7_Custom_Service_Center_(CSC)"/>
      <sheetName val="F5_E1-TEI_"/>
      <sheetName val="F5_Specific_expenses_Vol_Drop"/>
      <sheetName val="F5_Specific_expenses"/>
      <sheetName val="LESCI_J77"/>
      <sheetName val="DV_Release"/>
      <sheetName val="Read_me_first"/>
      <sheetName val="JT3_0견적-구1"/>
      <sheetName val="Croisements_(Ai_-_Ej_-_Mk)_X85"/>
      <sheetName val="Total_Income_Statement"/>
      <sheetName val="Price_J60E6"/>
      <sheetName val="organization_data"/>
      <sheetName val="Labor_cost"/>
      <sheetName val="X61B_ZH2E_L1_#1"/>
      <sheetName val="SU_BOM_20071213"/>
      <sheetName val="結果一覧_ｼｰﾄ"/>
      <sheetName val="MOTOc??ご?????ご??????"/>
      <sheetName val="MOTOcࠀ笰ごꒈꐸ뜝瞮猰ごࠀꒀ嘻瞦咚瞦"/>
      <sheetName val="MOTOc??ご?????ご????????"/>
      <sheetName val="MOTOcࠀ笰ごꒈꐸ뜝瞮猰ごࠀꒀ嘻瞦咚瞦یꑠ噍瞦ՠڄ"/>
      <sheetName val="MOTOcࠀ笰ごꒈꐸ뜝瞮猰ごࠀꒀ嘻瞦咚瞦৿ꑠ噍瞦ՠষ"/>
      <sheetName val="Èå)"/>
      <sheetName val="___"/>
      <sheetName val="MOTOcࠀ笰ごꒈꐸ뜝瞮猰ごࠀꒀ嘻瞦咚瞦۲ꑠ噍瞦ᕀč"/>
      <sheetName val="MOTOc??ご????&gt;ご??????"/>
      <sheetName val="MOTOc??ご????&gt;ご????????"/>
      <sheetName val="MOTOcࠀ笰ごꒈꐸ뜝瞮猰ごࠀꒀ嘻瞦咚瞦یꑠ"/>
      <sheetName val="MOTOcࠀ笰ごꒈꐸ뜝瞮猰ごࠀꒀ嘻瞦咚瞦۲ꑠ"/>
      <sheetName val="MOTGcࠀ笰ごꒈꐸ뜝瞮猰ごࠀꒀ嘻瞦咚瞦"/>
      <sheetName val="Specific_Data"/>
      <sheetName val="Input_Sheet"/>
      <sheetName val="E_TOPICS"/>
      <sheetName val="Tooling_breakdown"/>
      <sheetName val="Inputs_and_Data"/>
      <sheetName val="cycle_time_reduction"/>
      <sheetName val="Base_Info"/>
      <sheetName val="GG_S&amp;O_List"/>
      <sheetName val="Operating_Plan_Changes"/>
      <sheetName val="Pre-concept_AX0"/>
      <sheetName val="VIM_Data"/>
      <sheetName val="PRIX_2009"/>
      <sheetName val="Interior_Trim"/>
      <sheetName val="Antivol_D2"/>
      <sheetName val="IVP_und_Afa"/>
      <sheetName val="702_515_881t"/>
      <sheetName val="Data_0101"/>
      <sheetName val="_DATA"/>
      <sheetName val="表5-2_地区別CO2排出実績"/>
      <sheetName val="DD96_1_18"/>
      <sheetName val="Reference_"/>
      <sheetName val="645a_9-18_PTO_4_3"/>
      <sheetName val="Laser_Weld"/>
      <sheetName val="LOAD_HOURS"/>
      <sheetName val="cc_0214_2300"/>
      <sheetName val="Fert_ablauf"/>
      <sheetName val="OPER. SPECS"/>
      <sheetName val="RAW MATERIAL"/>
      <sheetName val="Neuteileinfo"/>
      <sheetName val="CFLOW"/>
      <sheetName val="A-100전제"/>
      <sheetName val="차체 품안표"/>
      <sheetName val="CUSTOMER (DETAIL)"/>
      <sheetName val="132下実施期GAP"/>
      <sheetName val="효율계획(당월)"/>
      <sheetName val="전체실적"/>
      <sheetName val="改进计划"/>
      <sheetName val="尾门板总成 "/>
      <sheetName val="Exploded"/>
      <sheetName val="Exploded End Items"/>
      <sheetName val="Parameters SSR"/>
      <sheetName val="Just for calculation"/>
      <sheetName val="01重点管理ｴﾘｱ"/>
      <sheetName val="集計ﾘｽﾄ"/>
      <sheetName val="Burden 2800"/>
      <sheetName val="入力表"/>
      <sheetName val="工程別見積り"/>
      <sheetName val="金型サイズ"/>
      <sheetName val="工程別見積り (SP)"/>
      <sheetName val="Std_parts"/>
      <sheetName val="342A Block"/>
      <sheetName val="部品情報"/>
      <sheetName val="コード表"/>
      <sheetName val="Ideal Cost"/>
      <sheetName val="値マスタ"/>
      <sheetName val="#ofclose"/>
      <sheetName val="FORM"/>
      <sheetName val="W12B_RS"/>
      <sheetName val="ＨＸ準備費一覧"/>
      <sheetName val="工数海外比率"/>
      <sheetName val="Product Validation"/>
      <sheetName val="说明"/>
      <sheetName val="配方信息1"/>
      <sheetName val="配方信息"/>
      <sheetName val="BOM目录"/>
      <sheetName val="Sales price"/>
      <sheetName val="汇总"/>
      <sheetName val="模板"/>
      <sheetName val="VW373"/>
      <sheetName val="2XP"/>
      <sheetName val="2WF(FIT)"/>
      <sheetName val="A10 (2)"/>
      <sheetName val="A10"/>
      <sheetName val="POLO H GP"/>
      <sheetName val="AS21"/>
      <sheetName val="L538"/>
      <sheetName val="IP2X MCE"/>
      <sheetName val="VW321 (Lavida taxi)"/>
      <sheetName val="IP24 RSB CN"/>
      <sheetName val="CN200"/>
      <sheetName val="E17"/>
      <sheetName val="CN100"/>
      <sheetName val="SK371 (PV20140226)降密方案"/>
      <sheetName val="SK371 (PV20140226) "/>
      <sheetName val="SK371 (PV1)"/>
      <sheetName val="G29"/>
      <sheetName val="D2UB"/>
      <sheetName val="KC FOAM"/>
      <sheetName val="T6LA(2CE)"/>
      <sheetName val="X12G"/>
      <sheetName val="D15"/>
      <sheetName val="C60F"/>
      <sheetName val="B753  PV"/>
      <sheetName val="B81C (广州)"/>
      <sheetName val="B81C"/>
      <sheetName val="SGM318"/>
      <sheetName val="K211"/>
      <sheetName val="D2SC PV"/>
      <sheetName val="D2SC DV"/>
      <sheetName val="B754"/>
      <sheetName val="B753  PV (2)"/>
      <sheetName val="TFC MY14"/>
      <sheetName val="531"/>
      <sheetName val="AP13"/>
      <sheetName val="ZP11 EU"/>
      <sheetName val="BP31减薄版"/>
      <sheetName val="T4NA(2CN)"/>
      <sheetName val="E16(SGM)"/>
      <sheetName val="SGM318 (3)"/>
      <sheetName val="SGM318 (2)"/>
      <sheetName val="T88(42-1)NEW"/>
      <sheetName val="IP21 MCE"/>
      <sheetName val="M3M4"/>
      <sheetName val="J53R"/>
      <sheetName val="SK253 SB(M-A ENTRY SB)"/>
      <sheetName val="SK371"/>
      <sheetName val="Model S FL(SK461)"/>
      <sheetName val="LAVIDA DERIVAT"/>
      <sheetName val="EP11"/>
      <sheetName val="Model A TAXI"/>
      <sheetName val="B753"/>
      <sheetName val="SGM258 MY13"/>
      <sheetName val="T88(42-1)"/>
      <sheetName val="PSA"/>
      <sheetName val="New Model A20130304"/>
      <sheetName val="New Model A20120921"/>
      <sheetName val="New Model A"/>
      <sheetName val="New Model A降密"/>
      <sheetName val="IP22 EU&amp;UK"/>
      <sheetName val="T4NA(2CN) (2)"/>
      <sheetName val="T5AA"/>
      <sheetName val="GAMMA SUV"/>
      <sheetName val="T88(试制线)"/>
      <sheetName val="T88-42-2"/>
      <sheetName val="AP12"/>
      <sheetName val="E16(GMNA)"/>
      <sheetName val="BP31"/>
      <sheetName val="Model H GTI"/>
      <sheetName val="New Lavida"/>
      <sheetName val="E12"/>
      <sheetName val="柳州项目"/>
      <sheetName val="Model A"/>
      <sheetName val="X12F"/>
      <sheetName val="X12D"/>
      <sheetName val="IP22 CN L-CAR"/>
      <sheetName val="SGM201 R3 ISS"/>
      <sheetName val="Model S MP12"/>
      <sheetName val="Model F FL"/>
      <sheetName val="Model H Cross"/>
      <sheetName val="New Model K"/>
      <sheetName val="QBC20111216"/>
      <sheetName val="E11"/>
      <sheetName val="ZP11 MG"/>
      <sheetName val="TFC"/>
      <sheetName val="Sheet11"/>
      <sheetName val="List Data"/>
      <sheetName val="MASTER"/>
      <sheetName val="Coating"/>
      <sheetName val="Material Tables"/>
      <sheetName val="Weld Tool"/>
      <sheetName val="BOM Input"/>
      <sheetName val="Parts List"/>
      <sheetName val="Standards"/>
      <sheetName val="Workdays"/>
      <sheetName val="ALL PARTS PRICE LIST"/>
      <sheetName val="ptpcost1"/>
      <sheetName val="summary-1"/>
      <sheetName val="DATA_DELIVERY"/>
      <sheetName val="保証項目一覧"/>
      <sheetName val="115墌娃敖"/>
      <sheetName val="PART"/>
      <sheetName val="Ass'y-A (Day)"/>
      <sheetName val="67630,40-640AM"/>
      <sheetName val="達成729"/>
      <sheetName val="Annual Sales"/>
      <sheetName val="資材費"/>
      <sheetName val="売上"/>
      <sheetName val="Marginal'05-'08(Jul-Dec)"/>
      <sheetName val="BU Summary Data"/>
      <sheetName val="Material"/>
      <sheetName val="Anlagen"/>
      <sheetName val="Macro1"/>
      <sheetName val="Aztek"/>
      <sheetName val="PROTECTOR단가"/>
      <sheetName val="県別ﾏﾙﾁ"/>
      <sheetName val="Package.Presentation"/>
      <sheetName val="W-현원가"/>
      <sheetName val="?????"/>
      <sheetName val="????"/>
      <sheetName val="BOM"/>
      <sheetName val="Business Plan"/>
      <sheetName val="Purchasing"/>
      <sheetName val="PC%계산"/>
      <sheetName val="5 UPS Data"/>
      <sheetName val="415T原"/>
      <sheetName val="車会集約"/>
      <sheetName val="CONS0004"/>
      <sheetName val="MRS세부"/>
      <sheetName val="minimum lot size"/>
      <sheetName val="ＭⅢ"/>
      <sheetName val="フォーム2"/>
      <sheetName val="W_LBOOK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売上総益ﾃﾞｰﾀ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Part by Part"/>
      <sheetName val="システム"/>
      <sheetName val="加藤(評)"/>
      <sheetName val="日産ｺﾓﾝR"/>
      <sheetName val="設備保全"/>
      <sheetName val="inver"/>
      <sheetName val="Calculations_Parameters"/>
      <sheetName val="mix"/>
      <sheetName val="Volumes"/>
      <sheetName val="Dashboard"/>
      <sheetName val="094W原紙 "/>
      <sheetName val="Key Function in Master FMEA"/>
      <sheetName val="Sheet3"/>
      <sheetName val="構想書原紙"/>
      <sheetName val="ML"/>
      <sheetName val="06年度計画"/>
      <sheetName val="Process means"/>
      <sheetName val="Fixture List"/>
      <sheetName val="Sheet6 (3)"/>
      <sheetName val="주행"/>
      <sheetName val="MOTOR"/>
      <sheetName val="Rate"/>
      <sheetName val="Basic"/>
      <sheetName val="Customer Part Approval"/>
      <sheetName val="Development Start"/>
      <sheetName val="Final Production Release"/>
      <sheetName val="liste"/>
      <sheetName val="設定"/>
      <sheetName val="Ref"/>
      <sheetName val="Plant Data"/>
      <sheetName val="P&amp;L"/>
      <sheetName val="Sales by Customer"/>
      <sheetName val="Entity"/>
      <sheetName val="INTRO"/>
      <sheetName val="Makro1"/>
      <sheetName val="11"/>
      <sheetName val="H1"/>
      <sheetName val="exp"/>
      <sheetName val="FU"/>
      <sheetName val="Std-RawMat"/>
      <sheetName val="Std-Process"/>
      <sheetName val="Synthèse"/>
      <sheetName val="costes internos"/>
      <sheetName val="Embout"/>
      <sheetName val="OCT"/>
      <sheetName val="MOTOc__ご_____ご______"/>
      <sheetName val="MOTOc__ご_____ご________"/>
      <sheetName val="MOTOc__ご____&gt;ご______"/>
      <sheetName val="MOTOc__ご____&gt;ご________"/>
      <sheetName val="_____"/>
      <sheetName val="____"/>
      <sheetName val="tesa_micro_hite"/>
      <sheetName val="PO_&amp;_SA_List"/>
      <sheetName val="Start_Here"/>
      <sheetName val="GRN_Report_0706-_0307"/>
      <sheetName val="TOTAL_LIST"/>
      <sheetName val="Material_Input_Status2"/>
      <sheetName val="tesa_micro_hite1"/>
      <sheetName val="Vehicle_Parts_List2"/>
      <sheetName val="BOM_TOP2"/>
      <sheetName val="Kapitaleinsatz_&amp;_Umsatz2"/>
      <sheetName val="Herstellkosten_(Referenz)2"/>
      <sheetName val="Working_Capital2"/>
      <sheetName val="PO_&amp;_SA_List1"/>
      <sheetName val="Start_Here1"/>
      <sheetName val="Seatbelt_Guides2"/>
      <sheetName val="Stowage_Tray2"/>
      <sheetName val="K440_can_wake-up_logic2"/>
      <sheetName val="full_(2)1"/>
      <sheetName val="Ideas_Entered2"/>
      <sheetName val="MPL_技連1"/>
      <sheetName val="342E_BLOCK1"/>
      <sheetName val="PRICE_STRAT_FOR_3F2"/>
      <sheetName val="J_or_E2"/>
      <sheetName val="VAC_BLK_CALC_1"/>
      <sheetName val="Blank_AQR_(old)1"/>
      <sheetName val="CAP_PLAN1"/>
      <sheetName val="PKG_&amp;_FRT1"/>
      <sheetName val="PROCESS_INFO1"/>
      <sheetName val="Operating_Plan_Changes1"/>
      <sheetName val="Build_Sheets1"/>
      <sheetName val="ebom_excel1"/>
      <sheetName val="qad_bom1"/>
      <sheetName val="Trim_Dev_Materials1"/>
      <sheetName val="Non_Labour_Forecast1"/>
      <sheetName val="Costed_Parts_Matrix1"/>
      <sheetName val="Engineering_Assumptions1"/>
      <sheetName val="Labour_Forecast1"/>
      <sheetName val="Default_Rates1"/>
      <sheetName val="After_Sales_Supplier_#'s1"/>
      <sheetName val="FY99_Volume1"/>
      <sheetName val="TT_(13)1"/>
      <sheetName val="New_DYNA1"/>
      <sheetName val="Plan_Sheet2"/>
      <sheetName val="問題課題(pattern_3)1"/>
      <sheetName val="Process_Summary1"/>
      <sheetName val="ECN-Mold_Progress1"/>
      <sheetName val="Stamping_Tool_building_Hrs1"/>
      <sheetName val="Stamping_Burden1"/>
      <sheetName val="391_各1"/>
      <sheetName val="E_TOPICS1"/>
      <sheetName val="Table_Master1"/>
      <sheetName val="Report_Key1"/>
      <sheetName val="Europe_PU-11"/>
      <sheetName val="Original_ED&amp;D_summary1"/>
      <sheetName val="GRN_Report_0706-_03071"/>
      <sheetName val="Tooling_breakdown1"/>
      <sheetName val="TOTAL_LIST1"/>
      <sheetName val="cycle_time_reduction1"/>
      <sheetName val="Base_Info1"/>
      <sheetName val="Drop-Down Lists"/>
      <sheetName val="(参考)_ﾌﾟﾙﾀﾞｳﾝ項目設定"/>
      <sheetName val="Traceability"/>
      <sheetName val="E150001(1)"/>
      <sheetName val="両側公差"/>
      <sheetName val="生データ"/>
      <sheetName val="フラグ"/>
      <sheetName val="分析対策内容一覧（重複抜き）"/>
      <sheetName val="890317主檔"/>
      <sheetName val="新規手配票選択項目"/>
      <sheetName val="オリジナル"/>
      <sheetName val="生産総枠"/>
      <sheetName val="国"/>
      <sheetName val="海"/>
      <sheetName val="FW_STEXCEL"/>
      <sheetName val="計算DATA"/>
      <sheetName val="HL extract"/>
      <sheetName val="班部番別"/>
      <sheetName val="明細"/>
      <sheetName val="TienLuong"/>
      <sheetName val="ChiTietDZ"/>
      <sheetName val="VuaBT"/>
      <sheetName val="NKC"/>
      <sheetName val="CHHS AVSS6"/>
      <sheetName val="３発デ_タ"/>
      <sheetName val="Lban"/>
      <sheetName val="名簿データ"/>
      <sheetName val="32107"/>
      <sheetName val="TW_STDATA"/>
      <sheetName val="投資利益率計算"/>
      <sheetName val="MAYANK"/>
      <sheetName val="0604購入先別手配データ"/>
      <sheetName val="_MISSION"/>
      <sheetName val="capacité"/>
      <sheetName val="①"/>
      <sheetName val="Data Table"/>
      <sheetName val="4. Project Plan"/>
      <sheetName val="SLRC"/>
      <sheetName val="Übersicht"/>
      <sheetName val="BURDEN"/>
      <sheetName val="SELL"/>
      <sheetName val="R&amp;D"/>
      <sheetName val="CRITERIA5"/>
      <sheetName val="リスト"/>
      <sheetName val="CAUDIT"/>
      <sheetName val="テレビＣＭ"/>
      <sheetName val="?d?l?? (full-SUV)"/>
      <sheetName val="設定1"/>
      <sheetName val="RM cost Evapo Standarti"/>
      <sheetName val="RS Sound Add  Module"/>
      <sheetName val="Preisliste"/>
      <sheetName val="収入(億円)"/>
      <sheetName val="MOTOc????ご?_x0012_?_x0012_???????ご???_x0012_?????"/>
      <sheetName val="MOTOc?ࠀ?笰ごꒈ_x0012_ꐸ_x0012_뜝瞮????猰ごࠀ?ꒀ_x0012_嘻瞦咚瞦?"/>
      <sheetName val="MOTOc????ご?_x0012_?_x0012_????ご???_x0012_????????"/>
      <sheetName val="MOTOc?ࠀ笰ごꒈ_x0012_ꐸ_x0012_뜝瞮猰ごࠀꒀ_x0012_嘻瞦咚瞦یꑠ_x0012_噍瞦ՠڄ"/>
      <sheetName val="MOTOc?ࠀ笰ごꒈ_x0012_ꐸ_x0012_뜝瞮猰ごࠀꒀ_x0012_嘻瞦咚瞦৿ꑠ_x0012_噍瞦ՠষ"/>
      <sheetName val="MOTOc?ࠀ笰ごꒈ_x0012_ꐸ_x0012_뜝瞮猰ごࠀꒀ_x0012_嘻瞦咚瞦۲ꑠ_x0012_噍瞦ᕀč"/>
      <sheetName val="MOTOc????ご?_x0012_?_x0012_??????&gt;ご???_x0012_?????"/>
      <sheetName val="083"/>
      <sheetName val="設計通知"/>
      <sheetName val="ECB"/>
      <sheetName val="TASK"/>
      <sheetName val="原価ｾﾝﾀ"/>
      <sheetName val="見積依頼部品一覧"/>
      <sheetName val="Cómputo B"/>
      <sheetName val="0.Cuota"/>
      <sheetName val="FUNCTION CHART"/>
      <sheetName val="Income Statem"/>
      <sheetName val="Mechanical Handle Grained"/>
      <sheetName val="物流费用预算表(A4)"/>
      <sheetName val="销售费用预算表(A4)"/>
      <sheetName val="管理费用预算表(A4)"/>
      <sheetName val="信息费用预算表(A4) "/>
      <sheetName val="研发费用预算明细表A3"/>
      <sheetName val="制造成本预算表A3"/>
      <sheetName val="Variables"/>
      <sheetName val="H16-2設備管理渡辺殿拠出資料1"/>
      <sheetName val="概要"/>
      <sheetName val="01.3.28現在"/>
      <sheetName val="Incr Inv Tool"/>
      <sheetName val="JUL"/>
      <sheetName val="FX"/>
      <sheetName val="Budget base"/>
      <sheetName val="153W"/>
      <sheetName val="Full list 020425"/>
      <sheetName val="上申資料1_2"/>
      <sheetName val="配布"/>
      <sheetName val="上申資料1"/>
      <sheetName val="設備能力"/>
      <sheetName val="X11EglobalV5"/>
      <sheetName val="フォーム１"/>
      <sheetName val="SQL"/>
      <sheetName val="Format info"/>
      <sheetName val="생산전망"/>
      <sheetName val="contents (English)"/>
      <sheetName val="機種別実績"/>
      <sheetName val="ValidationPoulie"/>
      <sheetName val="Histogram"/>
      <sheetName val="Rev #1 &amp; #2"/>
      <sheetName val="AM 6M 94"/>
      <sheetName val="ｺｽﾄ比較 (総括)"/>
      <sheetName val="i30型まとめ"/>
      <sheetName val="part list C5"/>
      <sheetName val="140N Part Local (SE)"/>
      <sheetName val="採否比較金額"/>
      <sheetName val="評価比較件数"/>
      <sheetName val="F4301"/>
      <sheetName val="MOTOc_x0000_ࠀ笰ごꒈ_x0012_ꐸ_x0012_뜝瞮_x0000_猰ごࠀꒀ_x0012_嘻瞦咚瞦_x0000_یꑠ_x0012_噍瞦"/>
      <sheetName val="MOTOc_x0000_ࠀ笰ごꒈ_x0012_ꐸ_x0012_뜝瞮_x0000_猰ごࠀꒀ_x0012_嘻瞦咚瞦_x0000_৿ꑠ_x0012_噍瞦"/>
      <sheetName val="MOTOc_x0000_ࠀ笰ごꒈ_x0012_ꐸ_x0012_뜝瞮_x0000_猰ごࠀꒀ_x0012_嘻瞦咚瞦_x0000_۲ꑠ_x0012_噍瞦"/>
      <sheetName val="MOTOc_x005f_x0000___x005f_x0000__ご__x005f_x0012__"/>
      <sheetName val="MOTOc_x005f_x0000_ࠀ_x005f_x0000_笰ごꒈ_x005f_x0012_ꐸ"/>
      <sheetName val="MOTOc_x005f_x0000_ࠀ笰ごꒈ_x005f_x0012_ꐸ_x005f_x0012_"/>
      <sheetName val="MOTOc????ご?_x0012_?_x0012_???&gt;ご???_x0012_????????"/>
      <sheetName val="MOTOc?ࠀ?笰ごꒈ_x0012_ꐸ_x0012_뜝瞮?猰ごࠀ?ꒀ_x0012_嘻瞦咚瞦?ی?ꑠ"/>
      <sheetName val="MOTOc?ࠀ?笰ごꒈ_x0012_ꐸ_x0012_뜝瞮?猰ごࠀ?ꒀ_x0012_嘻瞦咚瞦?۲?ꑠ"/>
      <sheetName val="MOTGc?ࠀ?笰ごꒈ_x0012_ꐸ_x0012_뜝瞮????猰ごࠀ?ꒀ_x0012_嘻瞦咚瞦?"/>
      <sheetName val="N-T"/>
      <sheetName val="损益表（按单位)01"/>
      <sheetName val="熱効率変化計算"/>
      <sheetName val="MT_EL-PARTS-LIST"/>
      <sheetName val="価格一覧表"/>
      <sheetName val="issue destination"/>
      <sheetName val="InternalExternal"/>
      <sheetName val="OCCURRENCE_FACTOR"/>
      <sheetName val="company"/>
      <sheetName val="Validations"/>
      <sheetName val="1"/>
      <sheetName val="A3C Data"/>
      <sheetName val="勤務ｼﾌﾄﾍﾞｰｽ表 下期"/>
      <sheetName val="PL"/>
      <sheetName val="過不足ﾏﾄﾒ"/>
      <sheetName val="14mmQfup"/>
      <sheetName val="ﾊﾞﾙﾌﾞﾘｰｸ"/>
      <sheetName val="加工費予算(月別)"/>
      <sheetName val="LIST2(LIST2)"/>
      <sheetName val="部品名称集計(PARA3)"/>
      <sheetName val="ﾗｲﾝｺｰﾄﾞ集計(PARA4)"/>
      <sheetName val="印刷"/>
      <sheetName val="590P追加"/>
      <sheetName val="Barcode.D&amp;F"/>
      <sheetName val="MATRIZ_POR_AREA2"/>
      <sheetName val="JT3_0견적-구11"/>
      <sheetName val="ALL_PARTS_PRICE_LIST"/>
      <sheetName val="Sales_price"/>
      <sheetName val="A10_(2)"/>
      <sheetName val="POLO_H_GP"/>
      <sheetName val="IP2X_MCE"/>
      <sheetName val="VW321_(Lavida_taxi)"/>
      <sheetName val="IP24_RSB_CN"/>
      <sheetName val="SK371_(PV20140226)降密方案"/>
      <sheetName val="SK371_(PV20140226)_"/>
      <sheetName val="SK371_(PV1)"/>
      <sheetName val="KC_FOAM"/>
      <sheetName val="B753__PV"/>
      <sheetName val="B81C_(广州)"/>
      <sheetName val="D2SC_PV"/>
      <sheetName val="D2SC_DV"/>
      <sheetName val="B753__PV_(2)"/>
      <sheetName val="TFC_MY14"/>
      <sheetName val="ZP11_EU"/>
      <sheetName val="SGM318_(3)"/>
      <sheetName val="SGM318_(2)"/>
      <sheetName val="IP21_MCE"/>
      <sheetName val="SK253_SB(M-A_ENTRY_SB)"/>
      <sheetName val="Model_S_FL(SK461)"/>
      <sheetName val="LAVIDA_DERIVAT"/>
      <sheetName val="Model_A_TAXI"/>
      <sheetName val="SGM258_MY13"/>
      <sheetName val="New_Model_A20130304"/>
      <sheetName val="New_Model_A20120921"/>
      <sheetName val="New_Model_A"/>
      <sheetName val="New_Model_A降密"/>
      <sheetName val="IP22_EU&amp;UK"/>
      <sheetName val="T4NA(2CN)_(2)"/>
      <sheetName val="GAMMA_SUV"/>
      <sheetName val="Model_H_GTI"/>
      <sheetName val="New_Lavida"/>
      <sheetName val="Model_A"/>
      <sheetName val="IP22_CN_L-CAR"/>
      <sheetName val="SGM201_R3_ISS"/>
      <sheetName val="Model_S_MP12"/>
      <sheetName val="Model_F_FL"/>
      <sheetName val="Model_H_Cross"/>
      <sheetName val="New_Model_K"/>
      <sheetName val="ZP11_MG"/>
      <sheetName val="Croisements_(Ai_-_Ej_-_Mk)_X851"/>
      <sheetName val="Total_Income_Statement1"/>
      <sheetName val="Price_J60E61"/>
      <sheetName val="Product_Validation"/>
      <sheetName val="List_Data"/>
      <sheetName val="Process_means"/>
      <sheetName val="Fixture_List"/>
      <sheetName val="FB_sepa_S21"/>
      <sheetName val="EPW_06301"/>
      <sheetName val="Material_Tables"/>
      <sheetName val="Weld_Tool"/>
      <sheetName val="BOM_Input"/>
      <sheetName val="Parts_List"/>
      <sheetName val="Customer_Part_Approval"/>
      <sheetName val="Development_Start"/>
      <sheetName val="Final_Production_Release"/>
      <sheetName val="BU_Summary_Data"/>
      <sheetName val="Inputs_and_Data1"/>
      <sheetName val="342A_Block"/>
      <sheetName val="Ideal_Cost"/>
      <sheetName val="Ass'y-A_(Day)"/>
      <sheetName val="見積取纏め表"/>
      <sheetName val="分析(前年)"/>
      <sheetName val="name"/>
      <sheetName val="PSA T7"/>
      <sheetName val="MOTOc_x005f_x0000_?_x005f_x0000_?ご?_x005f_x0012_?"/>
      <sheetName val="奖金ok"/>
      <sheetName val="TEMP"/>
      <sheetName val="61B (J)"/>
      <sheetName val="X61B (E)"/>
      <sheetName val="SM-SA(180K)"/>
      <sheetName val="KR282ﾚｼﾞﾝ"/>
      <sheetName val="残った要件"/>
      <sheetName val="Poland HL"/>
      <sheetName val="TONGKE-HT"/>
      <sheetName val="RM_cost_Evapo_Standarti"/>
      <sheetName val="RS_Sound_Add__Module"/>
      <sheetName val="Income_Statem"/>
      <sheetName val="Mechanical_Handle_Grained"/>
      <sheetName val="5_UPS_Data"/>
      <sheetName val="minimum_lot_size"/>
      <sheetName val="Part_by_Part"/>
      <sheetName val="FACT_B"/>
      <sheetName val="Notice_Link"/>
      <sheetName val="ALPL_030514"/>
      <sheetName val="・・・・"/>
      <sheetName val="・延鋼・"/>
      <sheetName val="熱延鋼・"/>
      <sheetName val="試作DPロット日程"/>
      <sheetName val="ＢＭＰ塗装直材"/>
      <sheetName val="??・??×?"/>
      <sheetName val="基準ﾘｽﾄ"/>
      <sheetName val="REN"/>
      <sheetName val="Rubriques MC"/>
      <sheetName val="Hyp.DDRH"/>
      <sheetName val="__・__×_"/>
      <sheetName val="MENU"/>
      <sheetName val="外表面Ａ"/>
      <sheetName val="CP121999"/>
      <sheetName val="入出存调整表"/>
      <sheetName val="A(price)"/>
      <sheetName val="DE"/>
      <sheetName val="A-B(exp.)"/>
      <sheetName val="IC0"/>
      <sheetName val="System"/>
      <sheetName val="TMMI SEQUOIA 2011"/>
      <sheetName val="選択リスト"/>
      <sheetName val="Issues log"/>
      <sheetName val="一般職評価"/>
      <sheetName val="入力規制"/>
      <sheetName val="隠し"/>
      <sheetName val="TABLO-3"/>
      <sheetName val="DAILYPACE"/>
      <sheetName val="Result"/>
      <sheetName val="_00N_Off_Tool_Outlook"/>
      <sheetName val="_d_l__ (full-SUV)"/>
      <sheetName val="KVO圖面開示可要收估不決定廠商"/>
      <sheetName val="PN LIST (2)"/>
      <sheetName val="APPENDIX_1"/>
      <sheetName val="General"/>
      <sheetName val="PN LIST P33B"/>
      <sheetName val="加工ZV"/>
      <sheetName val="価格マスタ"/>
      <sheetName val="部品名称"/>
      <sheetName val="04下常備データ"/>
      <sheetName val="常備・重量"/>
      <sheetName val="設備Pe"/>
      <sheetName val="PARA74"/>
      <sheetName val="ソフト性能比較_詳細"/>
      <sheetName val="索赔（按车型）A4"/>
      <sheetName val="销售收入A4"/>
      <sheetName val="all_OPS2005"/>
      <sheetName val="Invoice Aging"/>
      <sheetName val="Open AP"/>
      <sheetName val="００･ＤＥ Ｍ６２"/>
      <sheetName val="Tab4"/>
      <sheetName val="FmｸﾞﾗﾌVer.0"/>
      <sheetName val="目次"/>
      <sheetName val="KEKKA"/>
      <sheetName val="条件"/>
      <sheetName val="補助費用"/>
      <sheetName val="CSTICSMA"/>
      <sheetName val="ASSY"/>
      <sheetName val="MOULD"/>
      <sheetName val="F_補助部門費①"/>
      <sheetName val="参考 人員調査表"/>
      <sheetName val="B_sample"/>
      <sheetName val="FU名称"/>
      <sheetName val="Ear-391"/>
      <sheetName val="拡販アイテム２課"/>
      <sheetName val="ＰＬ(RS)"/>
      <sheetName val="00下期DBﾍﾞｰｽ"/>
      <sheetName val="ODV要素作業"/>
      <sheetName val="20023001"/>
      <sheetName val="Cooling Unit"/>
      <sheetName val="課題ﾘｽﾄ"/>
      <sheetName val="MOTOc____ご__x0012___x0012________ご____x0012______"/>
      <sheetName val="MOTOc_ࠀ_笰ごꒈ_x0012_ꐸ_x0012_뜝瞮____猰ごࠀ_ꒀ_x0012_嘻瞦咚瞦_"/>
      <sheetName val="MOTOc____ご__x0012___x0012_____ご____x0012_________"/>
      <sheetName val="MOTOc_ࠀ笰ごꒈ_x0012_ꐸ_x0012_뜝瞮猰ごࠀꒀ_x0012_嘻瞦咚瞦یꑠ_x0012_噍瞦ՠڄ"/>
      <sheetName val="MOTOc_ࠀ笰ごꒈ_x0012_ꐸ_x0012_뜝瞮猰ごࠀꒀ_x0012_嘻瞦咚瞦৿ꑠ_x0012_噍瞦ՠষ"/>
      <sheetName val="Chart Data Formulas"/>
      <sheetName val="UNIT"/>
      <sheetName val="Machine"/>
      <sheetName val="Données transversales pays"/>
      <sheetName val="Initialisation"/>
      <sheetName val="Forração PP DE"/>
      <sheetName val="工数比較２"/>
      <sheetName val="技能講習取得ﾘｽﾄ"/>
      <sheetName val="GLOBAL POWERTRAIN"/>
      <sheetName val="Sheet1 (2)"/>
      <sheetName val="[48810真.xl_x0000__x0000_Glcest"/>
      <sheetName val="[48810真.xls_x0000__x0000__x0000__x0000_"/>
      <sheetName val="_48810真.xl"/>
      <sheetName val="_48810真.xls"/>
      <sheetName val="賃率総括"/>
      <sheetName val="加工費Muster"/>
      <sheetName val="重工償却"/>
      <sheetName val="PIC PSI"/>
      <sheetName val="投資まとめ"/>
      <sheetName val="入力-Ａ"/>
      <sheetName val="入力-Ｂ"/>
      <sheetName val="Sheet7"/>
      <sheetName val="HS HB NE dr 1"/>
      <sheetName val="●受注累計"/>
      <sheetName val="_48810真.xl__Glcest"/>
      <sheetName val="_48810真.xls____"/>
      <sheetName val="[48810真.xl??Glcest"/>
      <sheetName val="[48810真.xls????"/>
      <sheetName val="S-PARTS-XE"/>
      <sheetName val="V2プロジェクトチーム_予決算比較"/>
      <sheetName val="分類例"/>
      <sheetName val="item"/>
      <sheetName val="MOTOc_x005f_x005f_x005f_x0000_?_x005f_x005f_x0000"/>
      <sheetName val="MOTOc_x005f_x005f_x005f_x0000_ࠀ_x005f_x005f_x0000"/>
      <sheetName val="MOTOc_x005f_x005f_x005f_x0000_ࠀ笰ごꒈ_x005f_x005f_x0"/>
      <sheetName val="MOTOc_x005f_x005f_x005f_x005f_x005f_x005f_x005f_x0000_?"/>
      <sheetName val="MOTOc_x005f_x005f_x005f_x005f_x005f_x005f_x005f_x0000_ࠀ"/>
      <sheetName val="MOTOc_x005f_x005f_x005f_x005f_x005f_x005f_x005f_x005f_x"/>
      <sheetName val="Cap'l Input"/>
      <sheetName val="Point 2"/>
      <sheetName val="(7. FR &amp; RR axle mass)"/>
      <sheetName val="10-21_23個_金曜日　"/>
      <sheetName val="Components"/>
      <sheetName val="インデックス容量計算シート"/>
      <sheetName val="Sheet1 (7)"/>
      <sheetName val="MOTOc_ࠀ笰ごꒈ_x0012_ꐸ_x0012_뜝瞮猰ごࠀꒀ_x0012_嘻瞦咚瞦۲ꑠ_x0012_噍瞦ᕀč"/>
      <sheetName val="MOTOc____ご__x0012___x0012_______&gt;ご____x0012______"/>
      <sheetName val="8-3"/>
      <sheetName val="5"/>
      <sheetName val="MONTHLY"/>
      <sheetName val="set date"/>
      <sheetName val="WIBLE"/>
      <sheetName val="Costs"/>
      <sheetName val="협조전"/>
      <sheetName val="PAKAGE4362"/>
      <sheetName val="소유주(원)"/>
      <sheetName val="보고서"/>
      <sheetName val="Rates"/>
      <sheetName val="Eflex bom"/>
      <sheetName val="受療率変動3"/>
      <sheetName val="人口"/>
      <sheetName val="受療率変動5"/>
      <sheetName val="企展会議040602"/>
      <sheetName val="FBC86-07"/>
      <sheetName val="89年度"/>
      <sheetName val="附表8"/>
      <sheetName val="償却前提"/>
      <sheetName val="Cal.Mat TB"/>
      <sheetName val="KUR"/>
      <sheetName val="2-row_Opt_table"/>
      <sheetName val="工数"/>
      <sheetName val="P1；依頼書"/>
      <sheetName val="MI項目一覧"/>
      <sheetName val="dongia (2)"/>
      <sheetName val="V1+V2"/>
      <sheetName val="代表部番リスト（票時）"/>
      <sheetName val="間接員勤務"/>
      <sheetName val="M5A0_01-01-22"/>
      <sheetName val="Constants"/>
      <sheetName val="ﾏｯﾁﾝｸﾞ"/>
      <sheetName val="選択"/>
      <sheetName val="P.2_VAR組合せ表"/>
      <sheetName val="ﾕｰｻﾞｰ設定"/>
      <sheetName val="Messwerte"/>
      <sheetName val="Note記入方法"/>
      <sheetName val="電線早見表"/>
      <sheetName val="1-2-1"/>
      <sheetName val="New Prices"/>
      <sheetName val="Sample"/>
      <sheetName val="MB51_MB1A"/>
      <sheetName val="PL.BS.CF"/>
      <sheetName val="2.대외공문"/>
      <sheetName val="GRACE"/>
      <sheetName val="合格率"/>
      <sheetName val="入力"/>
      <sheetName val="PCQIS Warrty data"/>
      <sheetName val="415T戟L"/>
      <sheetName val="screw"/>
      <sheetName val="?_?"/>
      <sheetName val="WINTER"/>
      <sheetName val="PsychroData"/>
      <sheetName val="空調器構成"/>
      <sheetName val="SUMMER"/>
      <sheetName val="MOTOc____ご__x005f_x0012___x005f_x0012______"/>
      <sheetName val="MOTOc_ࠀ_笰ごꒈ_x005f_x0012_ꐸ_x005f_x0012_뜝瞮___"/>
      <sheetName val="MOTOc____ご__x005f_x0012___x005f_x0012_____ご"/>
      <sheetName val="MOTOc_ࠀ笰ごꒈ_x005f_x0012_ꐸ_x005f_x0012_뜝瞮猰ごࠀꒀ"/>
      <sheetName val="[48810真.x̊_x0000_̔_x0000__x000d__x0000__x000d__x0000_RSB CN"/>
      <sheetName val="要旨一覧表"/>
      <sheetName val="추이도"/>
      <sheetName val="データベース"/>
      <sheetName val="90檢討稿_實際"/>
      <sheetName val="Drop downs"/>
      <sheetName val="市調推移圖"/>
      <sheetName val="戰報"/>
      <sheetName val="科目表"/>
      <sheetName val="下拉式選單維護"/>
      <sheetName val="會計科目下拉選單"/>
      <sheetName val="4-Series - Control Model"/>
      <sheetName val="ﾘｽﾄ"/>
      <sheetName val="Bumon_Value"/>
      <sheetName val="Bumon_Suii"/>
      <sheetName val="ｸﾞﾗﾌ"/>
      <sheetName val="標準書原紙"/>
      <sheetName val="ALT國外材資料庫"/>
      <sheetName val="小型EPS収益見込"/>
      <sheetName val="参考；ﾘｽﾄBOX"/>
      <sheetName val="DEC EO"/>
      <sheetName val="decpo"/>
      <sheetName val="ASP"/>
      <sheetName val="C214 9306#25"/>
      <sheetName val="KDLIST"/>
      <sheetName val="PS41 0406 KD"/>
      <sheetName val="Links"/>
      <sheetName val="依頼書(INJ)"/>
      <sheetName val="営業費"/>
      <sheetName val="總檔  (2)"/>
      <sheetName val="逾期明細"/>
      <sheetName val="マスター基本データ"/>
      <sheetName val="FUEL FILLER"/>
      <sheetName val="CRITERIA3"/>
      <sheetName val="P10"/>
      <sheetName val="Time"/>
      <sheetName val="GAMME99"/>
      <sheetName val="部品費(5K)"/>
      <sheetName val="GN_08"/>
      <sheetName val="Annual_Sales"/>
      <sheetName val="094W原紙_"/>
      <sheetName val="回路組立費"/>
      <sheetName val="Hypothese"/>
      <sheetName val="サイクル_Cell ID"/>
      <sheetName val="040 適用車種コード情報"/>
      <sheetName val="140 loabor"/>
      <sheetName val="計算式(mmHg)"/>
      <sheetName val="現行月額(DSのみ)"/>
      <sheetName val="2003"/>
      <sheetName val="投資ﾌｫﾛｰ"/>
      <sheetName val="IP用"/>
      <sheetName val="データ貼り付け"/>
      <sheetName val="FS21D"/>
      <sheetName val="Main"/>
      <sheetName val="COVER明細"/>
      <sheetName val="CBD Kolben"/>
      <sheetName val="250PAPSｵｰﾙﾘｽﾄ"/>
      <sheetName val="Customer Claim Year"/>
      <sheetName val="C3_N DC改造投資"/>
      <sheetName val="_REF"/>
      <sheetName val="030223出荷"/>
      <sheetName val="ｸﾞﾗﾌﾃﾞｰﾀ"/>
      <sheetName val="MH"/>
      <sheetName val="業務計画"/>
      <sheetName val="Sum Defect OFF-LINE_GMI700"/>
      <sheetName val="星取表"/>
      <sheetName val="EST-MAT"/>
      <sheetName val="Volume"/>
      <sheetName val="Lesson Lern"/>
      <sheetName val="KPI"/>
      <sheetName val="金型日程"/>
      <sheetName val="投資･工数推移"/>
      <sheetName val="Main Model"/>
      <sheetName val="KB_Trim"/>
      <sheetName val="Airbag"/>
      <sheetName val="SWS"/>
      <sheetName val="SWS MSG"/>
      <sheetName val="TM"/>
      <sheetName val="040 削除"/>
      <sheetName val="TPM Sheet"/>
      <sheetName val="Attribute"/>
      <sheetName val="FACTON"/>
      <sheetName val="出荷"/>
      <sheetName val="RS_LEATHER"/>
      <sheetName val="시설업체주소록"/>
      <sheetName val="4CB-STD"/>
      <sheetName val="v1"/>
      <sheetName val="MOTGc_x005f_x0000_ࠀ_x005f_x0000_笰ごꒈ_x005f_x0012_ꐸ"/>
      <sheetName val="GB-IC Villingen GG"/>
      <sheetName val="駆動系1"/>
      <sheetName val="1-C,D"/>
      <sheetName val="DATA SHEET"/>
      <sheetName val="カメラ用競合制御補足"/>
      <sheetName val="ini"/>
      <sheetName val="6M(現地生産)"/>
      <sheetName val="名前の定義一覧"/>
      <sheetName val="J2"/>
      <sheetName val="J1"/>
      <sheetName val="1.28.08 450pm"/>
      <sheetName val="INDICATEURS"/>
      <sheetName val="SUIVI"/>
      <sheetName val="TSA"/>
      <sheetName val="needs"/>
      <sheetName val="Table1"/>
      <sheetName val="Cost 2018"/>
      <sheetName val="2-4-1TFA_AMP"/>
      <sheetName val="2-5-1IFA_AMP"/>
      <sheetName val="全体"/>
      <sheetName val="#Positionsdetails"/>
      <sheetName val="Sheet 0"/>
      <sheetName val="Dictionary"/>
      <sheetName val="Sheet 4 VTL"/>
      <sheetName val="Ｊ３９Ａワースト"/>
      <sheetName val="Definitions"/>
      <sheetName val="Main_Cover"/>
      <sheetName val="JAN'11"/>
      <sheetName val="Variance"/>
      <sheetName val="Division  "/>
      <sheetName val="06売上予算ｲﾝﾌﾟｯﾄ（全体）（060206）"/>
      <sheetName val="DB"/>
      <sheetName val="戦略売3"/>
      <sheetName val="기안"/>
      <sheetName val="MI1(detail-1)"/>
      <sheetName val="MI1(detail-2)"/>
      <sheetName val="MI1"/>
      <sheetName val="MI3"/>
      <sheetName val="MI4"/>
      <sheetName val="MI5"/>
      <sheetName val="MI6"/>
      <sheetName val="2.????"/>
      <sheetName val="038W本革"/>
      <sheetName val="Daily 1.1"/>
      <sheetName val="cal"/>
      <sheetName val="10"/>
      <sheetName val="12"/>
      <sheetName val="3"/>
      <sheetName val="4"/>
      <sheetName val="6"/>
      <sheetName val="7"/>
      <sheetName val="8"/>
      <sheetName val="9"/>
      <sheetName val="HE BASE"/>
      <sheetName val="BOM_TOP4"/>
      <sheetName val="hvac 00 defect"/>
      <sheetName val="BOM_TOP3"/>
      <sheetName val="Material_Input_Status3"/>
      <sheetName val="Vehicle_Parts_List3"/>
      <sheetName val="Kapitaleinsatz_&amp;_Umsatz3"/>
      <sheetName val="Herstellkosten_(Referenz)3"/>
      <sheetName val="Working_Capital3"/>
      <sheetName val="K440_can_wake-up_logic3"/>
      <sheetName val="Seatbelt_Guides3"/>
      <sheetName val="Stowage_Tray3"/>
      <sheetName val="J_or_E3"/>
      <sheetName val="full_(2)2"/>
      <sheetName val="MPL_技連2"/>
      <sheetName val="342E_BLOCK2"/>
      <sheetName val="Build_Sheets2"/>
      <sheetName val="MATRIZ_POR_AREA3"/>
      <sheetName val="Japanese_Summary1"/>
      <sheetName val="TT_(13)2"/>
      <sheetName val="Trim_Dev_Materials2"/>
      <sheetName val="Non_Labour_Forecast2"/>
      <sheetName val="Costed_Parts_Matrix2"/>
      <sheetName val="Engineering_Assumptions2"/>
      <sheetName val="Labour_Forecast2"/>
      <sheetName val="Process_Summary2"/>
      <sheetName val="New_DYNA2"/>
      <sheetName val="Table_Master2"/>
      <sheetName val="Europe_PU-12"/>
      <sheetName val="VAC_BLK_CALC_2"/>
      <sheetName val="Blank_AQR_(old)2"/>
      <sheetName val="CAP_PLAN2"/>
      <sheetName val="PKG_&amp;_FRT2"/>
      <sheetName val="PROCESS_INFO2"/>
      <sheetName val="HPS_Slit_Coil_(Centralia)1"/>
      <sheetName val="Antivol_D21"/>
      <sheetName val="PN_LIST1"/>
      <sheetName val="F7_Custom_Service_Center_(CSC)1"/>
      <sheetName val="F5_E1-TEI_1"/>
      <sheetName val="F5_Specific_expenses_Vol_Drop1"/>
      <sheetName val="F5_Specific_expenses1"/>
      <sheetName val="DV_Release1"/>
      <sheetName val="SU_BOM_200712131"/>
      <sheetName val="EPW_06302"/>
      <sheetName val="FB_sepa_S22"/>
      <sheetName val="JT3_0견적-구12"/>
      <sheetName val="Report_Key2"/>
      <sheetName val="DD96_1_181"/>
      <sheetName val="Croisements_(Ai_-_Ej_-_Mk)_X852"/>
      <sheetName val="Original_ED&amp;D_summary2"/>
      <sheetName val="Total_Income_Statement2"/>
      <sheetName val="Price_J60E62"/>
      <sheetName val="Fert_ablauf1"/>
      <sheetName val="LESCI_J771"/>
      <sheetName val="Read_me_first1"/>
      <sheetName val="_DATA1"/>
      <sheetName val="表5-2_地区別CO2排出実績1"/>
      <sheetName val="結果一覧_ｼｰﾄ1"/>
      <sheetName val="organization_data1"/>
      <sheetName val="Labor_cost1"/>
      <sheetName val="X61B_ZH2E_L1_#11"/>
      <sheetName val="Part_by_Part1"/>
      <sheetName val="Inputs_and_Data2"/>
      <sheetName val="5_UPS_Data1"/>
      <sheetName val="342A_Block1"/>
      <sheetName val="Ideal_Cost1"/>
      <sheetName val="Laser_Weld1"/>
      <sheetName val="cc_0214_23001"/>
      <sheetName val="LOAD_HOURS1"/>
      <sheetName val="VIM_Data1"/>
      <sheetName val="PRIX_20091"/>
      <sheetName val="Interior_Trim1"/>
      <sheetName val="Vol_&amp;_Assumpt1"/>
      <sheetName val="Stock_Price1"/>
      <sheetName val="진행_DATA_(2)1"/>
      <sheetName val="Roll_Out_-_Limit1"/>
      <sheetName val="Specific_Data1"/>
      <sheetName val="Input_Sheet1"/>
      <sheetName val="Plant_Data"/>
      <sheetName val="Product_Validation1"/>
      <sheetName val="List_Data1"/>
      <sheetName val="Sales_price1"/>
      <sheetName val="A10_(2)1"/>
      <sheetName val="POLO_H_GP1"/>
      <sheetName val="IP2X_MCE1"/>
      <sheetName val="VW321_(Lavida_taxi)1"/>
      <sheetName val="IP24_RSB_CN1"/>
      <sheetName val="SK371_(PV20140226)降密方案1"/>
      <sheetName val="SK371_(PV20140226)_1"/>
      <sheetName val="SK371_(PV1)1"/>
      <sheetName val="KC_FOAM1"/>
      <sheetName val="B753__PV1"/>
      <sheetName val="B81C_(广州)1"/>
      <sheetName val="D2SC_PV1"/>
      <sheetName val="D2SC_DV1"/>
      <sheetName val="B753__PV_(2)1"/>
      <sheetName val="TFC_MY141"/>
      <sheetName val="ZP11_EU1"/>
      <sheetName val="SGM318_(3)1"/>
      <sheetName val="SGM318_(2)1"/>
      <sheetName val="IP21_MCE1"/>
      <sheetName val="SK253_SB(M-A_ENTRY_SB)1"/>
      <sheetName val="Model_S_FL(SK461)1"/>
      <sheetName val="LAVIDA_DERIVAT1"/>
      <sheetName val="Model_A_TAXI1"/>
      <sheetName val="SGM258_MY131"/>
      <sheetName val="New_Model_A201303041"/>
      <sheetName val="New_Model_A201209211"/>
      <sheetName val="New_Model_A1"/>
      <sheetName val="New_Model_A降密1"/>
      <sheetName val="IP22_EU&amp;UK1"/>
      <sheetName val="T4NA(2CN)_(2)1"/>
      <sheetName val="GAMMA_SUV1"/>
      <sheetName val="Model_H_GTI1"/>
      <sheetName val="New_Lavida1"/>
      <sheetName val="Model_A1"/>
      <sheetName val="IP22_CN_L-CAR1"/>
      <sheetName val="SGM201_R3_ISS1"/>
      <sheetName val="Model_S_MP121"/>
      <sheetName val="Model_F_FL1"/>
      <sheetName val="Model_H_Cross1"/>
      <sheetName val="New_Model_K1"/>
      <sheetName val="ZP11_MG1"/>
      <sheetName val="Data_01011"/>
      <sheetName val="minimum_lot_size1"/>
      <sheetName val="Key_Function_in_Master_FMEA"/>
      <sheetName val="Sales_by_Customer"/>
      <sheetName val="Material_Tables1"/>
      <sheetName val="Weld_Tool1"/>
      <sheetName val="BOM_Input1"/>
      <sheetName val="Parts_List1"/>
      <sheetName val="ALL_PARTS_PRICE_LIST1"/>
      <sheetName val="Ass'y-A_(Day)1"/>
      <sheetName val="094W原紙_1"/>
      <sheetName val="Annual_Sales1"/>
      <sheetName val="MOTOc????ご?????????ご????????"/>
      <sheetName val="MOTOc?ࠀ?笰ごꒈꐸ뜝瞮????猰ごࠀ?ꒀ嘻瞦咚瞦?"/>
      <sheetName val="MOTOc????ご??????ご???????????"/>
      <sheetName val="MOTOc?ࠀ笰ごꒈꐸ뜝瞮猰ごࠀꒀ嘻瞦咚瞦یꑠ噍瞦ՠڄ"/>
      <sheetName val="MOTOc?ࠀ笰ごꒈꐸ뜝瞮猰ごࠀꒀ嘻瞦咚瞦৿ꑠ噍瞦ՠষ"/>
      <sheetName val="MOTOc?ࠀ笰ごꒈꐸ뜝瞮猰ごࠀꒀ嘻瞦咚瞦۲ꑠ噍瞦ᕀč"/>
      <sheetName val="MOTOc????ご????????&gt;ご????????"/>
      <sheetName val="BU_Summary_Data1"/>
      <sheetName val="Data_Table"/>
      <sheetName val="4__Project_Plan"/>
      <sheetName val="Process_means1"/>
      <sheetName val="Fixture_List1"/>
      <sheetName val="Sheet6_(3)"/>
      <sheetName val="Customer_Part_Approval1"/>
      <sheetName val="Development_Start1"/>
      <sheetName val="Final_Production_Release1"/>
      <sheetName val="FUNCTION_CHART"/>
      <sheetName val="Income_Statem1"/>
      <sheetName val="Mechanical_Handle_Grained1"/>
      <sheetName val="信息费用预算表(A4)_"/>
      <sheetName val="01_3_28現在"/>
      <sheetName val="Incr_Inv_Tool"/>
      <sheetName val="HL_extract"/>
      <sheetName val="CHHS_AVSS6"/>
      <sheetName val="Budget_base"/>
      <sheetName val="FACT_B1"/>
      <sheetName val="Notice_Link1"/>
      <sheetName val="ALPL_0305141"/>
      <sheetName val="Full_list_020425"/>
      <sheetName val="Format_info"/>
      <sheetName val="contents_(English)"/>
      <sheetName val="設変通知書_(E)"/>
      <sheetName val="Rev_#1_&amp;_#2"/>
      <sheetName val="?d?l??_(full-SUV)"/>
      <sheetName val="RM_cost_Evapo_Standarti1"/>
      <sheetName val="RS_Sound_Add__Module1"/>
      <sheetName val="AM_6M_94"/>
      <sheetName val="ｺｽﾄ比較_(総括)"/>
      <sheetName val="工程別見積り_(SP)"/>
      <sheetName val="part_list_C5"/>
      <sheetName val="140N_Part_Local_(SE)"/>
      <sheetName val="MOTOcࠀ笰ごꒈꐸ뜝瞮猰ごࠀꒀ嘻瞦咚瞦یꑠ噍瞦"/>
      <sheetName val="MOTOcࠀ笰ごꒈꐸ뜝瞮猰ごࠀꒀ嘻瞦咚瞦৿ꑠ噍瞦"/>
      <sheetName val="MOTOcࠀ笰ごꒈꐸ뜝瞮猰ごࠀꒀ嘻瞦咚瞦۲ꑠ噍瞦"/>
      <sheetName val="MOTOc????ご?????&gt;ご???????????"/>
      <sheetName val="MOTOc?ࠀ?笰ごꒈꐸ뜝瞮?猰ごࠀ?ꒀ嘻瞦咚瞦?ی?ꑠ"/>
      <sheetName val="MOTOc?ࠀ?笰ごꒈꐸ뜝瞮?猰ごࠀ?ꒀ嘻瞦咚瞦?۲?ꑠ"/>
      <sheetName val="MOTGc?ࠀ?笰ごꒈꐸ뜝瞮????猰ごࠀ?ꒀ嘻瞦咚瞦?"/>
      <sheetName val="issue_destination"/>
      <sheetName val="A3C_Data"/>
      <sheetName val="勤務ｼﾌﾄﾍﾞｰｽ表_下期"/>
      <sheetName val="Barcode_D&amp;F"/>
      <sheetName val="PSA_T7"/>
      <sheetName val="TMMI_SEQUOIA_2011"/>
      <sheetName val="Issues_log"/>
      <sheetName val="PN_LIST_(2)"/>
      <sheetName val="PN_LIST_P33B"/>
      <sheetName val="Cómputo_B"/>
      <sheetName val="0_Cuota"/>
      <sheetName val="costes_internos"/>
      <sheetName val="Invoice_Aging"/>
      <sheetName val="Open_AP"/>
      <sheetName val="００･ＤＥ_Ｍ６２"/>
      <sheetName val="61B_(J)"/>
      <sheetName val="X61B_(E)"/>
      <sheetName val="Poland_HL"/>
      <sheetName val="Rubriques_MC"/>
      <sheetName val="Hyp_DDRH"/>
      <sheetName val="A-B(exp_)"/>
      <sheetName val="_d_l___(full-SUV)"/>
      <sheetName val="MOTOc____ご_________ご________"/>
      <sheetName val="MOTOc_ࠀ_笰ごꒈꐸ뜝瞮____猰ごࠀ_ꒀ嘻瞦咚瞦_"/>
      <sheetName val="MOTOc____ご______ご___________"/>
      <sheetName val="MOTOc_ࠀ笰ごꒈꐸ뜝瞮猰ごࠀꒀ嘻瞦咚瞦یꑠ噍瞦ՠڄ"/>
      <sheetName val="MOTOc_ࠀ笰ごꒈꐸ뜝瞮猰ごࠀꒀ嘻瞦咚瞦৿ꑠ噍瞦ՠষ"/>
      <sheetName val="Chart_Data_Formulas"/>
      <sheetName val="Just_for_calculation"/>
      <sheetName val="FmｸﾞﾗﾌVer_0"/>
      <sheetName val="参考_人員調査表"/>
      <sheetName val="Point_2"/>
      <sheetName val="(7__FR_&amp;_RR_axle_mass)"/>
      <sheetName val="[48810真_xlGlcest"/>
      <sheetName val="[48810真_xls"/>
      <sheetName val="_48810真_xl"/>
      <sheetName val="_48810真_xls"/>
      <sheetName val="Sheet1_(7)"/>
      <sheetName val="MOTOc_ࠀ笰ごꒈꐸ뜝瞮猰ごࠀꒀ嘻瞦咚瞦۲ꑠ噍瞦ᕀč"/>
      <sheetName val="MOTOc____ご________&gt;ご________"/>
      <sheetName val="set_date"/>
      <sheetName val="Données_transversales_pays"/>
      <sheetName val="Forração_PP_DE"/>
      <sheetName val="Exploded_End_Items"/>
      <sheetName val="차체_품안표"/>
      <sheetName val="CUSTOMER_(DETAIL)"/>
      <sheetName val="Parameters_SSR"/>
      <sheetName val="HS_HB_NE_dr_1"/>
      <sheetName val="尾门板总成_"/>
      <sheetName val="Eflex_bom"/>
      <sheetName val="GLOBAL_POWERTRAIN"/>
      <sheetName val="Sheet1_(2)"/>
      <sheetName val="PIC_PSI"/>
      <sheetName val="Cooling_Unit"/>
      <sheetName val="Cal_Mat_TB"/>
      <sheetName val="_48810真_xl__Glcest"/>
      <sheetName val="_48810真_xls____"/>
      <sheetName val="[48810真_xl??Glcest"/>
      <sheetName val="[48810真_xls????"/>
      <sheetName val="Cap'l_Input"/>
      <sheetName val="dongia_(2)"/>
      <sheetName val="P_2_VAR組合せ表"/>
      <sheetName val="New_Prices"/>
      <sheetName val="PL_BS_CF"/>
      <sheetName val="2_대외공문"/>
      <sheetName val="TB_Jan-Dec96"/>
      <sheetName val="Managerial_Remuneration-Dec96"/>
      <sheetName val="---_(2)"/>
      <sheetName val="Waterfall__0_Toolb"/>
      <sheetName val="Sheet_0"/>
      <sheetName val="Sheet_4_VTL"/>
      <sheetName val="PCQIS_Warrty_data"/>
      <sheetName val="040_適用車種コード情報"/>
      <sheetName val="OPER__SPECS"/>
      <sheetName val="RAW_MATERIAL"/>
      <sheetName val="140_loabor"/>
      <sheetName val="DEC_EO"/>
      <sheetName val="CBD_Kolben"/>
      <sheetName val="Customer_Claim_Year"/>
      <sheetName val="C3_N_DC改造投資"/>
      <sheetName val="Sum_Defect_OFF-LINE_GMI700"/>
      <sheetName val="Lesson_Lern"/>
      <sheetName val="Main_Model"/>
      <sheetName val="サイクル_Cell_ID"/>
      <sheetName val="SWS_MSG"/>
      <sheetName val="[48810真_x̊̔_x000a__x000a_RSB_CN"/>
      <sheetName val="Drop_downs"/>
      <sheetName val="入力・変換補足"/>
      <sheetName val="MOTOc____ご__x0012___x0012____&gt;ご____x0012_________"/>
      <sheetName val="MOTOc_ࠀ_笰ごꒈ_x0012_ꐸ_x0012_뜝瞮_猰ごࠀ_ꒀ_x0012_嘻瞦咚瞦_ی_ꑠ"/>
      <sheetName val="MOTOc_ࠀ_笰ごꒈ_x0012_ꐸ_x0012_뜝瞮_猰ごࠀ_ꒀ_x0012_嘻瞦咚瞦_۲_ꑠ"/>
      <sheetName val="MOTGc_ࠀ_笰ごꒈ_x0012_ꐸ_x0012_뜝瞮____猰ごࠀ_ꒀ_x0012_嘻瞦咚瞦_"/>
      <sheetName val="本体原価70期"/>
      <sheetName val="メニュー"/>
      <sheetName val="修正ﾌｧｲﾙ一覧"/>
      <sheetName val="ﾀｽｸ"/>
      <sheetName val="愛知・日デ"/>
      <sheetName val="INPUTS_LIST"/>
      <sheetName val="風速雰囲気まとめ表"/>
      <sheetName val="MOTOc ? ?ご?_x0012_?_x0012_??    ?ご? ?_x0012_???? "/>
      <sheetName val="MOTOc ࠀ 笰ごꒈ_x0012_ꐸ_x0012_뜝瞮    猰ごࠀ ꒀ_x0012_嘻瞦咚瞦 "/>
      <sheetName val="MOTOc ? ?ご?_x0012_?_x0012_?? ?ご? ?_x0012_???? ? ?"/>
      <sheetName val="MOTOc ࠀ笰ごꒈ_x0012_ꐸ_x0012_뜝瞮猰ごࠀꒀ_x0012_嘻瞦咚瞦یꑠ_x0012_噍瞦ՠڄ"/>
      <sheetName val="MOTOc ࠀ笰ごꒈ_x0012_ꐸ_x0012_뜝瞮猰ごࠀꒀ_x0012_嘻瞦咚瞦৿ꑠ_x0012_噍瞦ՠষ"/>
      <sheetName val="MOTOc ࠀ笰ごꒈ_x0012_ꐸ_x0012_뜝瞮猰ごࠀꒀ_x0012_嘻瞦咚瞦۲ꑠ_x0012_噍瞦ᕀč"/>
      <sheetName val="MOTOc _ _ご__x0012___x0012___    _ご_ __x0012_____ "/>
      <sheetName val="MOTOc _ _ご__x0012___x0012___ _ご_ __x0012_____ _ _"/>
      <sheetName val="MOTOc_x005f_x005f_x005f_x0000___x005f_x005f_x0000"/>
      <sheetName val="MOTOc____ご__x005f_x005f_x005f_x0012___x005f"/>
      <sheetName val="MOTOc_ࠀ_笰ごꒈ_x005f_x005f_x005f_x0012_ꐸ_x005f"/>
      <sheetName val="MOTOc_ࠀ笰ごꒈ_x005f_x005f_x005f_x0012_ꐸ_x005f_x005f_"/>
      <sheetName val="MOTOc _ _ご__x005f_x0012___x005f_x0012___   "/>
      <sheetName val="MOTOc ࠀ 笰ごꒈ_x005f_x0012_ꐸ_x005f_x0012_뜝瞮   "/>
      <sheetName val="MOTOc _ _ご__x005f_x0012___x005f_x0012___ _ご"/>
      <sheetName val="MOTOc ࠀ笰ごꒈ_x005f_x0012_ꐸ_x005f_x0012_뜝瞮猰ごࠀꒀ"/>
      <sheetName val="lining"/>
      <sheetName val="pad assy"/>
      <sheetName val="Pre."/>
      <sheetName val="MOTOc????ご?_x005f_x0012_?_x005f_x0012_?????"/>
      <sheetName val="MOTOc?ࠀ?笰ごꒈ_x005f_x0012_ꐸ_x005f_x0012_뜝瞮???"/>
      <sheetName val="MOTOc????ご?_x005f_x0012_?_x005f_x0012_????ご"/>
      <sheetName val="MOTOc?ࠀ笰ごꒈ_x005f_x0012_ꐸ_x005f_x0012_뜝瞮猰ごࠀꒀ"/>
      <sheetName val="MOTOc????ご?_x005f_x0012_?_x005f_x0012_???&gt;ご"/>
      <sheetName val="MOTOc?ࠀ?笰ごꒈ_x005f_x0012_ꐸ_x005f_x0012_뜝瞮?猰ご"/>
      <sheetName val="MOTGc?ࠀ?笰ごꒈ_x005f_x0012_ꐸ_x005f_x0012_뜝瞮???"/>
      <sheetName val="文書管理台帳"/>
      <sheetName val="Inv."/>
      <sheetName val="MOTOc____ご__x005f_x0012___x005f_x0012____&gt;ご"/>
      <sheetName val="MOTOc_ࠀ_笰ごꒈ_x005f_x0012_ꐸ_x005f_x0012_뜝瞮_猰ご"/>
      <sheetName val="MOTGc_ࠀ_笰ごꒈ_x005f_x0012_ꐸ_x005f_x0012_뜝瞮___"/>
      <sheetName val="3.結果まとめ"/>
      <sheetName val="aux 2004"/>
      <sheetName val="進捗"/>
      <sheetName val="att 1.2 NMUK REQUIREMENTS"/>
      <sheetName val="PRO1"/>
      <sheetName val="pro"/>
      <sheetName val="X11EdailyV61"/>
      <sheetName val="IP標時xls"/>
      <sheetName val="カチオン・コストテーブル"/>
      <sheetName val="ｴﾝｼﾞﾝﾃﾞｰﾀ"/>
      <sheetName val="New全DataNA"/>
      <sheetName val="{Ref} Hitachi report Q-Us "/>
      <sheetName val="CY01"/>
      <sheetName val="CY02"/>
      <sheetName val="Profile EUR OUTPUT"/>
      <sheetName val="Profile UK"/>
      <sheetName val="積港比率"/>
      <sheetName val="aA32"/>
      <sheetName val="RABPLEM"/>
      <sheetName val="100_00"/>
      <sheetName val="プルダウン項目"/>
      <sheetName val="PCAT"/>
      <sheetName val="FOREX"/>
      <sheetName val="【FY15】計画_実績まとめ"/>
      <sheetName val="【□5】Note記入方法"/>
      <sheetName val="【□6】Note記入方法"/>
      <sheetName val="972低減 10月"/>
      <sheetName val="IP仕様一覧表"/>
      <sheetName val="採用時期"/>
      <sheetName val="一覧"/>
      <sheetName val="参照条件"/>
      <sheetName val="（X11J专用件）"/>
      <sheetName val="手順書ﾌﾟﾛｸﾞﾗﾑ説明"/>
      <sheetName val="1３年度品質メモ"/>
      <sheetName val="ﾃﾞｰﾀ"/>
      <sheetName val="FDR BUDGET 2001 EISENACH"/>
      <sheetName val="新目標"/>
      <sheetName val="G"/>
      <sheetName val="参考１．Hardware"/>
      <sheetName val="Cover &amp; list"/>
      <sheetName val="カテゴリ"/>
      <sheetName val="支給率表"/>
      <sheetName val="B3"/>
      <sheetName val="Euro"/>
      <sheetName val="PRC"/>
      <sheetName val="US"/>
      <sheetName val="入力補助"/>
      <sheetName val="ルール目的"/>
      <sheetName val="MOTOc_x0000_ࠀ_x0000_笰ごꒈ_x0012_ꐸ_x0012_뜝瞮_x0000_猰ごࠀ_x0000_ꒀ_x0012_嘻瞦咚瞦_x0000_৿_x0000_ꑠ"/>
      <sheetName val="P5_VC Vehicle Spec"/>
      <sheetName val="IRR比較"/>
      <sheetName val="055"/>
      <sheetName val="kt"/>
      <sheetName val="HI"/>
      <sheetName val="全体集計"/>
      <sheetName val="SELECT"/>
      <sheetName val="貼付DATA"/>
      <sheetName val="Plan"/>
      <sheetName val="MOTOc ? ?ご?_x005f_x0012_?_x005f_x0012_??   "/>
      <sheetName val="MOTOc ? ?ご?_x005f_x0012_?_x005f_x0012_?? ?ご"/>
      <sheetName val="END_ITEM"/>
      <sheetName val="WTC BODY一覧原紙"/>
      <sheetName val="ＶＡ"/>
      <sheetName val="amp_spr"/>
      <sheetName val="ES3"/>
      <sheetName val="GS3"/>
      <sheetName val="GS4"/>
      <sheetName val="LS4"/>
      <sheetName val="RX3 CBU"/>
      <sheetName val="SC4"/>
      <sheetName val="GSTTL"/>
      <sheetName val="TOTAL"/>
      <sheetName val="プルダウンリスト"/>
      <sheetName val="Update 6.01"/>
      <sheetName val="THAI向け INST"/>
      <sheetName val="MEX向け INST"/>
      <sheetName val="MEX向け INST PACKING LIST"/>
      <sheetName val="MOTGc_x0000_ࠀ_x0000_笰ごꒈ_x0012_ꐸ_x0012_뜝瞮_x0000_猰ごࠀ_x0000_ꒀ_x0012_嘻瞦咚瞦_x0000_৿_x0000_ꑠ"/>
      <sheetName val="SCH ?¥_x001a_ O"/>
      <sheetName val="현금경비중역"/>
      <sheetName val="SUM_TMT"/>
      <sheetName val="Income Statement"/>
      <sheetName val="LCQ"/>
      <sheetName val="48810真.xls"/>
      <sheetName val="_RemoteViewSysMain"/>
      <sheetName val="調達"/>
      <sheetName val="M1master"/>
      <sheetName val="Datenbasis"/>
      <sheetName val="GMX 002"/>
      <sheetName val="Functions"/>
      <sheetName val="Sub-commodity List"/>
      <sheetName val="Volume Hypothesis"/>
      <sheetName val="Plan4"/>
      <sheetName val="Costing Wave 2 STT"/>
      <sheetName val="Buy"/>
      <sheetName val="BoM (Wave 2)"/>
      <sheetName val="PTR台손익"/>
      <sheetName val="SupplierInf"/>
      <sheetName val="RBC (RNMP-005)"/>
      <sheetName val="RNMP16 (2)"/>
      <sheetName val="NNMP-003-K2 Ph1"/>
      <sheetName val="RNMP026"/>
      <sheetName val="Blocking Project"/>
      <sheetName val="RNMP-028"/>
      <sheetName val="RNMP19"/>
      <sheetName val="XBA MY-19 Regulation-RNMP-016"/>
      <sheetName val="RNMP20"/>
      <sheetName val="RNMP25"/>
      <sheetName val="RNMP-011"/>
      <sheetName val="RNMP16"/>
      <sheetName val="RNMP001"/>
      <sheetName val="RNMP18"/>
      <sheetName val="NNMP10"/>
      <sheetName val="NNMP09"/>
      <sheetName val="RNMP023"/>
      <sheetName val="TSW"/>
      <sheetName val="ラミネート"/>
      <sheetName val="pulldown"/>
      <sheetName val="R Specific request "/>
      <sheetName val="COVER RL RECLINING"/>
      <sheetName val="PSKF"/>
      <sheetName val="00 DOWNLOAD"/>
      <sheetName val="棚配賦数"/>
      <sheetName val="p2-1"/>
      <sheetName val="MX628EX"/>
      <sheetName val="표지★"/>
      <sheetName val="Slide core"/>
      <sheetName val="Other lifter"/>
      <sheetName val="Tilted lifter"/>
      <sheetName val="Std_part"/>
      <sheetName val="BODY_CON"/>
      <sheetName val="S_STR"/>
      <sheetName val="CTR_STR"/>
      <sheetName val="W_BODY"/>
      <sheetName val="SH設備"/>
      <sheetName val="VALEO(2)"/>
      <sheetName val="基本情報"/>
      <sheetName val="Data_02"/>
      <sheetName val="K_Dat"/>
      <sheetName val="depreciation"/>
      <sheetName val="手順書"/>
      <sheetName val="GH05KF"/>
      <sheetName val="GH02KF"/>
      <sheetName val="[48810真.xl"/>
      <sheetName val="[48810真.xls"/>
      <sheetName val="[48810真.x̊"/>
      <sheetName val="MOTOc_x005f_x005f_x005f_x005f_x005f_x005f_x005f_x0000__"/>
      <sheetName val="___"/>
      <sheetName val="_48810真.x̊"/>
      <sheetName val="2.____"/>
      <sheetName val="MOTOc____ご_____&gt;ご___________"/>
      <sheetName val="MOTOc_ࠀ_笰ごꒈꐸ뜝瞮_猰ごࠀ_ꒀ嘻瞦咚瞦_ی_ꑠ"/>
      <sheetName val="MOTOc_ࠀ_笰ごꒈꐸ뜝瞮_猰ごࠀ_ꒀ嘻瞦咚瞦_۲_ꑠ"/>
      <sheetName val="MOTGc_ࠀ_笰ごꒈꐸ뜝瞮____猰ごࠀ_ꒀ嘻瞦咚瞦_"/>
      <sheetName val="_48810真_xlGlcest"/>
      <sheetName val="_48810真_x̊̔__RSB_CN"/>
      <sheetName val="SCH _¥_x001a_ O"/>
      <sheetName val="MastPlan"/>
      <sheetName val="共機J"/>
      <sheetName val="GCS"/>
      <sheetName val="Èå)_x005f_x0000_"/>
      <sheetName val="Ø40h11 MSA"/>
      <sheetName val="DJ06"/>
      <sheetName val="ﾃﾞｰﾀｼｰﾄ"/>
      <sheetName val="近似"/>
      <sheetName val="取引先コード"/>
      <sheetName val="データ入力用"/>
      <sheetName val="変化点０"/>
      <sheetName val="表"/>
      <sheetName val="MPTCﾒﾝﾊﾞｰ"/>
      <sheetName val="F.ﾎﾞｰﾙﾍﾞｱﾘﾝｸﾞ"/>
      <sheetName val="Ｂ単線"/>
      <sheetName val="sum"/>
      <sheetName val="_Musterabfrage_3__Maximaltabell"/>
      <sheetName val="Kalk. Kosten Sim."/>
      <sheetName val="TE Zeiten"/>
      <sheetName val="M-0003"/>
      <sheetName val="Net Price Position - Sheet 1"/>
      <sheetName val="HALOL"/>
      <sheetName val="FINAL01-03"/>
      <sheetName val="FINAL_15"/>
      <sheetName val="06月"/>
      <sheetName val="Tabelle Eingabefelder"/>
      <sheetName val="Statistik"/>
      <sheetName val="Manufacturing"/>
      <sheetName val="Bid_Sheet"/>
      <sheetName val="Lookup"/>
      <sheetName val="Flächen"/>
      <sheetName val="Maschinen"/>
      <sheetName val="wip-Dec."/>
      <sheetName val="Balance Sheet"/>
      <sheetName val="Fixed Assets"/>
      <sheetName val="LCL GENT0.4444,1.8JPN"/>
      <sheetName val="Log_Parameters"/>
      <sheetName val="Config&amp;Parm"/>
      <sheetName val="Functional Milest #3 Checklist"/>
      <sheetName val="Input of fleet retail vol. "/>
      <sheetName val="Projects"/>
      <sheetName val="General Data"/>
      <sheetName val="検索条件メイク"/>
      <sheetName val="Volume___Assumptions"/>
      <sheetName val="ｉ１１９"/>
      <sheetName val="全仕向地"/>
      <sheetName val="ﾗﾐ計算表"/>
      <sheetName val="ｸﾞﾙｰﾌﾟ(計算表)"/>
      <sheetName val="新ﾁｬｰｼﾞ(140601)"/>
      <sheetName val="ﾗｲﾅｰ"/>
      <sheetName val="エプトシーラー材料費"/>
      <sheetName val="INVEST LIST"/>
      <sheetName val="QOS Graph"/>
      <sheetName val="Reference"/>
      <sheetName val="AC"/>
      <sheetName val="CC"/>
      <sheetName val="Offshoring MODEL"/>
      <sheetName val="Sheet4"/>
      <sheetName val="Multiple Choice Data"/>
      <sheetName val="SUMSCHED"/>
      <sheetName val="付款单"/>
      <sheetName val="Program Effort matrix"/>
      <sheetName val="Data Source"/>
      <sheetName val="Data Validation"/>
      <sheetName val="Program Data"/>
      <sheetName val="Log"/>
      <sheetName val="Representative "/>
      <sheetName val="Exploded-FRT DR"/>
      <sheetName val="Exploded-RR DR"/>
      <sheetName val="Flow Chart"/>
      <sheetName val="BOT"/>
      <sheetName val="Assembly"/>
      <sheetName val="Single Part"/>
      <sheetName val="FD0940"/>
      <sheetName val="Take rate Calc"/>
      <sheetName val="Concept IDS"/>
      <sheetName val="Skin Yield"/>
      <sheetName val="SOW-M"/>
      <sheetName val="SOW-D"/>
      <sheetName val="Instructions"/>
      <sheetName val="CP Description"/>
      <sheetName val="CP Instructions"/>
      <sheetName val="Injected_Parts List"/>
      <sheetName val="IMM_Input"/>
      <sheetName val="Template Log"/>
      <sheetName val="BOM1"/>
      <sheetName val="IMM_BOM_Input"/>
      <sheetName val="Summary_Sheet"/>
      <sheetName val="IMM selection table"/>
      <sheetName val="IMM_START-UP"/>
      <sheetName val="RD1350"/>
      <sheetName val="RD1320"/>
      <sheetName val="RD1170"/>
      <sheetName val="RD0920"/>
      <sheetName val="RD0860"/>
      <sheetName val="RD1540"/>
      <sheetName val="RD1600"/>
      <sheetName val="RD0560"/>
      <sheetName val="RD0415"/>
      <sheetName val="RD0340"/>
      <sheetName val="RD0320"/>
      <sheetName val="RD0311"/>
      <sheetName val="RD0325"/>
      <sheetName val="FD2250"/>
      <sheetName val="FD2209"/>
      <sheetName val="FD2208"/>
      <sheetName val="FD2207"/>
      <sheetName val="FD2206"/>
      <sheetName val="FD2205"/>
      <sheetName val="FD2204"/>
      <sheetName val="FD2203"/>
      <sheetName val="FD2202"/>
      <sheetName val="FD2201"/>
      <sheetName val="FD2200"/>
      <sheetName val="FD2120"/>
      <sheetName val="FD2060"/>
      <sheetName val="FD1980"/>
      <sheetName val="FD1810"/>
      <sheetName val="FD1800"/>
      <sheetName val="FD1690"/>
      <sheetName val="FD1680"/>
      <sheetName val="FD1645"/>
      <sheetName val="FD1430"/>
      <sheetName val="FD1420"/>
      <sheetName val="FD1285"/>
      <sheetName val="FD1110"/>
      <sheetName val="FD1100"/>
      <sheetName val="FD0964"/>
      <sheetName val="FD0980"/>
      <sheetName val="FD0977"/>
      <sheetName val="FD0861"/>
      <sheetName val="FD0860"/>
      <sheetName val="FD0801"/>
      <sheetName val="FD0800"/>
      <sheetName val="FD0811"/>
      <sheetName val="FD0795"/>
      <sheetName val="FD0780"/>
      <sheetName val="IMM_START-UP (6)"/>
      <sheetName val="IMM_START-UP (5)"/>
      <sheetName val="IMM_START-UP (4)"/>
      <sheetName val="IMM_START-UP (3)"/>
      <sheetName val="IMM_START-UP (2)"/>
      <sheetName val="RD1200"/>
      <sheetName val="RD1045"/>
      <sheetName val="RD1040"/>
      <sheetName val="RD1020"/>
      <sheetName val="RD0640"/>
      <sheetName val="RD2060"/>
      <sheetName val="RD1920"/>
      <sheetName val="FD3900"/>
      <sheetName val="FD3770"/>
      <sheetName val="FD4100"/>
      <sheetName val="RD2240"/>
      <sheetName val="FD3580"/>
      <sheetName val="FD3500"/>
      <sheetName val="FD3400"/>
      <sheetName val="FD3285"/>
      <sheetName val="FD3280"/>
      <sheetName val="FD3205"/>
      <sheetName val="FD3100"/>
      <sheetName val="FD3085"/>
      <sheetName val="RD1720"/>
      <sheetName val="FD3040"/>
      <sheetName val="FD2780"/>
      <sheetName val="FD2680"/>
      <sheetName val="FD2480"/>
      <sheetName val="FD2340"/>
      <sheetName val="FD2240"/>
      <sheetName val="FD2280"/>
      <sheetName val="FD2220"/>
      <sheetName val="FD1880"/>
      <sheetName val="FD1900"/>
      <sheetName val="FD1840"/>
      <sheetName val="FD2040"/>
      <sheetName val="FD1820"/>
      <sheetName val="Parametre"/>
      <sheetName val="Parts Requiring Orders"/>
      <sheetName val="BOP List"/>
      <sheetName val="Raw Mat List"/>
      <sheetName val="Inflation per year"/>
      <sheetName val="RV정비"/>
      <sheetName val="階層表"/>
      <sheetName val="駆動 "/>
      <sheetName val="OEE Machine"/>
      <sheetName val="B053 (990701)공정실적PP%계산"/>
      <sheetName val="10-1 Media"/>
      <sheetName val="10-cut"/>
      <sheetName val="Drop Down Lists"/>
      <sheetName val="Capacity"/>
      <sheetName val="comp"/>
      <sheetName val="MOTOc_x0000___x0000__ご__x0012__"/>
      <sheetName val="MOTOc_x0000_ࠀ_x0000_笰ごꒈ_x0012_ꐸ"/>
      <sheetName val="MOTOc_x0000_ࠀ笰ごꒈ_x0012_ꐸ_x0012_"/>
      <sheetName val="MOTGc_x0000_ࠀ_x0000_笰ごꒈ_x0012_ꐸ"/>
      <sheetName val="VTL "/>
      <sheetName val="Sub-commodity List BOP"/>
      <sheetName val="BOP Timing (2)"/>
      <sheetName val="BOP Release Sheet "/>
      <sheetName val="TAG MANAGEMENT"/>
      <sheetName val="BOP Timing"/>
      <sheetName val="BOP TRACKING LIST"/>
      <sheetName val="数据库"/>
      <sheetName val="数据分析1"/>
      <sheetName val="汇总状态"/>
      <sheetName val="supplier目标时间"/>
      <sheetName val="工作计划"/>
      <sheetName val="D%$&amp;01_DevSheet"/>
      <sheetName val="MBOM FL DP"/>
      <sheetName val="MBOM FR DP"/>
      <sheetName val="MBOM RL DP"/>
      <sheetName val="MBOM RR DP"/>
      <sheetName val="VW380 (2)"/>
      <sheetName val="供应商联系表 (2)"/>
      <sheetName val="系统零件号"/>
      <sheetName val="供应商联系表"/>
      <sheetName val="EBOM"/>
      <sheetName val="EBOM (2)"/>
      <sheetName val="表皮"/>
      <sheetName val="PP"/>
      <sheetName val="PP (2)"/>
      <sheetName val="表皮 (2)"/>
      <sheetName val="表皮 (3)"/>
      <sheetName val="表皮 (4)"/>
      <sheetName val="奥森"/>
      <sheetName val="海天"/>
      <sheetName val="PP (3)"/>
      <sheetName val="海天 (2)"/>
      <sheetName val="PP (4)"/>
      <sheetName val="PP (5)"/>
      <sheetName val="PP (6)"/>
      <sheetName val="鸿德"/>
      <sheetName val="旷达"/>
      <sheetName val="海天 (3)"/>
      <sheetName val="Vigorougs"/>
      <sheetName val="长江电子"/>
      <sheetName val="PP (博陆)"/>
      <sheetName val="PP (7)"/>
      <sheetName val="ITW "/>
      <sheetName val="PP (8)"/>
      <sheetName val="帅特龙"/>
      <sheetName val="Vigorougs "/>
      <sheetName val="PP (博陆) (2)"/>
      <sheetName val="特雷姆"/>
      <sheetName val="帅特龙 (2)"/>
      <sheetName val="沅呈"/>
      <sheetName val="特雷姆 (2)"/>
      <sheetName val="AST"/>
      <sheetName val="Cover page"/>
      <sheetName val="setup"/>
      <sheetName val="IP"/>
      <sheetName val="2004"/>
      <sheetName val="Dont touch"/>
      <sheetName val="Front Page"/>
      <sheetName val="Design"/>
      <sheetName val="Bulding"/>
      <sheetName val="Trials"/>
      <sheetName val="Packaging"/>
      <sheetName val="Arrival and handling"/>
      <sheetName val="Installation"/>
      <sheetName val="Final Score"/>
      <sheetName val="Action Plan Recap Form"/>
      <sheetName val="Annexe"/>
      <sheetName val="Changes records"/>
      <sheetName val="CDP"/>
      <sheetName val="june add-del- july 3 bkts4.6.01"/>
      <sheetName val="PRF NEW"/>
      <sheetName val="MOTOc_x0000_?_x0000_?ご?_x0012_?"/>
      <sheetName val="Change log"/>
      <sheetName val="Footprint "/>
      <sheetName val="DECOVENT HIGHT_Exploded"/>
      <sheetName val="DECOVENT LOW_Exploded "/>
      <sheetName val="capa processes"/>
      <sheetName val="Process Flow"/>
      <sheetName val="WC"/>
      <sheetName val="WC-CTR"/>
      <sheetName val="Assy WC"/>
      <sheetName val="MOD aligment Chakan"/>
      <sheetName val="CAPEX"/>
      <sheetName val="Overview"/>
      <sheetName val="Amortiation"/>
      <sheetName val="Current Status"/>
      <sheetName val="Calendar 09"/>
      <sheetName val="resultat"/>
      <sheetName val="Man power"/>
      <sheetName val="Dep 11-12&lt;&gt;12mth "/>
      <sheetName val="CASE ASM"/>
      <sheetName val="HEV Price Walk"/>
      <sheetName val="Information"/>
      <sheetName val="X11C Parts List"/>
      <sheetName val="115円ﾍﾞｰｽ"/>
      <sheetName val="Langues"/>
      <sheetName val="SCS III"/>
      <sheetName val="Synthesis"/>
      <sheetName val="Codes - NNA - 04.27.01 logic"/>
      <sheetName val="BOM Compile"/>
      <sheetName val="Lookups"/>
      <sheetName val="UP1"/>
      <sheetName val="UP3"/>
      <sheetName val="T30ﾗｼﾞｸﾞﾘ"/>
      <sheetName val="HKKalk280100 modifiziert"/>
      <sheetName val="JIT - 130.000"/>
      <sheetName val="R BOM Model"/>
      <sheetName val="JIT - 266.000"/>
      <sheetName val="Parts"/>
      <sheetName val="Model Sum - 130.000"/>
      <sheetName val="ﾏｽﾀ"/>
      <sheetName val="R BOM Subs"/>
      <sheetName val="List2-1_ModelCode-Local"/>
      <sheetName val="Overview 2 "/>
      <sheetName val="MonthSummary"/>
      <sheetName val="재료율"/>
      <sheetName val="#93"/>
      <sheetName val="Volume_Hypothesis"/>
      <sheetName val="Material_Input_Status4"/>
      <sheetName val="Kapitaleinsatz_&amp;_Umsatz4"/>
      <sheetName val="Herstellkosten_(Referenz)4"/>
      <sheetName val="Working_Capital4"/>
      <sheetName val="Seatbelt_Guides4"/>
      <sheetName val="Stowage_Tray4"/>
      <sheetName val="Vehicle_Parts_List4"/>
      <sheetName val="Ideas_Entered3"/>
      <sheetName val="K440_can_wake-up_logic4"/>
      <sheetName val="PRICE_STRAT_FOR_3F3"/>
      <sheetName val="J_or_E4"/>
      <sheetName val="Europe_PU-13"/>
      <sheetName val="Build_Sheets3"/>
      <sheetName val="MATRIZ_POR_AREA4"/>
      <sheetName val="TT_(13)3"/>
      <sheetName val="New_DYNA3"/>
      <sheetName val="Report_Key3"/>
      <sheetName val="full_(2)3"/>
      <sheetName val="MPL_技連3"/>
      <sheetName val="342E_BLOCK3"/>
      <sheetName val="Trim_Dev_Materials3"/>
      <sheetName val="Non_Labour_Forecast3"/>
      <sheetName val="Costed_Parts_Matrix3"/>
      <sheetName val="Engineering_Assumptions3"/>
      <sheetName val="Labour_Forecast3"/>
      <sheetName val="Process_Summary3"/>
      <sheetName val="Original_ED&amp;D_summary3"/>
      <sheetName val="Laser_Weld2"/>
      <sheetName val="Price_J60E63"/>
      <sheetName val="Table_Master3"/>
      <sheetName val="JT3_0견적-구13"/>
      <sheetName val="Total_Income_Statement3"/>
      <sheetName val="Croisements_(Ai_-_Ej_-_Mk)_X853"/>
      <sheetName val="DV_Release2"/>
      <sheetName val="LOAD_HOURS2"/>
      <sheetName val="Plan_Sheet3"/>
      <sheetName val="VAC_BLK_CALC_3"/>
      <sheetName val="Blank_AQR_(old)3"/>
      <sheetName val="CAP_PLAN3"/>
      <sheetName val="PKG_&amp;_FRT3"/>
      <sheetName val="PROCESS_INFO3"/>
      <sheetName val="問題課題(pattern_3)2"/>
      <sheetName val="ebom_excel2"/>
      <sheetName val="qad_bom2"/>
      <sheetName val="Default_Rates2"/>
      <sheetName val="DD96_1_182"/>
      <sheetName val="After_Sales_Supplier_#'s2"/>
      <sheetName val="FY99_Volume2"/>
      <sheetName val="Stamping_Tool_building_Hrs2"/>
      <sheetName val="Stamping_Burden2"/>
      <sheetName val="FB_sepa_S23"/>
      <sheetName val="EPW_06303"/>
      <sheetName val="cc_0214_23002"/>
      <sheetName val="Fert_ablauf2"/>
      <sheetName val="PN_LIST2"/>
      <sheetName val="F7_Custom_Service_Center_(CSC)2"/>
      <sheetName val="F5_E1-TEI_2"/>
      <sheetName val="F5_Specific_expenses_Vol_Drop2"/>
      <sheetName val="F5_Specific_expenses2"/>
      <sheetName val="HPS_Slit_Coil_(Centralia)2"/>
      <sheetName val="391_各2"/>
      <sheetName val="Product_Validation2"/>
      <sheetName val="Sales_price2"/>
      <sheetName val="A10_(2)2"/>
      <sheetName val="POLO_H_GP2"/>
      <sheetName val="IP2X_MCE2"/>
      <sheetName val="VW321_(Lavida_taxi)2"/>
      <sheetName val="IP24_RSB_CN2"/>
      <sheetName val="SK371_(PV20140226)降密方案2"/>
      <sheetName val="SK371_(PV20140226)_2"/>
      <sheetName val="SK371_(PV1)2"/>
      <sheetName val="KC_FOAM2"/>
      <sheetName val="B753__PV2"/>
      <sheetName val="B81C_(广州)2"/>
      <sheetName val="D2SC_PV2"/>
      <sheetName val="D2SC_DV2"/>
      <sheetName val="B753__PV_(2)2"/>
      <sheetName val="TFC_MY142"/>
      <sheetName val="ZP11_EU2"/>
      <sheetName val="SGM318_(3)2"/>
      <sheetName val="SGM318_(2)2"/>
      <sheetName val="IP21_MCE2"/>
      <sheetName val="SK253_SB(M-A_ENTRY_SB)2"/>
      <sheetName val="Model_S_FL(SK461)2"/>
      <sheetName val="LAVIDA_DERIVAT2"/>
      <sheetName val="Model_A_TAXI2"/>
      <sheetName val="SGM258_MY132"/>
      <sheetName val="New_Model_A201303042"/>
      <sheetName val="New_Model_A201209212"/>
      <sheetName val="New_Model_A2"/>
      <sheetName val="New_Model_A降密2"/>
      <sheetName val="IP22_EU&amp;UK2"/>
      <sheetName val="T4NA(2CN)_(2)2"/>
      <sheetName val="GAMMA_SUV2"/>
      <sheetName val="Model_H_GTI2"/>
      <sheetName val="New_Lavida2"/>
      <sheetName val="Model_A2"/>
      <sheetName val="IP22_CN_L-CAR2"/>
      <sheetName val="SGM201_R3_ISS2"/>
      <sheetName val="Model_S_MP122"/>
      <sheetName val="Model_F_FL2"/>
      <sheetName val="Model_H_Cross2"/>
      <sheetName val="New_Model_K2"/>
      <sheetName val="ZP11_MG2"/>
      <sheetName val="List_Data2"/>
      <sheetName val="BU_Summary_Data2"/>
      <sheetName val="Japanese_Summary2"/>
      <sheetName val="Antivol_D22"/>
      <sheetName val="Material_Tables2"/>
      <sheetName val="Weld_Tool2"/>
      <sheetName val="BOM_Input2"/>
      <sheetName val="Parts_List2"/>
      <sheetName val="Inputs_and_Data3"/>
      <sheetName val="Tooling_breakdown2"/>
      <sheetName val="342A_Block2"/>
      <sheetName val="LESCI_J772"/>
      <sheetName val="Read_me_first2"/>
      <sheetName val="organization_data2"/>
      <sheetName val="Labor_cost2"/>
      <sheetName val="SU_BOM_200712132"/>
      <sheetName val="Ideal_Cost2"/>
      <sheetName val="Data_01012"/>
      <sheetName val="E_TOPICS2"/>
      <sheetName val="ECN-Mold_Progress2"/>
      <sheetName val="ALL_PARTS_PRICE_LIST2"/>
      <sheetName val="_DATA2"/>
      <sheetName val="表5-2_地区別CO2排出実績2"/>
      <sheetName val="Ass'y-A_(Day)2"/>
      <sheetName val="Stock_Price2"/>
      <sheetName val="contract_AGER1"/>
      <sheetName val="contract_APOR1"/>
      <sheetName val="market_AGER1"/>
      <sheetName val="market_APOR1"/>
      <sheetName val="結果一覧_ｼｰﾄ2"/>
      <sheetName val="Process_means2"/>
      <sheetName val="Fixture_List2"/>
      <sheetName val="Sheet6_(3)1"/>
      <sheetName val="진행_DATA_(2)2"/>
      <sheetName val="Vol_&amp;_Assumpt2"/>
      <sheetName val="Roll_Out_-_Limit2"/>
      <sheetName val="Customer_Part_Approval2"/>
      <sheetName val="Development_Start2"/>
      <sheetName val="Final_Production_Release2"/>
      <sheetName val="VIM_Data2"/>
      <sheetName val="PRIX_20092"/>
      <sheetName val="Interior_Trim2"/>
      <sheetName val="minimum_lot_size2"/>
      <sheetName val="X61B_ZH2E_L1_#12"/>
      <sheetName val="Part_by_Part2"/>
      <sheetName val="JCAE_Sale_Price1"/>
      <sheetName val="R_FJS_CAR_(old)1"/>
      <sheetName val="Specific_Data2"/>
      <sheetName val="Input_Sheet2"/>
      <sheetName val="Plant_Data1"/>
      <sheetName val="5_UPS_Data2"/>
      <sheetName val="A3C_Data1"/>
      <sheetName val="勤務ｼﾌﾄﾍﾞｰｽ表_下期1"/>
      <sheetName val="Barcode_D&amp;F1"/>
      <sheetName val="Key_Function_in_Master_FMEA1"/>
      <sheetName val="Ref_IMM_Sizes1"/>
      <sheetName val="Prog_INFO1"/>
      <sheetName val="IAC_Quote_Processes1"/>
      <sheetName val="Sq_Area_INPUT1"/>
      <sheetName val="LPIM_BLK_CALC1"/>
      <sheetName val="ASSET_PLAN1"/>
      <sheetName val="_Cycle_Times1"/>
      <sheetName val="DIE_CUT_ROLL_CALC1"/>
      <sheetName val="EFFICIENCY_VS_VOLUME1"/>
      <sheetName val="TOOL_INFO1"/>
      <sheetName val="Marea_MY1"/>
      <sheetName val="Brava-o_MY1"/>
      <sheetName val="P_TO1"/>
      <sheetName val="Part_Pictorials1"/>
      <sheetName val="702_515_881t1"/>
      <sheetName val="工程別見積り_(SP)1"/>
      <sheetName val="Sales_by_Customer1"/>
      <sheetName val="140N_Part_Local_(SE)1"/>
      <sheetName val="part_list_C51"/>
      <sheetName val="cycle_time_reduction2"/>
      <sheetName val="Base_Info2"/>
      <sheetName val="Data_Table1"/>
      <sheetName val="4__Project_Plan1"/>
      <sheetName val="FUNCTION_CHART1"/>
      <sheetName val="Income_Statem2"/>
      <sheetName val="Mechanical_Handle_Grained2"/>
      <sheetName val="信息费用预算表(A4)_1"/>
      <sheetName val="01_3_28現在1"/>
      <sheetName val="Incr_Inv_Tool1"/>
      <sheetName val="HL_extract1"/>
      <sheetName val="CHHS_AVSS61"/>
      <sheetName val="Budget_base1"/>
      <sheetName val="FACT_B2"/>
      <sheetName val="Notice_Link2"/>
      <sheetName val="ALPL_0305142"/>
      <sheetName val="IVP_und_Afa1"/>
      <sheetName val="Full_list_0204251"/>
      <sheetName val="Format_info1"/>
      <sheetName val="contents_(English)1"/>
      <sheetName val="設変通知書_(E)1"/>
      <sheetName val="Rev_#1_&amp;_#21"/>
      <sheetName val="?d?l??_(full-SUV)1"/>
      <sheetName val="RM_cost_Evapo_Standarti2"/>
      <sheetName val="RS_Sound_Add__Module2"/>
      <sheetName val="AM_6M_941"/>
      <sheetName val="ｺｽﾄ比較_(総括)1"/>
      <sheetName val="Reference_1"/>
      <sheetName val="645a_9-18_PTO_4_31"/>
      <sheetName val="Chart_Data_Formulas1"/>
      <sheetName val="issue_destination1"/>
      <sheetName val="PSA_T71"/>
      <sheetName val="GG_S&amp;O_List1"/>
      <sheetName val="costes_internos1"/>
      <sheetName val="Cómputo_B1"/>
      <sheetName val="0_Cuota1"/>
      <sheetName val="TMMI_SEQUOIA_20111"/>
      <sheetName val="Issues_log1"/>
      <sheetName val="Just_for_calculation1"/>
      <sheetName val="Données_transversales_pays1"/>
      <sheetName val="Forração_PP_DE1"/>
      <sheetName val="Exploded_End_Items1"/>
      <sheetName val="차체_품안표1"/>
      <sheetName val="CUSTOMER_(DETAIL)1"/>
      <sheetName val="Parameters_SSR1"/>
      <sheetName val="HS_HB_NE_dr_11"/>
      <sheetName val="尾门板总成_1"/>
      <sheetName val="Volume_Hypothesis1"/>
      <sheetName val="Search Conditions"/>
      <sheetName val="諸元"/>
      <sheetName val="TITLE BLOCK"/>
      <sheetName val="COMPOSITION PARTS BLOCK"/>
      <sheetName val="上野ﾌｫｰﾑ台当たり"/>
      <sheetName val="4月"/>
      <sheetName val="User's guidelines"/>
      <sheetName val="Distribution list"/>
      <sheetName val="email comments"/>
      <sheetName val="Launch Scorecard"/>
      <sheetName val="Mandatories graphs"/>
      <sheetName val="Additional Graph"/>
      <sheetName val="VCM Plan"/>
      <sheetName val="DATA input additional"/>
      <sheetName val="DATA input scrap quality LB"/>
      <sheetName val="DATA input T&amp;E DL Meist. Mockup"/>
      <sheetName val="DATA input Logistics"/>
      <sheetName val="General rules"/>
      <sheetName val="Rules per KPI"/>
      <sheetName val="Mandatories graphs example"/>
      <sheetName val="工数データ"/>
      <sheetName val="Tubelists"/>
      <sheetName val="CVR"/>
      <sheetName val="COUP24"/>
      <sheetName val="DATA SPGR14"/>
      <sheetName val="ghorpade "/>
      <sheetName val="MOTOc??ご?_x0012_?_x0012_???ご??_x0012_????"/>
      <sheetName val="MOTOc??ご?_x0012_?_x0012_???ご??_x0012_??????"/>
      <sheetName val="MOTOc??ご?_x0012_?_x0012_??&gt;ご??_x0012_????"/>
      <sheetName val="MOTOc??ご?_x0012_?_x0012_??&gt;ご??_x0012_??????"/>
      <sheetName val="[48810真.xlGlcest"/>
      <sheetName val="MOTOc__ご__x0012__"/>
      <sheetName val="MOTOc??ご?_x0012_?"/>
      <sheetName val="2"/>
      <sheetName val="Validation Table"/>
      <sheetName val="Logistic_Sheet_Pune"/>
      <sheetName val="_d_l___(full-SUV)1"/>
      <sheetName val="MOTOc__ご__x0012___x0012____ご___x0012_____"/>
      <sheetName val="MOTOc__ご__x0012___x0012____ご___x0012_______"/>
      <sheetName val="MOTOc__ご__x0012___x0012___&gt;ご___x0012_____"/>
      <sheetName val="MOTOc__ご__x0012___x0012___&gt;ご___x0012_______"/>
      <sheetName val="_48810真.xlGlcest"/>
      <sheetName val="GuV"/>
      <sheetName val="Customers"/>
      <sheetName val="Products"/>
      <sheetName val="SBU"/>
      <sheetName val="ZF-Locations"/>
      <sheetName val="Application-Keys (MBS)"/>
      <sheetName val="neues Synchronkonzept"/>
      <sheetName val="SL"/>
      <sheetName val="MAINT,QP,COMM"/>
      <sheetName val="SUPPORTING"/>
      <sheetName val="3.SCHEDULES"/>
      <sheetName val="08 Engineering hours summary"/>
      <sheetName val="Èå)?"/>
      <sheetName val="존4"/>
      <sheetName val="Quotation JULY 08"/>
      <sheetName val="BOM_TOP5"/>
      <sheetName val="PO_&amp;_SA_List2"/>
      <sheetName val="Start_Here2"/>
      <sheetName val="Operating_Plan_Changes2"/>
      <sheetName val="GRN_Report_0706-_03072"/>
      <sheetName val="tesa_micro_hite2"/>
      <sheetName val="TOTAL_LIST2"/>
      <sheetName val="Pre-concept_AX01"/>
      <sheetName val="TB_Jan-Dec961"/>
      <sheetName val="Managerial_Remuneration-Dec961"/>
      <sheetName val="---_(2)1"/>
      <sheetName val="Waterfall__0_Toolb1"/>
      <sheetName val="OPER__SPECS1"/>
      <sheetName val="RAW_MATERIAL1"/>
      <sheetName val="Burden_2800"/>
      <sheetName val="Annual_Sales2"/>
      <sheetName val="Package_Presentation"/>
      <sheetName val="Business_Plan"/>
      <sheetName val="094W原紙_2"/>
      <sheetName val="Drop-Down_Lists"/>
      <sheetName val="61B_(J)1"/>
      <sheetName val="X61B_(E)1"/>
      <sheetName val="Poland_HL1"/>
      <sheetName val="Rubriques_MC1"/>
      <sheetName val="Hyp_DDRH1"/>
      <sheetName val="A-B(exp_)1"/>
      <sheetName val="PN_LIST_(2)1"/>
      <sheetName val="PN_LIST_P33B1"/>
      <sheetName val="Invoice_Aging1"/>
      <sheetName val="Open_AP1"/>
      <sheetName val="００･ＤＥ_Ｍ６２1"/>
      <sheetName val="FmｸﾞﾗﾌVer_01"/>
      <sheetName val="参考_人員調査表1"/>
      <sheetName val="Cooling_Unit1"/>
      <sheetName val="GLOBAL_POWERTRAIN1"/>
      <sheetName val="Sheet1_(2)1"/>
      <sheetName val="_48810真_xl1"/>
      <sheetName val="_48810真_xls1"/>
      <sheetName val="PIC_PSI1"/>
      <sheetName val="_48810真_xl__Glcest1"/>
      <sheetName val="_48810真_xls____1"/>
      <sheetName val="[48810真_xl??Glcest1"/>
      <sheetName val="[48810真_xls????1"/>
      <sheetName val="Cap'l_Input1"/>
      <sheetName val="Point_21"/>
      <sheetName val="(7__FR_&amp;_RR_axle_mass)1"/>
      <sheetName val="Sheet1_(7)1"/>
      <sheetName val="set_date1"/>
      <sheetName val="Eflex_bom1"/>
      <sheetName val="Cal_Mat_TB1"/>
      <sheetName val="dongia_(2)1"/>
      <sheetName val="P_2_VAR組合せ表1"/>
      <sheetName val="New_Prices1"/>
      <sheetName val="PL_BS_CF1"/>
      <sheetName val="2_대외공문1"/>
      <sheetName val="PCQIS_Warrty_data1"/>
      <sheetName val="Drop_downs1"/>
      <sheetName val="4-Series_-_Control_Model"/>
      <sheetName val="DEC_EO1"/>
      <sheetName val="C214_9306#25"/>
      <sheetName val="PS41_0406_KD"/>
      <sheetName val="總檔__(2)"/>
      <sheetName val="FUEL_FILLER"/>
      <sheetName val="サイクル_Cell_ID1"/>
      <sheetName val="040_適用車種コード情報1"/>
      <sheetName val="140_loabor1"/>
      <sheetName val="CBD_Kolben1"/>
      <sheetName val="Customer_Claim_Year1"/>
      <sheetName val="C3_N_DC改造投資1"/>
      <sheetName val="Sum_Defect_OFF-LINE_GMI7001"/>
      <sheetName val="Lesson_Lern1"/>
      <sheetName val="Main_Model1"/>
      <sheetName val="SWS_MSG1"/>
      <sheetName val="040_削除"/>
      <sheetName val="TPM_Sheet"/>
      <sheetName val="GB-IC_Villingen_GG"/>
      <sheetName val="DATA_SHEET"/>
      <sheetName val="1_28_08_450pm"/>
      <sheetName val="Cost_2018"/>
      <sheetName val="Sheet_01"/>
      <sheetName val="Sheet_4_VTL1"/>
      <sheetName val="Division__"/>
      <sheetName val="2_????"/>
      <sheetName val="Daily_1_1"/>
      <sheetName val="HE_BASE"/>
      <sheetName val="hvac_00_defect"/>
      <sheetName val="MOTOc_?_?ご????____?ご?_?????_"/>
      <sheetName val="MOTOc_ࠀ_笰ごꒈꐸ뜝瞮____猰ごࠀ_ꒀ嘻瞦咚瞦1"/>
      <sheetName val="MOTOc_?_?ご????_?ご?_?????_?_?"/>
      <sheetName val="MOTOc_ࠀ笰ごꒈꐸ뜝瞮猰ごࠀꒀ嘻瞦咚瞦یꑠ噍瞦ՠ1"/>
      <sheetName val="MOTOc_ࠀ笰ごꒈꐸ뜝瞮猰ごࠀꒀ嘻瞦咚瞦৿ꑠ噍瞦ՠ1"/>
      <sheetName val="MOTOc_ࠀ笰ごꒈꐸ뜝瞮猰ごࠀꒀ嘻瞦咚瞦۲ꑠ噍瞦ᕀ1"/>
      <sheetName val="MOTOc____ご_________ご_______1"/>
      <sheetName val="MOTOc____ご______ご__________1"/>
      <sheetName val="MOTOc____ご__x005f_x0012___x005f_x0012_____1"/>
      <sheetName val="MOTOc_ࠀ_笰ごꒈ_x005f_x0012_ꐸ_x005f_x0012_뜝瞮__1"/>
      <sheetName val="MOTOc____ご__x005f_x0012___x005f_x0012_____2"/>
      <sheetName val="MOTOc_ࠀ笰ごꒈ_x005f_x0012_ꐸ_x005f_x0012_뜝瞮猰ごࠀ1"/>
      <sheetName val="pad_assy"/>
      <sheetName val="Pre_"/>
      <sheetName val="Inv_"/>
      <sheetName val="3_結果まとめ"/>
      <sheetName val="aux_2004"/>
      <sheetName val="att_1_2_NMUK_REQUIREMENTS"/>
      <sheetName val="{Ref}_Hitachi_report_Q-Us_"/>
      <sheetName val="Profile_EUR_OUTPUT"/>
      <sheetName val="Profile_UK"/>
      <sheetName val="972低減_10月"/>
      <sheetName val="FDR_BUDGET_2001_EISENACH"/>
      <sheetName val="Cover_&amp;_list"/>
      <sheetName val="MOTOcࠀ笰ごꒈꐸ뜝瞮猰ごࠀꒀ嘻瞦咚瞦৿ꑠ"/>
      <sheetName val="P5_VC_Vehicle_Spec"/>
      <sheetName val="MOTOc_?_?ご?_x005f_x0012_?_x005f_x0012_??___"/>
      <sheetName val="MOTOc_?_?ご?_x005f_x0012_?_x005f_x0012_??_?ご"/>
      <sheetName val="WTC_BODY一覧原紙"/>
      <sheetName val="RX3_CBU"/>
      <sheetName val="Update_6_01"/>
      <sheetName val="THAI向け_INST"/>
      <sheetName val="MEX向け_INST"/>
      <sheetName val="MEX向け_INST_PACKING_LIST"/>
      <sheetName val="MOTGcࠀ笰ごꒈꐸ뜝瞮猰ごࠀꒀ嘻瞦咚瞦৿ꑠ"/>
      <sheetName val="SCH_?¥_O"/>
      <sheetName val="Income_Statement"/>
      <sheetName val="48810真_xls"/>
      <sheetName val="GMX_002"/>
      <sheetName val="Sub-commodity_List"/>
      <sheetName val="Costing_Wave_2_STT"/>
      <sheetName val="BoM_(Wave_2)"/>
      <sheetName val="RBC_(RNMP-005)"/>
      <sheetName val="RNMP16_(2)"/>
      <sheetName val="NNMP-003-K2_Ph1"/>
      <sheetName val="Blocking_Project"/>
      <sheetName val="XBA_MY-19_Regulation-RNMP-016"/>
      <sheetName val="R_Specific_request_"/>
      <sheetName val="COVER_RL_RECLINING"/>
      <sheetName val="00_DOWNLOAD"/>
      <sheetName val="Slide_core"/>
      <sheetName val="Other_lifter"/>
      <sheetName val="Tilted_lifter"/>
      <sheetName val="Ø40h11_MSA"/>
      <sheetName val="F_ﾎﾞｰﾙﾍﾞｱﾘﾝｸﾞ"/>
      <sheetName val="[48810真_xl"/>
      <sheetName val="[48810真_xls1"/>
      <sheetName val="[48810真_x̊"/>
      <sheetName val="_48810真_x̊"/>
      <sheetName val="2_____"/>
      <sheetName val="SCH__¥_O"/>
      <sheetName val="ghorpade_"/>
      <sheetName val="DATA_SPGR14"/>
      <sheetName val="[48810真_xlGlcest1"/>
      <sheetName val="Common Cost Lookup"/>
      <sheetName val="Model"/>
      <sheetName val="Broaching"/>
      <sheetName val="Cutoff"/>
      <sheetName val="Drilling"/>
      <sheetName val="End Mills"/>
      <sheetName val="Grinding"/>
      <sheetName val="Machining Ops"/>
      <sheetName val="Inserts"/>
      <sheetName val="Machines"/>
      <sheetName val="Should Cost"/>
      <sheetName val="Threads"/>
      <sheetName val="Reaming"/>
      <sheetName val="Should Machine Data"/>
      <sheetName val="Taps"/>
      <sheetName val="old_serial no."/>
      <sheetName val="tot_ass_9697"/>
      <sheetName val="FINANCIALS"/>
      <sheetName val="Actual"/>
      <sheetName val="unit cost"/>
      <sheetName val="June Chai"/>
      <sheetName val="MATMC"/>
      <sheetName val="grafdata"/>
      <sheetName val="Front Row BOM"/>
      <sheetName val="Infl (2)"/>
      <sheetName val="Infl"/>
      <sheetName val="結果"/>
      <sheetName val="MTBF"/>
      <sheetName val="ｺｰﾄﾞ"/>
      <sheetName val="ISRDATA"/>
      <sheetName val="710TABLE"/>
      <sheetName val="fview"/>
      <sheetName val="SGM"/>
      <sheetName val="印刷不要)P3受注量元データ"/>
      <sheetName val="Snp"/>
      <sheetName val="オイラー角"/>
      <sheetName val="9D"/>
      <sheetName val="字典代码项"/>
      <sheetName val="tutti"/>
      <sheetName val="Lighting OP"/>
      <sheetName val="Aftermarket OP"/>
      <sheetName val="Motorsport OP"/>
      <sheetName val="MM_Case"/>
      <sheetName val="現行PN61G耐力"/>
      <sheetName val="欧州 構想書集約"/>
      <sheetName val="プルダウン設定"/>
      <sheetName val="Lista"/>
      <sheetName val="プルダウン"/>
      <sheetName val="欧州_構想書集約"/>
      <sheetName val="UU1 memo"/>
      <sheetName val="RS"/>
      <sheetName val="SPEC NOTE BLOCK(3)"/>
      <sheetName val="MPC"/>
      <sheetName val="IRR1"/>
      <sheetName val="Invest"/>
      <sheetName val="TB P12"/>
      <sheetName val="MOTOc _ _ご__x005f_x005f_x005f_x0012___x005f"/>
      <sheetName val="MOTOc ࠀ 笰ごꒈ_x005f_x005f_x005f_x0012_ꐸ_x005f"/>
      <sheetName val="MOTOc ࠀ笰ごꒈ_x005f_x005f_x005f_x0012_ꐸ_x005f_x005f_"/>
      <sheetName val="MOTOc____ご__x0012___x0012______"/>
      <sheetName val="Fuel gauge data (V-up)"/>
      <sheetName val="TF仕様比較"/>
      <sheetName val="詳細図2（車体）"/>
      <sheetName val="プルダウン内容"/>
      <sheetName val="Dﾚﾝｼﾞ AC=ON"/>
      <sheetName val="xDATA (1)"/>
      <sheetName val="condiciones"/>
      <sheetName val="PRECIOS_DESDE"/>
      <sheetName val="PRECIOS_CNR"/>
      <sheetName val="PRECIOS_MAINLAND"/>
      <sheetName val="BIW_Graphics_DATA"/>
      <sheetName val="宛先"/>
      <sheetName val="MOTOc?ࠀ?笰ごꒈ_x0012_ꐸ_x0012_뜝瞮?猰ごࠀ?ꒀ_x0012_嘻瞦咚瞦?৿?ꑠ"/>
      <sheetName val="Calculate"/>
      <sheetName val="Category"/>
      <sheetName val="Rep1"/>
      <sheetName val="Rep2"/>
      <sheetName val="Suggest 5 Day"/>
      <sheetName val="ｶｯﾄ角調査"/>
      <sheetName val="Notes"/>
      <sheetName val="MOTOc?ࠀ?笰ごꒈ_x0012_ꐸ뵓뜝瞮????猰ごࠀ?ꒀ_x0012_嘻瞦咚瞦?"/>
      <sheetName val="Oracle領域見積り用"/>
      <sheetName val="TXTデータ"/>
      <sheetName val="分科会構成"/>
      <sheetName val="Lists"/>
      <sheetName val="カメラ"/>
      <sheetName val="ﾊﾞｯｸﾃﾞｰﾀ"/>
      <sheetName val="分项统计"/>
      <sheetName val="応力線図"/>
      <sheetName val="Forjas, Queretaro, Mexico"/>
      <sheetName val="SERCOR"/>
      <sheetName val="TB_P12"/>
      <sheetName val="Forjas,_Queretaro,_Mexico"/>
      <sheetName val="details"/>
      <sheetName val="Topics"/>
      <sheetName val="MOTOc_ࠀ_笰ごꒈ_x0012_ꐸ_x0012_뜝瞮___"/>
      <sheetName val="MOTOc____ご__x0012___x0012_____ご"/>
      <sheetName val="MOTOc_ࠀ笰ごꒈ_x0012_ꐸ_x0012_뜝瞮猰ごࠀꒀ"/>
      <sheetName val="MOTOc _ _ご__x0012___x0012___   "/>
      <sheetName val="MOTOc ࠀ 笰ごꒈ_x0012_ꐸ_x0012_뜝瞮   "/>
      <sheetName val="MOTOc _ _ご__x0012___x0012___ _ご"/>
      <sheetName val="MOTOc ࠀ笰ごꒈ_x0012_ꐸ_x0012_뜝瞮猰ごࠀꒀ"/>
      <sheetName val="MOTOc_x005f_x0000___x0000"/>
      <sheetName val="MOTOc_x005f_x0000_ࠀ_x0000"/>
      <sheetName val="MOTOc_x005f_x0000_ࠀ笰ごꒈ_x0"/>
      <sheetName val="MOTOc____ご__x005f_x0012___x005f"/>
      <sheetName val="MOTOc_ࠀ_笰ごꒈ_x005f_x0012_ꐸ_x005f"/>
      <sheetName val="MOTOc_ࠀ笰ごꒈ_x005f_x0012_ꐸ_"/>
      <sheetName val="P7～"/>
      <sheetName val="既定値"/>
      <sheetName val="FR"/>
      <sheetName val="MOTOc____ご__x005f_x005f_x005f_x005f_x005f_x005f_x"/>
      <sheetName val="MOTOc_ࠀ_笰ごꒈ_x005f_x005f_x005f_x005f_x005f_x005f_x"/>
      <sheetName val="MOTOc_ࠀ笰ごꒈ_x005f_x005f_x005f_x005f_x005f_x005f_x0"/>
      <sheetName val="MOTOc_x005f_x005f_x005f_x0000___x0000"/>
      <sheetName val="MOTOc_x005f_x005f_x005f_x0000_ࠀ_x0000"/>
      <sheetName val="MOTOc_x005f_x005f_x005f_x0000_ࠀ笰ごꒈ_x0"/>
      <sheetName val="MOTOc_ࠀ笰ごꒈ_x005f_x005f_x005f_x0012_ꐸ_"/>
      <sheetName val="R50 data-Summary inhouse assump"/>
      <sheetName val="Exchange Rate"/>
      <sheetName val="Extrude"/>
      <sheetName val="リンク元"/>
      <sheetName val="UU1_memo"/>
      <sheetName val="MOTOc____ご__x005f_x005f_x005f_x0012___x0051"/>
      <sheetName val="MOTOc_ࠀ_笰ごꒈ_x005f_x005f_x005f_x0012_ꐸ_x0051"/>
      <sheetName val="MOTOc_ࠀ笰ごꒈ_x005f_x005f_x005f_x0012_ꐸ_x005f1"/>
      <sheetName val="MOTOc____ご_______"/>
      <sheetName val="SPEC_NOTE_BLOCK(3)"/>
      <sheetName val="Fuel_gauge_data_(V-up)"/>
      <sheetName val="Dﾚﾝｼﾞ_AC=ON"/>
      <sheetName val="SupplierNoveltyLevel"/>
      <sheetName val="マスターシート"/>
      <sheetName val="FNFRコード"/>
      <sheetName val="Material_Input_Status5"/>
      <sheetName val="Vehicle_Parts_List5"/>
      <sheetName val="Kapitaleinsatz_&amp;_Umsatz5"/>
      <sheetName val="Herstellkosten_(Referenz)5"/>
      <sheetName val="Working_Capital5"/>
      <sheetName val="K440_can_wake-up_logic5"/>
      <sheetName val="Ideas_Entered4"/>
      <sheetName val="PRICE_STRAT_FOR_3F4"/>
      <sheetName val="Plan_Sheet4"/>
      <sheetName val="Build_Sheets4"/>
      <sheetName val="full_(2)4"/>
      <sheetName val="MPL_技連4"/>
      <sheetName val="342E_BLOCK4"/>
      <sheetName val="BOM_TOP6"/>
      <sheetName val="Material_Input_Status6"/>
      <sheetName val="Vehicle_Parts_List6"/>
      <sheetName val="Kapitaleinsatz_&amp;_Umsatz6"/>
      <sheetName val="Herstellkosten_(Referenz)6"/>
      <sheetName val="Working_Capital6"/>
      <sheetName val="K440_can_wake-up_logic6"/>
      <sheetName val="Seatbelt_Guides5"/>
      <sheetName val="Stowage_Tray5"/>
      <sheetName val="Ideas_Entered5"/>
      <sheetName val="PRICE_STRAT_FOR_3F5"/>
      <sheetName val="J_or_E5"/>
      <sheetName val="Plan_Sheet5"/>
      <sheetName val="Build_Sheets5"/>
      <sheetName val="MATRIZ_POR_AREA5"/>
      <sheetName val="full_(2)5"/>
      <sheetName val="MPL_技連5"/>
      <sheetName val="342E_BLOCK5"/>
      <sheetName val="BOM_TOP7"/>
      <sheetName val="Material_Input_Status7"/>
      <sheetName val="Vehicle_Parts_List7"/>
      <sheetName val="TRACKING MODEL"/>
      <sheetName val="Quotation"/>
      <sheetName val="96年度修理費"/>
      <sheetName val="96RPD計"/>
      <sheetName val="Kapitaleinsatz_&amp;_Umsatz7"/>
      <sheetName val="Herstellkosten_(Referenz)7"/>
      <sheetName val="Working_Capital7"/>
      <sheetName val="K440_can_wake-up_logic7"/>
      <sheetName val="Seatbelt_Guides6"/>
      <sheetName val="Stowage_Tray6"/>
      <sheetName val="Ideas_Entered6"/>
      <sheetName val="PRICE_STRAT_FOR_3F6"/>
      <sheetName val="J_or_E6"/>
      <sheetName val="Plan_Sheet6"/>
      <sheetName val="Build_Sheets6"/>
      <sheetName val="MATRIZ_POR_AREA6"/>
      <sheetName val="full_(2)6"/>
      <sheetName val="MPL_技連6"/>
      <sheetName val="342E_BLOCK6"/>
      <sheetName val="BOM_TOP8"/>
      <sheetName val="Material_Input_Status8"/>
      <sheetName val="Vehicle_Parts_List8"/>
      <sheetName val="Kapitaleinsatz_&amp;_Umsatz8"/>
      <sheetName val="Herstellkosten_(Referenz)8"/>
      <sheetName val="Working_Capital8"/>
      <sheetName val="K440_can_wake-up_logic8"/>
      <sheetName val="Seatbelt_Guides7"/>
      <sheetName val="Stowage_Tray7"/>
      <sheetName val="Ideas_Entered7"/>
      <sheetName val="PRICE_STRAT_FOR_3F7"/>
      <sheetName val="J_or_E7"/>
      <sheetName val="Plan_Sheet7"/>
      <sheetName val="Build_Sheets7"/>
      <sheetName val="MATRIZ_POR_AREA7"/>
      <sheetName val="full_(2)7"/>
      <sheetName val="MPL_技連7"/>
      <sheetName val="342E_BLOCK7"/>
      <sheetName val="BOM_TOP9"/>
      <sheetName val="Material_Input_Status9"/>
      <sheetName val="Vehicle_Parts_List9"/>
      <sheetName val="Kapitaleinsatz_&amp;_Umsatz9"/>
      <sheetName val="Herstellkosten_(Referenz)9"/>
      <sheetName val="Working_Capital9"/>
      <sheetName val="K440_can_wake-up_logic9"/>
      <sheetName val="Seatbelt_Guides8"/>
      <sheetName val="Stowage_Tray8"/>
      <sheetName val="Ideas_Entered8"/>
      <sheetName val="PRICE_STRAT_FOR_3F8"/>
      <sheetName val="J_or_E8"/>
      <sheetName val="Plan_Sheet8"/>
      <sheetName val="Build_Sheets8"/>
      <sheetName val="MATRIZ_POR_AREA8"/>
      <sheetName val="full_(2)8"/>
      <sheetName val="MPL_技連8"/>
      <sheetName val="342E_BLOCK8"/>
      <sheetName val="plastic"/>
      <sheetName val="1WT素材費"/>
      <sheetName val="Combo_List"/>
      <sheetName val="加工費率設定"/>
      <sheetName val="駆動_"/>
      <sheetName val="ＫＦＦ一覧"/>
      <sheetName val="MOTOc?ࠀ笰ごꒈ_x0012_ꐸ_x0012_뜝瞮?猰ごࠀꒀ_x0012_嘻瞦咚瞦?یꑠ_x0012_噍瞦"/>
      <sheetName val="MOTOc?ࠀ笰ごꒈ_x0012_ꐸ_x0012_뜝瞮?猰ごࠀꒀ_x0012_嘻瞦咚瞦?৿ꑠ_x0012_噍瞦"/>
      <sheetName val="MOTOc?ࠀ笰ごꒈ_x0012_ꐸ_x0012_뜝瞮?猰ごࠀꒀ_x0012_嘻瞦咚瞦?۲ꑠ_x0012_噍瞦"/>
      <sheetName val="MOTOc_x005f_x0000_?_x005f_x005f_x0000"/>
      <sheetName val="MOTOc_x005f_x0000_ࠀ_x005f_x005f_x0000"/>
      <sheetName val="MOTOc_x005f_x0000_ࠀ笰ごꒈ_x005f_x005f_x0"/>
      <sheetName val="MOTOc_x005f_x005f_x005f_x0000_?"/>
      <sheetName val="MOTOc_x005f_x005f_x005f_x0000_ࠀ"/>
      <sheetName val="MOTOc_x005f_x005f_x005f_x005F_x"/>
      <sheetName val="SIZE-A"/>
      <sheetName val="STANDARD"/>
      <sheetName val="FACTOR"/>
      <sheetName val="基本"/>
      <sheetName val="外気負荷"/>
      <sheetName val="LB020A(月)"/>
      <sheetName val="電気設備表"/>
      <sheetName val="ｸﾞﾗﾌ､集計表"/>
      <sheetName val="销售"/>
      <sheetName val="进货"/>
      <sheetName val="실행"/>
      <sheetName val="一般２"/>
      <sheetName val="不動産"/>
      <sheetName val="AAA"/>
      <sheetName val="指数材实际价格"/>
      <sheetName val="市况预测汇总"/>
      <sheetName val="产量前提"/>
      <sheetName val="ｸﾛｽ"/>
      <sheetName val="等価CP"/>
      <sheetName val="ﾀｲﾔCP"/>
      <sheetName val="01 - Jan00"/>
      <sheetName val="Price List"/>
      <sheetName val="零三"/>
      <sheetName val="64164"/>
      <sheetName val="712"/>
      <sheetName val="modele"/>
      <sheetName val="29、费用比较"/>
      <sheetName val="Requirements Stocks"/>
      <sheetName val="车型毛利率变动"/>
      <sheetName val="自有"/>
      <sheetName val="series pricing"/>
      <sheetName val="626TD(COLOR)"/>
      <sheetName val="CPI"/>
      <sheetName val="VOL_EXC"/>
      <sheetName val="明细"/>
      <sheetName val="Consol FS"/>
      <sheetName val="美日管理费用6"/>
      <sheetName val="1086090401"/>
      <sheetName val="PV6 3.5L LX5 GMX170"/>
      <sheetName val="L EQ"/>
      <sheetName val="Requirements_Stocks"/>
      <sheetName val="series_pricing"/>
      <sheetName val="Consol_FS"/>
      <sheetName val="PV6_3_5L_LX5_GMX170"/>
      <sheetName val="L_EQ"/>
      <sheetName val="Requirements_Stocks1"/>
      <sheetName val="series_pricing1"/>
      <sheetName val="Consol_FS1"/>
      <sheetName val="PV6_3_5L_LX5_GMX1701"/>
      <sheetName val="L_EQ1"/>
      <sheetName val="合并表期末数"/>
      <sheetName val="不含直接"/>
      <sheetName val="Default_Rates3"/>
      <sheetName val="After_Sales_Supplier_#'s3"/>
      <sheetName val="ebom_excel3"/>
      <sheetName val="qad_bom3"/>
      <sheetName val="FY99_Volume3"/>
      <sheetName val="Stock_Price3"/>
      <sheetName val="진행_DATA_(2)3"/>
      <sheetName val="Vol_&amp;_Assumpt3"/>
      <sheetName val="Roll_Out_-_Limit3"/>
      <sheetName val="Input_Sheet3"/>
      <sheetName val="Specific_Data3"/>
      <sheetName val="Plant_Data2"/>
      <sheetName val="Requirements_Stocks2"/>
      <sheetName val="series_pricing2"/>
      <sheetName val="Consol_FS2"/>
      <sheetName val="PV6_3_5L_LX5_GMX1702"/>
      <sheetName val="L_EQ2"/>
      <sheetName val="702_515_881t2"/>
      <sheetName val="工程別見積り_(SP)2"/>
      <sheetName val="IVP_und_Afa2"/>
      <sheetName val="Ref_IMM_Sizes2"/>
      <sheetName val="Prog_INFO2"/>
      <sheetName val="IAC_Quote_Processes2"/>
      <sheetName val="Sq_Area_INPUT2"/>
      <sheetName val="LPIM_BLK_CALC2"/>
      <sheetName val="ASSET_PLAN2"/>
      <sheetName val="_Cycle_Times2"/>
      <sheetName val="DIE_CUT_ROLL_CALC2"/>
      <sheetName val="EFFICIENCY_VS_VOLUME2"/>
      <sheetName val="TOOL_INFO2"/>
      <sheetName val="contract_AGER2"/>
      <sheetName val="contract_APOR2"/>
      <sheetName val="market_AGER2"/>
      <sheetName val="market_APOR2"/>
      <sheetName val="Marea_MY2"/>
      <sheetName val="Brava-o_MY2"/>
      <sheetName val="P_TO2"/>
      <sheetName val="Part_Pictorials2"/>
      <sheetName val="JCAE_Sale_Price2"/>
      <sheetName val="R_FJS_CAR_(old)2"/>
      <sheetName val="Reference_2"/>
      <sheetName val="645a_9-18_PTO_4_32"/>
      <sheetName val="GG_S&amp;O_List2"/>
      <sheetName val="costes_internos2"/>
      <sheetName val="Chart_Data_Formulas2"/>
      <sheetName val="Just_for_calculation2"/>
      <sheetName val="MOTOc__ご__"/>
      <sheetName val="MOTOcࠀ笰ごꒈꐸ"/>
      <sheetName val="数据源"/>
      <sheetName val="1)Wood Shop"/>
      <sheetName val="2)mold shop"/>
      <sheetName val="Mach Costs"/>
      <sheetName val="Mldg Resin"/>
      <sheetName val="96_97・究”?_‘S‘?"/>
      <sheetName val="号車仕様"/>
      <sheetName val="第２紙"/>
      <sheetName val="第１紙原紙"/>
      <sheetName val="第２紙原紙"/>
      <sheetName val="第３紙原紙"/>
      <sheetName val="第４紙ビット"/>
      <sheetName val="第５紙ビット"/>
      <sheetName val="TT_(13)4"/>
      <sheetName val="New_DYNA4"/>
      <sheetName val="JT3_0견적-구14"/>
      <sheetName val="Table_Master4"/>
      <sheetName val="Europe_PU-14"/>
      <sheetName val="Trim_Dev_Materials4"/>
      <sheetName val="Non_Labour_Forecast4"/>
      <sheetName val="Costed_Parts_Matrix4"/>
      <sheetName val="Engineering_Assumptions4"/>
      <sheetName val="Labour_Forecast4"/>
      <sheetName val="Process_Summary4"/>
      <sheetName val="EPW_06304"/>
      <sheetName val="Report_Key4"/>
      <sheetName val="FB_sepa_S24"/>
      <sheetName val="DD96_1_183"/>
      <sheetName val="Original_ED&amp;D_summary4"/>
      <sheetName val="Total_Income_Statement4"/>
      <sheetName val="Croisements_(Ai_-_Ej_-_Mk)_X854"/>
      <sheetName val="Price_J60E64"/>
      <sheetName val="VAC_BLK_CALC_4"/>
      <sheetName val="Blank_AQR_(old)4"/>
      <sheetName val="CAP_PLAN4"/>
      <sheetName val="PKG_&amp;_FRT4"/>
      <sheetName val="PROCESS_INFO4"/>
      <sheetName val="問題課題(pattern_3)3"/>
      <sheetName val="Inputs_and_Data4"/>
      <sheetName val="Tooling_breakdown3"/>
      <sheetName val="HPS_Slit_Coil_(Centralia)3"/>
      <sheetName val="Stamping_Tool_building_Hrs3"/>
      <sheetName val="Stamping_Burden3"/>
      <sheetName val="PN_LIST3"/>
      <sheetName val="F7_Custom_Service_Center_(CSC)3"/>
      <sheetName val="F5_E1-TEI_3"/>
      <sheetName val="F5_Specific_expenses_Vol_Drop3"/>
      <sheetName val="F5_Specific_expenses3"/>
      <sheetName val="Japanese_Summary3"/>
      <sheetName val="DV_Release3"/>
      <sheetName val="342A_Block3"/>
      <sheetName val="391_各3"/>
      <sheetName val="LESCI_J773"/>
      <sheetName val="Read_me_first3"/>
      <sheetName val="organization_data3"/>
      <sheetName val="Labor_cost3"/>
      <sheetName val="SU_BOM_200712133"/>
      <sheetName val="Ideal_Cost3"/>
      <sheetName val="Laser_Weld3"/>
      <sheetName val="cc_0214_23003"/>
      <sheetName val="LOAD_HOURS3"/>
      <sheetName val="Ass'y-A_(Day)3"/>
      <sheetName val="Fert_ablauf3"/>
      <sheetName val="ECN-Mold_Progress3"/>
      <sheetName val="Antivol_D23"/>
      <sheetName val="E_TOPICS3"/>
      <sheetName val="Product_Validation3"/>
      <sheetName val="Data_01013"/>
      <sheetName val="Sales_price3"/>
      <sheetName val="A10_(2)3"/>
      <sheetName val="POLO_H_GP3"/>
      <sheetName val="IP2X_MCE3"/>
      <sheetName val="VW321_(Lavida_taxi)3"/>
      <sheetName val="IP24_RSB_CN3"/>
      <sheetName val="SK371_(PV20140226)降密方案3"/>
      <sheetName val="SK371_(PV20140226)_3"/>
      <sheetName val="SK371_(PV1)3"/>
      <sheetName val="KC_FOAM3"/>
      <sheetName val="B753__PV3"/>
      <sheetName val="B81C_(广州)3"/>
      <sheetName val="D2SC_PV3"/>
      <sheetName val="D2SC_DV3"/>
      <sheetName val="B753__PV_(2)3"/>
      <sheetName val="TFC_MY143"/>
      <sheetName val="ZP11_EU3"/>
      <sheetName val="SGM318_(3)3"/>
      <sheetName val="SGM318_(2)3"/>
      <sheetName val="IP21_MCE3"/>
      <sheetName val="SK253_SB(M-A_ENTRY_SB)3"/>
      <sheetName val="Model_S_FL(SK461)3"/>
      <sheetName val="LAVIDA_DERIVAT3"/>
      <sheetName val="Model_A_TAXI3"/>
      <sheetName val="SGM258_MY133"/>
      <sheetName val="New_Model_A201303043"/>
      <sheetName val="New_Model_A201209213"/>
      <sheetName val="New_Model_A3"/>
      <sheetName val="New_Model_A降密3"/>
      <sheetName val="IP22_EU&amp;UK3"/>
      <sheetName val="T4NA(2CN)_(2)3"/>
      <sheetName val="GAMMA_SUV3"/>
      <sheetName val="Model_H_GTI3"/>
      <sheetName val="New_Lavida3"/>
      <sheetName val="Model_A3"/>
      <sheetName val="IP22_CN_L-CAR3"/>
      <sheetName val="SGM201_R3_ISS3"/>
      <sheetName val="Model_S_MP123"/>
      <sheetName val="Model_F_FL3"/>
      <sheetName val="Model_H_Cross3"/>
      <sheetName val="New_Model_K3"/>
      <sheetName val="ZP11_MG3"/>
      <sheetName val="List_Data3"/>
      <sheetName val="Material_Tables3"/>
      <sheetName val="Weld_Tool3"/>
      <sheetName val="BOM_Input3"/>
      <sheetName val="Parts_List3"/>
      <sheetName val="ALL_PARTS_PRICE_LIST3"/>
      <sheetName val="_DATA3"/>
      <sheetName val="表5-2_地区別CO2排出実績3"/>
      <sheetName val="結果一覧_ｼｰﾄ3"/>
      <sheetName val="BU_Summary_Data3"/>
      <sheetName val="Process_means3"/>
      <sheetName val="Fixture_List3"/>
      <sheetName val="Sheet6_(3)2"/>
      <sheetName val="Customer_Part_Approval3"/>
      <sheetName val="Development_Start3"/>
      <sheetName val="Final_Production_Release3"/>
      <sheetName val="VIM_Data3"/>
      <sheetName val="PRIX_20093"/>
      <sheetName val="Interior_Trim3"/>
      <sheetName val="minimum_lot_size3"/>
      <sheetName val="140N_Part_Local_(SE)2"/>
      <sheetName val="part_list_C52"/>
      <sheetName val="X61B_ZH2E_L1_#13"/>
      <sheetName val="Part_by_Part3"/>
      <sheetName val="5_UPS_Data3"/>
      <sheetName val="A3C_Data2"/>
      <sheetName val="勤務ｼﾌﾄﾍﾞｰｽ表_下期2"/>
      <sheetName val="Key_Function_in_Master_FMEA2"/>
      <sheetName val="FACT_B3"/>
      <sheetName val="Notice_Link3"/>
      <sheetName val="ALPL_0305143"/>
      <sheetName val="Sales_by_Customer2"/>
      <sheetName val="Budget_base2"/>
      <sheetName val="Full_list_0204252"/>
      <sheetName val="cycle_time_reduction3"/>
      <sheetName val="Base_Info3"/>
      <sheetName val="Barcode_D&amp;F2"/>
      <sheetName val="Data_Table2"/>
      <sheetName val="4__Project_Plan2"/>
      <sheetName val="FUNCTION_CHART2"/>
      <sheetName val="Income_Statem3"/>
      <sheetName val="Mechanical_Handle_Grained3"/>
      <sheetName val="信息费用预算表(A4)_2"/>
      <sheetName val="01_3_28現在2"/>
      <sheetName val="Incr_Inv_Tool2"/>
      <sheetName val="HL_extract2"/>
      <sheetName val="CHHS_AVSS62"/>
      <sheetName val="Format_info2"/>
      <sheetName val="contents_(English)2"/>
      <sheetName val="設変通知書_(E)2"/>
      <sheetName val="Rev_#1_&amp;_#22"/>
      <sheetName val="?d?l??_(full-SUV)2"/>
      <sheetName val="RM_cost_Evapo_Standarti3"/>
      <sheetName val="RS_Sound_Add__Module3"/>
      <sheetName val="AM_6M_942"/>
      <sheetName val="ｺｽﾄ比較_(総括)2"/>
      <sheetName val="issue_destination2"/>
      <sheetName val="PSA_T72"/>
      <sheetName val="Cómputo_B2"/>
      <sheetName val="0_Cuota2"/>
      <sheetName val="TMMI_SEQUOIA_20112"/>
      <sheetName val="Issues_log2"/>
      <sheetName val="Données_transversales_pays2"/>
      <sheetName val="Forração_PP_DE2"/>
      <sheetName val="Exploded_End_Items2"/>
      <sheetName val="차체_품안표2"/>
      <sheetName val="CUSTOMER_(DETAIL)2"/>
      <sheetName val="Parameters_SSR2"/>
      <sheetName val="HS_HB_NE_dr_12"/>
      <sheetName val="尾门板总成_2"/>
      <sheetName val="Volume_Hypothesis2"/>
      <sheetName val="Calendar_09"/>
      <sheetName val="Functional_Milest_#3_Checklist"/>
      <sheetName val="Input_of_fleet_retail_vol__"/>
      <sheetName val="Current_Status"/>
      <sheetName val="Man_power"/>
      <sheetName val="Dep_11-12&lt;&gt;12mth_"/>
      <sheetName val="CASE_ASM"/>
      <sheetName val="HEV_Price_Walk"/>
      <sheetName val="X11C_Parts_List"/>
      <sheetName val="SCS_III"/>
      <sheetName val="Codes_-_NNA_-_04_27_01_logic"/>
      <sheetName val="BOM_Compile"/>
      <sheetName val="HKKalk280100_modifiziert"/>
      <sheetName val="JIT_-_130_000"/>
      <sheetName val="R_BOM_Model"/>
      <sheetName val="JIT_-_266_000"/>
      <sheetName val="Model_Sum_-_130_000"/>
      <sheetName val="R_BOM_Subs"/>
      <sheetName val="Overview_2_"/>
      <sheetName val="Search_Conditions"/>
      <sheetName val="TITLE_BLOCK"/>
      <sheetName val="COMPOSITION_PARTS_BLOCK"/>
      <sheetName val="Drop_Down_Lists"/>
      <sheetName val="10-1_Media"/>
      <sheetName val="wip-Dec_"/>
      <sheetName val="Balance_Sheet"/>
      <sheetName val="Fixed_Assets"/>
      <sheetName val="LCL_GENT0_4444,1_8JPN"/>
      <sheetName val="General_Data"/>
      <sheetName val="INVEST_LIST"/>
      <sheetName val="QOS_Graph"/>
      <sheetName val="Offshoring_MODEL"/>
      <sheetName val="Multiple_Choice_Data"/>
      <sheetName val="Program_Effort_matrix"/>
      <sheetName val="Data_Source"/>
      <sheetName val="Data_Validation"/>
      <sheetName val="Program_Data"/>
      <sheetName val="Representative_"/>
      <sheetName val="Exploded-FRT_DR"/>
      <sheetName val="Exploded-RR_DR"/>
      <sheetName val="Flow_Chart"/>
      <sheetName val="Single_Part"/>
      <sheetName val="Take_rate_Calc"/>
      <sheetName val="Concept_IDS"/>
      <sheetName val="Skin_Yield"/>
      <sheetName val="CP_Description"/>
      <sheetName val="CP_Instructions"/>
      <sheetName val="Injected_Parts_List"/>
      <sheetName val="Template_Log"/>
      <sheetName val="IMM_selection_table"/>
      <sheetName val="IMM_START-UP_(6)"/>
      <sheetName val="IMM_START-UP_(5)"/>
      <sheetName val="IMM_START-UP_(4)"/>
      <sheetName val="IMM_START-UP_(3)"/>
      <sheetName val="IMM_START-UP_(2)"/>
      <sheetName val="\\Fsnml2\bv1_2\個人フォルダー\MMルノー\担当"/>
      <sheetName val="見積詳細"/>
      <sheetName val="数量詳細 "/>
      <sheetName val="Country rates"/>
      <sheetName val="B2 S2 2006"/>
      <sheetName val="プロパティ"/>
      <sheetName val="点火時期"/>
      <sheetName val="Tooling_breakdown4"/>
      <sheetName val="TT_(13)5"/>
      <sheetName val="VAC_BLK_CALC_5"/>
      <sheetName val="Blank_AQR_(old)5"/>
      <sheetName val="CAP_PLAN5"/>
      <sheetName val="PKG_&amp;_FRT5"/>
      <sheetName val="PROCESS_INFO5"/>
      <sheetName val="ebom_excel4"/>
      <sheetName val="qad_bom4"/>
      <sheetName val="Trim_Dev_Materials5"/>
      <sheetName val="Non_Labour_Forecast5"/>
      <sheetName val="Costed_Parts_Matrix5"/>
      <sheetName val="Engineering_Assumptions5"/>
      <sheetName val="Labour_Forecast5"/>
      <sheetName val="Default_Rates4"/>
      <sheetName val="Europe_PU-15"/>
      <sheetName val="After_Sales_Supplier_#'s4"/>
      <sheetName val="FY99_Volume4"/>
      <sheetName val="問題課題(pattern_3)4"/>
      <sheetName val="New_DYNA5"/>
      <sheetName val="Report_Key5"/>
      <sheetName val="Process_Summary5"/>
      <sheetName val="Price_J60E65"/>
      <sheetName val="JT3_0견적-구15"/>
      <sheetName val="Stock_Price4"/>
      <sheetName val="ECN-Mold_Progress4"/>
      <sheetName val="진행_DATA_(2)4"/>
      <sheetName val="Vol_&amp;_Assumpt4"/>
      <sheetName val="Ref_IMM_Sizes3"/>
      <sheetName val="Prog_INFO3"/>
      <sheetName val="IAC_Quote_Processes3"/>
      <sheetName val="Sq_Area_INPUT3"/>
      <sheetName val="Stamping_Tool_building_Hrs4"/>
      <sheetName val="Stamping_Burden4"/>
      <sheetName val="391_各4"/>
      <sheetName val="Table_Master5"/>
      <sheetName val="Roll_Out_-_Limit4"/>
      <sheetName val="LPIM_BLK_CALC3"/>
      <sheetName val="ASSET_PLAN3"/>
      <sheetName val="_Cycle_Times3"/>
      <sheetName val="DIE_CUT_ROLL_CALC3"/>
      <sheetName val="EFFICIENCY_VS_VOLUME3"/>
      <sheetName val="TOOL_INFO3"/>
      <sheetName val="contract_AGER3"/>
      <sheetName val="contract_APOR3"/>
      <sheetName val="market_AGER3"/>
      <sheetName val="market_APOR3"/>
      <sheetName val="Marea_MY3"/>
      <sheetName val="Brava-o_MY3"/>
      <sheetName val="P_TO3"/>
      <sheetName val="Part_Pictorials3"/>
      <sheetName val="EPW_06305"/>
      <sheetName val="FB_sepa_S25"/>
      <sheetName val="JCAE_Sale_Price3"/>
      <sheetName val="R_FJS_CAR_(old)3"/>
      <sheetName val="Original_ED&amp;D_summary5"/>
      <sheetName val="Japanese_Summary4"/>
      <sheetName val="HPS_Slit_Coil_(Centralia)4"/>
      <sheetName val="PN_LIST4"/>
      <sheetName val="F7_Custom_Service_Center_(CSC)4"/>
      <sheetName val="F5_E1-TEI_4"/>
      <sheetName val="F5_Specific_expenses_Vol_Drop4"/>
      <sheetName val="F5_Specific_expenses4"/>
      <sheetName val="LESCI_J774"/>
      <sheetName val="DV_Release4"/>
      <sheetName val="Read_me_first4"/>
      <sheetName val="Croisements_(Ai_-_Ej_-_Mk)_X855"/>
      <sheetName val="Total_Income_Statement5"/>
      <sheetName val="organization_data4"/>
      <sheetName val="Labor_cost4"/>
      <sheetName val="X61B_ZH2E_L1_#14"/>
      <sheetName val="SU_BOM_200712134"/>
      <sheetName val="結果一覧_ｼｰﾄ4"/>
      <sheetName val="Specific_Data4"/>
      <sheetName val="Input_Sheet4"/>
      <sheetName val="E_TOPICS4"/>
      <sheetName val="Inputs_and_Data5"/>
      <sheetName val="cycle_time_reduction4"/>
      <sheetName val="Base_Info4"/>
      <sheetName val="Plant_Data3"/>
      <sheetName val="VIM_Data4"/>
      <sheetName val="PRIX_20094"/>
      <sheetName val="Interior_Trim4"/>
      <sheetName val="Antivol_D24"/>
      <sheetName val="IVP_und_Afa3"/>
      <sheetName val="702_515_881t3"/>
      <sheetName val="Data_01014"/>
      <sheetName val="_DATA4"/>
      <sheetName val="表5-2_地区別CO2排出実績4"/>
      <sheetName val="DD96_1_184"/>
      <sheetName val="Reference_3"/>
      <sheetName val="GG_S&amp;O_List3"/>
      <sheetName val="Operating_Plan_Changes3"/>
      <sheetName val="cc_0214_23004"/>
      <sheetName val="Laser_Weld4"/>
      <sheetName val="LOAD_HOURS4"/>
      <sheetName val="Fert_ablauf4"/>
      <sheetName val="645a_9-18_PTO_4_33"/>
      <sheetName val="工程別見積り_(SP)3"/>
      <sheetName val="costes_internos3"/>
      <sheetName val="342A_Block4"/>
      <sheetName val="Ideal_Cost4"/>
      <sheetName val="Chart_Data_Formulas3"/>
      <sheetName val="Just_for_calculation3"/>
      <sheetName val="Sales_by_Customer3"/>
      <sheetName val="Forração_PP_DE3"/>
      <sheetName val="Product_Validation4"/>
      <sheetName val="Sales_price4"/>
      <sheetName val="A10_(2)4"/>
      <sheetName val="POLO_H_GP4"/>
      <sheetName val="IP2X_MCE4"/>
      <sheetName val="VW321_(Lavida_taxi)4"/>
      <sheetName val="IP24_RSB_CN4"/>
      <sheetName val="SK371_(PV20140226)降密方案4"/>
      <sheetName val="SK371_(PV20140226)_4"/>
      <sheetName val="SK371_(PV1)4"/>
      <sheetName val="KC_FOAM4"/>
      <sheetName val="B753__PV4"/>
      <sheetName val="B81C_(广州)4"/>
      <sheetName val="D2SC_PV4"/>
      <sheetName val="D2SC_DV4"/>
      <sheetName val="B753__PV_(2)4"/>
      <sheetName val="TFC_MY144"/>
      <sheetName val="ZP11_EU4"/>
      <sheetName val="SGM318_(3)4"/>
      <sheetName val="SGM318_(2)4"/>
      <sheetName val="IP21_MCE4"/>
      <sheetName val="SK253_SB(M-A_ENTRY_SB)4"/>
      <sheetName val="Model_S_FL(SK461)4"/>
      <sheetName val="LAVIDA_DERIVAT4"/>
      <sheetName val="Model_A_TAXI4"/>
      <sheetName val="SGM258_MY134"/>
      <sheetName val="New_Model_A201303044"/>
      <sheetName val="New_Model_A201209214"/>
      <sheetName val="New_Model_A4"/>
      <sheetName val="New_Model_A降密4"/>
      <sheetName val="IP22_EU&amp;UK4"/>
      <sheetName val="T4NA(2CN)_(2)4"/>
      <sheetName val="GAMMA_SUV4"/>
      <sheetName val="Model_H_GTI4"/>
      <sheetName val="New_Lavida4"/>
      <sheetName val="Model_A4"/>
      <sheetName val="IP22_CN_L-CAR4"/>
      <sheetName val="SGM201_R3_ISS4"/>
      <sheetName val="Model_S_MP124"/>
      <sheetName val="Model_F_FL4"/>
      <sheetName val="Model_H_Cross4"/>
      <sheetName val="New_Model_K4"/>
      <sheetName val="ZP11_MG4"/>
      <sheetName val="List_Data4"/>
      <sheetName val="Material_Tables4"/>
      <sheetName val="Weld_Tool4"/>
      <sheetName val="BOM_Input4"/>
      <sheetName val="Parts_List4"/>
      <sheetName val="ALL_PARTS_PRICE_LIST4"/>
      <sheetName val="Ass'y-A_(Day)4"/>
      <sheetName val="Annual_Sales3"/>
      <sheetName val="BU_Summary_Data4"/>
      <sheetName val="Exploded_End_Items3"/>
      <sheetName val="차체_품안표3"/>
      <sheetName val="CUSTOMER_(DETAIL)3"/>
      <sheetName val="Parameters_SSR3"/>
      <sheetName val="minimum_lot_size4"/>
      <sheetName val="HL_extract3"/>
      <sheetName val="CHHS_AVSS63"/>
      <sheetName val="Data_Table3"/>
      <sheetName val="4__Project_Plan3"/>
      <sheetName val="Key_Function_in_Master_FMEA3"/>
      <sheetName val="Part_by_Part4"/>
      <sheetName val="5_UPS_Data4"/>
      <sheetName val="094W原紙_3"/>
      <sheetName val="Full_list_0204253"/>
      <sheetName val="FUNCTION_CHART3"/>
      <sheetName val="Volume_Hypothesis3"/>
      <sheetName val="Process_means4"/>
      <sheetName val="Fixture_List4"/>
      <sheetName val="Sheet6_(3)3"/>
      <sheetName val="Customer_Part_Approval4"/>
      <sheetName val="Development_Start4"/>
      <sheetName val="Final_Production_Release4"/>
      <sheetName val="A3C_Data3"/>
      <sheetName val="勤務ｼﾌﾄﾍﾞｰｽ表_下期3"/>
      <sheetName val="Barcode_D&amp;F3"/>
      <sheetName val="140N_Part_Local_(SE)3"/>
      <sheetName val="part_list_C53"/>
      <sheetName val="Income_Statem4"/>
      <sheetName val="Mechanical_Handle_Grained4"/>
      <sheetName val="信息费用预算表(A4)_3"/>
      <sheetName val="01_3_28現在3"/>
      <sheetName val="Incr_Inv_Tool3"/>
      <sheetName val="Budget_base3"/>
      <sheetName val="FACT_B4"/>
      <sheetName val="Notice_Link4"/>
      <sheetName val="ALPL_0305144"/>
      <sheetName val="Format_info3"/>
      <sheetName val="contents_(English)3"/>
      <sheetName val="設変通知書_(E)3"/>
      <sheetName val="Rev_#1_&amp;_#23"/>
      <sheetName val="?d?l??_(full-SUV)3"/>
      <sheetName val="RM_cost_Evapo_Standarti4"/>
      <sheetName val="RS_Sound_Add__Module4"/>
      <sheetName val="AM_6M_943"/>
      <sheetName val="ｺｽﾄ比較_(総括)3"/>
      <sheetName val="issue_destination3"/>
      <sheetName val="PSA_T73"/>
      <sheetName val="Cómputo_B3"/>
      <sheetName val="0_Cuota3"/>
      <sheetName val="TMMI_SEQUOIA_20113"/>
      <sheetName val="Issues_log3"/>
      <sheetName val="Données_transversales_pays3"/>
      <sheetName val="HS_HB_NE_dr_13"/>
      <sheetName val="尾门板总成_3"/>
      <sheetName val="Europe_PU-16"/>
      <sheetName val="TT_(13)6"/>
      <sheetName val="New_DYNA6"/>
      <sheetName val="Report_Key6"/>
      <sheetName val="Trim_Dev_Materials6"/>
      <sheetName val="Non_Labour_Forecast6"/>
      <sheetName val="Costed_Parts_Matrix6"/>
      <sheetName val="Engineering_Assumptions6"/>
      <sheetName val="Labour_Forecast6"/>
      <sheetName val="Process_Summary6"/>
      <sheetName val="Original_ED&amp;D_summary6"/>
      <sheetName val="Laser_Weld5"/>
      <sheetName val="Price_J60E66"/>
      <sheetName val="Table_Master6"/>
      <sheetName val="JT3_0견적-구16"/>
      <sheetName val="Total_Income_Statement6"/>
      <sheetName val="Croisements_(Ai_-_Ej_-_Mk)_X856"/>
      <sheetName val="DV_Release5"/>
      <sheetName val="LOAD_HOURS5"/>
      <sheetName val="VAC_BLK_CALC_6"/>
      <sheetName val="Blank_AQR_(old)6"/>
      <sheetName val="CAP_PLAN6"/>
      <sheetName val="PKG_&amp;_FRT6"/>
      <sheetName val="PROCESS_INFO6"/>
      <sheetName val="問題課題(pattern_3)5"/>
      <sheetName val="ebom_excel5"/>
      <sheetName val="qad_bom5"/>
      <sheetName val="Default_Rates5"/>
      <sheetName val="DD96_1_185"/>
      <sheetName val="After_Sales_Supplier_#'s5"/>
      <sheetName val="FY99_Volume5"/>
      <sheetName val="Stamping_Tool_building_Hrs5"/>
      <sheetName val="Stamping_Burden5"/>
      <sheetName val="FB_sepa_S26"/>
      <sheetName val="EPW_06306"/>
      <sheetName val="cc_0214_23005"/>
      <sheetName val="Fert_ablauf5"/>
      <sheetName val="PN_LIST5"/>
      <sheetName val="F7_Custom_Service_Center_(CSC)5"/>
      <sheetName val="F5_E1-TEI_5"/>
      <sheetName val="F5_Specific_expenses_Vol_Drop5"/>
      <sheetName val="F5_Specific_expenses5"/>
      <sheetName val="HPS_Slit_Coil_(Centralia)5"/>
      <sheetName val="391_各5"/>
      <sheetName val="Product_Validation5"/>
      <sheetName val="Sales_price5"/>
      <sheetName val="A10_(2)5"/>
      <sheetName val="POLO_H_GP5"/>
      <sheetName val="IP2X_MCE5"/>
      <sheetName val="VW321_(Lavida_taxi)5"/>
      <sheetName val="IP24_RSB_CN5"/>
      <sheetName val="SK371_(PV20140226)降密方案5"/>
      <sheetName val="SK371_(PV20140226)_5"/>
      <sheetName val="SK371_(PV1)5"/>
      <sheetName val="KC_FOAM5"/>
      <sheetName val="B753__PV5"/>
      <sheetName val="B81C_(广州)5"/>
      <sheetName val="D2SC_PV5"/>
      <sheetName val="D2SC_DV5"/>
      <sheetName val="B753__PV_(2)5"/>
      <sheetName val="TFC_MY145"/>
      <sheetName val="ZP11_EU5"/>
      <sheetName val="SGM318_(3)5"/>
      <sheetName val="SGM318_(2)5"/>
      <sheetName val="IP21_MCE5"/>
      <sheetName val="SK253_SB(M-A_ENTRY_SB)5"/>
      <sheetName val="Model_S_FL(SK461)5"/>
      <sheetName val="LAVIDA_DERIVAT5"/>
      <sheetName val="Model_A_TAXI5"/>
      <sheetName val="SGM258_MY135"/>
      <sheetName val="New_Model_A201303045"/>
      <sheetName val="New_Model_A201209215"/>
      <sheetName val="New_Model_A5"/>
      <sheetName val="New_Model_A降密5"/>
      <sheetName val="IP22_EU&amp;UK5"/>
      <sheetName val="T4NA(2CN)_(2)5"/>
      <sheetName val="GAMMA_SUV5"/>
      <sheetName val="Model_H_GTI5"/>
      <sheetName val="New_Lavida5"/>
      <sheetName val="Model_A5"/>
      <sheetName val="IP22_CN_L-CAR5"/>
      <sheetName val="SGM201_R3_ISS5"/>
      <sheetName val="Model_S_MP125"/>
      <sheetName val="Model_F_FL5"/>
      <sheetName val="Model_H_Cross5"/>
      <sheetName val="New_Model_K5"/>
      <sheetName val="ZP11_MG5"/>
      <sheetName val="List_Data5"/>
      <sheetName val="BU_Summary_Data5"/>
      <sheetName val="Japanese_Summary5"/>
      <sheetName val="Antivol_D25"/>
      <sheetName val="Material_Tables5"/>
      <sheetName val="Weld_Tool5"/>
      <sheetName val="BOM_Input5"/>
      <sheetName val="Parts_List5"/>
      <sheetName val="Inputs_and_Data6"/>
      <sheetName val="Tooling_breakdown5"/>
      <sheetName val="342A_Block5"/>
      <sheetName val="LESCI_J775"/>
      <sheetName val="Read_me_first5"/>
      <sheetName val="organization_data5"/>
      <sheetName val="Labor_cost5"/>
      <sheetName val="SU_BOM_200712135"/>
      <sheetName val="Ideal_Cost5"/>
      <sheetName val="Data_01015"/>
      <sheetName val="E_TOPICS5"/>
      <sheetName val="ECN-Mold_Progress5"/>
      <sheetName val="ALL_PARTS_PRICE_LIST5"/>
      <sheetName val="_DATA5"/>
      <sheetName val="表5-2_地区別CO2排出実績5"/>
      <sheetName val="Ass'y-A_(Day)5"/>
      <sheetName val="Stock_Price5"/>
      <sheetName val="contract_AGER4"/>
      <sheetName val="contract_APOR4"/>
      <sheetName val="market_AGER4"/>
      <sheetName val="market_APOR4"/>
      <sheetName val="結果一覧_ｼｰﾄ5"/>
      <sheetName val="Process_means5"/>
      <sheetName val="Fixture_List5"/>
      <sheetName val="Sheet6_(3)4"/>
      <sheetName val="진행_DATA_(2)5"/>
      <sheetName val="Vol_&amp;_Assumpt5"/>
      <sheetName val="Roll_Out_-_Limit5"/>
      <sheetName val="Customer_Part_Approval5"/>
      <sheetName val="Development_Start5"/>
      <sheetName val="Final_Production_Release5"/>
      <sheetName val="VIM_Data5"/>
      <sheetName val="PRIX_20095"/>
      <sheetName val="Interior_Trim5"/>
      <sheetName val="minimum_lot_size5"/>
      <sheetName val="X61B_ZH2E_L1_#15"/>
      <sheetName val="Part_by_Part5"/>
      <sheetName val="JCAE_Sale_Price4"/>
      <sheetName val="R_FJS_CAR_(old)4"/>
      <sheetName val="094W原紙_4"/>
      <sheetName val="Annual_Sales4"/>
      <sheetName val="Specific_Data5"/>
      <sheetName val="Input_Sheet5"/>
      <sheetName val="Plant_Data4"/>
      <sheetName val="5_UPS_Data5"/>
      <sheetName val="A3C_Data4"/>
      <sheetName val="勤務ｼﾌﾄﾍﾞｰｽ表_下期4"/>
      <sheetName val="Barcode_D&amp;F4"/>
      <sheetName val="Key_Function_in_Master_FMEA4"/>
      <sheetName val="Ref_IMM_Sizes4"/>
      <sheetName val="Prog_INFO4"/>
      <sheetName val="IAC_Quote_Processes4"/>
      <sheetName val="Sq_Area_INPUT4"/>
      <sheetName val="LPIM_BLK_CALC4"/>
      <sheetName val="ASSET_PLAN4"/>
      <sheetName val="_Cycle_Times4"/>
      <sheetName val="DIE_CUT_ROLL_CALC4"/>
      <sheetName val="EFFICIENCY_VS_VOLUME4"/>
      <sheetName val="TOOL_INFO4"/>
      <sheetName val="Marea_MY4"/>
      <sheetName val="Brava-o_MY4"/>
      <sheetName val="P_TO4"/>
      <sheetName val="Part_Pictorials4"/>
      <sheetName val="702_515_881t4"/>
      <sheetName val="工程別見積り_(SP)4"/>
      <sheetName val="Sales_by_Customer4"/>
      <sheetName val="140N_Part_Local_(SE)4"/>
      <sheetName val="part_list_C54"/>
      <sheetName val="cycle_time_reduction5"/>
      <sheetName val="Base_Info5"/>
      <sheetName val="Data_Table4"/>
      <sheetName val="4__Project_Plan4"/>
      <sheetName val="FUNCTION_CHART4"/>
      <sheetName val="Income_Statem5"/>
      <sheetName val="Mechanical_Handle_Grained5"/>
      <sheetName val="信息费用预算表(A4)_4"/>
      <sheetName val="01_3_28現在4"/>
      <sheetName val="Incr_Inv_Tool4"/>
      <sheetName val="HL_extract4"/>
      <sheetName val="CHHS_AVSS64"/>
      <sheetName val="Budget_base4"/>
      <sheetName val="FACT_B5"/>
      <sheetName val="Notice_Link5"/>
      <sheetName val="ALPL_0305145"/>
      <sheetName val="IVP_und_Afa4"/>
      <sheetName val="Full_list_0204254"/>
      <sheetName val="Format_info4"/>
      <sheetName val="contents_(English)4"/>
      <sheetName val="設変通知書_(E)4"/>
      <sheetName val="Rev_#1_&amp;_#24"/>
      <sheetName val="?d?l??_(full-SUV)4"/>
      <sheetName val="RM_cost_Evapo_Standarti5"/>
      <sheetName val="RS_Sound_Add__Module5"/>
      <sheetName val="AM_6M_944"/>
      <sheetName val="ｺｽﾄ比較_(総括)4"/>
      <sheetName val="Reference_4"/>
      <sheetName val="645a_9-18_PTO_4_34"/>
      <sheetName val="Chart_Data_Formulas4"/>
      <sheetName val="issue_destination4"/>
      <sheetName val="PSA_T74"/>
      <sheetName val="GG_S&amp;O_List4"/>
      <sheetName val="Operating_Plan_Changes4"/>
      <sheetName val="costes_internos4"/>
      <sheetName val="Cómputo_B4"/>
      <sheetName val="0_Cuota4"/>
      <sheetName val="TMMI_SEQUOIA_20114"/>
      <sheetName val="Issues_log4"/>
      <sheetName val="Just_for_calculation4"/>
      <sheetName val="Données_transversales_pays4"/>
      <sheetName val="Forração_PP_DE4"/>
      <sheetName val="Exploded_End_Items4"/>
      <sheetName val="차체_품안표4"/>
      <sheetName val="CUSTOMER_(DETAIL)4"/>
      <sheetName val="Parameters_SSR4"/>
      <sheetName val="HS_HB_NE_dr_14"/>
      <sheetName val="尾门板总成_4"/>
      <sheetName val="Volume_Hypothesis4"/>
      <sheetName val="PN_LIST_(2)2"/>
      <sheetName val="PN_LIST_P33B2"/>
      <sheetName val="Invoice_Aging2"/>
      <sheetName val="Open_AP2"/>
      <sheetName val="００･ＤＥ_Ｍ６２2"/>
      <sheetName val="FmｸﾞﾗﾌVer_02"/>
      <sheetName val="参考_人員調査表2"/>
      <sheetName val="Poland_HL2"/>
      <sheetName val="61B_(J)2"/>
      <sheetName val="X61B_(E)2"/>
      <sheetName val="Rubriques_MC2"/>
      <sheetName val="Hyp_DDRH2"/>
      <sheetName val="A-B(exp_)2"/>
      <sheetName val="_d_l___(full-SUV)2"/>
      <sheetName val="DEC_EO2"/>
      <sheetName val="PACKING"/>
      <sheetName val="基準ｲﾝﾌﾟｯﾄ"/>
      <sheetName val="BUYERS"/>
      <sheetName val="購入実績M"/>
      <sheetName val="03年４-９月（本紙）"/>
      <sheetName val="申請書２"/>
      <sheetName val="集計数の変更"/>
      <sheetName val="2-1膠料回收率-胎面膠"/>
      <sheetName val="OD"/>
      <sheetName val="仕様"/>
      <sheetName val="CASH"/>
      <sheetName val="All"/>
      <sheetName val="06-Quotation"/>
      <sheetName val="座面面圧計算表の使用方法"/>
      <sheetName val="Front_Row_BOM"/>
      <sheetName val="駆動_1"/>
      <sheetName val="Infl_(2)"/>
      <sheetName val="format"/>
      <sheetName val="計算履歴"/>
      <sheetName val="0_Experiment"/>
      <sheetName val="31L21BVC-LOTUR-C-S-LH-"/>
      <sheetName val="2_UR-CORNER_wsst"/>
      <sheetName val="4_UR-CORNER_wSP005_LH_wsst"/>
      <sheetName val="1_VC"/>
      <sheetName val="2_VC_wosst"/>
      <sheetName val="比較表"/>
      <sheetName val="11N71AVC-LOTUR4-"/>
      <sheetName val="1_UR4_VC"/>
      <sheetName val="1_UR4_VC_spc"/>
      <sheetName val="2_UR4_VC_HDL_all"/>
      <sheetName val="3_rho3E-9_E100"/>
      <sheetName val="HDL-No.6(E2279.382)"/>
      <sheetName val="Rho_1E-9_E300_ALL"/>
      <sheetName val="Rho_2E-9_E200_ALL"/>
      <sheetName val="Rho_3E-9_E100_ALL"/>
      <sheetName val="Rho_1E-9_E300"/>
      <sheetName val="Rho_2E-9_E200"/>
      <sheetName val="Rho_3E-9"/>
      <sheetName val="FMHshell_vs_FMHsolid"/>
      <sheetName val="1_UR4_VC_ALL"/>
      <sheetName val="7P71AVC-LOTUR7"/>
      <sheetName val="8P71AVC-LOTUR7_woEA"/>
      <sheetName val="1_UR7"/>
      <sheetName val="1_UR7_VC"/>
      <sheetName val="2_UR7_EPP"/>
      <sheetName val="9P71AVC-LOTUR8"/>
      <sheetName val="1_UR8"/>
      <sheetName val="2_UR8_EPP"/>
      <sheetName val="9P71AVC-LOTUR8_EA"/>
      <sheetName val="10P71AVC-LOTUR8_woEA"/>
      <sheetName val="1_UR8_VC"/>
      <sheetName val="2_UR8_VC_"/>
      <sheetName val="4L21BVC-LOTUR8-"/>
      <sheetName val="1_UR8_wosst"/>
      <sheetName val="2_UR8_wsst"/>
      <sheetName val="3_UR8_wsst"/>
      <sheetName val="4_UR8_wSP005_wsst"/>
      <sheetName val="UR8_VC"/>
      <sheetName val="配置表"/>
      <sheetName val="계산DATA입력"/>
      <sheetName val="FDR_BUDGET_2001_EISENACH1"/>
      <sheetName val="att_1_2_NMUK_REQUIREMENTS1"/>
      <sheetName val="aux_20041"/>
      <sheetName val="Profile_EUR_OUTPUT1"/>
      <sheetName val="Profile_UK1"/>
      <sheetName val="972低減_10月1"/>
      <sheetName val="{Ref}_Hitachi_report_Q-Us_1"/>
      <sheetName val="Cover_&amp;_list1"/>
      <sheetName val="RX3_CBU1"/>
      <sheetName val="P5_VC_Vehicle_Spec1"/>
      <sheetName val="MOTOc____ご__x005f_x0012___x005f_x0012_____3"/>
      <sheetName val="MOTOc_ࠀ_笰ごꒈ_x005f_x0012_ꐸ_x005f_x0012_뜝瞮__2"/>
      <sheetName val="MOTOc____ご__x005f_x0012___x005f_x0012_____4"/>
      <sheetName val="MOTOc_ࠀ笰ごꒈ_x005f_x0012_ꐸ_x005f_x0012_뜝瞮猰ごࠀ2"/>
      <sheetName val="pad_assy1"/>
      <sheetName val="Pre_1"/>
      <sheetName val="Inv_1"/>
      <sheetName val="3_結果まとめ1"/>
      <sheetName val="MOTOc_?_?ご?_x005f_x0012_?_x005f_x0012_??__1"/>
      <sheetName val="MOTOc_?_?ご?_x005f_x0012_?_x005f_x0012_??_?1"/>
      <sheetName val="WTC_BODY一覧原紙1"/>
      <sheetName val="Update_6_011"/>
      <sheetName val="THAI向け_INST1"/>
      <sheetName val="MEX向け_INST1"/>
      <sheetName val="MEX向け_INST_PACKING_LIST1"/>
      <sheetName val="Parts_Requiring_Orders"/>
      <sheetName val="BOP_List"/>
      <sheetName val="Raw_Mat_List"/>
      <sheetName val="Inflation_per_year"/>
      <sheetName val="Requirements_Stocks3"/>
      <sheetName val="series_pricing3"/>
      <sheetName val="Consol_FS3"/>
      <sheetName val="PV6_3_5L_LX5_GMX1703"/>
      <sheetName val="L_EQ3"/>
      <sheetName val="Point_22"/>
      <sheetName val="Cooling_Unit2"/>
      <sheetName val="(7__FR_&amp;_RR_axle_mass)2"/>
      <sheetName val="_48810真_xl2"/>
      <sheetName val="_48810真_xls2"/>
      <sheetName val="Sheet1_(7)2"/>
      <sheetName val="set_date2"/>
      <sheetName val="Eflex_bom2"/>
      <sheetName val="Pre-concept_AX02"/>
      <sheetName val="GLOBAL_POWERTRAIN2"/>
      <sheetName val="Sheet1_(2)2"/>
      <sheetName val="PIC_PSI2"/>
      <sheetName val="Cal_Mat_TB2"/>
      <sheetName val="_48810真_xl__Glcest2"/>
      <sheetName val="_48810真_xls____2"/>
      <sheetName val="[48810真_xl??Glcest2"/>
      <sheetName val="[48810真_xls????2"/>
      <sheetName val="dongia_(2)2"/>
      <sheetName val="P_2_VAR組合せ表2"/>
      <sheetName val="New_Prices2"/>
      <sheetName val="PL_BS_CF2"/>
      <sheetName val="2_대외공문2"/>
      <sheetName val="C214_9306#251"/>
      <sheetName val="OPER__SPECS2"/>
      <sheetName val="RAW_MATERIAL2"/>
      <sheetName val="PCQIS_Warrty_data2"/>
      <sheetName val="Cost_20181"/>
      <sheetName val="Cap'l_Input2"/>
      <sheetName val="CBD_Kolben2"/>
      <sheetName val="Customer_Claim_Year2"/>
      <sheetName val="C3_N_DC改造投資2"/>
      <sheetName val="Sum_Defect_OFF-LINE_GMI7002"/>
      <sheetName val="Lesson_Lern2"/>
      <sheetName val="140_loabor2"/>
      <sheetName val="Main_Model2"/>
      <sheetName val="Division__1"/>
      <sheetName val="Income_Statement1"/>
      <sheetName val="48810真_xls1"/>
      <sheetName val="R_Specific_request_1"/>
      <sheetName val="SWS_MSG2"/>
      <sheetName val="DATA_SHEET1"/>
      <sheetName val="040_適用車種コード情報2"/>
      <sheetName val="サイクル_Cell_ID2"/>
      <sheetName val="Drop_downs2"/>
      <sheetName val="1_28_08_450pm1"/>
      <sheetName val="TB_Jan-Dec962"/>
      <sheetName val="Managerial_Remuneration-Dec962"/>
      <sheetName val="---_(2)2"/>
      <sheetName val="Waterfall__0_Toolb2"/>
      <sheetName val="hvac_00_defect1"/>
      <sheetName val="Sheet_02"/>
      <sheetName val="Sheet_4_VTL2"/>
      <sheetName val="Daily_1_11"/>
      <sheetName val="HE_BASE1"/>
      <sheetName val="2_????1"/>
      <sheetName val="040_削除1"/>
      <sheetName val="Package_Presentation1"/>
      <sheetName val="Business_Plan1"/>
      <sheetName val="Burden_28001"/>
      <sheetName val="GMX_0021"/>
      <sheetName val="Sub-commodity_List1"/>
      <sheetName val="Costing_Wave_2_STT1"/>
      <sheetName val="BoM_(Wave_2)1"/>
      <sheetName val="GB-IC_Villingen_GG1"/>
      <sheetName val="RBC_(RNMP-005)1"/>
      <sheetName val="RNMP16_(2)1"/>
      <sheetName val="NNMP-003-K2_Ph11"/>
      <sheetName val="Blocking_Project1"/>
      <sheetName val="XBA_MY-19_Regulation-RNMP-0161"/>
      <sheetName val="4-Series_-_Control_Model1"/>
      <sheetName val="PS41_0406_KD1"/>
      <sheetName val="FUEL_FILLER1"/>
      <sheetName val="總檔__(2)1"/>
      <sheetName val="Man_power1"/>
      <sheetName val="COVER_RL_RECLINING1"/>
      <sheetName val="00_DOWNLOAD1"/>
      <sheetName val="Calendar_091"/>
      <sheetName val="Slide_core1"/>
      <sheetName val="Other_lifter1"/>
      <sheetName val="Tilted_lifter1"/>
      <sheetName val="CASE_ASM1"/>
      <sheetName val="HEV_Price_Walk1"/>
      <sheetName val="X11C_Parts_List1"/>
      <sheetName val="SCS_III1"/>
      <sheetName val="Codes_-_NNA_-_04_27_01_logic1"/>
      <sheetName val="BOM_Compile1"/>
      <sheetName val="HKKalk280100_modifiziert1"/>
      <sheetName val="JIT_-_130_0001"/>
      <sheetName val="R_BOM_Model1"/>
      <sheetName val="JIT_-_266_0001"/>
      <sheetName val="Model_Sum_-_130_0001"/>
      <sheetName val="R_BOM_Subs1"/>
      <sheetName val="Overview_2_1"/>
      <sheetName val="Dep_11-12&lt;&gt;12mth_1"/>
      <sheetName val="10-1_Media1"/>
      <sheetName val="Front_Row_BOM1"/>
      <sheetName val="駆動_2"/>
      <sheetName val="Infl_(2)1"/>
      <sheetName val="案1(44%)"/>
      <sheetName val="73(下)直直要員明細"/>
      <sheetName val="73(下)省人実績表 "/>
      <sheetName val="月度抄表"/>
      <sheetName val="低压抄表"/>
      <sheetName val="収75対発ＤＢ"/>
      <sheetName val="集合"/>
      <sheetName val="AE1218"/>
      <sheetName val="72直直明細.下"/>
      <sheetName val="ﾃｰﾌﾞﾙ"/>
      <sheetName val="入力工場管理費"/>
      <sheetName val="Apr-Feb"/>
      <sheetName val="1020 FF"/>
      <sheetName val="data "/>
      <sheetName val="ocean voyage"/>
      <sheetName val="data_"/>
      <sheetName val="ocean_voyage"/>
      <sheetName val="data_1"/>
      <sheetName val="ocean_voyage1"/>
      <sheetName val="OPERATING HEAD"/>
      <sheetName val="data_2"/>
      <sheetName val="ocean_voyage2"/>
      <sheetName val="OPERATING_HEAD"/>
      <sheetName val="Dept"/>
      <sheetName val="Kind of Service"/>
      <sheetName val="2004 Labor"/>
      <sheetName val="Service Coming"/>
      <sheetName val="Assy-Total"/>
      <sheetName val="data_3"/>
      <sheetName val="ocean_voyage3"/>
      <sheetName val="OPERATING_HEAD1"/>
      <sheetName val="Kind_of_Service"/>
      <sheetName val="2004_Labor"/>
      <sheetName val="Service_Coming"/>
      <sheetName val="FF-RC-ST Showa Only"/>
      <sheetName val="XL4Poppy"/>
      <sheetName val="HVN"/>
      <sheetName val="data_4"/>
      <sheetName val="ocean_voyage4"/>
      <sheetName val="OPERATING_HEAD2"/>
      <sheetName val="Kind_of_Service1"/>
      <sheetName val="2004_Labor1"/>
      <sheetName val="Service_Coming1"/>
      <sheetName val="FF-RC-ST_Showa_Only"/>
      <sheetName val="data_5"/>
      <sheetName val="ocean_voyage5"/>
      <sheetName val="OPERATING_HEAD3"/>
      <sheetName val="Kind_of_Service2"/>
      <sheetName val="2004_Labor2"/>
      <sheetName val="Service_Coming2"/>
      <sheetName val="FF-RC-ST_Showa_Only1"/>
      <sheetName val="3.0Lmin_80degC_N=2"/>
      <sheetName val="3.0Lmin_80degC_N=3"/>
      <sheetName val="3業務分担俵(KT4-97.6"/>
      <sheetName val="別紙１"/>
      <sheetName val="Method of supply and picking"/>
      <sheetName val="9003"/>
      <sheetName val="MM??‰v・?´‰???‰???針潤e¶??P"/>
      <sheetName val="変更部品LIST"/>
      <sheetName val="Anlycs"/>
      <sheetName val="Mctng"/>
      <sheetName val="RAM名置き換え"/>
      <sheetName val="1上下"/>
      <sheetName val="排気認証用グラフ一覧表"/>
      <sheetName val="KH1E"/>
      <sheetName val="改訂履歴　Revice"/>
      <sheetName val="CD"/>
      <sheetName val="797T輸入部品リスト"/>
      <sheetName val="稼動実績表  "/>
      <sheetName val="HS原紙"/>
      <sheetName val="HS"/>
      <sheetName val="IV原紙"/>
      <sheetName val="PL原紙"/>
      <sheetName val="T_DESTINATION"/>
      <sheetName val="T_SHIPMENT"/>
      <sheetName val="T_VESSEL"/>
      <sheetName val="T_出荷グループ"/>
      <sheetName val="T_担当者"/>
      <sheetName val="T_輸出条件"/>
      <sheetName val="T_宛先"/>
      <sheetName val="T_住所"/>
      <sheetName val="リストBOX"/>
      <sheetName val="変更原紙"/>
      <sheetName val="画面"/>
      <sheetName val="点检表"/>
      <sheetName val="Deliveries"/>
      <sheetName val="Demand"/>
      <sheetName val="Orders"/>
      <sheetName val="Production_schedule"/>
      <sheetName val="BOM6.5.03"/>
      <sheetName val="定数"/>
      <sheetName val="GRAPH 4軸 径Φ120 (2)"/>
      <sheetName val="図面台帳"/>
      <sheetName val="選酋表"/>
      <sheetName val="金型申入書ﾃﾞｰﾀ(05.7～)"/>
      <sheetName val="耐久項目詳細"/>
      <sheetName val="シビック日程(大日程)"/>
      <sheetName val="低抵抗"/>
      <sheetName val="ショート端子"/>
      <sheetName val="温上"/>
      <sheetName val="箔Data"/>
      <sheetName val="Test cost oversea"/>
      <sheetName val="GROUPING"/>
      <sheetName val="BANK"/>
      <sheetName val="04WEEK下期月別"/>
      <sheetName val="04CALENDAR下期月別"/>
      <sheetName val="04下期ｼﾌﾄ"/>
      <sheetName val="04正規案CALENDAR"/>
      <sheetName val="Prämissenblatt"/>
      <sheetName val="Prämissenblatt_Rohstoff"/>
      <sheetName val="Zusammenfassung"/>
      <sheetName val="品番別G_DATA"/>
      <sheetName val="選択肢"/>
      <sheetName val="study004acc_P32R_MR15_FKk2_TVO8"/>
      <sheetName val="Nissan's spec"/>
      <sheetName val="12.Characteristic(load deflec)"/>
      <sheetName val="TOEIC"/>
      <sheetName val="DIEZEL????"/>
      <sheetName val="ÔïWñ"/>
      <sheetName val="Misc"/>
      <sheetName val="TerrorityData___GE"/>
      <sheetName val="Front CTH"/>
      <sheetName val="Rear CTH"/>
      <sheetName val="Front LTH"/>
      <sheetName val="Rear LTH"/>
      <sheetName val="SPG_F"/>
      <sheetName val="SPG_R"/>
      <sheetName val="ﾊﾞﾈ下"/>
      <sheetName val="積載条件"/>
      <sheetName val="B-Car Rates"/>
      <sheetName val="Top22(GER)"/>
      <sheetName val="ＦＣ～ＧＸ"/>
      <sheetName val="DASH用係数"/>
      <sheetName val="Inflation &amp; Exchange"/>
      <sheetName val="Tc"/>
      <sheetName val="Xs"/>
      <sheetName val="P"/>
      <sheetName val="Ve"/>
      <sheetName val="REP-2"/>
      <sheetName val="Component Detail"/>
      <sheetName val="静ﾊﾟﾀﾝ分析"/>
      <sheetName val="BENZ"/>
      <sheetName val="径方向熱膨張量_v2"/>
      <sheetName val="勤怠表"/>
      <sheetName val="Tool"/>
      <sheetName val="プルダウン用Sheet"/>
      <sheetName val="Category Code "/>
      <sheetName val="欧州_構想書集約1"/>
      <sheetName val="UU1_memo1"/>
      <sheetName val="SPEC_NOTE_BLOCK(3)1"/>
      <sheetName val="Fuel_gauge_data_(V-up)1"/>
      <sheetName val="MOTOc____ご__x005f_x005f_x005f_x0012___x0052"/>
      <sheetName val="MOTOc_ࠀ_笰ごꒈ_x005f_x005f_x005f_x0012_ꐸ_x0052"/>
      <sheetName val="MOTOc_ࠀ笰ごꒈ_x005f_x005f_x005f_x0012_ꐸ_x005f2"/>
      <sheetName val="TB_P121"/>
      <sheetName val="Dﾚﾝｼﾞ_AC=ON1"/>
      <sheetName val="MOTOc?ࠀ?笰ごꒈꐸ뵓뜝瞮????猰ごࠀ?ꒀ嘻瞦咚瞦?"/>
      <sheetName val="Forjas,_Queretaro,_Mexico1"/>
      <sheetName val="xDATA_(1)"/>
      <sheetName val="MOTOc?ࠀ?笰ごꒈꐸ뜝瞮?猰ごࠀ?ꒀ嘻瞦咚瞦?৿?ꑠ"/>
      <sheetName val="Suggest_5_Day"/>
      <sheetName val="MOTOc_ࠀ_笰ごꒈꐸ뜝瞮___"/>
      <sheetName val="MOTOc____ご______ご"/>
      <sheetName val="MOTOc_ࠀ笰ごꒈꐸ뜝瞮猰ごࠀꒀ"/>
      <sheetName val="MOTOc____ご_______1"/>
      <sheetName val="MOTOc_ࠀ_笰ごꒈꐸ뜝瞮___1"/>
      <sheetName val="MOTOc____ご______ご1"/>
      <sheetName val="MOTOc_ࠀ笰ごꒈꐸ뜝瞮猰ごࠀꒀ1"/>
      <sheetName val="(始めに読む)当ファイルの使い方"/>
      <sheetName val="業務一覧シート"/>
      <sheetName val="測温点"/>
      <sheetName val="Line Item Detail - L42C09"/>
      <sheetName val="R50_data-Summary_inhouse_assump"/>
      <sheetName val="Exchange_Rate"/>
      <sheetName val="R50_data-Summary_inhouse_assum1"/>
      <sheetName val="Exchange_Rate1"/>
      <sheetName val="Method_of_supply_and_picking"/>
      <sheetName val="Activities List"/>
      <sheetName val="WK01"/>
      <sheetName val="WK02"/>
      <sheetName val="WK03"/>
      <sheetName val="WK04"/>
      <sheetName val="WK05"/>
      <sheetName val="WK06"/>
      <sheetName val="WK07"/>
      <sheetName val="WK08"/>
      <sheetName val="WK09"/>
      <sheetName val="WK10"/>
      <sheetName val="MONTHLY JOB HOUR"/>
      <sheetName val="試作セル仕様"/>
      <sheetName val="Para"/>
      <sheetName val="20120322"/>
      <sheetName val="P7 Impact Torque_CVT_2WD_WGN"/>
      <sheetName val="P6 Impact Torque_CVT_2WD_VAN"/>
      <sheetName val="att_1_2_NMUK_REQUIREMENTS2"/>
      <sheetName val="aux_20042"/>
      <sheetName val="Profile_EUR_OUTPUT2"/>
      <sheetName val="Profile_UK2"/>
      <sheetName val="{Ref}_Hitachi_report_Q-Us_2"/>
      <sheetName val="972低減_10月2"/>
      <sheetName val="Cover_&amp;_list2"/>
      <sheetName val="P5_VC_Vehicle_Spec2"/>
      <sheetName val="TB_P122"/>
      <sheetName val="Forjas,_Queretaro,_Mexico2"/>
      <sheetName val="FDR_BUDGET_2001_EISENACH2"/>
      <sheetName val="Update_6_012"/>
      <sheetName val="RX3_CBU2"/>
      <sheetName val="MOTOc____ご__x005f_x0012___x005f_x0012_____5"/>
      <sheetName val="MOTOc_ࠀ_笰ごꒈ_x005f_x0012_ꐸ_x005f_x0012_뜝瞮__3"/>
      <sheetName val="MOTOc____ご__x005f_x0012___x005f_x0012_____6"/>
      <sheetName val="MOTOc_ࠀ笰ごꒈ_x005f_x0012_ꐸ_x005f_x0012_뜝瞮猰ごࠀ3"/>
      <sheetName val="欧州_構想書集約2"/>
      <sheetName val="pad_assy2"/>
      <sheetName val="Pre_2"/>
      <sheetName val="MOTOc_?_?ご?_x005f_x0012_?_x005f_x0012_??__2"/>
      <sheetName val="MOTOc_?_?ご?_x005f_x0012_?_x005f_x0012_??_?2"/>
      <sheetName val="Inv_2"/>
      <sheetName val="3_結果まとめ2"/>
      <sheetName val="WTC_BODY一覧原紙2"/>
      <sheetName val="UU1_memo2"/>
      <sheetName val="THAI向け_INST2"/>
      <sheetName val="MEX向け_INST2"/>
      <sheetName val="MEX向け_INST_PACKING_LIST2"/>
      <sheetName val="Fuel_gauge_data_(V-up)2"/>
      <sheetName val="MOTOc____ご__x005f_x005f_x005f_x0012___x0053"/>
      <sheetName val="MOTOc_ࠀ_笰ごꒈ_x005f_x005f_x005f_x0012_ꐸ_x0053"/>
      <sheetName val="MOTOc_ࠀ笰ごꒈ_x005f_x005f_x005f_x0012_ꐸ_x005f3"/>
      <sheetName val="SPEC_NOTE_BLOCK(3)2"/>
      <sheetName val="Dﾚﾝｼﾞ_AC=ON2"/>
      <sheetName val="xDATA_(1)1"/>
      <sheetName val="Suggest_5_Day1"/>
      <sheetName val="R50_data-Summary_inhouse_assum2"/>
      <sheetName val="Exchange_Rate2"/>
      <sheetName val="Front_CTH"/>
      <sheetName val="Rear_CTH"/>
      <sheetName val="Front_LTH"/>
      <sheetName val="Rear_LTH"/>
      <sheetName val="B-Car_Rates"/>
      <sheetName val="Inflation_&amp;_Exchange"/>
      <sheetName val="Component_Detail"/>
      <sheetName val="Nissan's_spec"/>
      <sheetName val="12_Characteristic(load_deflec)"/>
      <sheetName val="Method_of_supply_and_picking1"/>
      <sheetName val="Category_Code_"/>
      <sheetName val="Line_Item_Detail_-_L42C09"/>
      <sheetName val="Activities_List"/>
      <sheetName val="MONTHLY_JOB_HOUR"/>
      <sheetName val="3業務分担俵(KT4-97_6"/>
      <sheetName val="P7_Impact_Torque_CVT_2WD_WGN"/>
      <sheetName val="P6_Impact_Torque_CVT_2WD_VAN"/>
      <sheetName val="#0 SPEC &lt;JPN&gt;［1］案"/>
      <sheetName val="ME"/>
      <sheetName val="Volume information"/>
      <sheetName val="テキスト"/>
      <sheetName val="ｱﾅﾛｸﾞﾒｰﾀ"/>
      <sheetName val="Drop down List"/>
      <sheetName val="数据验证"/>
      <sheetName val="HVAC"/>
      <sheetName val="YAZI1_(2)"/>
      <sheetName val="Key_Inputs"/>
      <sheetName val="P60A"/>
      <sheetName val="Database"/>
      <sheetName val="Correspondence_-_Technologies"/>
      <sheetName val="FEP Lookup"/>
      <sheetName val="뼓ドア"/>
      <sheetName val="Tabla1"/>
      <sheetName val="dongia_(2)3"/>
      <sheetName val="P_2_VAR組合せ表3"/>
      <sheetName val="att_1_2_NMUK_REQUIREMENTS3"/>
      <sheetName val="aux_20043"/>
      <sheetName val="Profile_EUR_OUTPUT3"/>
      <sheetName val="Profile_UK3"/>
      <sheetName val="{Ref}_Hitachi_report_Q-Us_3"/>
      <sheetName val="972低減_10月3"/>
      <sheetName val="Cover_&amp;_list3"/>
      <sheetName val="P5_VC_Vehicle_Spec3"/>
      <sheetName val="TB_P123"/>
      <sheetName val="Forjas,_Queretaro,_Mexico3"/>
      <sheetName val="Sheet1_(2)3"/>
      <sheetName val="FDR_BUDGET_2001_EISENACH3"/>
      <sheetName val="Update_6_013"/>
      <sheetName val="RX3_CBU3"/>
      <sheetName val="MOTOc____ご__x005f_x0012___x005f_x0012_____7"/>
      <sheetName val="MOTOc_ࠀ_笰ごꒈ_x005f_x0012_ꐸ_x005f_x0012_뜝瞮__4"/>
      <sheetName val="MOTOc____ご__x005f_x0012___x005f_x0012_____8"/>
      <sheetName val="MOTOc_ࠀ笰ごꒈ_x005f_x0012_ꐸ_x005f_x0012_뜝瞮猰ごࠀ4"/>
      <sheetName val="欧州_構想書集約3"/>
      <sheetName val="pad_assy3"/>
      <sheetName val="Pre_3"/>
      <sheetName val="MOTOc_?_?ご?_x005f_x0012_?_x005f_x0012_??__3"/>
      <sheetName val="MOTOc_?_?ご?_x005f_x0012_?_x005f_x0012_??_?3"/>
      <sheetName val="Inv_3"/>
      <sheetName val="3_結果まとめ3"/>
      <sheetName val="WTC_BODY一覧原紙3"/>
      <sheetName val="Rubriques_MC3"/>
      <sheetName val="Hyp_DDRH3"/>
      <sheetName val="A-B(exp_)3"/>
      <sheetName val="UU1_memo3"/>
      <sheetName val="THAI向け_INST3"/>
      <sheetName val="MEX向け_INST3"/>
      <sheetName val="MEX向け_INST_PACKING_LIST3"/>
      <sheetName val="61B_(J)3"/>
      <sheetName val="X61B_(E)3"/>
      <sheetName val="Fuel_gauge_data_(V-up)3"/>
      <sheetName val="MOTOc____ご__x005f_x005f_x005f_x0012___x0054"/>
      <sheetName val="MOTOc_ࠀ_笰ごꒈ_x005f_x005f_x005f_x0012_ꐸ_x0054"/>
      <sheetName val="MOTOc_ࠀ笰ごꒈ_x005f_x005f_x005f_x0012_ꐸ_x005f4"/>
      <sheetName val="SPEC_NOTE_BLOCK(3)3"/>
      <sheetName val="Dﾚﾝｼﾞ_AC=ON3"/>
      <sheetName val="HEV_Price_Walk2"/>
      <sheetName val="JIT_-_130_0002"/>
      <sheetName val="R_BOM_Model2"/>
      <sheetName val="JIT_-_266_0002"/>
      <sheetName val="Model_Sum_-_130_0002"/>
      <sheetName val="xDATA_(1)2"/>
      <sheetName val="Suggest_5_Day2"/>
      <sheetName val="Business_Plan2"/>
      <sheetName val="48810真_xls2"/>
      <sheetName val="Package_Presentation2"/>
      <sheetName val="R50_data-Summary_inhouse_assum3"/>
      <sheetName val="Exchange_Rate3"/>
      <sheetName val="Nissan's_spec1"/>
      <sheetName val="12_Characteristic(load_deflec)1"/>
      <sheetName val="Method_of_supply_and_picking2"/>
      <sheetName val="Front_CTH1"/>
      <sheetName val="Rear_CTH1"/>
      <sheetName val="Front_LTH1"/>
      <sheetName val="Rear_LTH1"/>
      <sheetName val="B-Car_Rates1"/>
      <sheetName val="Inflation_&amp;_Exchange1"/>
      <sheetName val="Component_Detail1"/>
      <sheetName val="wip-Dec_1"/>
      <sheetName val="Category_Code_1"/>
      <sheetName val="Line_Item_Detail_-_L42C091"/>
      <sheetName val="Activities_List1"/>
      <sheetName val="MONTHLY_JOB_HOUR1"/>
      <sheetName val="TPM_Sheet1"/>
      <sheetName val="3業務分担俵(KT4-97_61"/>
      <sheetName val="P7_Impact_Torque_CVT_2WD_WGN1"/>
      <sheetName val="P6_Impact_Torque_CVT_2WD_VAN1"/>
      <sheetName val="DATA NORMAL"/>
      <sheetName val="Pivot Actual"/>
      <sheetName val="Pivot Forecast"/>
      <sheetName val="LETTER"/>
      <sheetName val="Listing Ki (liste)"/>
      <sheetName val="一覧表"/>
      <sheetName val="ADC &amp; MAC"/>
      <sheetName val="依頼状況"/>
      <sheetName val="课题汇总"/>
      <sheetName val="PT12"/>
      <sheetName val="初期03"/>
      <sheetName val="BOM Dashboard"/>
      <sheetName val="06年度長期操業予測_金額_0701月3発反映_070112"/>
      <sheetName val="CHART COST n GM"/>
      <sheetName val="VC"/>
      <sheetName val="khung ten TD"/>
      <sheetName val="04年度長期操業予測_数量_0412月3発反映"/>
      <sheetName val="(m) Currency"/>
      <sheetName val="4-6月"/>
      <sheetName val="条件設定ｼｰﾄ"/>
      <sheetName val="経費明細"/>
      <sheetName val="消耗治具費"/>
      <sheetName val="DOSSIER"/>
      <sheetName val="MOTGc_x005f_x005f_x005f_x0000_ࠀ_x005f_x005f_x0000"/>
      <sheetName val="MOTGc_x005f_x005f_x005f_x005f_x005f_x005f_x005f_x0000_ࠀ"/>
      <sheetName val="NM Cash SUMMARY"/>
      <sheetName val="Issue # and Title"/>
      <sheetName val="HIACE部品数量元"/>
      <sheetName val="1-1"/>
      <sheetName val="1-2"/>
      <sheetName val="1-5"/>
      <sheetName val="1-6"/>
      <sheetName val="1-7"/>
      <sheetName val="2-49"/>
      <sheetName val="2-51"/>
      <sheetName val="2-52_"/>
      <sheetName val="2-53_"/>
      <sheetName val="2-54_"/>
      <sheetName val="3-1"/>
      <sheetName val="3-2"/>
      <sheetName val="3-3"/>
      <sheetName val="3-4"/>
      <sheetName val="3-5"/>
      <sheetName val="4-1"/>
      <sheetName val="4-2"/>
      <sheetName val="4-3"/>
      <sheetName val="4-4"/>
      <sheetName val="4-5"/>
      <sheetName val="BOM_TOP10"/>
      <sheetName val="Material_Input_Status10"/>
      <sheetName val="Seatbelt_Guides9"/>
      <sheetName val="Stowage_Tray9"/>
      <sheetName val="Ideas_Entered9"/>
      <sheetName val="Kapitaleinsatz_&amp;_Umsatz10"/>
      <sheetName val="Herstellkosten_(Referenz)10"/>
      <sheetName val="Working_Capital10"/>
      <sheetName val="Vehicle_Parts_List10"/>
      <sheetName val="K440_can_wake-up_logic10"/>
      <sheetName val="PRICE_STRAT_FOR_3F9"/>
      <sheetName val="J_or_E9"/>
      <sheetName val="Build_Sheets9"/>
      <sheetName val="DV_Release6"/>
      <sheetName val="MATRIZ_POR_AREA9"/>
      <sheetName val="TT_(13)7"/>
      <sheetName val="New_DYNA7"/>
      <sheetName val="Europe_PU-17"/>
      <sheetName val="Trim_Dev_Materials7"/>
      <sheetName val="Non_Labour_Forecast7"/>
      <sheetName val="Costed_Parts_Matrix7"/>
      <sheetName val="Engineering_Assumptions7"/>
      <sheetName val="Labour_Forecast7"/>
      <sheetName val="Process_Summary7"/>
      <sheetName val="full_(2)9"/>
      <sheetName val="MPL_技連9"/>
      <sheetName val="342E_BLOCK9"/>
      <sheetName val="Report_Key7"/>
      <sheetName val="Original_ED&amp;D_summary7"/>
      <sheetName val="Croisements_(Ai_-_Ej_-_Mk)_X857"/>
      <sheetName val="LOAD_HOURS6"/>
      <sheetName val="Table_Master7"/>
      <sheetName val="EPW_06307"/>
      <sheetName val="FB_sepa_S27"/>
      <sheetName val="Stamping_Tool_building_Hrs6"/>
      <sheetName val="Stamping_Burden6"/>
      <sheetName val="HPS_Slit_Coil_(Centralia)6"/>
      <sheetName val="JT3_0견적-구17"/>
      <sheetName val="Total_Income_Statement7"/>
      <sheetName val="Price_J60E67"/>
      <sheetName val="Laser_Weld6"/>
      <sheetName val="Material_Tables6"/>
      <sheetName val="Weld_Tool6"/>
      <sheetName val="BOM_Input6"/>
      <sheetName val="Parts_List6"/>
      <sheetName val="Sales_price6"/>
      <sheetName val="A10_(2)6"/>
      <sheetName val="POLO_H_GP6"/>
      <sheetName val="IP2X_MCE6"/>
      <sheetName val="VW321_(Lavida_taxi)6"/>
      <sheetName val="IP24_RSB_CN6"/>
      <sheetName val="SK371_(PV20140226)降密方案6"/>
      <sheetName val="SK371_(PV20140226)_6"/>
      <sheetName val="SK371_(PV1)6"/>
      <sheetName val="KC_FOAM6"/>
      <sheetName val="B753__PV6"/>
      <sheetName val="B81C_(广州)6"/>
      <sheetName val="D2SC_PV6"/>
      <sheetName val="D2SC_DV6"/>
      <sheetName val="B753__PV_(2)6"/>
      <sheetName val="TFC_MY146"/>
      <sheetName val="ZP11_EU6"/>
      <sheetName val="SGM318_(3)6"/>
      <sheetName val="SGM318_(2)6"/>
      <sheetName val="IP21_MCE6"/>
      <sheetName val="SK253_SB(M-A_ENTRY_SB)6"/>
      <sheetName val="Model_S_FL(SK461)6"/>
      <sheetName val="LAVIDA_DERIVAT6"/>
      <sheetName val="Model_A_TAXI6"/>
      <sheetName val="SGM258_MY136"/>
      <sheetName val="New_Model_A201303046"/>
      <sheetName val="New_Model_A201209216"/>
      <sheetName val="New_Model_A6"/>
      <sheetName val="New_Model_A降密6"/>
      <sheetName val="IP22_EU&amp;UK6"/>
      <sheetName val="T4NA(2CN)_(2)6"/>
      <sheetName val="GAMMA_SUV6"/>
      <sheetName val="Model_H_GTI6"/>
      <sheetName val="New_Lavida6"/>
      <sheetName val="Model_A6"/>
      <sheetName val="IP22_CN_L-CAR6"/>
      <sheetName val="SGM201_R3_ISS6"/>
      <sheetName val="Model_S_MP126"/>
      <sheetName val="Model_F_FL6"/>
      <sheetName val="Model_H_Cross6"/>
      <sheetName val="New_Model_K6"/>
      <sheetName val="ZP11_MG6"/>
      <sheetName val="問題課題(pattern_3)6"/>
      <sheetName val="ebom_excel6"/>
      <sheetName val="qad_bom6"/>
      <sheetName val="Default_Rates6"/>
      <sheetName val="DD96_1_186"/>
      <sheetName val="Plan_Sheet9"/>
      <sheetName val="VAC_BLK_CALC_7"/>
      <sheetName val="Blank_AQR_(old)7"/>
      <sheetName val="CAP_PLAN7"/>
      <sheetName val="PKG_&amp;_FRT7"/>
      <sheetName val="PROCESS_INFO7"/>
      <sheetName val="After_Sales_Supplier_#'s6"/>
      <sheetName val="FY99_Volume6"/>
      <sheetName val="Product_Validation6"/>
      <sheetName val="Japanese_Summary6"/>
      <sheetName val="Antivol_D26"/>
      <sheetName val="PN_LIST6"/>
      <sheetName val="F7_Custom_Service_Center_(CSC)6"/>
      <sheetName val="F5_E1-TEI_6"/>
      <sheetName val="F5_Specific_expenses_Vol_Drop6"/>
      <sheetName val="F5_Specific_expenses6"/>
      <sheetName val="391_各6"/>
      <sheetName val="SU_BOM_200712136"/>
      <sheetName val="LESCI_J776"/>
      <sheetName val="Read_me_first6"/>
      <sheetName val="ALL_PARTS_PRICE_LIST6"/>
      <sheetName val="Inputs_and_Data7"/>
      <sheetName val="Tooling_breakdown6"/>
      <sheetName val="342A_Block6"/>
      <sheetName val="organization_data6"/>
      <sheetName val="Labor_cost6"/>
      <sheetName val="Ideal_Cost6"/>
      <sheetName val="Ass'y-A_(Day)6"/>
      <sheetName val="cc_0214_23006"/>
      <sheetName val="Stock_Price6"/>
      <sheetName val="contract_AGER5"/>
      <sheetName val="contract_APOR5"/>
      <sheetName val="market_AGER5"/>
      <sheetName val="market_APOR5"/>
      <sheetName val="List_Data6"/>
      <sheetName val="Fert_ablauf6"/>
      <sheetName val="BU_Summary_Data6"/>
      <sheetName val="結果一覧_ｼｰﾄ6"/>
      <sheetName val="Data_01016"/>
      <sheetName val="_DATA6"/>
      <sheetName val="表5-2_地区別CO2排出実績6"/>
      <sheetName val="ECN-Mold_Progress6"/>
      <sheetName val="E_TOPICS6"/>
      <sheetName val="X61B_ZH2E_L1_#16"/>
      <sheetName val="Part_by_Part6"/>
      <sheetName val="5_UPS_Data6"/>
      <sheetName val="VIM_Data6"/>
      <sheetName val="PRIX_20096"/>
      <sheetName val="Interior_Trim6"/>
      <sheetName val="Vol_&amp;_Assumpt6"/>
      <sheetName val="진행_DATA_(2)6"/>
      <sheetName val="Roll_Out_-_Limit6"/>
      <sheetName val="Specific_Data6"/>
      <sheetName val="Input_Sheet6"/>
      <sheetName val="Plant_Data5"/>
      <sheetName val="094W原紙_5"/>
      <sheetName val="Annual_Sales5"/>
      <sheetName val="Process_means6"/>
      <sheetName val="Fixture_List6"/>
      <sheetName val="Barcode_D&amp;F5"/>
      <sheetName val="Sheet6_(3)5"/>
      <sheetName val="A3C_Data5"/>
      <sheetName val="Customer_Part_Approval6"/>
      <sheetName val="Development_Start6"/>
      <sheetName val="Final_Production_Release6"/>
      <sheetName val="minimum_lot_size6"/>
      <sheetName val="JCAE_Sale_Price5"/>
      <sheetName val="R_FJS_CAR_(old)5"/>
      <sheetName val="勤務ｼﾌﾄﾍﾞｰｽ表_下期5"/>
      <sheetName val="Key_Function_in_Master_FMEA5"/>
      <sheetName val="Sales_by_Customer5"/>
      <sheetName val="702_515_881t5"/>
      <sheetName val="Ref_IMM_Sizes5"/>
      <sheetName val="Prog_INFO5"/>
      <sheetName val="IAC_Quote_Processes5"/>
      <sheetName val="Sq_Area_INPUT5"/>
      <sheetName val="LPIM_BLK_CALC5"/>
      <sheetName val="ASSET_PLAN5"/>
      <sheetName val="_Cycle_Times5"/>
      <sheetName val="DIE_CUT_ROLL_CALC5"/>
      <sheetName val="EFFICIENCY_VS_VOLUME5"/>
      <sheetName val="TOOL_INFO5"/>
      <sheetName val="Marea_MY5"/>
      <sheetName val="Brava-o_MY5"/>
      <sheetName val="P_TO5"/>
      <sheetName val="Part_Pictorials5"/>
      <sheetName val="cycle_time_reduction6"/>
      <sheetName val="Base_Info6"/>
      <sheetName val="Data_Table5"/>
      <sheetName val="4__Project_Plan5"/>
      <sheetName val="140N_Part_Local_(SE)5"/>
      <sheetName val="part_list_C55"/>
      <sheetName val="工程別見積り_(SP)5"/>
      <sheetName val="FUNCTION_CHART5"/>
      <sheetName val="Income_Statem6"/>
      <sheetName val="Mechanical_Handle_Grained6"/>
      <sheetName val="信息费用预算表(A4)_5"/>
      <sheetName val="01_3_28現在5"/>
      <sheetName val="Incr_Inv_Tool5"/>
      <sheetName val="HL_extract5"/>
      <sheetName val="CHHS_AVSS65"/>
      <sheetName val="Budget_base5"/>
      <sheetName val="FACT_B6"/>
      <sheetName val="Notice_Link6"/>
      <sheetName val="ALPL_0305146"/>
      <sheetName val="IVP_und_Afa5"/>
      <sheetName val="Full_list_0204255"/>
      <sheetName val="Format_info5"/>
      <sheetName val="contents_(English)5"/>
      <sheetName val="設変通知書_(E)5"/>
      <sheetName val="Rev_#1_&amp;_#25"/>
      <sheetName val="?d?l??_(full-SUV)5"/>
      <sheetName val="RM_cost_Evapo_Standarti6"/>
      <sheetName val="RS_Sound_Add__Module6"/>
      <sheetName val="AM_6M_945"/>
      <sheetName val="ｺｽﾄ比較_(総括)5"/>
      <sheetName val="Reference_5"/>
      <sheetName val="645a_9-18_PTO_4_35"/>
      <sheetName val="Chart_Data_Formulas5"/>
      <sheetName val="issue_destination5"/>
      <sheetName val="PSA_T75"/>
      <sheetName val="GG_S&amp;O_List5"/>
      <sheetName val="Operating_Plan_Changes5"/>
      <sheetName val="costes_internos5"/>
      <sheetName val="Cómputo_B5"/>
      <sheetName val="0_Cuota5"/>
      <sheetName val="TMMI_SEQUOIA_20115"/>
      <sheetName val="Issues_log5"/>
      <sheetName val="Just_for_calculation5"/>
      <sheetName val="Données_transversales_pays5"/>
      <sheetName val="Forração_PP_DE5"/>
      <sheetName val="Exploded_End_Items5"/>
      <sheetName val="차체_품안표5"/>
      <sheetName val="CUSTOMER_(DETAIL)5"/>
      <sheetName val="Parameters_SSR5"/>
      <sheetName val="HS_HB_NE_dr_15"/>
      <sheetName val="尾门板总成_5"/>
      <sheetName val="DEC_EO3"/>
      <sheetName val="PN_LIST_(2)3"/>
      <sheetName val="PN_LIST_P33B3"/>
      <sheetName val="Invoice_Aging3"/>
      <sheetName val="Open_AP3"/>
      <sheetName val="００･ＤＥ_Ｍ６２3"/>
      <sheetName val="FmｸﾞﾗﾌVer_03"/>
      <sheetName val="参考_人員調査表3"/>
      <sheetName val="Poland_HL3"/>
      <sheetName val="_d_l___(full-SUV)3"/>
      <sheetName val="Volume_Hypothesis5"/>
      <sheetName val="Lighting_OP"/>
      <sheetName val="Aftermarket_OP"/>
      <sheetName val="Motorsport_OP"/>
      <sheetName val="TRACKING_MODEL"/>
      <sheetName val="MOTOc?ࠀ笰ごꒈꐸ뜝瞮?猰ごࠀꒀ嘻瞦咚瞦?یꑠ噍瞦"/>
      <sheetName val="MOTOc?ࠀ笰ごꒈꐸ뜝瞮?猰ごࠀꒀ嘻瞦咚瞦?৿ꑠ噍瞦"/>
      <sheetName val="MOTOc?ࠀ笰ごꒈꐸ뜝瞮?猰ごࠀꒀ嘻瞦咚瞦?۲ꑠ噍瞦"/>
      <sheetName val="Country_rates"/>
      <sheetName val="01_-_Jan00"/>
      <sheetName val="IOCI_強制駆動"/>
      <sheetName val="直納ASSY 全品番"/>
      <sheetName val="GBY.C企"/>
      <sheetName val="ホストインタフェース設定表 (FC-CA) "/>
      <sheetName val="7 (3)"/>
      <sheetName val="ﾃｰﾊﾟ応力"/>
      <sheetName val="横比較表"/>
      <sheetName val="OB 12M MVG"/>
      <sheetName val="9700LWP"/>
      <sheetName val="報告書"/>
      <sheetName val="???,???????"/>
      <sheetName val="ｹｯﾁﾝMT"/>
      <sheetName val="Cad.Fornec"/>
      <sheetName val="Preco YMDA"/>
      <sheetName val="優先型調達国"/>
      <sheetName val="Setting"/>
      <sheetName val="加工成本分析"/>
      <sheetName val="B2_S2_2006"/>
      <sheetName val="Price_List"/>
      <sheetName val="数量詳細_"/>
      <sheetName val="OEE_Machine"/>
      <sheetName val="MOTGcࠀ笰ごꒈꐸ"/>
      <sheetName val="Sub-commodity_List_BOP"/>
      <sheetName val="MBOM_FL_DP"/>
      <sheetName val="MBOM_FR_DP"/>
      <sheetName val="MBOM_RL_DP"/>
      <sheetName val="MBOM_RR_DP"/>
      <sheetName val="VW380_(2)"/>
      <sheetName val="供应商联系表_(2)"/>
      <sheetName val="EBOM_(2)"/>
      <sheetName val="PP_(2)"/>
      <sheetName val="表皮_(2)"/>
      <sheetName val="表皮_(3)"/>
      <sheetName val="表皮_(4)"/>
      <sheetName val="PP_(3)"/>
      <sheetName val="海天_(2)"/>
      <sheetName val="PP_(4)"/>
      <sheetName val="PP_(5)"/>
      <sheetName val="PP_(6)"/>
      <sheetName val="海天_(3)"/>
      <sheetName val="PP_(博陆)"/>
      <sheetName val="PP_(7)"/>
      <sheetName val="ITW_"/>
      <sheetName val="PP_(8)"/>
      <sheetName val="Vigorougs_"/>
      <sheetName val="PP_(博陆)_(2)"/>
      <sheetName val="帅特龙_(2)"/>
      <sheetName val="特雷姆_(2)"/>
      <sheetName val="1020_FF"/>
      <sheetName val="3_0Lmin_80degC_N=2"/>
      <sheetName val="3_0Lmin_80degC_N=3"/>
      <sheetName val="FR_SPR_適用線図"/>
      <sheetName val="FR SPR 適用線図"/>
      <sheetName val="调整页"/>
      <sheetName val="Tooling_breakdown7"/>
      <sheetName val="TT_(13)8"/>
      <sheetName val="VAC_BLK_CALC_8"/>
      <sheetName val="Blank_AQR_(old)8"/>
      <sheetName val="CAP_PLAN8"/>
      <sheetName val="PKG_&amp;_FRT8"/>
      <sheetName val="PROCESS_INFO8"/>
      <sheetName val="ebom_excel7"/>
      <sheetName val="qad_bom7"/>
      <sheetName val="Trim_Dev_Materials8"/>
      <sheetName val="Non_Labour_Forecast8"/>
      <sheetName val="Costed_Parts_Matrix8"/>
      <sheetName val="Engineering_Assumptions8"/>
      <sheetName val="Labour_Forecast8"/>
      <sheetName val="Default_Rates7"/>
      <sheetName val="Europe_PU-18"/>
      <sheetName val="After_Sales_Supplier_#'s7"/>
      <sheetName val="FY99_Volume7"/>
      <sheetName val="問題課題(pattern_3)7"/>
      <sheetName val="New_DYNA8"/>
      <sheetName val="Report_Key8"/>
      <sheetName val="Process_Summary8"/>
      <sheetName val="Price_J60E68"/>
      <sheetName val="JT3_0견적-구18"/>
      <sheetName val="Stock_Price7"/>
      <sheetName val="ECN-Mold_Progress7"/>
      <sheetName val="진행_DATA_(2)7"/>
      <sheetName val="Vol_&amp;_Assumpt7"/>
      <sheetName val="Ref_IMM_Sizes6"/>
      <sheetName val="Prog_INFO6"/>
      <sheetName val="IAC_Quote_Processes6"/>
      <sheetName val="Sq_Area_INPUT6"/>
      <sheetName val="Stamping_Tool_building_Hrs7"/>
      <sheetName val="Stamping_Burden7"/>
      <sheetName val="391_各7"/>
      <sheetName val="Table_Master8"/>
      <sheetName val="Roll_Out_-_Limit7"/>
      <sheetName val="LPIM_BLK_CALC6"/>
      <sheetName val="ASSET_PLAN6"/>
      <sheetName val="_Cycle_Times6"/>
      <sheetName val="DIE_CUT_ROLL_CALC6"/>
      <sheetName val="EFFICIENCY_VS_VOLUME6"/>
      <sheetName val="TOOL_INFO6"/>
      <sheetName val="contract_AGER6"/>
      <sheetName val="contract_APOR6"/>
      <sheetName val="market_AGER6"/>
      <sheetName val="market_APOR6"/>
      <sheetName val="Marea_MY6"/>
      <sheetName val="Brava-o_MY6"/>
      <sheetName val="P_TO6"/>
      <sheetName val="Part_Pictorials6"/>
      <sheetName val="EPW_06308"/>
      <sheetName val="FB_sepa_S28"/>
      <sheetName val="JCAE_Sale_Price6"/>
      <sheetName val="R_FJS_CAR_(old)6"/>
      <sheetName val="Original_ED&amp;D_summary8"/>
      <sheetName val="Japanese_Summary7"/>
      <sheetName val="HPS_Slit_Coil_(Centralia)7"/>
      <sheetName val="PN_LIST7"/>
      <sheetName val="F7_Custom_Service_Center_(CSC)7"/>
      <sheetName val="F5_E1-TEI_7"/>
      <sheetName val="F5_Specific_expenses_Vol_Drop7"/>
      <sheetName val="F5_Specific_expenses7"/>
      <sheetName val="LESCI_J777"/>
      <sheetName val="DV_Release7"/>
      <sheetName val="Read_me_first7"/>
      <sheetName val="Croisements_(Ai_-_Ej_-_Mk)_X858"/>
      <sheetName val="Total_Income_Statement8"/>
      <sheetName val="organization_data7"/>
      <sheetName val="Labor_cost7"/>
      <sheetName val="X61B_ZH2E_L1_#17"/>
      <sheetName val="SU_BOM_200712137"/>
      <sheetName val="結果一覧_ｼｰﾄ7"/>
      <sheetName val="Specific_Data7"/>
      <sheetName val="Input_Sheet7"/>
      <sheetName val="E_TOPICS7"/>
      <sheetName val="Inputs_and_Data8"/>
      <sheetName val="cycle_time_reduction7"/>
      <sheetName val="Base_Info7"/>
      <sheetName val="Plant_Data6"/>
      <sheetName val="VIM_Data7"/>
      <sheetName val="PRIX_20097"/>
      <sheetName val="Interior_Trim7"/>
      <sheetName val="Antivol_D27"/>
      <sheetName val="IVP_und_Afa6"/>
      <sheetName val="702_515_881t6"/>
      <sheetName val="Data_01017"/>
      <sheetName val="_DATA7"/>
      <sheetName val="表5-2_地区別CO2排出実績7"/>
      <sheetName val="DD96_1_187"/>
      <sheetName val="Reference_6"/>
      <sheetName val="GG_S&amp;O_List6"/>
      <sheetName val="Operating_Plan_Changes6"/>
      <sheetName val="cc_0214_23007"/>
      <sheetName val="Laser_Weld7"/>
      <sheetName val="LOAD_HOURS7"/>
      <sheetName val="Fert_ablauf7"/>
      <sheetName val="645a_9-18_PTO_4_36"/>
      <sheetName val="工程別見積り_(SP)6"/>
      <sheetName val="costes_internos6"/>
      <sheetName val="342A_Block7"/>
      <sheetName val="Ideal_Cost7"/>
      <sheetName val="Chart_Data_Formulas6"/>
      <sheetName val="Just_for_calculation6"/>
      <sheetName val="Sales_by_Customer6"/>
      <sheetName val="Forração_PP_DE6"/>
      <sheetName val="Product_Validation7"/>
      <sheetName val="Sales_price7"/>
      <sheetName val="A10_(2)7"/>
      <sheetName val="POLO_H_GP7"/>
      <sheetName val="IP2X_MCE7"/>
      <sheetName val="VW321_(Lavida_taxi)7"/>
      <sheetName val="IP24_RSB_CN7"/>
      <sheetName val="SK371_(PV20140226)降密方案7"/>
      <sheetName val="SK371_(PV20140226)_7"/>
      <sheetName val="SK371_(PV1)7"/>
      <sheetName val="KC_FOAM7"/>
      <sheetName val="B753__PV7"/>
      <sheetName val="B81C_(广州)7"/>
      <sheetName val="D2SC_PV7"/>
      <sheetName val="D2SC_DV7"/>
      <sheetName val="B753__PV_(2)7"/>
      <sheetName val="TFC_MY147"/>
      <sheetName val="ZP11_EU7"/>
      <sheetName val="SGM318_(3)7"/>
      <sheetName val="SGM318_(2)7"/>
      <sheetName val="IP21_MCE7"/>
      <sheetName val="SK253_SB(M-A_ENTRY_SB)7"/>
      <sheetName val="Model_S_FL(SK461)7"/>
      <sheetName val="LAVIDA_DERIVAT7"/>
      <sheetName val="Model_A_TAXI7"/>
      <sheetName val="SGM258_MY137"/>
      <sheetName val="New_Model_A201303047"/>
      <sheetName val="New_Model_A201209217"/>
      <sheetName val="New_Model_A7"/>
      <sheetName val="New_Model_A降密7"/>
      <sheetName val="IP22_EU&amp;UK7"/>
      <sheetName val="T4NA(2CN)_(2)7"/>
      <sheetName val="GAMMA_SUV7"/>
      <sheetName val="Model_H_GTI7"/>
      <sheetName val="New_Lavida7"/>
      <sheetName val="Model_A7"/>
      <sheetName val="IP22_CN_L-CAR7"/>
      <sheetName val="SGM201_R3_ISS7"/>
      <sheetName val="Model_S_MP127"/>
      <sheetName val="Model_F_FL7"/>
      <sheetName val="Model_H_Cross7"/>
      <sheetName val="New_Model_K7"/>
      <sheetName val="ZP11_MG7"/>
      <sheetName val="List_Data7"/>
      <sheetName val="Material_Tables7"/>
      <sheetName val="Weld_Tool7"/>
      <sheetName val="BOM_Input7"/>
      <sheetName val="Parts_List7"/>
      <sheetName val="ALL_PARTS_PRICE_LIST7"/>
      <sheetName val="Ass'y-A_(Day)7"/>
      <sheetName val="Annual_Sales6"/>
      <sheetName val="BU_Summary_Data7"/>
      <sheetName val="Exploded_End_Items6"/>
      <sheetName val="차체_품안표6"/>
      <sheetName val="CUSTOMER_(DETAIL)6"/>
      <sheetName val="Parameters_SSR6"/>
      <sheetName val="minimum_lot_size7"/>
      <sheetName val="HL_extract6"/>
      <sheetName val="CHHS_AVSS66"/>
      <sheetName val="Data_Table6"/>
      <sheetName val="4__Project_Plan6"/>
      <sheetName val="Key_Function_in_Master_FMEA6"/>
      <sheetName val="Part_by_Part7"/>
      <sheetName val="5_UPS_Data7"/>
      <sheetName val="094W原紙_6"/>
      <sheetName val="Full_list_0204256"/>
      <sheetName val="FUNCTION_CHART6"/>
      <sheetName val="Volume_Hypothesis6"/>
      <sheetName val="Process_means7"/>
      <sheetName val="Fixture_List7"/>
      <sheetName val="Sheet6_(3)6"/>
      <sheetName val="Customer_Part_Approval7"/>
      <sheetName val="Development_Start7"/>
      <sheetName val="Final_Production_Release7"/>
      <sheetName val="A3C_Data6"/>
      <sheetName val="勤務ｼﾌﾄﾍﾞｰｽ表_下期6"/>
      <sheetName val="Barcode_D&amp;F6"/>
      <sheetName val="140N_Part_Local_(SE)6"/>
      <sheetName val="part_list_C56"/>
      <sheetName val="Income_Statem7"/>
      <sheetName val="Mechanical_Handle_Grained7"/>
      <sheetName val="信息费用预算表(A4)_6"/>
      <sheetName val="01_3_28現在6"/>
      <sheetName val="Incr_Inv_Tool6"/>
      <sheetName val="Budget_base6"/>
      <sheetName val="FACT_B7"/>
      <sheetName val="Notice_Link7"/>
      <sheetName val="ALPL_0305147"/>
      <sheetName val="Format_info6"/>
      <sheetName val="contents_(English)6"/>
      <sheetName val="設変通知書_(E)6"/>
      <sheetName val="Rev_#1_&amp;_#26"/>
      <sheetName val="?d?l??_(full-SUV)6"/>
      <sheetName val="RM_cost_Evapo_Standarti7"/>
      <sheetName val="RS_Sound_Add__Module7"/>
      <sheetName val="AM_6M_946"/>
      <sheetName val="ｺｽﾄ比較_(総括)6"/>
      <sheetName val="issue_destination6"/>
      <sheetName val="PSA_T76"/>
      <sheetName val="Cómputo_B6"/>
      <sheetName val="0_Cuota6"/>
      <sheetName val="TMMI_SEQUOIA_20116"/>
      <sheetName val="Issues_log6"/>
      <sheetName val="Données_transversales_pays6"/>
      <sheetName val="HS_HB_NE_dr_16"/>
      <sheetName val="尾门板总成_6"/>
      <sheetName val="PN_LIST_(2)4"/>
      <sheetName val="PN_LIST_P33B4"/>
      <sheetName val="Invoice_Aging4"/>
      <sheetName val="Open_AP4"/>
      <sheetName val="００･ＤＥ_Ｍ６２4"/>
      <sheetName val="FmｸﾞﾗﾌVer_04"/>
      <sheetName val="参考_人員調査表4"/>
      <sheetName val="Poland_HL4"/>
      <sheetName val="61B_(J)4"/>
      <sheetName val="X61B_(E)4"/>
      <sheetName val="Rubriques_MC4"/>
      <sheetName val="Hyp_DDRH4"/>
      <sheetName val="A-B(exp_)4"/>
      <sheetName val="_d_l___(full-SUV)4"/>
      <sheetName val="DEC_EO4"/>
      <sheetName val="Master Files"/>
      <sheetName val="Synthése vente"/>
      <sheetName val="ECO-5P100A"/>
      <sheetName val="CONS0002"/>
      <sheetName val="RMC Budget"/>
      <sheetName val="B053_(990701)공정실적PP%계산"/>
      <sheetName val="VTL_"/>
      <sheetName val="BOP_Timing_(2)"/>
      <sheetName val="BOP_Release_Sheet_"/>
      <sheetName val="TAG_MANAGEMENT"/>
      <sheetName val="BOP_Timing"/>
      <sheetName val="BOP_TRACKING_LIST"/>
      <sheetName val="Cover_page"/>
      <sheetName val="Dont_touch"/>
      <sheetName val="Front_Page"/>
      <sheetName val="Arrival_and_handling"/>
      <sheetName val="Final_Score"/>
      <sheetName val="Action_Plan_Recap_Form"/>
      <sheetName val="Changes_records"/>
      <sheetName val="june_add-del-_july_3_bkts4_6_01"/>
      <sheetName val="PRF_NEW"/>
      <sheetName val="MOTOc??ご??"/>
      <sheetName val="Change_log"/>
      <sheetName val="Footprint_"/>
      <sheetName val="DECOVENT_HIGHT_Exploded"/>
      <sheetName val="DECOVENT_LOW_Exploded_"/>
      <sheetName val="capa_processes"/>
      <sheetName val="Process_Flow"/>
      <sheetName val="Assy_WC"/>
      <sheetName val="MOD_aligment_Chakan"/>
      <sheetName val="User's_guidelines"/>
      <sheetName val="Distribution_list"/>
      <sheetName val="email_comments"/>
      <sheetName val="Launch_Scorecard"/>
      <sheetName val="Mandatories_graphs"/>
      <sheetName val="Additional_Graph"/>
      <sheetName val="VCM_Plan"/>
      <sheetName val="DATA_input_additional"/>
      <sheetName val="DATA_input_scrap_quality_LB"/>
      <sheetName val="DATA_input_T&amp;E_DL_Meist__Mockup"/>
      <sheetName val="DATA_input_Logistics"/>
      <sheetName val="General_rules"/>
      <sheetName val="Rules_per_KPI"/>
      <sheetName val="Mandatories_graphs_example"/>
      <sheetName val="P-Control Plan"/>
      <sheetName val="Legen_x0000_"/>
      <sheetName val="Èå)_x005f_x005f_x005f_x0000_"/>
      <sheetName val="MFG-tracker"/>
      <sheetName val="Assembly Fixture "/>
      <sheetName val="VEC01-SK216 RHD-Welding Too (3)"/>
      <sheetName val="Console Welding Fix"/>
      <sheetName val="IMM- TIMELINE"/>
      <sheetName val="VEC01-SK216 RHD-Welding Tool-1"/>
      <sheetName val="VEC01-SK216 RHD-Welding Too (2)"/>
      <sheetName val="IMF-SUPPLIER"/>
      <sheetName val="Paint shop timing-REV"/>
      <sheetName val="Paint shop timing (2)"/>
      <sheetName val="SK RHD HT ST (2)"/>
      <sheetName val="VWRHD SUV IMF timing"/>
      <sheetName val="Polymer Logisitic plan"/>
      <sheetName val="P-B Rel design walk"/>
      <sheetName val="SK_271 RHD_AR_head impact"/>
      <sheetName val="PRC-SK216- Overall timing"/>
      <sheetName val="PRC-SK216- tool timing"/>
      <sheetName val="PRC SK216 Summary"/>
      <sheetName val="WK 40 -48 Walk "/>
      <sheetName val="조견표"/>
      <sheetName val="INPC"/>
      <sheetName val="IOP"/>
      <sheetName val="[48810真.xls]__Fsnml2_bv1_2____2"/>
      <sheetName val="04.11.26-20000"/>
      <sheetName val="Général"/>
      <sheetName val="Info essai"/>
      <sheetName val="Code"/>
      <sheetName val="BUS제원1"/>
      <sheetName val="PP_Letter 389N"/>
      <sheetName val="sq01 download"/>
      <sheetName val="Annexure G"/>
      <sheetName val="MESLL"/>
      <sheetName val="SYSTEMS"/>
      <sheetName val="第２自動車部品部"/>
      <sheetName val="Sch1 - P&amp;L Summary"/>
      <sheetName val="Sch2 - BalSht Summary"/>
      <sheetName val="Sch3 - CFlow Summary"/>
      <sheetName val="METAL"/>
      <sheetName val="PP_Letter_389N"/>
      <sheetName val="構成情報シート"/>
      <sheetName val="Resin_Felt_Parts"/>
      <sheetName val="Flat_Part"/>
      <sheetName val="Headliner"/>
      <sheetName val="Consolidated"/>
      <sheetName val="Supp_List"/>
      <sheetName val="TGT"/>
      <sheetName val="NEW003"/>
      <sheetName val="設定項目"/>
      <sheetName val="P &amp; L"/>
      <sheetName val="全品番DETAILS-LOT"/>
      <sheetName val="DIST"/>
      <sheetName val="TBL"/>
      <sheetName val="Volume Matrix"/>
      <sheetName val="SENSITIVITY"/>
      <sheetName val="MAT-IN"/>
      <sheetName val="02"/>
      <sheetName val="03"/>
      <sheetName val="08"/>
      <sheetName val="13"/>
      <sheetName val="STAGEIMPROV"/>
      <sheetName val="PWR_AKD"/>
      <sheetName val="PIT1"/>
      <sheetName val="MS６ OUT"/>
      <sheetName val="PO_&amp;_SA_List3"/>
      <sheetName val="Start_Here3"/>
      <sheetName val="GRN_Report_0706-_03073"/>
      <sheetName val="tesa_micro_hite3"/>
      <sheetName val="TOTAL_LIST3"/>
      <sheetName val="Drop-Down_Lists1"/>
      <sheetName val="K-60 HEAD LAMP"/>
      <sheetName val="SPC_OC"/>
      <sheetName val="Supp.List"/>
      <sheetName val="msa2"/>
      <sheetName val="SPC-OC"/>
      <sheetName val="FOAMING"/>
      <sheetName val="Legen"/>
      <sheetName val="신규DEP"/>
      <sheetName val="al machined componen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/>
      <sheetData sheetId="289"/>
      <sheetData sheetId="290" refreshError="1"/>
      <sheetData sheetId="29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/>
      <sheetData sheetId="740"/>
      <sheetData sheetId="741"/>
      <sheetData sheetId="742"/>
      <sheetData sheetId="743"/>
      <sheetData sheetId="744"/>
      <sheetData sheetId="745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/>
      <sheetData sheetId="981"/>
      <sheetData sheetId="982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/>
      <sheetData sheetId="1269"/>
      <sheetData sheetId="1270"/>
      <sheetData sheetId="1271"/>
      <sheetData sheetId="1272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/>
      <sheetData sheetId="1327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/>
      <sheetData sheetId="1435" refreshError="1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 refreshError="1"/>
      <sheetData sheetId="1704"/>
      <sheetData sheetId="1705"/>
      <sheetData sheetId="1706"/>
      <sheetData sheetId="1707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/>
      <sheetData sheetId="1719"/>
      <sheetData sheetId="1720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/>
      <sheetData sheetId="1748"/>
      <sheetData sheetId="1749"/>
      <sheetData sheetId="1750"/>
      <sheetData sheetId="175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/>
      <sheetData sheetId="1821"/>
      <sheetData sheetId="1822"/>
      <sheetData sheetId="1823"/>
      <sheetData sheetId="1824" refreshError="1"/>
      <sheetData sheetId="1825" refreshError="1"/>
      <sheetData sheetId="1826" refreshError="1"/>
      <sheetData sheetId="1827" refreshError="1"/>
      <sheetData sheetId="1828"/>
      <sheetData sheetId="1829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 refreshError="1"/>
      <sheetData sheetId="1863"/>
      <sheetData sheetId="1864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/>
      <sheetData sheetId="2102" refreshError="1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/>
      <sheetData sheetId="2154" refreshError="1"/>
      <sheetData sheetId="2155" refreshError="1"/>
      <sheetData sheetId="2156"/>
      <sheetData sheetId="2157" refreshError="1"/>
      <sheetData sheetId="2158" refreshError="1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 refreshError="1"/>
      <sheetData sheetId="2171" refreshError="1"/>
      <sheetData sheetId="2172" refreshError="1"/>
      <sheetData sheetId="2173" refreshError="1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/>
      <sheetData sheetId="2524"/>
      <sheetData sheetId="2525"/>
      <sheetData sheetId="2526"/>
      <sheetData sheetId="2527"/>
      <sheetData sheetId="2528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/>
      <sheetData sheetId="2745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 refreshError="1"/>
      <sheetData sheetId="2784" refreshError="1"/>
      <sheetData sheetId="2785" refreshError="1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 refreshError="1"/>
      <sheetData sheetId="2821" refreshError="1"/>
      <sheetData sheetId="2822" refreshError="1"/>
      <sheetData sheetId="2823" refreshError="1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 refreshError="1"/>
      <sheetData sheetId="2876" refreshError="1"/>
      <sheetData sheetId="2877" refreshError="1"/>
      <sheetData sheetId="2878" refreshError="1"/>
      <sheetData sheetId="2879"/>
      <sheetData sheetId="2880" refreshError="1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 refreshError="1"/>
      <sheetData sheetId="3731" refreshError="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/>
      <sheetData sheetId="3880"/>
      <sheetData sheetId="3881"/>
      <sheetData sheetId="3882"/>
      <sheetData sheetId="3883" refreshError="1"/>
      <sheetData sheetId="3884"/>
      <sheetData sheetId="3885"/>
      <sheetData sheetId="3886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/>
      <sheetData sheetId="3893"/>
      <sheetData sheetId="3894"/>
      <sheetData sheetId="3895"/>
      <sheetData sheetId="3896"/>
      <sheetData sheetId="3897"/>
      <sheetData sheetId="3898" refreshError="1"/>
      <sheetData sheetId="3899" refreshError="1"/>
      <sheetData sheetId="3900" refreshError="1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 refreshError="1"/>
      <sheetData sheetId="3995" refreshError="1"/>
      <sheetData sheetId="3996" refreshError="1"/>
      <sheetData sheetId="3997" refreshError="1"/>
      <sheetData sheetId="3998" refreshError="1"/>
      <sheetData sheetId="3999" refreshError="1"/>
      <sheetData sheetId="4000" refreshError="1"/>
      <sheetData sheetId="4001" refreshError="1"/>
      <sheetData sheetId="4002" refreshError="1"/>
      <sheetData sheetId="4003" refreshError="1"/>
      <sheetData sheetId="4004" refreshError="1"/>
      <sheetData sheetId="4005" refreshError="1"/>
      <sheetData sheetId="4006" refreshError="1"/>
      <sheetData sheetId="4007" refreshError="1"/>
      <sheetData sheetId="4008" refreshError="1"/>
      <sheetData sheetId="4009" refreshError="1"/>
      <sheetData sheetId="4010" refreshError="1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 refreshError="1"/>
      <sheetData sheetId="4035" refreshError="1"/>
      <sheetData sheetId="4036"/>
      <sheetData sheetId="4037"/>
      <sheetData sheetId="4038" refreshError="1"/>
      <sheetData sheetId="4039" refreshError="1"/>
      <sheetData sheetId="4040" refreshError="1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 refreshError="1"/>
      <sheetData sheetId="4054" refreshError="1"/>
      <sheetData sheetId="4055" refreshError="1"/>
      <sheetData sheetId="4056" refreshError="1"/>
      <sheetData sheetId="4057" refreshError="1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 refreshError="1"/>
      <sheetData sheetId="4127" refreshError="1"/>
      <sheetData sheetId="4128" refreshError="1"/>
      <sheetData sheetId="4129" refreshError="1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 refreshError="1"/>
      <sheetData sheetId="4269" refreshError="1"/>
      <sheetData sheetId="4270" refreshError="1"/>
      <sheetData sheetId="4271" refreshError="1"/>
      <sheetData sheetId="4272" refreshError="1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 refreshError="1"/>
      <sheetData sheetId="4308" refreshError="1"/>
      <sheetData sheetId="4309" refreshError="1"/>
      <sheetData sheetId="4310" refreshError="1"/>
      <sheetData sheetId="4311" refreshError="1"/>
      <sheetData sheetId="4312" refreshError="1"/>
      <sheetData sheetId="4313" refreshError="1"/>
      <sheetData sheetId="4314" refreshError="1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 refreshError="1"/>
      <sheetData sheetId="4387" refreshError="1"/>
      <sheetData sheetId="4388" refreshError="1"/>
      <sheetData sheetId="4389" refreshError="1"/>
      <sheetData sheetId="4390" refreshError="1"/>
      <sheetData sheetId="4391" refreshError="1"/>
      <sheetData sheetId="4392" refreshError="1"/>
      <sheetData sheetId="4393" refreshError="1"/>
      <sheetData sheetId="4394" refreshError="1"/>
      <sheetData sheetId="4395" refreshError="1"/>
      <sheetData sheetId="4396" refreshError="1"/>
      <sheetData sheetId="4397" refreshError="1"/>
      <sheetData sheetId="4398" refreshError="1"/>
      <sheetData sheetId="4399" refreshError="1"/>
      <sheetData sheetId="4400" refreshError="1"/>
      <sheetData sheetId="4401" refreshError="1"/>
      <sheetData sheetId="4402" refreshError="1"/>
      <sheetData sheetId="4403" refreshError="1"/>
      <sheetData sheetId="4404" refreshError="1"/>
      <sheetData sheetId="4405" refreshError="1"/>
      <sheetData sheetId="4406" refreshError="1"/>
      <sheetData sheetId="4407" refreshError="1"/>
      <sheetData sheetId="4408" refreshError="1"/>
      <sheetData sheetId="4409" refreshError="1"/>
      <sheetData sheetId="4410" refreshError="1"/>
      <sheetData sheetId="4411" refreshError="1"/>
      <sheetData sheetId="4412" refreshError="1"/>
      <sheetData sheetId="4413" refreshError="1"/>
      <sheetData sheetId="4414" refreshError="1"/>
      <sheetData sheetId="4415" refreshError="1"/>
      <sheetData sheetId="4416" refreshError="1"/>
      <sheetData sheetId="4417" refreshError="1"/>
      <sheetData sheetId="4418" refreshError="1"/>
      <sheetData sheetId="4419" refreshError="1"/>
      <sheetData sheetId="4420" refreshError="1"/>
      <sheetData sheetId="4421" refreshError="1"/>
      <sheetData sheetId="4422" refreshError="1"/>
      <sheetData sheetId="4423" refreshError="1"/>
      <sheetData sheetId="4424" refreshError="1"/>
      <sheetData sheetId="4425" refreshError="1"/>
      <sheetData sheetId="4426" refreshError="1"/>
      <sheetData sheetId="4427" refreshError="1"/>
      <sheetData sheetId="4428" refreshError="1"/>
      <sheetData sheetId="4429" refreshError="1"/>
      <sheetData sheetId="4430" refreshError="1"/>
      <sheetData sheetId="4431" refreshError="1"/>
      <sheetData sheetId="4432" refreshError="1"/>
      <sheetData sheetId="4433" refreshError="1"/>
      <sheetData sheetId="4434" refreshError="1"/>
      <sheetData sheetId="4435" refreshError="1"/>
      <sheetData sheetId="4436" refreshError="1"/>
      <sheetData sheetId="4437" refreshError="1"/>
      <sheetData sheetId="4438" refreshError="1"/>
      <sheetData sheetId="4439" refreshError="1"/>
      <sheetData sheetId="4440" refreshError="1"/>
      <sheetData sheetId="4441" refreshError="1"/>
      <sheetData sheetId="4442" refreshError="1"/>
      <sheetData sheetId="4443" refreshError="1"/>
      <sheetData sheetId="4444" refreshError="1"/>
      <sheetData sheetId="4445" refreshError="1"/>
      <sheetData sheetId="4446" refreshError="1"/>
      <sheetData sheetId="4447" refreshError="1"/>
      <sheetData sheetId="4448" refreshError="1"/>
      <sheetData sheetId="4449" refreshError="1"/>
      <sheetData sheetId="4450" refreshError="1"/>
      <sheetData sheetId="4451" refreshError="1"/>
      <sheetData sheetId="4452" refreshError="1"/>
      <sheetData sheetId="4453" refreshError="1"/>
      <sheetData sheetId="4454" refreshError="1"/>
      <sheetData sheetId="4455" refreshError="1"/>
      <sheetData sheetId="4456" refreshError="1"/>
      <sheetData sheetId="4457" refreshError="1"/>
      <sheetData sheetId="4458" refreshError="1"/>
      <sheetData sheetId="4459" refreshError="1"/>
      <sheetData sheetId="4460" refreshError="1"/>
      <sheetData sheetId="4461" refreshError="1"/>
      <sheetData sheetId="4462" refreshError="1"/>
      <sheetData sheetId="4463" refreshError="1"/>
      <sheetData sheetId="4464" refreshError="1"/>
      <sheetData sheetId="4465" refreshError="1"/>
      <sheetData sheetId="4466" refreshError="1"/>
      <sheetData sheetId="4467" refreshError="1"/>
      <sheetData sheetId="4468" refreshError="1"/>
      <sheetData sheetId="4469" refreshError="1"/>
      <sheetData sheetId="4470" refreshError="1"/>
      <sheetData sheetId="4471" refreshError="1"/>
      <sheetData sheetId="4472" refreshError="1"/>
      <sheetData sheetId="4473" refreshError="1"/>
      <sheetData sheetId="4474" refreshError="1"/>
      <sheetData sheetId="4475" refreshError="1"/>
      <sheetData sheetId="4476" refreshError="1"/>
      <sheetData sheetId="4477" refreshError="1"/>
      <sheetData sheetId="4478" refreshError="1"/>
      <sheetData sheetId="4479" refreshError="1"/>
      <sheetData sheetId="4480" refreshError="1"/>
      <sheetData sheetId="4481" refreshError="1"/>
      <sheetData sheetId="4482" refreshError="1"/>
      <sheetData sheetId="4483" refreshError="1"/>
      <sheetData sheetId="4484" refreshError="1"/>
      <sheetData sheetId="4485" refreshError="1"/>
      <sheetData sheetId="4486" refreshError="1"/>
      <sheetData sheetId="4487" refreshError="1"/>
      <sheetData sheetId="4488" refreshError="1"/>
      <sheetData sheetId="4489" refreshError="1"/>
      <sheetData sheetId="4490" refreshError="1"/>
      <sheetData sheetId="4491" refreshError="1"/>
      <sheetData sheetId="4492" refreshError="1"/>
      <sheetData sheetId="4493" refreshError="1"/>
      <sheetData sheetId="4494" refreshError="1"/>
      <sheetData sheetId="4495" refreshError="1"/>
      <sheetData sheetId="4496" refreshError="1"/>
      <sheetData sheetId="4497" refreshError="1"/>
      <sheetData sheetId="4498" refreshError="1"/>
      <sheetData sheetId="4499" refreshError="1"/>
      <sheetData sheetId="4500" refreshError="1"/>
      <sheetData sheetId="4501" refreshError="1"/>
      <sheetData sheetId="4502" refreshError="1"/>
      <sheetData sheetId="4503" refreshError="1"/>
      <sheetData sheetId="4504" refreshError="1"/>
      <sheetData sheetId="4505" refreshError="1"/>
      <sheetData sheetId="4506" refreshError="1"/>
      <sheetData sheetId="4507" refreshError="1"/>
      <sheetData sheetId="4508" refreshError="1"/>
      <sheetData sheetId="4509" refreshError="1"/>
      <sheetData sheetId="4510" refreshError="1"/>
      <sheetData sheetId="4511" refreshError="1"/>
      <sheetData sheetId="4512" refreshError="1"/>
      <sheetData sheetId="4513" refreshError="1"/>
      <sheetData sheetId="4514" refreshError="1"/>
      <sheetData sheetId="4515" refreshError="1"/>
      <sheetData sheetId="4516" refreshError="1"/>
      <sheetData sheetId="4517" refreshError="1"/>
      <sheetData sheetId="4518" refreshError="1"/>
      <sheetData sheetId="4519" refreshError="1"/>
      <sheetData sheetId="4520" refreshError="1"/>
      <sheetData sheetId="4521" refreshError="1"/>
      <sheetData sheetId="4522" refreshError="1"/>
      <sheetData sheetId="4523" refreshError="1"/>
      <sheetData sheetId="4524" refreshError="1"/>
      <sheetData sheetId="4525" refreshError="1"/>
      <sheetData sheetId="4526" refreshError="1"/>
      <sheetData sheetId="4527" refreshError="1"/>
      <sheetData sheetId="4528" refreshError="1"/>
      <sheetData sheetId="4529" refreshError="1"/>
      <sheetData sheetId="4530" refreshError="1"/>
      <sheetData sheetId="4531" refreshError="1"/>
      <sheetData sheetId="4532" refreshError="1"/>
      <sheetData sheetId="4533" refreshError="1"/>
      <sheetData sheetId="4534" refreshError="1"/>
      <sheetData sheetId="4535" refreshError="1"/>
      <sheetData sheetId="4536" refreshError="1"/>
      <sheetData sheetId="4537" refreshError="1"/>
      <sheetData sheetId="4538" refreshError="1"/>
      <sheetData sheetId="4539" refreshError="1"/>
      <sheetData sheetId="4540" refreshError="1"/>
      <sheetData sheetId="4541" refreshError="1"/>
      <sheetData sheetId="4542" refreshError="1"/>
      <sheetData sheetId="4543" refreshError="1"/>
      <sheetData sheetId="4544" refreshError="1"/>
      <sheetData sheetId="4545" refreshError="1"/>
      <sheetData sheetId="4546" refreshError="1"/>
      <sheetData sheetId="4547" refreshError="1"/>
      <sheetData sheetId="4548" refreshError="1"/>
      <sheetData sheetId="4549" refreshError="1"/>
      <sheetData sheetId="4550" refreshError="1"/>
      <sheetData sheetId="4551" refreshError="1"/>
      <sheetData sheetId="4552" refreshError="1"/>
      <sheetData sheetId="4553" refreshError="1"/>
      <sheetData sheetId="4554" refreshError="1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 refreshError="1"/>
      <sheetData sheetId="4783" refreshError="1"/>
      <sheetData sheetId="4784" refreshError="1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 refreshError="1"/>
      <sheetData sheetId="4813" refreshError="1"/>
      <sheetData sheetId="4814" refreshError="1"/>
      <sheetData sheetId="4815" refreshError="1"/>
      <sheetData sheetId="4816" refreshError="1"/>
      <sheetData sheetId="4817" refreshError="1"/>
      <sheetData sheetId="4818" refreshError="1"/>
      <sheetData sheetId="4819" refreshError="1"/>
      <sheetData sheetId="4820" refreshError="1"/>
      <sheetData sheetId="4821" refreshError="1"/>
      <sheetData sheetId="4822" refreshError="1"/>
      <sheetData sheetId="4823" refreshError="1"/>
      <sheetData sheetId="4824" refreshError="1"/>
      <sheetData sheetId="4825" refreshError="1"/>
      <sheetData sheetId="4826" refreshError="1"/>
      <sheetData sheetId="4827" refreshError="1"/>
      <sheetData sheetId="4828" refreshError="1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 refreshError="1"/>
      <sheetData sheetId="4849" refreshError="1"/>
      <sheetData sheetId="4850" refreshError="1"/>
      <sheetData sheetId="4851" refreshError="1"/>
      <sheetData sheetId="4852" refreshError="1"/>
      <sheetData sheetId="4853" refreshError="1"/>
      <sheetData sheetId="4854" refreshError="1"/>
      <sheetData sheetId="4855" refreshError="1"/>
      <sheetData sheetId="4856" refreshError="1"/>
      <sheetData sheetId="4857" refreshError="1"/>
      <sheetData sheetId="4858" refreshError="1"/>
      <sheetData sheetId="4859" refreshError="1"/>
      <sheetData sheetId="4860" refreshError="1"/>
      <sheetData sheetId="4861" refreshError="1"/>
      <sheetData sheetId="4862" refreshError="1"/>
      <sheetData sheetId="4863" refreshError="1"/>
      <sheetData sheetId="4864" refreshError="1"/>
      <sheetData sheetId="4865" refreshError="1"/>
      <sheetData sheetId="4866" refreshError="1"/>
      <sheetData sheetId="4867"/>
      <sheetData sheetId="4868"/>
      <sheetData sheetId="4869"/>
      <sheetData sheetId="4870"/>
      <sheetData sheetId="4871"/>
      <sheetData sheetId="4872"/>
      <sheetData sheetId="4873"/>
      <sheetData sheetId="4874" refreshError="1"/>
      <sheetData sheetId="4875" refreshError="1"/>
      <sheetData sheetId="4876" refreshError="1"/>
      <sheetData sheetId="4877" refreshError="1"/>
      <sheetData sheetId="4878" refreshError="1"/>
      <sheetData sheetId="4879" refreshError="1"/>
      <sheetData sheetId="4880" refreshError="1"/>
      <sheetData sheetId="4881" refreshError="1"/>
      <sheetData sheetId="4882" refreshError="1"/>
      <sheetData sheetId="4883" refreshError="1"/>
      <sheetData sheetId="4884" refreshError="1"/>
      <sheetData sheetId="4885" refreshError="1"/>
      <sheetData sheetId="4886" refreshError="1"/>
      <sheetData sheetId="4887" refreshError="1"/>
      <sheetData sheetId="4888" refreshError="1"/>
      <sheetData sheetId="4889" refreshError="1"/>
      <sheetData sheetId="4890" refreshError="1"/>
      <sheetData sheetId="4891" refreshError="1"/>
      <sheetData sheetId="4892" refreshError="1"/>
      <sheetData sheetId="4893" refreshError="1"/>
      <sheetData sheetId="4894" refreshError="1"/>
      <sheetData sheetId="4895" refreshError="1"/>
      <sheetData sheetId="4896" refreshError="1"/>
      <sheetData sheetId="4897" refreshError="1"/>
      <sheetData sheetId="4898" refreshError="1"/>
      <sheetData sheetId="4899" refreshError="1"/>
      <sheetData sheetId="4900" refreshError="1"/>
      <sheetData sheetId="4901" refreshError="1"/>
      <sheetData sheetId="4902" refreshError="1"/>
      <sheetData sheetId="4903" refreshError="1"/>
      <sheetData sheetId="4904" refreshError="1"/>
      <sheetData sheetId="4905" refreshError="1"/>
      <sheetData sheetId="490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  <sheetName val="48810真"/>
      <sheetName val="事務所引越見積書"/>
    </sheetNames>
    <sheetDataSet>
      <sheetData sheetId="0"/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  <sheetName val="ﾊﾟｲﾌﾟ"/>
      <sheetName val="他材料費"/>
      <sheetName val="冷延鋼板"/>
      <sheetName val="熱延鋼板"/>
      <sheetName val="Material Input Status"/>
      <sheetName val="48810真"/>
      <sheetName val="①評価項目_メーカー"/>
      <sheetName val="SCH"/>
      <sheetName val="条件表"/>
      <sheetName val="Vehicle Parts List"/>
      <sheetName val="Labor"/>
      <sheetName val="Kalk_PKO"/>
      <sheetName val="事務所引越見積書"/>
      <sheetName val="#REF"/>
      <sheetName val="発注書"/>
      <sheetName val="res_mc"/>
      <sheetName val="●현황"/>
      <sheetName val="●목차"/>
      <sheetName val="BOM TOP"/>
      <sheetName val="Glcost"/>
      <sheetName val="MM利益・原価企画方針書ｶｸ１"/>
      <sheetName val="WG_00"/>
      <sheetName val="2000_ALL"/>
      <sheetName val="SUS_00"/>
      <sheetName val="품의서"/>
      <sheetName val="DECKBLATT"/>
      <sheetName val="N719(NC)"/>
      <sheetName val="Kalkulation"/>
      <sheetName val="HUNIT"/>
      <sheetName val="生涯利益計画ｼｰﾄ"/>
      <sheetName val="Header"/>
      <sheetName val="NPV1200"/>
      <sheetName val="input"/>
      <sheetName val="Kapitaleinsatz &amp; Umsatz"/>
      <sheetName val="Herstellkosten (Referenz)"/>
      <sheetName val="Working Capital"/>
      <sheetName val="添付１"/>
      <sheetName val="RIEPILOGO"/>
      <sheetName val="RFQI"/>
      <sheetName val="Sheet2"/>
      <sheetName val="Sheet1"/>
      <sheetName val="神奈川生産部"/>
      <sheetName val="99年度原単位"/>
      <sheetName val="１１月"/>
      <sheetName val="PO &amp; SA List"/>
      <sheetName val="094_APP別"/>
      <sheetName val="Start Here"/>
      <sheetName val="Seatbelt Guides"/>
      <sheetName val="Stowage Tray"/>
      <sheetName val="Constant"/>
      <sheetName val="WACC"/>
      <sheetName val="NCAB"/>
      <sheetName val="K440 can wake-up logic"/>
      <sheetName val="３発デ－タ"/>
      <sheetName val="full (2)"/>
      <sheetName val="TCA"/>
      <sheetName val="fkp"/>
      <sheetName val="材料使用量原紙"/>
      <sheetName val="Ideas Entered"/>
      <sheetName val="総合B"/>
      <sheetName val="Table"/>
      <sheetName val="MPL 技連"/>
      <sheetName val="342E BLOCK"/>
      <sheetName val="ES4"/>
      <sheetName val="saxo"/>
      <sheetName val="PRICE STRAT FOR 3F"/>
      <sheetName val="Config"/>
      <sheetName val="DATA_HEAD"/>
      <sheetName val="DATA_LIST"/>
      <sheetName val="DATA_HISTORY"/>
      <sheetName val="J or E"/>
      <sheetName val="MessageList"/>
      <sheetName val="BOM_TOP"/>
      <sheetName val="Material_Input_Status"/>
      <sheetName val="Vehicle_Parts_List"/>
      <sheetName val="TKBN_TKBNA"/>
      <sheetName val="推移データ"/>
      <sheetName val="工数集計"/>
      <sheetName val="表紙Ｐ２"/>
      <sheetName val="SUM14ZC1"/>
      <sheetName val="JOB_FO"/>
      <sheetName val="00-1"/>
      <sheetName val="HYO"/>
      <sheetName val="Titel"/>
      <sheetName val="Hyp"/>
      <sheetName val="A"/>
      <sheetName val="INFO"/>
      <sheetName val="PLM"/>
      <sheetName val="VAC BLK CALC "/>
      <sheetName val="e-BOM"/>
      <sheetName val="Blank AQR (old)"/>
      <sheetName val="CAP PLAN"/>
      <sheetName val="PKG &amp; FRT"/>
      <sheetName val="PROCESS INFO"/>
      <sheetName val="チーム案2英語"/>
      <sheetName val="Operating Plan Changes"/>
      <sheetName val="카메라"/>
      <sheetName val="ＴＡ２"/>
      <sheetName val="89"/>
      <sheetName val="ALPL"/>
      <sheetName val="square1"/>
      <sheetName val="Build Sheets"/>
      <sheetName val="d&amp;F"/>
      <sheetName val="ETRS"/>
      <sheetName val="Kapitaleinsatz_&amp;_Umsatz"/>
      <sheetName val="Herstellkosten_(Referenz)"/>
      <sheetName val="Working_Capital"/>
      <sheetName val="K440_can_wake-up_logic"/>
      <sheetName val="基本（編集禁止）"/>
      <sheetName val="ｺﾝﾄ構想再審査"/>
      <sheetName val="MATRIZ POR AREA"/>
      <sheetName val="段ﾎﾞｰﾙ箱図番･荷姿ｺｰﾄﾞ"/>
      <sheetName val="Sales"/>
      <sheetName val="組立費算出シート"/>
      <sheetName val="LCD(SEG)回路組立"/>
      <sheetName val="07実績"/>
      <sheetName val="挿入リスト"/>
      <sheetName val="DEPTEXP"/>
      <sheetName val="原単位表"/>
      <sheetName val="CASHFLOW"/>
      <sheetName val="３月ＫＤ"/>
      <sheetName val="算出一覧ＣⅡ"/>
      <sheetName val="ebom excel"/>
      <sheetName val="qad bom"/>
      <sheetName val="OM600"/>
      <sheetName val="Content"/>
      <sheetName val="Trim Dev Materials"/>
      <sheetName val="Labour"/>
      <sheetName val="Non Labour Forecast"/>
      <sheetName val="Costed Parts Matrix"/>
      <sheetName val="Engineering Assumptions"/>
      <sheetName val="Labour Forecast"/>
      <sheetName val="国产工装"/>
      <sheetName val="Default Rates"/>
      <sheetName val="Tables"/>
      <sheetName val="After Sales Supplier #'s"/>
      <sheetName val="FY99 Volume"/>
      <sheetName val="Tbom-tot"/>
      <sheetName val="Sep"/>
      <sheetName val="TT (13)"/>
      <sheetName val="AS-A"/>
      <sheetName val="T4-C_CAB"/>
      <sheetName val="New DYNA"/>
      <sheetName val="Forecast"/>
      <sheetName val="部品精度"/>
      <sheetName val="ｼｽﾃﾑ設定"/>
      <sheetName val="依頼書　Ｐ１"/>
      <sheetName val="Plan Sheet"/>
      <sheetName val="車体構成"/>
      <sheetName val="cover_org"/>
      <sheetName val="原価表"/>
      <sheetName val="基礎ﾃﾞｰﾀ"/>
      <sheetName val="ﾊﾞﾗﾝｽｼｰﾄ"/>
      <sheetName val="年度予算申請"/>
      <sheetName val="問題課題(pattern 3)"/>
      <sheetName val="VQS⑦-⑭"/>
      <sheetName val="VQS⑮"/>
      <sheetName val="APEAL詳細項目"/>
      <sheetName val="iqs_data"/>
      <sheetName val="iqs_index"/>
      <sheetName val="TOC"/>
      <sheetName val="01"/>
      <sheetName val="data"/>
      <sheetName val="新中部位"/>
      <sheetName val="Process Summary"/>
      <sheetName val="ECN-Mold Progress"/>
      <sheetName val="6호기"/>
      <sheetName val="PROFILE"/>
      <sheetName val="生産計画"/>
      <sheetName val="PRICE_STRAT_FOR_3F"/>
      <sheetName val="Seatbelt_Guides"/>
      <sheetName val="Stowage_Tray"/>
      <sheetName val="Ideas_Entered"/>
      <sheetName val="J_or_E"/>
      <sheetName val="Plan_Sheet"/>
      <sheetName val="tZR_39區分(案)0226"/>
      <sheetName val="Stamping Tool building Hrs"/>
      <sheetName val="Stamping Burden"/>
      <sheetName val="Parameters"/>
      <sheetName val="391.各"/>
      <sheetName val="E TOPICS"/>
      <sheetName val="集計結果"/>
      <sheetName val="一般"/>
      <sheetName val="管理"/>
      <sheetName val="管理職"/>
      <sheetName val="Table Master"/>
      <sheetName val="COST"/>
      <sheetName val="Report Key"/>
      <sheetName val="Europe PU-1"/>
      <sheetName val="Original ED&amp;D summary"/>
      <sheetName val="201consfdymar"/>
      <sheetName val="F4935610"/>
      <sheetName val="F1101613"/>
      <sheetName val="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  <sheetName val="ﾊﾟｲﾌﾟ"/>
      <sheetName val="他材料費"/>
      <sheetName val="冷延鋼板"/>
      <sheetName val="熱延鋼板"/>
      <sheetName val="Material Input Status"/>
      <sheetName val="48810真"/>
      <sheetName val="①評価項目_メーカー"/>
      <sheetName val="SCH"/>
      <sheetName val="条件表"/>
      <sheetName val="事務所引越見積書"/>
      <sheetName val="RAT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portation"/>
      <sheetName val="Database"/>
      <sheetName val="Sheet4"/>
    </sheetNames>
    <sheetDataSet>
      <sheetData sheetId="0"/>
      <sheetData sheetId="1">
        <row r="8">
          <cell r="F8" t="str">
            <v>Hosur</v>
          </cell>
        </row>
        <row r="9">
          <cell r="F9" t="str">
            <v>Bangalore</v>
          </cell>
        </row>
        <row r="10">
          <cell r="F10" t="str">
            <v>Coimbutore</v>
          </cell>
        </row>
        <row r="11">
          <cell r="F11" t="str">
            <v>Shimoga</v>
          </cell>
        </row>
        <row r="12">
          <cell r="F12" t="str">
            <v>Mangalore</v>
          </cell>
        </row>
        <row r="13">
          <cell r="F13" t="str">
            <v>Kolhapur</v>
          </cell>
        </row>
        <row r="14">
          <cell r="F14" t="str">
            <v>Pune</v>
          </cell>
        </row>
        <row r="15">
          <cell r="F15" t="str">
            <v>Delhi</v>
          </cell>
        </row>
        <row r="16">
          <cell r="E16" t="str">
            <v>Chennai</v>
          </cell>
          <cell r="F16" t="str">
            <v>Ludhiana</v>
          </cell>
        </row>
        <row r="17">
          <cell r="E17" t="str">
            <v>Hosur</v>
          </cell>
          <cell r="F17" t="str">
            <v>Chennai</v>
          </cell>
        </row>
      </sheetData>
      <sheetData sheetId="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  <sheetName val="事務所引越見積書"/>
    </sheetNames>
    <sheetDataSet>
      <sheetData sheetId="0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</sheetNames>
    <sheetDataSet>
      <sheetData sheetId="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TO"/>
      <sheetName val="ﾊﾟｲﾌﾟ"/>
      <sheetName val="他材料費"/>
      <sheetName val="冷延鋼板"/>
      <sheetName val="熱延鋼板"/>
      <sheetName val="Material Input Status"/>
      <sheetName val="48810真"/>
      <sheetName val="①評価項目_メーカー"/>
      <sheetName val="条件表"/>
      <sheetName val="SCH"/>
      <sheetName val="事務所引越見積書"/>
      <sheetName val="Drop-Down Lists"/>
      <sheetName val="SCHEDULES"/>
      <sheetName val="09 vol"/>
      <sheetName val="Definitions"/>
      <sheetName val="係数"/>
      <sheetName val="Summary"/>
      <sheetName val="data"/>
      <sheetName val="Sheet2"/>
      <sheetName val="Sheet1"/>
      <sheetName val="Photos "/>
      <sheetName val="SG生産"/>
      <sheetName val="MMT"/>
      <sheetName val="matrix"/>
      <sheetName val="Status"/>
      <sheetName val="P&amp;L-UK"/>
      <sheetName val="3_Premises"/>
      <sheetName val="Financial Statements"/>
      <sheetName val="MAINT,QP,COMM"/>
      <sheetName val="SUPPORTING"/>
      <sheetName val="Total Mkt"/>
      <sheetName val="Logistic_Sheet_Pune"/>
      <sheetName val="04"/>
      <sheetName val="Machine rat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rms - Format"/>
      <sheetName val="Import calculator"/>
      <sheetName val="Forex"/>
      <sheetName val="References"/>
    </sheetNames>
    <sheetDataSet>
      <sheetData sheetId="0"/>
      <sheetData sheetId="1">
        <row r="28">
          <cell r="H28">
            <v>910271.74598354299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ashokleyland.sharepoint.com/sites/PD-PMO%20&amp;%20Product%20Costing/Productcosting/Product%20Costing%20Share/Database/Norms/Process-%20Cycle%20Time%20Calculation.xlsx" TargetMode="External"/><Relationship Id="rId1" Type="http://schemas.openxmlformats.org/officeDocument/2006/relationships/hyperlink" Target="https://www.abrasiveengineering.com/speeds.ht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www.panstone.com/en/2-1117/manufacturer/Rubber-Compression-Molding-MachineColumn-Type-id62339.html" TargetMode="External"/><Relationship Id="rId4" Type="http://schemas.openxmlformats.org/officeDocument/2006/relationships/comments" Target="../comments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s://alleycho.com/clamping-force-calculation-for-injection-molding-machine/" TargetMode="External"/><Relationship Id="rId3" Type="http://schemas.openxmlformats.org/officeDocument/2006/relationships/hyperlink" Target="https://plasticranger.com/density-of-plastics/" TargetMode="External"/><Relationship Id="rId7" Type="http://schemas.openxmlformats.org/officeDocument/2006/relationships/hyperlink" Target="https://engineeringproductdesign.com/knowledge-base/most-common-injection-moulding-material/" TargetMode="External"/><Relationship Id="rId2" Type="http://schemas.openxmlformats.org/officeDocument/2006/relationships/hyperlink" Target="https://bitfab.io/blog/3d-printing-materials-densities/" TargetMode="External"/><Relationship Id="rId1" Type="http://schemas.openxmlformats.org/officeDocument/2006/relationships/hyperlink" Target="https://omnexus.specialchem.com/polymer-properties/properties/density" TargetMode="External"/><Relationship Id="rId6" Type="http://schemas.openxmlformats.org/officeDocument/2006/relationships/hyperlink" Target="https://www.protolabs.com/resources/guides-and-trend-reports/thermoplastic-material-selection-for-injection-molding/" TargetMode="External"/><Relationship Id="rId5" Type="http://schemas.openxmlformats.org/officeDocument/2006/relationships/hyperlink" Target="https://www.lyondellbasell.com/globalassets/documents/polymers-technical-literature/a-guide-to-polyolefin-injection-molding.pdf" TargetMode="External"/><Relationship Id="rId10" Type="http://schemas.openxmlformats.org/officeDocument/2006/relationships/drawing" Target="../drawings/drawing5.xml"/><Relationship Id="rId4" Type="http://schemas.openxmlformats.org/officeDocument/2006/relationships/hyperlink" Target="http://www.arvicorubber.com/epdm-rubber-properties/" TargetMode="External"/><Relationship Id="rId9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1:P36"/>
  <sheetViews>
    <sheetView showGridLines="0" zoomScaleNormal="100" workbookViewId="0">
      <selection activeCell="C5" sqref="C5"/>
    </sheetView>
  </sheetViews>
  <sheetFormatPr defaultColWidth="0" defaultRowHeight="0" customHeight="1" zeroHeight="1"/>
  <cols>
    <col min="1" max="1" width="4.7109375" customWidth="1"/>
    <col min="2" max="12" width="12.7109375" customWidth="1"/>
    <col min="13" max="13" width="14.42578125" customWidth="1"/>
    <col min="14" max="14" width="12.7109375" customWidth="1"/>
    <col min="15" max="15" width="5.42578125" customWidth="1"/>
    <col min="16" max="16" width="0" hidden="1" customWidth="1"/>
    <col min="17" max="16384" width="9.140625" hidden="1"/>
  </cols>
  <sheetData>
    <row r="1" spans="1:14" ht="15">
      <c r="A1" s="691">
        <v>1</v>
      </c>
      <c r="N1" s="12"/>
    </row>
    <row r="2" spans="1:14" ht="15" customHeight="1" thickBot="1">
      <c r="B2" s="754"/>
      <c r="C2" s="754"/>
      <c r="D2" s="754"/>
      <c r="E2" s="754"/>
      <c r="F2" s="754"/>
      <c r="G2" s="754"/>
      <c r="H2" s="754"/>
      <c r="I2" s="754"/>
      <c r="J2" s="754"/>
      <c r="K2" s="754"/>
      <c r="L2" s="754"/>
      <c r="M2" s="754"/>
      <c r="N2" s="754"/>
    </row>
    <row r="3" spans="1:14" ht="15">
      <c r="B3" s="761" t="s">
        <v>0</v>
      </c>
      <c r="C3" s="762"/>
      <c r="D3" s="762"/>
      <c r="E3" s="762"/>
      <c r="F3" s="763" t="s">
        <v>1</v>
      </c>
      <c r="G3" s="755" t="s">
        <v>1</v>
      </c>
      <c r="H3" s="755"/>
      <c r="I3" s="755"/>
      <c r="J3" s="755"/>
      <c r="K3" s="755" t="s">
        <v>2</v>
      </c>
      <c r="L3" s="755"/>
      <c r="M3" s="755"/>
      <c r="N3" s="756"/>
    </row>
    <row r="4" spans="1:14" ht="15">
      <c r="B4" s="226" t="s">
        <v>3</v>
      </c>
      <c r="C4" s="704" t="str">
        <f>BOM!D3</f>
        <v>MB512123</v>
      </c>
      <c r="D4" s="696"/>
      <c r="E4" s="696"/>
      <c r="F4" s="697"/>
      <c r="G4" s="757" t="s">
        <v>4</v>
      </c>
      <c r="H4" s="764"/>
      <c r="I4" s="700">
        <v>45108</v>
      </c>
      <c r="J4" s="701"/>
      <c r="K4" s="757" t="s">
        <v>5</v>
      </c>
      <c r="L4" s="758"/>
      <c r="M4" s="759">
        <v>45499</v>
      </c>
      <c r="N4" s="760"/>
    </row>
    <row r="5" spans="1:14" ht="15">
      <c r="B5" s="226" t="s">
        <v>6</v>
      </c>
      <c r="C5" s="704" t="str">
        <f>BOM!E3</f>
        <v>#2</v>
      </c>
      <c r="D5" s="696"/>
      <c r="E5" s="696"/>
      <c r="F5" s="697"/>
      <c r="G5" s="757" t="s">
        <v>7</v>
      </c>
      <c r="H5" s="764">
        <v>43466</v>
      </c>
      <c r="I5" s="700">
        <v>45108</v>
      </c>
      <c r="J5" s="701"/>
      <c r="K5" s="757" t="s">
        <v>8</v>
      </c>
      <c r="L5" s="758"/>
      <c r="M5" s="766" t="s">
        <v>1226</v>
      </c>
      <c r="N5" s="767"/>
    </row>
    <row r="6" spans="1:14" ht="15.75" customHeight="1">
      <c r="B6" s="227" t="s">
        <v>9</v>
      </c>
      <c r="C6" s="705" t="str">
        <f>BOM!F3</f>
        <v>SA DASH BOARD TRIMS SA IP CARRIER WITH REINFORCEMENT</v>
      </c>
      <c r="D6" s="698"/>
      <c r="E6" s="698"/>
      <c r="F6" s="699"/>
      <c r="G6" s="768" t="s">
        <v>10</v>
      </c>
      <c r="H6" s="772">
        <v>44743</v>
      </c>
      <c r="I6" s="702">
        <v>44743</v>
      </c>
      <c r="J6" s="703"/>
      <c r="K6" s="768" t="s">
        <v>11</v>
      </c>
      <c r="L6" s="769"/>
      <c r="M6" s="770" t="s">
        <v>12</v>
      </c>
      <c r="N6" s="771"/>
    </row>
    <row r="7" spans="1:14" ht="15">
      <c r="B7" s="765"/>
      <c r="C7" s="765"/>
      <c r="D7" s="765"/>
      <c r="E7" s="765"/>
      <c r="F7" s="765"/>
      <c r="G7" s="765"/>
      <c r="H7" s="765"/>
      <c r="I7" s="765"/>
      <c r="J7" s="765"/>
      <c r="K7" s="765"/>
      <c r="L7" s="765"/>
      <c r="M7" s="765"/>
      <c r="N7" s="765"/>
    </row>
    <row r="8" spans="1:14" ht="30">
      <c r="B8" s="228" t="s">
        <v>13</v>
      </c>
      <c r="C8" s="229" t="s">
        <v>14</v>
      </c>
      <c r="D8" s="229" t="s">
        <v>15</v>
      </c>
      <c r="E8" s="229" t="s">
        <v>16</v>
      </c>
      <c r="F8" s="229" t="s">
        <v>17</v>
      </c>
      <c r="G8" s="229" t="s">
        <v>18</v>
      </c>
      <c r="H8" s="229" t="s">
        <v>19</v>
      </c>
      <c r="I8" s="229" t="s">
        <v>20</v>
      </c>
      <c r="J8" s="229" t="s">
        <v>21</v>
      </c>
      <c r="K8" s="229" t="s">
        <v>22</v>
      </c>
      <c r="L8" s="229" t="s">
        <v>23</v>
      </c>
      <c r="M8" s="777" t="s">
        <v>24</v>
      </c>
      <c r="N8" s="778"/>
    </row>
    <row r="9" spans="1:14" ht="15">
      <c r="B9" s="226" t="s">
        <v>25</v>
      </c>
      <c r="C9" s="224"/>
      <c r="D9" s="224"/>
      <c r="E9" s="224"/>
      <c r="F9" s="224"/>
      <c r="G9" s="224"/>
      <c r="H9" s="224"/>
      <c r="I9" s="224"/>
      <c r="J9" s="224"/>
      <c r="K9" s="224"/>
      <c r="L9" s="224"/>
      <c r="M9" s="773"/>
      <c r="N9" s="774"/>
    </row>
    <row r="10" spans="1:14" ht="15.75" thickBot="1">
      <c r="B10" s="227" t="s">
        <v>26</v>
      </c>
      <c r="C10" s="225" t="e">
        <f t="shared" ref="C10:L10" si="0">C9/$M$9</f>
        <v>#DIV/0!</v>
      </c>
      <c r="D10" s="225" t="e">
        <f t="shared" si="0"/>
        <v>#DIV/0!</v>
      </c>
      <c r="E10" s="225" t="e">
        <f t="shared" si="0"/>
        <v>#DIV/0!</v>
      </c>
      <c r="F10" s="225" t="e">
        <f t="shared" si="0"/>
        <v>#DIV/0!</v>
      </c>
      <c r="G10" s="225" t="e">
        <f t="shared" si="0"/>
        <v>#DIV/0!</v>
      </c>
      <c r="H10" s="225" t="e">
        <f t="shared" si="0"/>
        <v>#DIV/0!</v>
      </c>
      <c r="I10" s="225" t="e">
        <f t="shared" si="0"/>
        <v>#DIV/0!</v>
      </c>
      <c r="J10" s="225" t="e">
        <f t="shared" si="0"/>
        <v>#DIV/0!</v>
      </c>
      <c r="K10" s="225" t="e">
        <f t="shared" si="0"/>
        <v>#DIV/0!</v>
      </c>
      <c r="L10" s="225" t="e">
        <f t="shared" si="0"/>
        <v>#DIV/0!</v>
      </c>
      <c r="M10" s="775"/>
      <c r="N10" s="776"/>
    </row>
    <row r="11" spans="1:14" ht="15">
      <c r="B11" s="765"/>
      <c r="C11" s="765"/>
      <c r="D11" s="765"/>
      <c r="E11" s="765"/>
      <c r="F11" s="765"/>
      <c r="G11" s="765"/>
      <c r="H11" s="765"/>
      <c r="I11" s="765"/>
      <c r="J11" s="765"/>
      <c r="K11" s="765"/>
      <c r="L11" s="765"/>
      <c r="M11" s="765"/>
      <c r="N11" s="765"/>
    </row>
    <row r="12" spans="1:14" s="261" customFormat="1" ht="15"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</row>
    <row r="13" spans="1:14" s="261" customFormat="1" ht="15">
      <c r="B13" s="176"/>
      <c r="C13" s="176" t="s">
        <v>14</v>
      </c>
      <c r="D13" s="176" t="s">
        <v>15</v>
      </c>
      <c r="E13" s="176" t="s">
        <v>16</v>
      </c>
      <c r="F13" s="176" t="s">
        <v>17</v>
      </c>
      <c r="G13" s="176" t="s">
        <v>18</v>
      </c>
      <c r="H13" s="176" t="s">
        <v>19</v>
      </c>
      <c r="I13" s="176" t="s">
        <v>20</v>
      </c>
      <c r="J13" s="176" t="s">
        <v>21</v>
      </c>
      <c r="K13" s="176" t="s">
        <v>22</v>
      </c>
      <c r="L13" s="176" t="s">
        <v>23</v>
      </c>
      <c r="M13" s="176" t="s">
        <v>24</v>
      </c>
      <c r="N13" s="176"/>
    </row>
    <row r="14" spans="1:14" s="261" customFormat="1" ht="15">
      <c r="C14" s="261">
        <f>C9</f>
        <v>0</v>
      </c>
      <c r="D14" s="261">
        <f>C14</f>
        <v>0</v>
      </c>
      <c r="E14" s="261">
        <f>D14+D15</f>
        <v>0</v>
      </c>
      <c r="F14" s="261">
        <f>F9</f>
        <v>0</v>
      </c>
      <c r="G14" s="261">
        <f>F14</f>
        <v>0</v>
      </c>
      <c r="H14" s="261">
        <f>G14+G15</f>
        <v>0</v>
      </c>
      <c r="I14" s="261">
        <f>H14+H15</f>
        <v>0</v>
      </c>
      <c r="J14" s="261">
        <f>J9</f>
        <v>0</v>
      </c>
      <c r="K14" s="261">
        <f>J14</f>
        <v>0</v>
      </c>
      <c r="L14" s="261">
        <f>K14+K15</f>
        <v>0</v>
      </c>
      <c r="M14" s="261">
        <f>M9</f>
        <v>0</v>
      </c>
    </row>
    <row r="15" spans="1:14" s="261" customFormat="1" ht="15">
      <c r="C15" s="261">
        <v>0</v>
      </c>
      <c r="D15" s="261">
        <f>D9</f>
        <v>0</v>
      </c>
      <c r="E15" s="261">
        <f>E9</f>
        <v>0</v>
      </c>
      <c r="G15" s="261">
        <f>G9</f>
        <v>0</v>
      </c>
      <c r="H15" s="261">
        <f>H9</f>
        <v>0</v>
      </c>
      <c r="I15" s="261">
        <f>I9</f>
        <v>0</v>
      </c>
      <c r="K15" s="261">
        <f>K9</f>
        <v>0</v>
      </c>
      <c r="L15" s="261">
        <f>L9</f>
        <v>0</v>
      </c>
    </row>
    <row r="16" spans="1:14" s="261" customFormat="1" ht="15"/>
    <row r="17" s="261" customFormat="1" ht="15"/>
    <row r="18" s="261" customFormat="1" ht="15"/>
    <row r="19" s="261" customFormat="1" ht="15"/>
    <row r="20" s="261" customFormat="1" ht="15"/>
    <row r="21" s="261" customFormat="1" ht="15"/>
    <row r="22" s="261" customFormat="1" ht="15"/>
    <row r="23" ht="15"/>
    <row r="24" ht="15"/>
    <row r="25" ht="15"/>
    <row r="26" ht="15"/>
    <row r="27" ht="15"/>
    <row r="28" ht="15"/>
    <row r="29" ht="15"/>
    <row r="30" ht="15"/>
    <row r="31" ht="15"/>
    <row r="32" ht="15"/>
    <row r="33" ht="54.75" customHeight="1"/>
    <row r="34" ht="15" hidden="1"/>
    <row r="35" ht="15" hidden="1"/>
    <row r="36" ht="15" hidden="1"/>
  </sheetData>
  <sheetProtection algorithmName="SHA-512" hashValue="jaDwXfKFb+b2uDmoJVxReq+9ztUMPA4Kcl6Gn1NBsl69P1FQSoag/o0UvUoFASv4tDxvKWWWJ17wp+ZB9s4DZg==" saltValue="NiJpDQ2Stij7Czj2QWgKoA==" spinCount="100000" sheet="1" objects="1" scenarios="1"/>
  <mergeCells count="18">
    <mergeCell ref="B7:N7"/>
    <mergeCell ref="B11:N11"/>
    <mergeCell ref="K5:L5"/>
    <mergeCell ref="M5:N5"/>
    <mergeCell ref="K6:L6"/>
    <mergeCell ref="M6:N6"/>
    <mergeCell ref="G5:H5"/>
    <mergeCell ref="G6:H6"/>
    <mergeCell ref="M9:N9"/>
    <mergeCell ref="M10:N10"/>
    <mergeCell ref="M8:N8"/>
    <mergeCell ref="B2:N2"/>
    <mergeCell ref="K3:N3"/>
    <mergeCell ref="K4:L4"/>
    <mergeCell ref="M4:N4"/>
    <mergeCell ref="B3:F3"/>
    <mergeCell ref="G3:J3"/>
    <mergeCell ref="G4:H4"/>
  </mergeCells>
  <pageMargins left="0.7" right="0.7" top="0.75" bottom="0.75" header="0.3" footer="0.3"/>
  <pageSetup paperSize="9" scale="7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4" r:id="rId4" name="Button 4">
              <controlPr defaultSize="0" print="0" autoFill="0" autoPict="0" macro="[0]!GetCost">
                <anchor moveWithCells="1" sizeWithCells="1">
                  <from>
                    <xdr:col>12</xdr:col>
                    <xdr:colOff>895350</xdr:colOff>
                    <xdr:row>32</xdr:row>
                    <xdr:rowOff>152400</xdr:rowOff>
                  </from>
                  <to>
                    <xdr:col>14</xdr:col>
                    <xdr:colOff>38100</xdr:colOff>
                    <xdr:row>32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Button 3">
              <controlPr defaultSize="0" print="0" autoFill="0" autoPict="0" macro="[0]!CreatePDF">
                <anchor moveWithCells="1" sizeWithCells="1">
                  <from>
                    <xdr:col>0</xdr:col>
                    <xdr:colOff>276225</xdr:colOff>
                    <xdr:row>32</xdr:row>
                    <xdr:rowOff>142875</xdr:rowOff>
                  </from>
                  <to>
                    <xdr:col>2</xdr:col>
                    <xdr:colOff>76200</xdr:colOff>
                    <xdr:row>32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B73"/>
  <sheetViews>
    <sheetView zoomScale="115" zoomScaleNormal="115" workbookViewId="0">
      <selection activeCell="G17" sqref="G17"/>
    </sheetView>
  </sheetViews>
  <sheetFormatPr defaultColWidth="0" defaultRowHeight="15"/>
  <cols>
    <col min="1" max="1" width="12.42578125" style="66" bestFit="1" customWidth="1"/>
    <col min="2" max="2" width="9.140625" hidden="1" customWidth="1"/>
    <col min="3" max="3" width="10.28515625" bestFit="1" customWidth="1"/>
    <col min="4" max="4" width="12.7109375" bestFit="1" customWidth="1"/>
    <col min="5" max="5" width="8.85546875" bestFit="1" customWidth="1"/>
    <col min="6" max="6" width="42.140625" bestFit="1" customWidth="1"/>
    <col min="7" max="7" width="8.7109375" bestFit="1" customWidth="1"/>
    <col min="8" max="8" width="22.85546875" bestFit="1" customWidth="1"/>
    <col min="9" max="9" width="10.85546875" bestFit="1" customWidth="1"/>
    <col min="10" max="10" width="12.5703125" bestFit="1" customWidth="1"/>
    <col min="11" max="11" width="11.140625" style="170" customWidth="1"/>
    <col min="12" max="12" width="12.28515625" style="170" bestFit="1" customWidth="1"/>
    <col min="13" max="13" width="12.28515625" style="170" customWidth="1"/>
    <col min="14" max="14" width="13.5703125" style="170" customWidth="1"/>
    <col min="15" max="15" width="10.5703125" style="170" bestFit="1" customWidth="1"/>
    <col min="16" max="16" width="9.140625" style="170" bestFit="1" customWidth="1"/>
    <col min="17" max="17" width="9.140625" bestFit="1" customWidth="1"/>
    <col min="18" max="18" width="10.140625" style="170" hidden="1" customWidth="1"/>
    <col min="19" max="19" width="13.140625" style="170" bestFit="1" customWidth="1"/>
    <col min="20" max="20" width="14.42578125" style="170" bestFit="1" customWidth="1"/>
    <col min="21" max="21" width="16.85546875" style="170" bestFit="1" customWidth="1"/>
    <col min="22" max="22" width="12.42578125" style="170" customWidth="1"/>
    <col min="23" max="23" width="7" style="170" customWidth="1"/>
    <col min="24" max="26" width="7" style="170" hidden="1" customWidth="1"/>
    <col min="27" max="27" width="8" style="170" hidden="1" customWidth="1"/>
    <col min="28" max="30" width="6.7109375" style="170" hidden="1" customWidth="1"/>
    <col min="31" max="34" width="6.85546875" style="170" hidden="1" customWidth="1"/>
    <col min="35" max="35" width="7.7109375" style="170" hidden="1" customWidth="1"/>
    <col min="36" max="36" width="7.5703125" style="170" hidden="1" customWidth="1"/>
    <col min="37" max="37" width="6.85546875" style="170" hidden="1" customWidth="1"/>
    <col min="38" max="38" width="5.42578125" style="170" hidden="1" customWidth="1"/>
    <col min="39" max="39" width="5.7109375" style="170" hidden="1" customWidth="1"/>
    <col min="40" max="40" width="6.85546875" style="170" hidden="1" customWidth="1"/>
    <col min="41" max="41" width="7.7109375" style="170" hidden="1" customWidth="1"/>
    <col min="42" max="42" width="7.5703125" style="170" hidden="1" customWidth="1"/>
    <col min="43" max="45" width="6.7109375" style="170" hidden="1" customWidth="1"/>
    <col min="46" max="46" width="6.85546875" style="170" hidden="1" customWidth="1"/>
    <col min="47" max="48" width="6" style="170" hidden="1" customWidth="1"/>
    <col min="49" max="49" width="10.7109375" style="170" hidden="1" customWidth="1"/>
    <col min="50" max="51" width="4.7109375" style="170" hidden="1" customWidth="1"/>
    <col min="52" max="54" width="5.85546875" hidden="1"/>
  </cols>
  <sheetData>
    <row r="1" spans="1:54" s="66" customFormat="1" ht="54" customHeight="1">
      <c r="A1" s="691">
        <v>1</v>
      </c>
      <c r="B1" s="67"/>
      <c r="C1" s="67"/>
      <c r="D1" s="67"/>
      <c r="E1" s="67"/>
      <c r="F1" s="67"/>
      <c r="G1" s="67"/>
      <c r="H1" s="67"/>
      <c r="I1" s="67"/>
      <c r="J1" s="67"/>
      <c r="K1" s="352">
        <f>SUMPRODUCT(K3:K9999,$G3:$G9999)</f>
        <v>610.69443999999999</v>
      </c>
      <c r="L1" s="352">
        <f>SUMPRODUCT(L3:L9999,$G3:$G9999)</f>
        <v>166.47626</v>
      </c>
      <c r="M1" s="352">
        <f>SUMPRODUCT(M3:M9999,$G3:$G9999)</f>
        <v>0</v>
      </c>
      <c r="N1" s="352">
        <f>SUMPRODUCT(N3:N9999,$G3:$G9999)</f>
        <v>53.753280000000004</v>
      </c>
      <c r="O1" s="352">
        <f>SUMPRODUCT(O3:O9999,$G3:$G9999)</f>
        <v>66.822810000000004</v>
      </c>
      <c r="P1" s="639">
        <f>SUM(P3:P9999)</f>
        <v>862.30929000000003</v>
      </c>
      <c r="Q1" s="640">
        <f>SUM(Q3:Q9999)</f>
        <v>897.74679000000003</v>
      </c>
      <c r="T1" s="646" t="s">
        <v>27</v>
      </c>
      <c r="U1" s="731">
        <f>SUM(U3:U999999)</f>
        <v>4.1270000000000007</v>
      </c>
      <c r="V1" s="79"/>
      <c r="W1" s="79"/>
      <c r="X1" s="79"/>
      <c r="Y1" s="79"/>
      <c r="Z1" s="79"/>
      <c r="AA1" s="352">
        <f t="shared" ref="AA1:AW1" si="0">SUMPRODUCT(AA3:AA52,$G3:$G52)</f>
        <v>166.47626</v>
      </c>
      <c r="AB1" s="352">
        <f t="shared" si="0"/>
        <v>12.896879999999999</v>
      </c>
      <c r="AC1" s="352">
        <f t="shared" si="0"/>
        <v>0</v>
      </c>
      <c r="AD1" s="352">
        <f t="shared" si="0"/>
        <v>0.5625</v>
      </c>
      <c r="AE1" s="352">
        <f t="shared" si="0"/>
        <v>17.195830000000001</v>
      </c>
      <c r="AF1" s="352">
        <f t="shared" si="0"/>
        <v>4.4125899999999998</v>
      </c>
      <c r="AG1" s="352">
        <f t="shared" si="0"/>
        <v>0.1875</v>
      </c>
      <c r="AH1" s="352">
        <f t="shared" si="0"/>
        <v>0</v>
      </c>
      <c r="AI1" s="352">
        <f t="shared" si="0"/>
        <v>0</v>
      </c>
      <c r="AJ1" s="352">
        <f t="shared" si="0"/>
        <v>0</v>
      </c>
      <c r="AK1" s="352">
        <f t="shared" si="0"/>
        <v>0</v>
      </c>
      <c r="AL1" s="352">
        <f t="shared" si="0"/>
        <v>5.39039</v>
      </c>
      <c r="AM1" s="352">
        <f t="shared" si="0"/>
        <v>0</v>
      </c>
      <c r="AN1" s="352">
        <f t="shared" si="0"/>
        <v>0</v>
      </c>
      <c r="AO1" s="352">
        <f t="shared" si="0"/>
        <v>0</v>
      </c>
      <c r="AP1" s="352">
        <f t="shared" si="0"/>
        <v>0</v>
      </c>
      <c r="AQ1" s="352">
        <f t="shared" si="0"/>
        <v>0</v>
      </c>
      <c r="AR1" s="352">
        <f t="shared" si="0"/>
        <v>13.10759</v>
      </c>
      <c r="AS1" s="352">
        <f t="shared" si="0"/>
        <v>0</v>
      </c>
      <c r="AT1" s="352">
        <f t="shared" si="0"/>
        <v>51.587499999999999</v>
      </c>
      <c r="AU1" s="352">
        <f t="shared" si="0"/>
        <v>14.110309999999998</v>
      </c>
      <c r="AV1" s="352">
        <f t="shared" si="0"/>
        <v>1.125</v>
      </c>
      <c r="AW1" s="352">
        <f t="shared" si="0"/>
        <v>0</v>
      </c>
      <c r="AX1" s="353">
        <f>SUM(AX3:AX52)</f>
        <v>862.30929000000003</v>
      </c>
      <c r="AY1" s="354">
        <f>SUM(AY3:AY52)</f>
        <v>897.74679000000003</v>
      </c>
    </row>
    <row r="2" spans="1:54" s="70" customFormat="1" ht="57" customHeight="1">
      <c r="A2" s="192" t="s">
        <v>28</v>
      </c>
      <c r="B2" s="192" t="s">
        <v>29</v>
      </c>
      <c r="C2" s="192" t="s">
        <v>30</v>
      </c>
      <c r="D2" s="192" t="s">
        <v>31</v>
      </c>
      <c r="E2" s="192" t="s">
        <v>32</v>
      </c>
      <c r="F2" s="192" t="s">
        <v>33</v>
      </c>
      <c r="G2" s="192" t="s">
        <v>34</v>
      </c>
      <c r="H2" s="192" t="s">
        <v>35</v>
      </c>
      <c r="I2" s="192" t="s">
        <v>36</v>
      </c>
      <c r="J2" s="192" t="s">
        <v>37</v>
      </c>
      <c r="K2" s="192" t="s">
        <v>38</v>
      </c>
      <c r="L2" s="192" t="s">
        <v>39</v>
      </c>
      <c r="M2" s="192" t="s">
        <v>40</v>
      </c>
      <c r="N2" s="192" t="s">
        <v>41</v>
      </c>
      <c r="O2" s="192" t="s">
        <v>20</v>
      </c>
      <c r="P2" s="192" t="s">
        <v>42</v>
      </c>
      <c r="Q2" s="192" t="s">
        <v>43</v>
      </c>
      <c r="R2" s="192" t="s">
        <v>44</v>
      </c>
      <c r="S2" s="192" t="s">
        <v>45</v>
      </c>
      <c r="T2" s="192" t="s">
        <v>46</v>
      </c>
      <c r="U2" s="192" t="s">
        <v>27</v>
      </c>
      <c r="V2" s="192" t="s">
        <v>47</v>
      </c>
      <c r="AA2" s="192" t="s">
        <v>48</v>
      </c>
      <c r="AB2" s="192" t="s">
        <v>49</v>
      </c>
      <c r="AC2" s="192" t="s">
        <v>50</v>
      </c>
      <c r="AD2" s="192" t="s">
        <v>51</v>
      </c>
      <c r="AE2" s="192" t="s">
        <v>52</v>
      </c>
      <c r="AF2" s="192" t="s">
        <v>53</v>
      </c>
      <c r="AG2" s="192" t="s">
        <v>54</v>
      </c>
      <c r="AH2" s="192" t="s">
        <v>55</v>
      </c>
      <c r="AI2" s="192" t="s">
        <v>56</v>
      </c>
      <c r="AJ2" s="192" t="s">
        <v>57</v>
      </c>
      <c r="AK2" s="192" t="s">
        <v>58</v>
      </c>
      <c r="AL2" s="192" t="s">
        <v>59</v>
      </c>
      <c r="AM2" s="192" t="s">
        <v>60</v>
      </c>
      <c r="AN2" s="192" t="s">
        <v>61</v>
      </c>
      <c r="AO2" s="192" t="s">
        <v>62</v>
      </c>
      <c r="AP2" s="192" t="s">
        <v>63</v>
      </c>
      <c r="AQ2" s="192" t="s">
        <v>64</v>
      </c>
      <c r="AR2" s="192" t="s">
        <v>65</v>
      </c>
      <c r="AS2" s="192" t="s">
        <v>66</v>
      </c>
      <c r="AT2" s="192" t="s">
        <v>67</v>
      </c>
      <c r="AU2" s="192" t="s">
        <v>68</v>
      </c>
      <c r="AV2" s="192" t="s">
        <v>69</v>
      </c>
      <c r="AW2" s="192" t="s">
        <v>40</v>
      </c>
      <c r="AX2" s="192" t="s">
        <v>42</v>
      </c>
      <c r="AY2" s="192" t="s">
        <v>43</v>
      </c>
    </row>
    <row r="3" spans="1:54">
      <c r="A3" s="89">
        <v>1</v>
      </c>
      <c r="B3" s="154" t="str">
        <f>D3</f>
        <v>MB512123</v>
      </c>
      <c r="C3" s="89">
        <v>1</v>
      </c>
      <c r="D3" s="89" t="s">
        <v>70</v>
      </c>
      <c r="E3" s="89" t="s">
        <v>1228</v>
      </c>
      <c r="F3" s="735" t="s">
        <v>71</v>
      </c>
      <c r="G3" s="89">
        <v>1</v>
      </c>
      <c r="H3" s="89" t="s">
        <v>72</v>
      </c>
      <c r="I3" s="89" t="s">
        <v>73</v>
      </c>
      <c r="J3" s="89" t="s">
        <v>74</v>
      </c>
      <c r="K3" s="351">
        <f>_xlfn.IFNA(Backend!AN8,"")</f>
        <v>0</v>
      </c>
      <c r="L3" s="351">
        <f>IFERROR(AA3,"")</f>
        <v>29.085000000000001</v>
      </c>
      <c r="M3" s="351">
        <f>IFERROR(AW3,"")</f>
        <v>0</v>
      </c>
      <c r="N3" s="351">
        <f t="shared" ref="N3" si="1">IF(SUM(AB3:AS3)=0,"",SUM(AB3:AS3))</f>
        <v>4.3627500000000001</v>
      </c>
      <c r="O3" s="351">
        <f t="shared" ref="O3" si="2">IF(SUM(AT3:AV3)=0,"",SUM(AT3:AV3))</f>
        <v>1.7451000000000001</v>
      </c>
      <c r="P3" s="355">
        <f t="shared" ref="P3" si="3">IF(K3="","",SUM(K3:O3))</f>
        <v>35.19285</v>
      </c>
      <c r="Q3" s="357">
        <f t="shared" ref="Q3" si="4">IF(P3="","",P3*G3)</f>
        <v>35.19285</v>
      </c>
      <c r="R3" s="323"/>
      <c r="S3" s="323"/>
      <c r="T3" s="351" t="str">
        <f>_xlfn.IFNA(IF(VLOOKUP(D3,Group!C:I,7,0)=0,"",VLOOKUP(D3,Group!C:I,7,0)),"")</f>
        <v/>
      </c>
      <c r="U3" s="351" t="str">
        <f t="shared" ref="U3" si="5">IFERROR(T3*G3,"")</f>
        <v/>
      </c>
      <c r="V3" s="351" t="str">
        <f t="shared" ref="V3" si="6">IFERROR(AY3/U3,"")</f>
        <v/>
      </c>
      <c r="AA3" s="351">
        <f>_xlfn.IFNA(Backend!AO8,"")</f>
        <v>29.085000000000001</v>
      </c>
      <c r="AB3" s="351">
        <f>Backend!AP8</f>
        <v>0</v>
      </c>
      <c r="AC3" s="351">
        <f>Backend!AQ8</f>
        <v>0</v>
      </c>
      <c r="AD3" s="351" t="str">
        <f>Backend!AR8</f>
        <v/>
      </c>
      <c r="AE3" s="351">
        <f>Backend!AS8</f>
        <v>0</v>
      </c>
      <c r="AF3" s="351">
        <f>Backend!AT8</f>
        <v>0.29085</v>
      </c>
      <c r="AG3" s="351" t="str">
        <f>Backend!AU8</f>
        <v/>
      </c>
      <c r="AH3" s="351">
        <f>Backend!AV8</f>
        <v>0</v>
      </c>
      <c r="AI3" s="351">
        <f>Backend!AW8</f>
        <v>0</v>
      </c>
      <c r="AJ3" s="351" t="str">
        <f>Backend!AX8</f>
        <v/>
      </c>
      <c r="AK3" s="351">
        <f>Backend!AY8</f>
        <v>0</v>
      </c>
      <c r="AL3" s="351">
        <f>Backend!AZ8</f>
        <v>0.58169999999999999</v>
      </c>
      <c r="AM3" s="351" t="str">
        <f>Backend!BA8</f>
        <v/>
      </c>
      <c r="AN3" s="351">
        <f>Backend!BB8</f>
        <v>0</v>
      </c>
      <c r="AO3" s="351">
        <f>Backend!BC8</f>
        <v>0</v>
      </c>
      <c r="AP3" s="351" t="str">
        <f>Backend!BD8</f>
        <v/>
      </c>
      <c r="AQ3" s="351">
        <f>Backend!BE8</f>
        <v>0</v>
      </c>
      <c r="AR3" s="351">
        <f>Backend!BF8</f>
        <v>3.4902000000000002</v>
      </c>
      <c r="AS3" s="351" t="str">
        <f>Backend!BG8</f>
        <v/>
      </c>
      <c r="AT3" s="351">
        <f>Backend!BH8</f>
        <v>0</v>
      </c>
      <c r="AU3" s="351">
        <f>Backend!BI8</f>
        <v>1.7451000000000001</v>
      </c>
      <c r="AV3" s="351" t="str">
        <f>Backend!BJ8</f>
        <v/>
      </c>
      <c r="AW3" s="351">
        <f>_xlfn.IFNA(Backend!O8,"")</f>
        <v>0</v>
      </c>
      <c r="AX3" s="355">
        <f>_xlfn.IFNA(IF(D3="","",Backend!BK8),"")</f>
        <v>35.19285</v>
      </c>
      <c r="AY3" s="356">
        <f t="shared" ref="AY3:AY34" si="7">IF(AX3="","",AX3*G3)</f>
        <v>35.19285</v>
      </c>
      <c r="BB3" s="70"/>
    </row>
    <row r="4" spans="1:54">
      <c r="A4" s="89">
        <v>2</v>
      </c>
      <c r="B4" s="154" t="str">
        <f>B3</f>
        <v>MB512123</v>
      </c>
      <c r="C4" s="89">
        <v>2</v>
      </c>
      <c r="D4" s="89" t="s">
        <v>75</v>
      </c>
      <c r="E4" s="89" t="s">
        <v>1228</v>
      </c>
      <c r="F4" s="735" t="s">
        <v>76</v>
      </c>
      <c r="G4" s="89">
        <v>1</v>
      </c>
      <c r="H4" s="89" t="s">
        <v>77</v>
      </c>
      <c r="I4" s="89" t="s">
        <v>73</v>
      </c>
      <c r="J4" s="89" t="s">
        <v>74</v>
      </c>
      <c r="K4" s="351">
        <f>_xlfn.IFNA(Backend!AN9,"")</f>
        <v>128.75</v>
      </c>
      <c r="L4" s="351">
        <f t="shared" ref="L4:L52" si="8">IFERROR(AA4,"")</f>
        <v>45.24832</v>
      </c>
      <c r="M4" s="351">
        <f t="shared" ref="M4:M52" si="9">IFERROR(AW4,"")</f>
        <v>0</v>
      </c>
      <c r="N4" s="351">
        <f t="shared" ref="N4:N52" si="10">IF(SUM(AB4:AS4)=0,"",SUM(AB4:AS4))</f>
        <v>12.867900000000001</v>
      </c>
      <c r="O4" s="351">
        <f t="shared" ref="O4:O52" si="11">IF(SUM(AT4:AV4)=0,"",SUM(AT4:AV4))</f>
        <v>15.65985</v>
      </c>
      <c r="P4" s="355">
        <f t="shared" ref="P4:P52" si="12">IF(K4="","",SUM(K4:O4))</f>
        <v>202.52607</v>
      </c>
      <c r="Q4" s="357">
        <f t="shared" ref="Q4:Q52" si="13">IF(P4="","",P4*G4)</f>
        <v>202.52607</v>
      </c>
      <c r="R4" s="323"/>
      <c r="S4" s="323"/>
      <c r="T4" s="351">
        <f>_xlfn.IFNA(IF(VLOOKUP(D4,Group!C:I,7,0)=0,"",VLOOKUP(D4,Group!C:I,7,0)),"")</f>
        <v>0.92700000000000005</v>
      </c>
      <c r="U4" s="351">
        <f t="shared" ref="U4:U52" si="14">IFERROR(T4*G4,"")</f>
        <v>0.92700000000000005</v>
      </c>
      <c r="V4" s="351">
        <f t="shared" ref="V4:V52" si="15">IFERROR(AY4/U4,"")</f>
        <v>218.47472491909389</v>
      </c>
      <c r="AA4" s="351">
        <f>_xlfn.IFNA(Backend!AO9,"")</f>
        <v>45.24832</v>
      </c>
      <c r="AB4" s="351">
        <f>Backend!AP9</f>
        <v>2.8968799999999999</v>
      </c>
      <c r="AC4" s="351">
        <f>Backend!AQ9</f>
        <v>0</v>
      </c>
      <c r="AD4" s="351" t="str">
        <f>Backend!AR9</f>
        <v/>
      </c>
      <c r="AE4" s="351">
        <f>Backend!AS9</f>
        <v>3.8624999999999998</v>
      </c>
      <c r="AF4" s="351">
        <f>Backend!AT9</f>
        <v>1.35745</v>
      </c>
      <c r="AG4" s="351" t="str">
        <f>Backend!AU9</f>
        <v/>
      </c>
      <c r="AH4" s="351">
        <f>Backend!AV9</f>
        <v>0</v>
      </c>
      <c r="AI4" s="351">
        <f>Backend!AW9</f>
        <v>0</v>
      </c>
      <c r="AJ4" s="351" t="str">
        <f>Backend!AX9</f>
        <v/>
      </c>
      <c r="AK4" s="351">
        <f>Backend!AY9</f>
        <v>0</v>
      </c>
      <c r="AL4" s="351">
        <f>Backend!AZ9</f>
        <v>1.58369</v>
      </c>
      <c r="AM4" s="351" t="str">
        <f>Backend!BA9</f>
        <v/>
      </c>
      <c r="AN4" s="351">
        <f>Backend!BB9</f>
        <v>0</v>
      </c>
      <c r="AO4" s="351">
        <f>Backend!BC9</f>
        <v>0</v>
      </c>
      <c r="AP4" s="351" t="str">
        <f>Backend!BD9</f>
        <v/>
      </c>
      <c r="AQ4" s="351">
        <f>Backend!BE9</f>
        <v>0</v>
      </c>
      <c r="AR4" s="351">
        <f>Backend!BF9</f>
        <v>3.1673800000000001</v>
      </c>
      <c r="AS4" s="351" t="str">
        <f>Backend!BG9</f>
        <v/>
      </c>
      <c r="AT4" s="351">
        <f>Backend!BH9</f>
        <v>11.5875</v>
      </c>
      <c r="AU4" s="351">
        <f>Backend!BI9</f>
        <v>4.0723500000000001</v>
      </c>
      <c r="AV4" s="351" t="str">
        <f>Backend!BJ9</f>
        <v/>
      </c>
      <c r="AW4" s="351">
        <f>_xlfn.IFNA(Backend!O9,"")</f>
        <v>0</v>
      </c>
      <c r="AX4" s="355">
        <f>_xlfn.IFNA(IF(D4="","",Backend!BK9),"")</f>
        <v>202.52607000000003</v>
      </c>
      <c r="AY4" s="356">
        <f t="shared" si="7"/>
        <v>202.52607000000003</v>
      </c>
      <c r="BB4" s="70"/>
    </row>
    <row r="5" spans="1:54">
      <c r="A5" s="89">
        <v>3</v>
      </c>
      <c r="B5" s="154" t="str">
        <f t="shared" ref="B5:B52" si="16">B4</f>
        <v>MB512123</v>
      </c>
      <c r="C5" s="89">
        <v>2</v>
      </c>
      <c r="D5" s="89" t="s">
        <v>78</v>
      </c>
      <c r="E5" s="89" t="s">
        <v>1228</v>
      </c>
      <c r="F5" s="735" t="s">
        <v>79</v>
      </c>
      <c r="G5" s="89">
        <v>1</v>
      </c>
      <c r="H5" s="89" t="s">
        <v>77</v>
      </c>
      <c r="I5" s="89" t="s">
        <v>73</v>
      </c>
      <c r="J5" s="89" t="s">
        <v>74</v>
      </c>
      <c r="K5" s="351">
        <f>_xlfn.IFNA(Backend!AN10,"")</f>
        <v>444.44443999999999</v>
      </c>
      <c r="L5" s="351">
        <f t="shared" si="8"/>
        <v>92.142939999999996</v>
      </c>
      <c r="M5" s="351">
        <f t="shared" si="9"/>
        <v>0</v>
      </c>
      <c r="N5" s="351">
        <f t="shared" si="10"/>
        <v>35.772629999999999</v>
      </c>
      <c r="O5" s="351">
        <f t="shared" si="11"/>
        <v>48.292859999999997</v>
      </c>
      <c r="P5" s="355">
        <f t="shared" si="12"/>
        <v>620.65287000000001</v>
      </c>
      <c r="Q5" s="357">
        <f t="shared" si="13"/>
        <v>620.65287000000001</v>
      </c>
      <c r="R5" s="323"/>
      <c r="S5" s="323"/>
      <c r="T5" s="351">
        <f>_xlfn.IFNA(IF(VLOOKUP(D5,Group!C:I,7,0)=0,"",VLOOKUP(D5,Group!C:I,7,0)),"")</f>
        <v>3.2</v>
      </c>
      <c r="U5" s="351">
        <f t="shared" si="14"/>
        <v>3.2</v>
      </c>
      <c r="V5" s="351">
        <f t="shared" si="15"/>
        <v>193.954021875</v>
      </c>
      <c r="AA5" s="351">
        <f>_xlfn.IFNA(Backend!AO10,"")</f>
        <v>92.142939999999996</v>
      </c>
      <c r="AB5" s="351">
        <f>Backend!AP10</f>
        <v>10</v>
      </c>
      <c r="AC5" s="351">
        <f>Backend!AQ10</f>
        <v>0</v>
      </c>
      <c r="AD5" s="351" t="str">
        <f>Backend!AR10</f>
        <v/>
      </c>
      <c r="AE5" s="351">
        <f>Backend!AS10</f>
        <v>13.33333</v>
      </c>
      <c r="AF5" s="351">
        <f>Backend!AT10</f>
        <v>2.7642899999999999</v>
      </c>
      <c r="AG5" s="351" t="str">
        <f>Backend!AU10</f>
        <v/>
      </c>
      <c r="AH5" s="351">
        <f>Backend!AV10</f>
        <v>0</v>
      </c>
      <c r="AI5" s="351">
        <f>Backend!AW10</f>
        <v>0</v>
      </c>
      <c r="AJ5" s="351" t="str">
        <f>Backend!AX10</f>
        <v/>
      </c>
      <c r="AK5" s="351">
        <f>Backend!AY10</f>
        <v>0</v>
      </c>
      <c r="AL5" s="351">
        <f>Backend!AZ10</f>
        <v>3.2250000000000001</v>
      </c>
      <c r="AM5" s="351" t="str">
        <f>Backend!BA10</f>
        <v/>
      </c>
      <c r="AN5" s="351">
        <f>Backend!BB10</f>
        <v>0</v>
      </c>
      <c r="AO5" s="351">
        <f>Backend!BC10</f>
        <v>0</v>
      </c>
      <c r="AP5" s="351" t="str">
        <f>Backend!BD10</f>
        <v/>
      </c>
      <c r="AQ5" s="351">
        <f>Backend!BE10</f>
        <v>0</v>
      </c>
      <c r="AR5" s="351">
        <f>Backend!BF10</f>
        <v>6.4500099999999998</v>
      </c>
      <c r="AS5" s="351" t="str">
        <f>Backend!BG10</f>
        <v/>
      </c>
      <c r="AT5" s="351">
        <f>Backend!BH10</f>
        <v>40</v>
      </c>
      <c r="AU5" s="351">
        <f>Backend!BI10</f>
        <v>8.2928599999999992</v>
      </c>
      <c r="AV5" s="351" t="str">
        <f>Backend!BJ10</f>
        <v/>
      </c>
      <c r="AW5" s="351">
        <f>_xlfn.IFNA(Backend!O10,"")</f>
        <v>0</v>
      </c>
      <c r="AX5" s="355">
        <f>_xlfn.IFNA(IF(D5="","",Backend!BK10),"")</f>
        <v>620.65287000000001</v>
      </c>
      <c r="AY5" s="356">
        <f t="shared" si="7"/>
        <v>620.65287000000001</v>
      </c>
      <c r="BB5" s="70"/>
    </row>
    <row r="6" spans="1:54">
      <c r="A6" s="89">
        <v>4</v>
      </c>
      <c r="B6" s="154" t="str">
        <f t="shared" si="16"/>
        <v>MB512123</v>
      </c>
      <c r="C6" s="89">
        <v>2</v>
      </c>
      <c r="D6" s="89" t="s">
        <v>1227</v>
      </c>
      <c r="E6" s="89" t="s">
        <v>967</v>
      </c>
      <c r="F6" s="735" t="s">
        <v>1229</v>
      </c>
      <c r="G6" s="89">
        <v>10</v>
      </c>
      <c r="H6" s="89" t="s">
        <v>878</v>
      </c>
      <c r="I6" s="89" t="s">
        <v>1224</v>
      </c>
      <c r="J6" s="89" t="s">
        <v>1232</v>
      </c>
      <c r="K6" s="351">
        <f>_xlfn.IFNA(Backend!AN11,"")</f>
        <v>0.71</v>
      </c>
      <c r="L6" s="351" t="str">
        <f t="shared" si="8"/>
        <v/>
      </c>
      <c r="M6" s="351" t="str">
        <f t="shared" si="9"/>
        <v/>
      </c>
      <c r="N6" s="351">
        <f t="shared" si="10"/>
        <v>1.4200000000000001E-2</v>
      </c>
      <c r="O6" s="351">
        <f t="shared" si="11"/>
        <v>2.1299999999999999E-2</v>
      </c>
      <c r="P6" s="355">
        <f t="shared" si="12"/>
        <v>0.74549999999999994</v>
      </c>
      <c r="Q6" s="357">
        <f t="shared" si="13"/>
        <v>7.4549999999999992</v>
      </c>
      <c r="R6" s="323"/>
      <c r="S6" s="323"/>
      <c r="T6" s="351" t="str">
        <f>_xlfn.IFNA(IF(VLOOKUP(D6,Group!C:I,7,0)=0,"",VLOOKUP(D6,Group!C:I,7,0)),"")</f>
        <v/>
      </c>
      <c r="U6" s="351" t="str">
        <f t="shared" si="14"/>
        <v/>
      </c>
      <c r="V6" s="351" t="str">
        <f t="shared" si="15"/>
        <v/>
      </c>
      <c r="AA6" s="351" t="str">
        <f>_xlfn.IFNA(Backend!AO11,"")</f>
        <v/>
      </c>
      <c r="AB6" s="351" t="str">
        <f>Backend!AP11</f>
        <v/>
      </c>
      <c r="AC6" s="351" t="str">
        <f>Backend!AQ11</f>
        <v/>
      </c>
      <c r="AD6" s="351">
        <f>Backend!AR11</f>
        <v>1.065E-2</v>
      </c>
      <c r="AE6" s="351" t="str">
        <f>Backend!AS11</f>
        <v/>
      </c>
      <c r="AF6" s="351" t="str">
        <f>Backend!AT11</f>
        <v/>
      </c>
      <c r="AG6" s="351">
        <f>Backend!AU11</f>
        <v>3.5500000000000002E-3</v>
      </c>
      <c r="AH6" s="351" t="str">
        <f>Backend!AV11</f>
        <v/>
      </c>
      <c r="AI6" s="351" t="str">
        <f>Backend!AW11</f>
        <v/>
      </c>
      <c r="AJ6" s="351">
        <f>Backend!AX11</f>
        <v>0</v>
      </c>
      <c r="AK6" s="351" t="str">
        <f>Backend!AY11</f>
        <v/>
      </c>
      <c r="AL6" s="351" t="str">
        <f>Backend!AZ11</f>
        <v/>
      </c>
      <c r="AM6" s="351">
        <f>Backend!BA11</f>
        <v>0</v>
      </c>
      <c r="AN6" s="351" t="str">
        <f>Backend!BB11</f>
        <v/>
      </c>
      <c r="AO6" s="351" t="str">
        <f>Backend!BC11</f>
        <v/>
      </c>
      <c r="AP6" s="351">
        <f>Backend!BD11</f>
        <v>0</v>
      </c>
      <c r="AQ6" s="351" t="str">
        <f>Backend!BE11</f>
        <v/>
      </c>
      <c r="AR6" s="351" t="str">
        <f>Backend!BF11</f>
        <v/>
      </c>
      <c r="AS6" s="351">
        <f>Backend!BG11</f>
        <v>0</v>
      </c>
      <c r="AT6" s="351" t="str">
        <f>Backend!BH11</f>
        <v/>
      </c>
      <c r="AU6" s="351" t="str">
        <f>Backend!BI11</f>
        <v/>
      </c>
      <c r="AV6" s="351">
        <f>Backend!BJ11</f>
        <v>2.1299999999999999E-2</v>
      </c>
      <c r="AW6" s="351" t="str">
        <f>_xlfn.IFNA(Backend!O11,"")</f>
        <v/>
      </c>
      <c r="AX6" s="355">
        <f>_xlfn.IFNA(IF(D6="","",Backend!BK11),"")</f>
        <v>0.74550000000000005</v>
      </c>
      <c r="AY6" s="356">
        <f t="shared" si="7"/>
        <v>7.4550000000000001</v>
      </c>
      <c r="BB6" s="70"/>
    </row>
    <row r="7" spans="1:54">
      <c r="A7" s="89">
        <v>5</v>
      </c>
      <c r="B7" s="154" t="str">
        <f t="shared" si="16"/>
        <v>MB512123</v>
      </c>
      <c r="C7" s="89">
        <v>2</v>
      </c>
      <c r="D7" s="89" t="s">
        <v>1233</v>
      </c>
      <c r="E7" s="89" t="s">
        <v>1231</v>
      </c>
      <c r="F7" s="735" t="s">
        <v>1230</v>
      </c>
      <c r="G7" s="89">
        <v>10</v>
      </c>
      <c r="H7" s="89" t="s">
        <v>878</v>
      </c>
      <c r="I7" s="89" t="s">
        <v>1224</v>
      </c>
      <c r="J7" s="748" t="s">
        <v>1232</v>
      </c>
      <c r="K7" s="351">
        <f>_xlfn.IFNA(Backend!AN12,"")</f>
        <v>3.04</v>
      </c>
      <c r="L7" s="351" t="str">
        <f t="shared" si="8"/>
        <v/>
      </c>
      <c r="M7" s="351" t="str">
        <f t="shared" si="9"/>
        <v/>
      </c>
      <c r="N7" s="351">
        <f t="shared" si="10"/>
        <v>6.08E-2</v>
      </c>
      <c r="O7" s="351">
        <f t="shared" si="11"/>
        <v>9.1200000000000003E-2</v>
      </c>
      <c r="P7" s="355">
        <f t="shared" si="12"/>
        <v>3.1920000000000002</v>
      </c>
      <c r="Q7" s="357">
        <f t="shared" si="13"/>
        <v>31.92</v>
      </c>
      <c r="R7" s="323"/>
      <c r="S7" s="323"/>
      <c r="T7" s="351" t="str">
        <f>_xlfn.IFNA(IF(VLOOKUP(D7,Group!C:I,7,0)=0,"",VLOOKUP(D7,Group!C:I,7,0)),"")</f>
        <v/>
      </c>
      <c r="U7" s="351" t="str">
        <f t="shared" si="14"/>
        <v/>
      </c>
      <c r="V7" s="351" t="str">
        <f t="shared" si="15"/>
        <v/>
      </c>
      <c r="AA7" s="351" t="str">
        <f>_xlfn.IFNA(Backend!AO12,"")</f>
        <v/>
      </c>
      <c r="AB7" s="351" t="str">
        <f>Backend!AP12</f>
        <v/>
      </c>
      <c r="AC7" s="351" t="str">
        <f>Backend!AQ12</f>
        <v/>
      </c>
      <c r="AD7" s="351">
        <f>Backend!AR12</f>
        <v>4.5600000000000002E-2</v>
      </c>
      <c r="AE7" s="351" t="str">
        <f>Backend!AS12</f>
        <v/>
      </c>
      <c r="AF7" s="351" t="str">
        <f>Backend!AT12</f>
        <v/>
      </c>
      <c r="AG7" s="351">
        <f>Backend!AU12</f>
        <v>1.52E-2</v>
      </c>
      <c r="AH7" s="351" t="str">
        <f>Backend!AV12</f>
        <v/>
      </c>
      <c r="AI7" s="351" t="str">
        <f>Backend!AW12</f>
        <v/>
      </c>
      <c r="AJ7" s="351">
        <f>Backend!AX12</f>
        <v>0</v>
      </c>
      <c r="AK7" s="351" t="str">
        <f>Backend!AY12</f>
        <v/>
      </c>
      <c r="AL7" s="351" t="str">
        <f>Backend!AZ12</f>
        <v/>
      </c>
      <c r="AM7" s="351">
        <f>Backend!BA12</f>
        <v>0</v>
      </c>
      <c r="AN7" s="351" t="str">
        <f>Backend!BB12</f>
        <v/>
      </c>
      <c r="AO7" s="351" t="str">
        <f>Backend!BC12</f>
        <v/>
      </c>
      <c r="AP7" s="351">
        <f>Backend!BD12</f>
        <v>0</v>
      </c>
      <c r="AQ7" s="351" t="str">
        <f>Backend!BE12</f>
        <v/>
      </c>
      <c r="AR7" s="351" t="str">
        <f>Backend!BF12</f>
        <v/>
      </c>
      <c r="AS7" s="351">
        <f>Backend!BG12</f>
        <v>0</v>
      </c>
      <c r="AT7" s="351" t="str">
        <f>Backend!BH12</f>
        <v/>
      </c>
      <c r="AU7" s="351" t="str">
        <f>Backend!BI12</f>
        <v/>
      </c>
      <c r="AV7" s="351">
        <f>Backend!BJ12</f>
        <v>9.1200000000000003E-2</v>
      </c>
      <c r="AW7" s="351" t="str">
        <f>_xlfn.IFNA(Backend!O12,"")</f>
        <v/>
      </c>
      <c r="AX7" s="355">
        <f>_xlfn.IFNA(IF(D7="","",Backend!BK12),"")</f>
        <v>3.1920000000000002</v>
      </c>
      <c r="AY7" s="356">
        <f t="shared" si="7"/>
        <v>31.92</v>
      </c>
      <c r="BB7" s="70"/>
    </row>
    <row r="8" spans="1:54">
      <c r="A8" s="89">
        <v>6</v>
      </c>
      <c r="B8" s="154" t="str">
        <f t="shared" si="16"/>
        <v>MB512123</v>
      </c>
      <c r="C8" s="89"/>
      <c r="D8" s="89"/>
      <c r="E8" s="89"/>
      <c r="F8" s="89"/>
      <c r="G8" s="89"/>
      <c r="H8" s="89"/>
      <c r="I8" s="89"/>
      <c r="J8" s="89"/>
      <c r="K8" s="351" t="str">
        <f>_xlfn.IFNA(Backend!AN13,"")</f>
        <v/>
      </c>
      <c r="L8" s="351" t="str">
        <f t="shared" si="8"/>
        <v/>
      </c>
      <c r="M8" s="351" t="str">
        <f t="shared" si="9"/>
        <v/>
      </c>
      <c r="N8" s="351" t="str">
        <f t="shared" si="10"/>
        <v/>
      </c>
      <c r="O8" s="351" t="str">
        <f t="shared" si="11"/>
        <v/>
      </c>
      <c r="P8" s="355" t="str">
        <f t="shared" si="12"/>
        <v/>
      </c>
      <c r="Q8" s="357" t="str">
        <f t="shared" si="13"/>
        <v/>
      </c>
      <c r="R8" s="323"/>
      <c r="S8" s="323"/>
      <c r="T8" s="351" t="str">
        <f>_xlfn.IFNA(IF(VLOOKUP(D8,Group!C:I,7,0)=0,"",VLOOKUP(D8,Group!C:I,7,0)),"")</f>
        <v/>
      </c>
      <c r="U8" s="351" t="str">
        <f t="shared" si="14"/>
        <v/>
      </c>
      <c r="V8" s="351" t="str">
        <f t="shared" si="15"/>
        <v/>
      </c>
      <c r="AA8" s="351" t="str">
        <f>_xlfn.IFNA(Backend!AO13,"")</f>
        <v/>
      </c>
      <c r="AB8" s="351" t="str">
        <f>Backend!AP13</f>
        <v/>
      </c>
      <c r="AC8" s="351" t="str">
        <f>Backend!AQ13</f>
        <v/>
      </c>
      <c r="AD8" s="351" t="str">
        <f>Backend!AR13</f>
        <v/>
      </c>
      <c r="AE8" s="351" t="str">
        <f>Backend!AS13</f>
        <v/>
      </c>
      <c r="AF8" s="351" t="str">
        <f>Backend!AT13</f>
        <v/>
      </c>
      <c r="AG8" s="351" t="str">
        <f>Backend!AU13</f>
        <v/>
      </c>
      <c r="AH8" s="351" t="str">
        <f>Backend!AV13</f>
        <v/>
      </c>
      <c r="AI8" s="351" t="str">
        <f>Backend!AW13</f>
        <v/>
      </c>
      <c r="AJ8" s="351" t="str">
        <f>Backend!AX13</f>
        <v/>
      </c>
      <c r="AK8" s="351" t="str">
        <f>Backend!AY13</f>
        <v/>
      </c>
      <c r="AL8" s="351" t="str">
        <f>Backend!AZ13</f>
        <v/>
      </c>
      <c r="AM8" s="351" t="str">
        <f>Backend!BA13</f>
        <v/>
      </c>
      <c r="AN8" s="351" t="str">
        <f>Backend!BB13</f>
        <v/>
      </c>
      <c r="AO8" s="351" t="str">
        <f>Backend!BC13</f>
        <v/>
      </c>
      <c r="AP8" s="351" t="str">
        <f>Backend!BD13</f>
        <v/>
      </c>
      <c r="AQ8" s="351" t="str">
        <f>Backend!BE13</f>
        <v/>
      </c>
      <c r="AR8" s="351" t="str">
        <f>Backend!BF13</f>
        <v/>
      </c>
      <c r="AS8" s="351" t="str">
        <f>Backend!BG13</f>
        <v/>
      </c>
      <c r="AT8" s="351" t="str">
        <f>Backend!BH13</f>
        <v/>
      </c>
      <c r="AU8" s="351" t="str">
        <f>Backend!BI13</f>
        <v/>
      </c>
      <c r="AV8" s="351" t="str">
        <f>Backend!BJ13</f>
        <v/>
      </c>
      <c r="AW8" s="351" t="str">
        <f>_xlfn.IFNA(Backend!O13,"")</f>
        <v/>
      </c>
      <c r="AX8" s="355" t="str">
        <f>_xlfn.IFNA(IF(D8="","",Backend!BK13),"")</f>
        <v/>
      </c>
      <c r="AY8" s="356" t="str">
        <f t="shared" si="7"/>
        <v/>
      </c>
      <c r="BB8" s="70"/>
    </row>
    <row r="9" spans="1:54">
      <c r="A9" s="89">
        <v>7</v>
      </c>
      <c r="B9" s="154" t="str">
        <f t="shared" si="16"/>
        <v>MB512123</v>
      </c>
      <c r="C9" s="89"/>
      <c r="D9" s="89"/>
      <c r="E9" s="89"/>
      <c r="F9" s="89"/>
      <c r="G9" s="89"/>
      <c r="H9" s="89"/>
      <c r="I9" s="89"/>
      <c r="J9" s="89"/>
      <c r="K9" s="351" t="str">
        <f>_xlfn.IFNA(Backend!AN14,"")</f>
        <v/>
      </c>
      <c r="L9" s="351" t="str">
        <f t="shared" si="8"/>
        <v/>
      </c>
      <c r="M9" s="351" t="str">
        <f t="shared" si="9"/>
        <v/>
      </c>
      <c r="N9" s="351" t="str">
        <f t="shared" si="10"/>
        <v/>
      </c>
      <c r="O9" s="351" t="str">
        <f t="shared" si="11"/>
        <v/>
      </c>
      <c r="P9" s="355" t="str">
        <f t="shared" si="12"/>
        <v/>
      </c>
      <c r="Q9" s="357" t="str">
        <f t="shared" si="13"/>
        <v/>
      </c>
      <c r="R9" s="323"/>
      <c r="S9" s="323"/>
      <c r="T9" s="351" t="str">
        <f>_xlfn.IFNA(IF(VLOOKUP(D9,Group!C:I,7,0)=0,"",VLOOKUP(D9,Group!C:I,7,0)),"")</f>
        <v/>
      </c>
      <c r="U9" s="351" t="str">
        <f t="shared" si="14"/>
        <v/>
      </c>
      <c r="V9" s="351" t="str">
        <f t="shared" si="15"/>
        <v/>
      </c>
      <c r="AA9" s="351" t="str">
        <f>_xlfn.IFNA(Backend!AO14,"")</f>
        <v/>
      </c>
      <c r="AB9" s="351" t="str">
        <f>Backend!AP14</f>
        <v/>
      </c>
      <c r="AC9" s="351" t="str">
        <f>Backend!AQ14</f>
        <v/>
      </c>
      <c r="AD9" s="351" t="str">
        <f>Backend!AR14</f>
        <v/>
      </c>
      <c r="AE9" s="351" t="str">
        <f>Backend!AS14</f>
        <v/>
      </c>
      <c r="AF9" s="351" t="str">
        <f>Backend!AT14</f>
        <v/>
      </c>
      <c r="AG9" s="351" t="str">
        <f>Backend!AU14</f>
        <v/>
      </c>
      <c r="AH9" s="351" t="str">
        <f>Backend!AV14</f>
        <v/>
      </c>
      <c r="AI9" s="351" t="str">
        <f>Backend!AW14</f>
        <v/>
      </c>
      <c r="AJ9" s="351" t="str">
        <f>Backend!AX14</f>
        <v/>
      </c>
      <c r="AK9" s="351" t="str">
        <f>Backend!AY14</f>
        <v/>
      </c>
      <c r="AL9" s="351" t="str">
        <f>Backend!AZ14</f>
        <v/>
      </c>
      <c r="AM9" s="351" t="str">
        <f>Backend!BA14</f>
        <v/>
      </c>
      <c r="AN9" s="351" t="str">
        <f>Backend!BB14</f>
        <v/>
      </c>
      <c r="AO9" s="351" t="str">
        <f>Backend!BC14</f>
        <v/>
      </c>
      <c r="AP9" s="351" t="str">
        <f>Backend!BD14</f>
        <v/>
      </c>
      <c r="AQ9" s="351" t="str">
        <f>Backend!BE14</f>
        <v/>
      </c>
      <c r="AR9" s="351" t="str">
        <f>Backend!BF14</f>
        <v/>
      </c>
      <c r="AS9" s="351" t="str">
        <f>Backend!BG14</f>
        <v/>
      </c>
      <c r="AT9" s="351" t="str">
        <f>Backend!BH14</f>
        <v/>
      </c>
      <c r="AU9" s="351" t="str">
        <f>Backend!BI14</f>
        <v/>
      </c>
      <c r="AV9" s="351" t="str">
        <f>Backend!BJ14</f>
        <v/>
      </c>
      <c r="AW9" s="351" t="str">
        <f>_xlfn.IFNA(Backend!O14,"")</f>
        <v/>
      </c>
      <c r="AX9" s="355" t="str">
        <f>_xlfn.IFNA(IF(D9="","",Backend!BK14),"")</f>
        <v/>
      </c>
      <c r="AY9" s="356" t="str">
        <f t="shared" si="7"/>
        <v/>
      </c>
      <c r="BB9" s="70"/>
    </row>
    <row r="10" spans="1:54">
      <c r="A10" s="89">
        <v>8</v>
      </c>
      <c r="B10" s="154" t="str">
        <f t="shared" si="16"/>
        <v>MB512123</v>
      </c>
      <c r="C10" s="89"/>
      <c r="D10" s="89"/>
      <c r="E10" s="89"/>
      <c r="F10" s="89"/>
      <c r="G10" s="89"/>
      <c r="H10" s="89"/>
      <c r="I10" s="89"/>
      <c r="J10" s="89"/>
      <c r="K10" s="351" t="str">
        <f>_xlfn.IFNA(Backend!AN15,"")</f>
        <v/>
      </c>
      <c r="L10" s="351" t="str">
        <f t="shared" si="8"/>
        <v/>
      </c>
      <c r="M10" s="351" t="str">
        <f t="shared" si="9"/>
        <v/>
      </c>
      <c r="N10" s="351" t="str">
        <f t="shared" si="10"/>
        <v/>
      </c>
      <c r="O10" s="351" t="str">
        <f t="shared" si="11"/>
        <v/>
      </c>
      <c r="P10" s="355" t="str">
        <f t="shared" si="12"/>
        <v/>
      </c>
      <c r="Q10" s="357" t="str">
        <f t="shared" si="13"/>
        <v/>
      </c>
      <c r="R10" s="323"/>
      <c r="S10" s="323"/>
      <c r="T10" s="351" t="str">
        <f>_xlfn.IFNA(IF(VLOOKUP(D10,Group!C:I,7,0)=0,"",VLOOKUP(D10,Group!C:I,7,0)),"")</f>
        <v/>
      </c>
      <c r="U10" s="351" t="str">
        <f t="shared" si="14"/>
        <v/>
      </c>
      <c r="V10" s="351" t="str">
        <f t="shared" si="15"/>
        <v/>
      </c>
      <c r="AA10" s="351" t="str">
        <f>_xlfn.IFNA(Backend!AO15,"")</f>
        <v/>
      </c>
      <c r="AB10" s="351" t="str">
        <f>Backend!AP15</f>
        <v/>
      </c>
      <c r="AC10" s="351" t="str">
        <f>Backend!AQ15</f>
        <v/>
      </c>
      <c r="AD10" s="351" t="str">
        <f>Backend!AR15</f>
        <v/>
      </c>
      <c r="AE10" s="351" t="str">
        <f>Backend!AS15</f>
        <v/>
      </c>
      <c r="AF10" s="351" t="str">
        <f>Backend!AT15</f>
        <v/>
      </c>
      <c r="AG10" s="351" t="str">
        <f>Backend!AU15</f>
        <v/>
      </c>
      <c r="AH10" s="351" t="str">
        <f>Backend!AV15</f>
        <v/>
      </c>
      <c r="AI10" s="351" t="str">
        <f>Backend!AW15</f>
        <v/>
      </c>
      <c r="AJ10" s="351" t="str">
        <f>Backend!AX15</f>
        <v/>
      </c>
      <c r="AK10" s="351" t="str">
        <f>Backend!AY15</f>
        <v/>
      </c>
      <c r="AL10" s="351" t="str">
        <f>Backend!AZ15</f>
        <v/>
      </c>
      <c r="AM10" s="351" t="str">
        <f>Backend!BA15</f>
        <v/>
      </c>
      <c r="AN10" s="351" t="str">
        <f>Backend!BB15</f>
        <v/>
      </c>
      <c r="AO10" s="351" t="str">
        <f>Backend!BC15</f>
        <v/>
      </c>
      <c r="AP10" s="351" t="str">
        <f>Backend!BD15</f>
        <v/>
      </c>
      <c r="AQ10" s="351" t="str">
        <f>Backend!BE15</f>
        <v/>
      </c>
      <c r="AR10" s="351" t="str">
        <f>Backend!BF15</f>
        <v/>
      </c>
      <c r="AS10" s="351" t="str">
        <f>Backend!BG15</f>
        <v/>
      </c>
      <c r="AT10" s="351" t="str">
        <f>Backend!BH15</f>
        <v/>
      </c>
      <c r="AU10" s="351" t="str">
        <f>Backend!BI15</f>
        <v/>
      </c>
      <c r="AV10" s="351" t="str">
        <f>Backend!BJ15</f>
        <v/>
      </c>
      <c r="AW10" s="351" t="str">
        <f>_xlfn.IFNA(Backend!O15,"")</f>
        <v/>
      </c>
      <c r="AX10" s="355" t="str">
        <f>_xlfn.IFNA(IF(D10="","",Backend!BK15),"")</f>
        <v/>
      </c>
      <c r="AY10" s="356" t="str">
        <f t="shared" si="7"/>
        <v/>
      </c>
      <c r="BB10" s="70"/>
    </row>
    <row r="11" spans="1:54">
      <c r="A11" s="89">
        <v>9</v>
      </c>
      <c r="B11" s="154" t="str">
        <f t="shared" si="16"/>
        <v>MB512123</v>
      </c>
      <c r="C11" s="89"/>
      <c r="D11" s="89"/>
      <c r="E11" s="89"/>
      <c r="F11" s="89"/>
      <c r="G11" s="89"/>
      <c r="H11" s="89"/>
      <c r="I11" s="89"/>
      <c r="J11" s="89"/>
      <c r="K11" s="351" t="str">
        <f>_xlfn.IFNA(Backend!AN16,"")</f>
        <v/>
      </c>
      <c r="L11" s="351" t="str">
        <f t="shared" si="8"/>
        <v/>
      </c>
      <c r="M11" s="351" t="str">
        <f t="shared" si="9"/>
        <v/>
      </c>
      <c r="N11" s="351" t="str">
        <f t="shared" si="10"/>
        <v/>
      </c>
      <c r="O11" s="351" t="str">
        <f t="shared" si="11"/>
        <v/>
      </c>
      <c r="P11" s="355" t="str">
        <f t="shared" si="12"/>
        <v/>
      </c>
      <c r="Q11" s="357" t="str">
        <f t="shared" si="13"/>
        <v/>
      </c>
      <c r="R11" s="323"/>
      <c r="S11" s="323"/>
      <c r="T11" s="351" t="str">
        <f>_xlfn.IFNA(IF(VLOOKUP(D11,Group!C:I,7,0)=0,"",VLOOKUP(D11,Group!C:I,7,0)),"")</f>
        <v/>
      </c>
      <c r="U11" s="351" t="str">
        <f t="shared" si="14"/>
        <v/>
      </c>
      <c r="V11" s="351" t="str">
        <f t="shared" si="15"/>
        <v/>
      </c>
      <c r="AA11" s="351" t="str">
        <f>_xlfn.IFNA(Backend!AO16,"")</f>
        <v/>
      </c>
      <c r="AB11" s="351" t="str">
        <f>Backend!AP16</f>
        <v/>
      </c>
      <c r="AC11" s="351" t="str">
        <f>Backend!AQ16</f>
        <v/>
      </c>
      <c r="AD11" s="351" t="str">
        <f>Backend!AR16</f>
        <v/>
      </c>
      <c r="AE11" s="351" t="str">
        <f>Backend!AS16</f>
        <v/>
      </c>
      <c r="AF11" s="351" t="str">
        <f>Backend!AT16</f>
        <v/>
      </c>
      <c r="AG11" s="351" t="str">
        <f>Backend!AU16</f>
        <v/>
      </c>
      <c r="AH11" s="351" t="str">
        <f>Backend!AV16</f>
        <v/>
      </c>
      <c r="AI11" s="351" t="str">
        <f>Backend!AW16</f>
        <v/>
      </c>
      <c r="AJ11" s="351" t="str">
        <f>Backend!AX16</f>
        <v/>
      </c>
      <c r="AK11" s="351" t="str">
        <f>Backend!AY16</f>
        <v/>
      </c>
      <c r="AL11" s="351" t="str">
        <f>Backend!AZ16</f>
        <v/>
      </c>
      <c r="AM11" s="351" t="str">
        <f>Backend!BA16</f>
        <v/>
      </c>
      <c r="AN11" s="351" t="str">
        <f>Backend!BB16</f>
        <v/>
      </c>
      <c r="AO11" s="351" t="str">
        <f>Backend!BC16</f>
        <v/>
      </c>
      <c r="AP11" s="351" t="str">
        <f>Backend!BD16</f>
        <v/>
      </c>
      <c r="AQ11" s="351" t="str">
        <f>Backend!BE16</f>
        <v/>
      </c>
      <c r="AR11" s="351" t="str">
        <f>Backend!BF16</f>
        <v/>
      </c>
      <c r="AS11" s="351" t="str">
        <f>Backend!BG16</f>
        <v/>
      </c>
      <c r="AT11" s="351" t="str">
        <f>Backend!BH16</f>
        <v/>
      </c>
      <c r="AU11" s="351" t="str">
        <f>Backend!BI16</f>
        <v/>
      </c>
      <c r="AV11" s="351" t="str">
        <f>Backend!BJ16</f>
        <v/>
      </c>
      <c r="AW11" s="351" t="str">
        <f>_xlfn.IFNA(Backend!O16,"")</f>
        <v/>
      </c>
      <c r="AX11" s="355" t="str">
        <f>_xlfn.IFNA(IF(D11="","",Backend!BK16),"")</f>
        <v/>
      </c>
      <c r="AY11" s="356" t="str">
        <f t="shared" si="7"/>
        <v/>
      </c>
      <c r="BB11" s="70"/>
    </row>
    <row r="12" spans="1:54">
      <c r="A12" s="89">
        <v>10</v>
      </c>
      <c r="B12" s="154" t="str">
        <f t="shared" si="16"/>
        <v>MB512123</v>
      </c>
      <c r="C12" s="89"/>
      <c r="D12" s="89"/>
      <c r="E12" s="89"/>
      <c r="F12" s="89"/>
      <c r="G12" s="89"/>
      <c r="H12" s="89"/>
      <c r="I12" s="89"/>
      <c r="J12" s="89"/>
      <c r="K12" s="351" t="str">
        <f>_xlfn.IFNA(Backend!AN17,"")</f>
        <v/>
      </c>
      <c r="L12" s="351" t="str">
        <f t="shared" si="8"/>
        <v/>
      </c>
      <c r="M12" s="351" t="str">
        <f t="shared" si="9"/>
        <v/>
      </c>
      <c r="N12" s="351" t="str">
        <f t="shared" si="10"/>
        <v/>
      </c>
      <c r="O12" s="351" t="str">
        <f t="shared" si="11"/>
        <v/>
      </c>
      <c r="P12" s="355" t="str">
        <f t="shared" si="12"/>
        <v/>
      </c>
      <c r="Q12" s="357" t="str">
        <f t="shared" si="13"/>
        <v/>
      </c>
      <c r="R12" s="323"/>
      <c r="S12" s="323"/>
      <c r="T12" s="351" t="str">
        <f>_xlfn.IFNA(IF(VLOOKUP(D12,Group!C:I,7,0)=0,"",VLOOKUP(D12,Group!C:I,7,0)),"")</f>
        <v/>
      </c>
      <c r="U12" s="351" t="str">
        <f t="shared" si="14"/>
        <v/>
      </c>
      <c r="V12" s="351" t="str">
        <f t="shared" si="15"/>
        <v/>
      </c>
      <c r="AA12" s="351" t="str">
        <f>_xlfn.IFNA(Backend!AO17,"")</f>
        <v/>
      </c>
      <c r="AB12" s="351" t="str">
        <f>Backend!AP17</f>
        <v/>
      </c>
      <c r="AC12" s="351" t="str">
        <f>Backend!AQ17</f>
        <v/>
      </c>
      <c r="AD12" s="351" t="str">
        <f>Backend!AR17</f>
        <v/>
      </c>
      <c r="AE12" s="351" t="str">
        <f>Backend!AS17</f>
        <v/>
      </c>
      <c r="AF12" s="351" t="str">
        <f>Backend!AT17</f>
        <v/>
      </c>
      <c r="AG12" s="351" t="str">
        <f>Backend!AU17</f>
        <v/>
      </c>
      <c r="AH12" s="351" t="str">
        <f>Backend!AV17</f>
        <v/>
      </c>
      <c r="AI12" s="351" t="str">
        <f>Backend!AW17</f>
        <v/>
      </c>
      <c r="AJ12" s="351" t="str">
        <f>Backend!AX17</f>
        <v/>
      </c>
      <c r="AK12" s="351" t="str">
        <f>Backend!AY17</f>
        <v/>
      </c>
      <c r="AL12" s="351" t="str">
        <f>Backend!AZ17</f>
        <v/>
      </c>
      <c r="AM12" s="351" t="str">
        <f>Backend!BA17</f>
        <v/>
      </c>
      <c r="AN12" s="351" t="str">
        <f>Backend!BB17</f>
        <v/>
      </c>
      <c r="AO12" s="351" t="str">
        <f>Backend!BC17</f>
        <v/>
      </c>
      <c r="AP12" s="351" t="str">
        <f>Backend!BD17</f>
        <v/>
      </c>
      <c r="AQ12" s="351" t="str">
        <f>Backend!BE17</f>
        <v/>
      </c>
      <c r="AR12" s="351" t="str">
        <f>Backend!BF17</f>
        <v/>
      </c>
      <c r="AS12" s="351" t="str">
        <f>Backend!BG17</f>
        <v/>
      </c>
      <c r="AT12" s="351" t="str">
        <f>Backend!BH17</f>
        <v/>
      </c>
      <c r="AU12" s="351" t="str">
        <f>Backend!BI17</f>
        <v/>
      </c>
      <c r="AV12" s="351" t="str">
        <f>Backend!BJ17</f>
        <v/>
      </c>
      <c r="AW12" s="351" t="str">
        <f>_xlfn.IFNA(Backend!O17,"")</f>
        <v/>
      </c>
      <c r="AX12" s="355" t="str">
        <f>_xlfn.IFNA(IF(D12="","",Backend!BK17),"")</f>
        <v/>
      </c>
      <c r="AY12" s="356" t="str">
        <f t="shared" si="7"/>
        <v/>
      </c>
      <c r="BB12" s="70"/>
    </row>
    <row r="13" spans="1:54">
      <c r="A13" s="89">
        <v>11</v>
      </c>
      <c r="B13" s="154" t="str">
        <f t="shared" si="16"/>
        <v>MB512123</v>
      </c>
      <c r="C13" s="89"/>
      <c r="D13" s="89"/>
      <c r="E13" s="89"/>
      <c r="F13" s="89"/>
      <c r="G13" s="89"/>
      <c r="H13" s="89"/>
      <c r="I13" s="89"/>
      <c r="J13" s="89"/>
      <c r="K13" s="351" t="str">
        <f>_xlfn.IFNA(Backend!AN18,"")</f>
        <v/>
      </c>
      <c r="L13" s="351" t="str">
        <f t="shared" si="8"/>
        <v/>
      </c>
      <c r="M13" s="351" t="str">
        <f t="shared" si="9"/>
        <v/>
      </c>
      <c r="N13" s="351" t="str">
        <f t="shared" si="10"/>
        <v/>
      </c>
      <c r="O13" s="351" t="str">
        <f t="shared" si="11"/>
        <v/>
      </c>
      <c r="P13" s="355" t="str">
        <f t="shared" si="12"/>
        <v/>
      </c>
      <c r="Q13" s="357" t="str">
        <f t="shared" si="13"/>
        <v/>
      </c>
      <c r="R13" s="323"/>
      <c r="S13" s="323"/>
      <c r="T13" s="351" t="str">
        <f>_xlfn.IFNA(IF(VLOOKUP(D13,Group!C:I,7,0)=0,"",VLOOKUP(D13,Group!C:I,7,0)),"")</f>
        <v/>
      </c>
      <c r="U13" s="351" t="str">
        <f t="shared" si="14"/>
        <v/>
      </c>
      <c r="V13" s="351" t="str">
        <f t="shared" si="15"/>
        <v/>
      </c>
      <c r="AA13" s="351" t="str">
        <f>_xlfn.IFNA(Backend!AO18,"")</f>
        <v/>
      </c>
      <c r="AB13" s="351" t="str">
        <f>Backend!AP18</f>
        <v/>
      </c>
      <c r="AC13" s="351" t="str">
        <f>Backend!AQ18</f>
        <v/>
      </c>
      <c r="AD13" s="351" t="str">
        <f>Backend!AR18</f>
        <v/>
      </c>
      <c r="AE13" s="351" t="str">
        <f>Backend!AS18</f>
        <v/>
      </c>
      <c r="AF13" s="351" t="str">
        <f>Backend!AT18</f>
        <v/>
      </c>
      <c r="AG13" s="351" t="str">
        <f>Backend!AU18</f>
        <v/>
      </c>
      <c r="AH13" s="351" t="str">
        <f>Backend!AV18</f>
        <v/>
      </c>
      <c r="AI13" s="351" t="str">
        <f>Backend!AW18</f>
        <v/>
      </c>
      <c r="AJ13" s="351" t="str">
        <f>Backend!AX18</f>
        <v/>
      </c>
      <c r="AK13" s="351" t="str">
        <f>Backend!AY18</f>
        <v/>
      </c>
      <c r="AL13" s="351" t="str">
        <f>Backend!AZ18</f>
        <v/>
      </c>
      <c r="AM13" s="351" t="str">
        <f>Backend!BA18</f>
        <v/>
      </c>
      <c r="AN13" s="351" t="str">
        <f>Backend!BB18</f>
        <v/>
      </c>
      <c r="AO13" s="351" t="str">
        <f>Backend!BC18</f>
        <v/>
      </c>
      <c r="AP13" s="351" t="str">
        <f>Backend!BD18</f>
        <v/>
      </c>
      <c r="AQ13" s="351" t="str">
        <f>Backend!BE18</f>
        <v/>
      </c>
      <c r="AR13" s="351" t="str">
        <f>Backend!BF18</f>
        <v/>
      </c>
      <c r="AS13" s="351" t="str">
        <f>Backend!BG18</f>
        <v/>
      </c>
      <c r="AT13" s="351" t="str">
        <f>Backend!BH18</f>
        <v/>
      </c>
      <c r="AU13" s="351" t="str">
        <f>Backend!BI18</f>
        <v/>
      </c>
      <c r="AV13" s="351" t="str">
        <f>Backend!BJ18</f>
        <v/>
      </c>
      <c r="AW13" s="351" t="str">
        <f>_xlfn.IFNA(Backend!O18,"")</f>
        <v/>
      </c>
      <c r="AX13" s="355" t="str">
        <f>_xlfn.IFNA(IF(D13="","",Backend!BK18),"")</f>
        <v/>
      </c>
      <c r="AY13" s="356" t="str">
        <f t="shared" si="7"/>
        <v/>
      </c>
      <c r="BB13" s="70"/>
    </row>
    <row r="14" spans="1:54">
      <c r="A14" s="89">
        <v>12</v>
      </c>
      <c r="B14" s="154" t="str">
        <f t="shared" si="16"/>
        <v>MB512123</v>
      </c>
      <c r="C14" s="89"/>
      <c r="D14" s="89"/>
      <c r="E14" s="89"/>
      <c r="F14" s="89"/>
      <c r="G14" s="89"/>
      <c r="H14" s="89"/>
      <c r="I14" s="89"/>
      <c r="J14" s="89"/>
      <c r="K14" s="351" t="str">
        <f>_xlfn.IFNA(Backend!AN19,"")</f>
        <v/>
      </c>
      <c r="L14" s="351" t="str">
        <f t="shared" si="8"/>
        <v/>
      </c>
      <c r="M14" s="351" t="str">
        <f t="shared" si="9"/>
        <v/>
      </c>
      <c r="N14" s="351" t="str">
        <f t="shared" si="10"/>
        <v/>
      </c>
      <c r="O14" s="351" t="str">
        <f t="shared" si="11"/>
        <v/>
      </c>
      <c r="P14" s="355" t="str">
        <f t="shared" si="12"/>
        <v/>
      </c>
      <c r="Q14" s="357" t="str">
        <f t="shared" si="13"/>
        <v/>
      </c>
      <c r="R14" s="323"/>
      <c r="S14" s="323"/>
      <c r="T14" s="351" t="str">
        <f>_xlfn.IFNA(IF(VLOOKUP(D14,Group!C:I,7,0)=0,"",VLOOKUP(D14,Group!C:I,7,0)),"")</f>
        <v/>
      </c>
      <c r="U14" s="351" t="str">
        <f t="shared" si="14"/>
        <v/>
      </c>
      <c r="V14" s="351" t="str">
        <f t="shared" si="15"/>
        <v/>
      </c>
      <c r="AA14" s="351" t="str">
        <f>_xlfn.IFNA(Backend!AO19,"")</f>
        <v/>
      </c>
      <c r="AB14" s="351" t="str">
        <f>Backend!AP19</f>
        <v/>
      </c>
      <c r="AC14" s="351" t="str">
        <f>Backend!AQ19</f>
        <v/>
      </c>
      <c r="AD14" s="351" t="str">
        <f>Backend!AR19</f>
        <v/>
      </c>
      <c r="AE14" s="351" t="str">
        <f>Backend!AS19</f>
        <v/>
      </c>
      <c r="AF14" s="351" t="str">
        <f>Backend!AT19</f>
        <v/>
      </c>
      <c r="AG14" s="351" t="str">
        <f>Backend!AU19</f>
        <v/>
      </c>
      <c r="AH14" s="351" t="str">
        <f>Backend!AV19</f>
        <v/>
      </c>
      <c r="AI14" s="351" t="str">
        <f>Backend!AW19</f>
        <v/>
      </c>
      <c r="AJ14" s="351" t="str">
        <f>Backend!AX19</f>
        <v/>
      </c>
      <c r="AK14" s="351" t="str">
        <f>Backend!AY19</f>
        <v/>
      </c>
      <c r="AL14" s="351" t="str">
        <f>Backend!AZ19</f>
        <v/>
      </c>
      <c r="AM14" s="351" t="str">
        <f>Backend!BA19</f>
        <v/>
      </c>
      <c r="AN14" s="351" t="str">
        <f>Backend!BB19</f>
        <v/>
      </c>
      <c r="AO14" s="351" t="str">
        <f>Backend!BC19</f>
        <v/>
      </c>
      <c r="AP14" s="351" t="str">
        <f>Backend!BD19</f>
        <v/>
      </c>
      <c r="AQ14" s="351" t="str">
        <f>Backend!BE19</f>
        <v/>
      </c>
      <c r="AR14" s="351" t="str">
        <f>Backend!BF19</f>
        <v/>
      </c>
      <c r="AS14" s="351" t="str">
        <f>Backend!BG19</f>
        <v/>
      </c>
      <c r="AT14" s="351" t="str">
        <f>Backend!BH19</f>
        <v/>
      </c>
      <c r="AU14" s="351" t="str">
        <f>Backend!BI19</f>
        <v/>
      </c>
      <c r="AV14" s="351" t="str">
        <f>Backend!BJ19</f>
        <v/>
      </c>
      <c r="AW14" s="351" t="str">
        <f>_xlfn.IFNA(Backend!O19,"")</f>
        <v/>
      </c>
      <c r="AX14" s="355" t="str">
        <f>_xlfn.IFNA(IF(D14="","",Backend!BK19),"")</f>
        <v/>
      </c>
      <c r="AY14" s="356" t="str">
        <f t="shared" si="7"/>
        <v/>
      </c>
      <c r="BB14" s="70"/>
    </row>
    <row r="15" spans="1:54">
      <c r="A15" s="89">
        <v>13</v>
      </c>
      <c r="B15" s="154" t="str">
        <f t="shared" si="16"/>
        <v>MB512123</v>
      </c>
      <c r="C15" s="89"/>
      <c r="D15" s="89"/>
      <c r="E15" s="89"/>
      <c r="F15" s="89"/>
      <c r="G15" s="89"/>
      <c r="H15" s="89"/>
      <c r="I15" s="89"/>
      <c r="J15" s="89"/>
      <c r="K15" s="351" t="str">
        <f>_xlfn.IFNA(Backend!AN20,"")</f>
        <v/>
      </c>
      <c r="L15" s="351" t="str">
        <f t="shared" si="8"/>
        <v/>
      </c>
      <c r="M15" s="351" t="str">
        <f t="shared" si="9"/>
        <v/>
      </c>
      <c r="N15" s="351" t="str">
        <f t="shared" si="10"/>
        <v/>
      </c>
      <c r="O15" s="351" t="str">
        <f t="shared" si="11"/>
        <v/>
      </c>
      <c r="P15" s="355" t="str">
        <f t="shared" si="12"/>
        <v/>
      </c>
      <c r="Q15" s="357" t="str">
        <f t="shared" si="13"/>
        <v/>
      </c>
      <c r="R15" s="323"/>
      <c r="S15" s="323"/>
      <c r="T15" s="351" t="str">
        <f>_xlfn.IFNA(IF(VLOOKUP(D15,Group!C:I,7,0)=0,"",VLOOKUP(D15,Group!C:I,7,0)),"")</f>
        <v/>
      </c>
      <c r="U15" s="351" t="str">
        <f t="shared" si="14"/>
        <v/>
      </c>
      <c r="V15" s="351" t="str">
        <f t="shared" si="15"/>
        <v/>
      </c>
      <c r="AA15" s="351" t="str">
        <f>_xlfn.IFNA(Backend!AO20,"")</f>
        <v/>
      </c>
      <c r="AB15" s="351" t="str">
        <f>Backend!AP20</f>
        <v/>
      </c>
      <c r="AC15" s="351" t="str">
        <f>Backend!AQ20</f>
        <v/>
      </c>
      <c r="AD15" s="351" t="str">
        <f>Backend!AR20</f>
        <v/>
      </c>
      <c r="AE15" s="351" t="str">
        <f>Backend!AS20</f>
        <v/>
      </c>
      <c r="AF15" s="351" t="str">
        <f>Backend!AT20</f>
        <v/>
      </c>
      <c r="AG15" s="351" t="str">
        <f>Backend!AU20</f>
        <v/>
      </c>
      <c r="AH15" s="351" t="str">
        <f>Backend!AV20</f>
        <v/>
      </c>
      <c r="AI15" s="351" t="str">
        <f>Backend!AW20</f>
        <v/>
      </c>
      <c r="AJ15" s="351" t="str">
        <f>Backend!AX20</f>
        <v/>
      </c>
      <c r="AK15" s="351" t="str">
        <f>Backend!AY20</f>
        <v/>
      </c>
      <c r="AL15" s="351" t="str">
        <f>Backend!AZ20</f>
        <v/>
      </c>
      <c r="AM15" s="351" t="str">
        <f>Backend!BA20</f>
        <v/>
      </c>
      <c r="AN15" s="351" t="str">
        <f>Backend!BB20</f>
        <v/>
      </c>
      <c r="AO15" s="351" t="str">
        <f>Backend!BC20</f>
        <v/>
      </c>
      <c r="AP15" s="351" t="str">
        <f>Backend!BD20</f>
        <v/>
      </c>
      <c r="AQ15" s="351" t="str">
        <f>Backend!BE20</f>
        <v/>
      </c>
      <c r="AR15" s="351" t="str">
        <f>Backend!BF20</f>
        <v/>
      </c>
      <c r="AS15" s="351" t="str">
        <f>Backend!BG20</f>
        <v/>
      </c>
      <c r="AT15" s="351" t="str">
        <f>Backend!BH20</f>
        <v/>
      </c>
      <c r="AU15" s="351" t="str">
        <f>Backend!BI20</f>
        <v/>
      </c>
      <c r="AV15" s="351" t="str">
        <f>Backend!BJ20</f>
        <v/>
      </c>
      <c r="AW15" s="351" t="str">
        <f>_xlfn.IFNA(Backend!O20,"")</f>
        <v/>
      </c>
      <c r="AX15" s="355" t="str">
        <f>_xlfn.IFNA(IF(D15="","",Backend!BK20),"")</f>
        <v/>
      </c>
      <c r="AY15" s="356" t="str">
        <f t="shared" si="7"/>
        <v/>
      </c>
      <c r="BB15" s="70"/>
    </row>
    <row r="16" spans="1:54">
      <c r="A16" s="89">
        <v>14</v>
      </c>
      <c r="B16" s="154" t="str">
        <f t="shared" si="16"/>
        <v>MB512123</v>
      </c>
      <c r="C16" s="89"/>
      <c r="D16" s="89"/>
      <c r="E16" s="89"/>
      <c r="F16" s="89"/>
      <c r="G16" s="89"/>
      <c r="H16" s="89"/>
      <c r="I16" s="89"/>
      <c r="J16" s="89"/>
      <c r="K16" s="351" t="str">
        <f>_xlfn.IFNA(Backend!AN21,"")</f>
        <v/>
      </c>
      <c r="L16" s="351" t="str">
        <f t="shared" si="8"/>
        <v/>
      </c>
      <c r="M16" s="351" t="str">
        <f t="shared" si="9"/>
        <v/>
      </c>
      <c r="N16" s="351" t="str">
        <f t="shared" si="10"/>
        <v/>
      </c>
      <c r="O16" s="351" t="str">
        <f t="shared" si="11"/>
        <v/>
      </c>
      <c r="P16" s="355" t="str">
        <f t="shared" si="12"/>
        <v/>
      </c>
      <c r="Q16" s="357" t="str">
        <f t="shared" si="13"/>
        <v/>
      </c>
      <c r="R16" s="323"/>
      <c r="S16" s="323"/>
      <c r="T16" s="351" t="str">
        <f>_xlfn.IFNA(IF(VLOOKUP(D16,Group!C:I,7,0)=0,"",VLOOKUP(D16,Group!C:I,7,0)),"")</f>
        <v/>
      </c>
      <c r="U16" s="351" t="str">
        <f t="shared" si="14"/>
        <v/>
      </c>
      <c r="V16" s="351" t="str">
        <f t="shared" si="15"/>
        <v/>
      </c>
      <c r="AA16" s="351" t="str">
        <f>_xlfn.IFNA(Backend!AO21,"")</f>
        <v/>
      </c>
      <c r="AB16" s="351" t="str">
        <f>Backend!AP21</f>
        <v/>
      </c>
      <c r="AC16" s="351" t="str">
        <f>Backend!AQ21</f>
        <v/>
      </c>
      <c r="AD16" s="351" t="str">
        <f>Backend!AR21</f>
        <v/>
      </c>
      <c r="AE16" s="351" t="str">
        <f>Backend!AS21</f>
        <v/>
      </c>
      <c r="AF16" s="351" t="str">
        <f>Backend!AT21</f>
        <v/>
      </c>
      <c r="AG16" s="351" t="str">
        <f>Backend!AU21</f>
        <v/>
      </c>
      <c r="AH16" s="351" t="str">
        <f>Backend!AV21</f>
        <v/>
      </c>
      <c r="AI16" s="351" t="str">
        <f>Backend!AW21</f>
        <v/>
      </c>
      <c r="AJ16" s="351" t="str">
        <f>Backend!AX21</f>
        <v/>
      </c>
      <c r="AK16" s="351" t="str">
        <f>Backend!AY21</f>
        <v/>
      </c>
      <c r="AL16" s="351" t="str">
        <f>Backend!AZ21</f>
        <v/>
      </c>
      <c r="AM16" s="351" t="str">
        <f>Backend!BA21</f>
        <v/>
      </c>
      <c r="AN16" s="351" t="str">
        <f>Backend!BB21</f>
        <v/>
      </c>
      <c r="AO16" s="351" t="str">
        <f>Backend!BC21</f>
        <v/>
      </c>
      <c r="AP16" s="351" t="str">
        <f>Backend!BD21</f>
        <v/>
      </c>
      <c r="AQ16" s="351" t="str">
        <f>Backend!BE21</f>
        <v/>
      </c>
      <c r="AR16" s="351" t="str">
        <f>Backend!BF21</f>
        <v/>
      </c>
      <c r="AS16" s="351" t="str">
        <f>Backend!BG21</f>
        <v/>
      </c>
      <c r="AT16" s="351" t="str">
        <f>Backend!BH21</f>
        <v/>
      </c>
      <c r="AU16" s="351" t="str">
        <f>Backend!BI21</f>
        <v/>
      </c>
      <c r="AV16" s="351" t="str">
        <f>Backend!BJ21</f>
        <v/>
      </c>
      <c r="AW16" s="351" t="str">
        <f>_xlfn.IFNA(Backend!O21,"")</f>
        <v/>
      </c>
      <c r="AX16" s="355" t="str">
        <f>_xlfn.IFNA(IF(D16="","",Backend!BK21),"")</f>
        <v/>
      </c>
      <c r="AY16" s="356" t="str">
        <f t="shared" si="7"/>
        <v/>
      </c>
      <c r="BB16" s="70"/>
    </row>
    <row r="17" spans="1:54">
      <c r="A17" s="89">
        <v>15</v>
      </c>
      <c r="B17" s="154" t="str">
        <f t="shared" si="16"/>
        <v>MB512123</v>
      </c>
      <c r="C17" s="89"/>
      <c r="D17" s="89"/>
      <c r="E17" s="89"/>
      <c r="F17" s="89"/>
      <c r="G17" s="89"/>
      <c r="H17" s="89"/>
      <c r="I17" s="89"/>
      <c r="J17" s="89"/>
      <c r="K17" s="351" t="str">
        <f>_xlfn.IFNA(Backend!AN22,"")</f>
        <v/>
      </c>
      <c r="L17" s="351" t="str">
        <f t="shared" si="8"/>
        <v/>
      </c>
      <c r="M17" s="351" t="str">
        <f t="shared" si="9"/>
        <v/>
      </c>
      <c r="N17" s="351" t="str">
        <f t="shared" si="10"/>
        <v/>
      </c>
      <c r="O17" s="351" t="str">
        <f t="shared" si="11"/>
        <v/>
      </c>
      <c r="P17" s="355" t="str">
        <f t="shared" si="12"/>
        <v/>
      </c>
      <c r="Q17" s="357" t="str">
        <f t="shared" si="13"/>
        <v/>
      </c>
      <c r="R17" s="323"/>
      <c r="S17" s="323"/>
      <c r="T17" s="351" t="str">
        <f>_xlfn.IFNA(IF(VLOOKUP(D17,Group!C:I,7,0)=0,"",VLOOKUP(D17,Group!C:I,7,0)),"")</f>
        <v/>
      </c>
      <c r="U17" s="351" t="str">
        <f t="shared" si="14"/>
        <v/>
      </c>
      <c r="V17" s="351" t="str">
        <f t="shared" si="15"/>
        <v/>
      </c>
      <c r="AA17" s="351" t="str">
        <f>_xlfn.IFNA(Backend!AO22,"")</f>
        <v/>
      </c>
      <c r="AB17" s="351" t="str">
        <f>Backend!AP22</f>
        <v/>
      </c>
      <c r="AC17" s="351" t="str">
        <f>Backend!AQ22</f>
        <v/>
      </c>
      <c r="AD17" s="351" t="str">
        <f>Backend!AR22</f>
        <v/>
      </c>
      <c r="AE17" s="351" t="str">
        <f>Backend!AS22</f>
        <v/>
      </c>
      <c r="AF17" s="351" t="str">
        <f>Backend!AT22</f>
        <v/>
      </c>
      <c r="AG17" s="351" t="str">
        <f>Backend!AU22</f>
        <v/>
      </c>
      <c r="AH17" s="351" t="str">
        <f>Backend!AV22</f>
        <v/>
      </c>
      <c r="AI17" s="351" t="str">
        <f>Backend!AW22</f>
        <v/>
      </c>
      <c r="AJ17" s="351" t="str">
        <f>Backend!AX22</f>
        <v/>
      </c>
      <c r="AK17" s="351" t="str">
        <f>Backend!AY22</f>
        <v/>
      </c>
      <c r="AL17" s="351" t="str">
        <f>Backend!AZ22</f>
        <v/>
      </c>
      <c r="AM17" s="351" t="str">
        <f>Backend!BA22</f>
        <v/>
      </c>
      <c r="AN17" s="351" t="str">
        <f>Backend!BB22</f>
        <v/>
      </c>
      <c r="AO17" s="351" t="str">
        <f>Backend!BC22</f>
        <v/>
      </c>
      <c r="AP17" s="351" t="str">
        <f>Backend!BD22</f>
        <v/>
      </c>
      <c r="AQ17" s="351" t="str">
        <f>Backend!BE22</f>
        <v/>
      </c>
      <c r="AR17" s="351" t="str">
        <f>Backend!BF22</f>
        <v/>
      </c>
      <c r="AS17" s="351" t="str">
        <f>Backend!BG22</f>
        <v/>
      </c>
      <c r="AT17" s="351" t="str">
        <f>Backend!BH22</f>
        <v/>
      </c>
      <c r="AU17" s="351" t="str">
        <f>Backend!BI22</f>
        <v/>
      </c>
      <c r="AV17" s="351" t="str">
        <f>Backend!BJ22</f>
        <v/>
      </c>
      <c r="AW17" s="351" t="str">
        <f>_xlfn.IFNA(Backend!O22,"")</f>
        <v/>
      </c>
      <c r="AX17" s="355" t="str">
        <f>_xlfn.IFNA(IF(D17="","",Backend!BK22),"")</f>
        <v/>
      </c>
      <c r="AY17" s="356" t="str">
        <f t="shared" si="7"/>
        <v/>
      </c>
      <c r="BB17" s="70"/>
    </row>
    <row r="18" spans="1:54">
      <c r="A18" s="89">
        <v>16</v>
      </c>
      <c r="B18" s="154" t="str">
        <f t="shared" si="16"/>
        <v>MB512123</v>
      </c>
      <c r="C18" s="89"/>
      <c r="D18" s="89"/>
      <c r="E18" s="89"/>
      <c r="F18" s="89"/>
      <c r="G18" s="89"/>
      <c r="H18" s="89"/>
      <c r="I18" s="89"/>
      <c r="J18" s="89"/>
      <c r="K18" s="351" t="str">
        <f>_xlfn.IFNA(Backend!AN23,"")</f>
        <v/>
      </c>
      <c r="L18" s="351" t="str">
        <f t="shared" si="8"/>
        <v/>
      </c>
      <c r="M18" s="351" t="str">
        <f t="shared" si="9"/>
        <v/>
      </c>
      <c r="N18" s="351" t="str">
        <f t="shared" si="10"/>
        <v/>
      </c>
      <c r="O18" s="351" t="str">
        <f t="shared" si="11"/>
        <v/>
      </c>
      <c r="P18" s="355" t="str">
        <f t="shared" si="12"/>
        <v/>
      </c>
      <c r="Q18" s="357" t="str">
        <f t="shared" si="13"/>
        <v/>
      </c>
      <c r="R18" s="323"/>
      <c r="S18" s="323"/>
      <c r="T18" s="351" t="str">
        <f>_xlfn.IFNA(IF(VLOOKUP(D18,Group!C:I,7,0)=0,"",VLOOKUP(D18,Group!C:I,7,0)),"")</f>
        <v/>
      </c>
      <c r="U18" s="351" t="str">
        <f t="shared" si="14"/>
        <v/>
      </c>
      <c r="V18" s="351" t="str">
        <f t="shared" si="15"/>
        <v/>
      </c>
      <c r="AA18" s="351" t="str">
        <f>_xlfn.IFNA(Backend!AO23,"")</f>
        <v/>
      </c>
      <c r="AB18" s="351" t="str">
        <f>Backend!AP23</f>
        <v/>
      </c>
      <c r="AC18" s="351" t="str">
        <f>Backend!AQ23</f>
        <v/>
      </c>
      <c r="AD18" s="351" t="str">
        <f>Backend!AR23</f>
        <v/>
      </c>
      <c r="AE18" s="351" t="str">
        <f>Backend!AS23</f>
        <v/>
      </c>
      <c r="AF18" s="351" t="str">
        <f>Backend!AT23</f>
        <v/>
      </c>
      <c r="AG18" s="351" t="str">
        <f>Backend!AU23</f>
        <v/>
      </c>
      <c r="AH18" s="351" t="str">
        <f>Backend!AV23</f>
        <v/>
      </c>
      <c r="AI18" s="351" t="str">
        <f>Backend!AW23</f>
        <v/>
      </c>
      <c r="AJ18" s="351" t="str">
        <f>Backend!AX23</f>
        <v/>
      </c>
      <c r="AK18" s="351" t="str">
        <f>Backend!AY23</f>
        <v/>
      </c>
      <c r="AL18" s="351" t="str">
        <f>Backend!AZ23</f>
        <v/>
      </c>
      <c r="AM18" s="351" t="str">
        <f>Backend!BA23</f>
        <v/>
      </c>
      <c r="AN18" s="351" t="str">
        <f>Backend!BB23</f>
        <v/>
      </c>
      <c r="AO18" s="351" t="str">
        <f>Backend!BC23</f>
        <v/>
      </c>
      <c r="AP18" s="351" t="str">
        <f>Backend!BD23</f>
        <v/>
      </c>
      <c r="AQ18" s="351" t="str">
        <f>Backend!BE23</f>
        <v/>
      </c>
      <c r="AR18" s="351" t="str">
        <f>Backend!BF23</f>
        <v/>
      </c>
      <c r="AS18" s="351" t="str">
        <f>Backend!BG23</f>
        <v/>
      </c>
      <c r="AT18" s="351" t="str">
        <f>Backend!BH23</f>
        <v/>
      </c>
      <c r="AU18" s="351" t="str">
        <f>Backend!BI23</f>
        <v/>
      </c>
      <c r="AV18" s="351" t="str">
        <f>Backend!BJ23</f>
        <v/>
      </c>
      <c r="AW18" s="351" t="str">
        <f>_xlfn.IFNA(Backend!O23,"")</f>
        <v/>
      </c>
      <c r="AX18" s="355" t="str">
        <f>_xlfn.IFNA(IF(D18="","",Backend!BK23),"")</f>
        <v/>
      </c>
      <c r="AY18" s="356" t="str">
        <f t="shared" si="7"/>
        <v/>
      </c>
      <c r="BB18" s="70"/>
    </row>
    <row r="19" spans="1:54">
      <c r="A19" s="89">
        <v>17</v>
      </c>
      <c r="B19" s="154" t="str">
        <f t="shared" si="16"/>
        <v>MB512123</v>
      </c>
      <c r="C19" s="89"/>
      <c r="D19" s="89"/>
      <c r="E19" s="89"/>
      <c r="F19" s="89"/>
      <c r="G19" s="89"/>
      <c r="H19" s="89"/>
      <c r="I19" s="89"/>
      <c r="J19" s="89"/>
      <c r="K19" s="351" t="str">
        <f>_xlfn.IFNA(Backend!AN24,"")</f>
        <v/>
      </c>
      <c r="L19" s="351" t="str">
        <f t="shared" si="8"/>
        <v/>
      </c>
      <c r="M19" s="351" t="str">
        <f t="shared" si="9"/>
        <v/>
      </c>
      <c r="N19" s="351" t="str">
        <f t="shared" si="10"/>
        <v/>
      </c>
      <c r="O19" s="351" t="str">
        <f t="shared" si="11"/>
        <v/>
      </c>
      <c r="P19" s="355" t="str">
        <f t="shared" si="12"/>
        <v/>
      </c>
      <c r="Q19" s="357" t="str">
        <f t="shared" si="13"/>
        <v/>
      </c>
      <c r="R19" s="323"/>
      <c r="S19" s="323"/>
      <c r="T19" s="351" t="str">
        <f>_xlfn.IFNA(IF(VLOOKUP(D19,Group!C:I,7,0)=0,"",VLOOKUP(D19,Group!C:I,7,0)),"")</f>
        <v/>
      </c>
      <c r="U19" s="351" t="str">
        <f t="shared" si="14"/>
        <v/>
      </c>
      <c r="V19" s="351" t="str">
        <f t="shared" si="15"/>
        <v/>
      </c>
      <c r="AA19" s="351" t="str">
        <f>_xlfn.IFNA(Backend!AO24,"")</f>
        <v/>
      </c>
      <c r="AB19" s="351" t="str">
        <f>Backend!AP24</f>
        <v/>
      </c>
      <c r="AC19" s="351" t="str">
        <f>Backend!AQ24</f>
        <v/>
      </c>
      <c r="AD19" s="351" t="str">
        <f>Backend!AR24</f>
        <v/>
      </c>
      <c r="AE19" s="351" t="str">
        <f>Backend!AS24</f>
        <v/>
      </c>
      <c r="AF19" s="351" t="str">
        <f>Backend!AT24</f>
        <v/>
      </c>
      <c r="AG19" s="351" t="str">
        <f>Backend!AU24</f>
        <v/>
      </c>
      <c r="AH19" s="351" t="str">
        <f>Backend!AV24</f>
        <v/>
      </c>
      <c r="AI19" s="351" t="str">
        <f>Backend!AW24</f>
        <v/>
      </c>
      <c r="AJ19" s="351" t="str">
        <f>Backend!AX24</f>
        <v/>
      </c>
      <c r="AK19" s="351" t="str">
        <f>Backend!AY24</f>
        <v/>
      </c>
      <c r="AL19" s="351" t="str">
        <f>Backend!AZ24</f>
        <v/>
      </c>
      <c r="AM19" s="351" t="str">
        <f>Backend!BA24</f>
        <v/>
      </c>
      <c r="AN19" s="351" t="str">
        <f>Backend!BB24</f>
        <v/>
      </c>
      <c r="AO19" s="351" t="str">
        <f>Backend!BC24</f>
        <v/>
      </c>
      <c r="AP19" s="351" t="str">
        <f>Backend!BD24</f>
        <v/>
      </c>
      <c r="AQ19" s="351" t="str">
        <f>Backend!BE24</f>
        <v/>
      </c>
      <c r="AR19" s="351" t="str">
        <f>Backend!BF24</f>
        <v/>
      </c>
      <c r="AS19" s="351" t="str">
        <f>Backend!BG24</f>
        <v/>
      </c>
      <c r="AT19" s="351" t="str">
        <f>Backend!BH24</f>
        <v/>
      </c>
      <c r="AU19" s="351" t="str">
        <f>Backend!BI24</f>
        <v/>
      </c>
      <c r="AV19" s="351" t="str">
        <f>Backend!BJ24</f>
        <v/>
      </c>
      <c r="AW19" s="351" t="str">
        <f>_xlfn.IFNA(Backend!O24,"")</f>
        <v/>
      </c>
      <c r="AX19" s="355" t="str">
        <f>_xlfn.IFNA(IF(D19="","",Backend!BK24),"")</f>
        <v/>
      </c>
      <c r="AY19" s="356" t="str">
        <f t="shared" si="7"/>
        <v/>
      </c>
      <c r="BB19" s="70"/>
    </row>
    <row r="20" spans="1:54">
      <c r="A20" s="89">
        <v>18</v>
      </c>
      <c r="B20" s="154" t="str">
        <f t="shared" si="16"/>
        <v>MB512123</v>
      </c>
      <c r="C20" s="89"/>
      <c r="D20" s="89"/>
      <c r="E20" s="89"/>
      <c r="F20" s="89"/>
      <c r="G20" s="89"/>
      <c r="H20" s="89"/>
      <c r="I20" s="89"/>
      <c r="J20" s="89"/>
      <c r="K20" s="351" t="str">
        <f>_xlfn.IFNA(Backend!AN25,"")</f>
        <v/>
      </c>
      <c r="L20" s="351" t="str">
        <f t="shared" si="8"/>
        <v/>
      </c>
      <c r="M20" s="351" t="str">
        <f t="shared" si="9"/>
        <v/>
      </c>
      <c r="N20" s="351" t="str">
        <f t="shared" si="10"/>
        <v/>
      </c>
      <c r="O20" s="351" t="str">
        <f t="shared" si="11"/>
        <v/>
      </c>
      <c r="P20" s="355" t="str">
        <f t="shared" si="12"/>
        <v/>
      </c>
      <c r="Q20" s="357" t="str">
        <f t="shared" si="13"/>
        <v/>
      </c>
      <c r="R20" s="323"/>
      <c r="S20" s="323"/>
      <c r="T20" s="351" t="str">
        <f>_xlfn.IFNA(IF(VLOOKUP(D20,Group!C:I,7,0)=0,"",VLOOKUP(D20,Group!C:I,7,0)),"")</f>
        <v/>
      </c>
      <c r="U20" s="351" t="str">
        <f t="shared" si="14"/>
        <v/>
      </c>
      <c r="V20" s="351" t="str">
        <f t="shared" si="15"/>
        <v/>
      </c>
      <c r="AA20" s="351" t="str">
        <f>_xlfn.IFNA(Backend!AO25,"")</f>
        <v/>
      </c>
      <c r="AB20" s="351" t="str">
        <f>Backend!AP25</f>
        <v/>
      </c>
      <c r="AC20" s="351" t="str">
        <f>Backend!AQ25</f>
        <v/>
      </c>
      <c r="AD20" s="351" t="str">
        <f>Backend!AR25</f>
        <v/>
      </c>
      <c r="AE20" s="351" t="str">
        <f>Backend!AS25</f>
        <v/>
      </c>
      <c r="AF20" s="351" t="str">
        <f>Backend!AT25</f>
        <v/>
      </c>
      <c r="AG20" s="351" t="str">
        <f>Backend!AU25</f>
        <v/>
      </c>
      <c r="AH20" s="351" t="str">
        <f>Backend!AV25</f>
        <v/>
      </c>
      <c r="AI20" s="351" t="str">
        <f>Backend!AW25</f>
        <v/>
      </c>
      <c r="AJ20" s="351" t="str">
        <f>Backend!AX25</f>
        <v/>
      </c>
      <c r="AK20" s="351" t="str">
        <f>Backend!AY25</f>
        <v/>
      </c>
      <c r="AL20" s="351" t="str">
        <f>Backend!AZ25</f>
        <v/>
      </c>
      <c r="AM20" s="351" t="str">
        <f>Backend!BA25</f>
        <v/>
      </c>
      <c r="AN20" s="351" t="str">
        <f>Backend!BB25</f>
        <v/>
      </c>
      <c r="AO20" s="351" t="str">
        <f>Backend!BC25</f>
        <v/>
      </c>
      <c r="AP20" s="351" t="str">
        <f>Backend!BD25</f>
        <v/>
      </c>
      <c r="AQ20" s="351" t="str">
        <f>Backend!BE25</f>
        <v/>
      </c>
      <c r="AR20" s="351" t="str">
        <f>Backend!BF25</f>
        <v/>
      </c>
      <c r="AS20" s="351" t="str">
        <f>Backend!BG25</f>
        <v/>
      </c>
      <c r="AT20" s="351" t="str">
        <f>Backend!BH25</f>
        <v/>
      </c>
      <c r="AU20" s="351" t="str">
        <f>Backend!BI25</f>
        <v/>
      </c>
      <c r="AV20" s="351" t="str">
        <f>Backend!BJ25</f>
        <v/>
      </c>
      <c r="AW20" s="351" t="str">
        <f>_xlfn.IFNA(Backend!O25,"")</f>
        <v/>
      </c>
      <c r="AX20" s="355" t="str">
        <f>_xlfn.IFNA(IF(D20="","",Backend!BK25),"")</f>
        <v/>
      </c>
      <c r="AY20" s="356" t="str">
        <f t="shared" si="7"/>
        <v/>
      </c>
      <c r="BB20" s="70"/>
    </row>
    <row r="21" spans="1:54">
      <c r="A21" s="89">
        <v>19</v>
      </c>
      <c r="B21" s="154" t="str">
        <f t="shared" si="16"/>
        <v>MB512123</v>
      </c>
      <c r="C21" s="89"/>
      <c r="D21" s="89"/>
      <c r="E21" s="89"/>
      <c r="F21" s="89"/>
      <c r="G21" s="89"/>
      <c r="H21" s="89"/>
      <c r="I21" s="89"/>
      <c r="J21" s="89"/>
      <c r="K21" s="351" t="str">
        <f>_xlfn.IFNA(Backend!AN26,"")</f>
        <v/>
      </c>
      <c r="L21" s="351" t="str">
        <f t="shared" si="8"/>
        <v/>
      </c>
      <c r="M21" s="351" t="str">
        <f t="shared" si="9"/>
        <v/>
      </c>
      <c r="N21" s="351" t="str">
        <f t="shared" si="10"/>
        <v/>
      </c>
      <c r="O21" s="351" t="str">
        <f t="shared" si="11"/>
        <v/>
      </c>
      <c r="P21" s="355" t="str">
        <f t="shared" si="12"/>
        <v/>
      </c>
      <c r="Q21" s="357" t="str">
        <f t="shared" si="13"/>
        <v/>
      </c>
      <c r="R21" s="323"/>
      <c r="S21" s="323"/>
      <c r="T21" s="351" t="str">
        <f>_xlfn.IFNA(IF(VLOOKUP(D21,Group!C:I,7,0)=0,"",VLOOKUP(D21,Group!C:I,7,0)),"")</f>
        <v/>
      </c>
      <c r="U21" s="351" t="str">
        <f t="shared" si="14"/>
        <v/>
      </c>
      <c r="V21" s="351" t="str">
        <f t="shared" si="15"/>
        <v/>
      </c>
      <c r="AA21" s="351" t="str">
        <f>_xlfn.IFNA(Backend!AO26,"")</f>
        <v/>
      </c>
      <c r="AB21" s="351" t="str">
        <f>Backend!AP26</f>
        <v/>
      </c>
      <c r="AC21" s="351" t="str">
        <f>Backend!AQ26</f>
        <v/>
      </c>
      <c r="AD21" s="351" t="str">
        <f>Backend!AR26</f>
        <v/>
      </c>
      <c r="AE21" s="351" t="str">
        <f>Backend!AS26</f>
        <v/>
      </c>
      <c r="AF21" s="351" t="str">
        <f>Backend!AT26</f>
        <v/>
      </c>
      <c r="AG21" s="351" t="str">
        <f>Backend!AU26</f>
        <v/>
      </c>
      <c r="AH21" s="351" t="str">
        <f>Backend!AV26</f>
        <v/>
      </c>
      <c r="AI21" s="351" t="str">
        <f>Backend!AW26</f>
        <v/>
      </c>
      <c r="AJ21" s="351" t="str">
        <f>Backend!AX26</f>
        <v/>
      </c>
      <c r="AK21" s="351" t="str">
        <f>Backend!AY26</f>
        <v/>
      </c>
      <c r="AL21" s="351" t="str">
        <f>Backend!AZ26</f>
        <v/>
      </c>
      <c r="AM21" s="351" t="str">
        <f>Backend!BA26</f>
        <v/>
      </c>
      <c r="AN21" s="351" t="str">
        <f>Backend!BB26</f>
        <v/>
      </c>
      <c r="AO21" s="351" t="str">
        <f>Backend!BC26</f>
        <v/>
      </c>
      <c r="AP21" s="351" t="str">
        <f>Backend!BD26</f>
        <v/>
      </c>
      <c r="AQ21" s="351" t="str">
        <f>Backend!BE26</f>
        <v/>
      </c>
      <c r="AR21" s="351" t="str">
        <f>Backend!BF26</f>
        <v/>
      </c>
      <c r="AS21" s="351" t="str">
        <f>Backend!BG26</f>
        <v/>
      </c>
      <c r="AT21" s="351" t="str">
        <f>Backend!BH26</f>
        <v/>
      </c>
      <c r="AU21" s="351" t="str">
        <f>Backend!BI26</f>
        <v/>
      </c>
      <c r="AV21" s="351" t="str">
        <f>Backend!BJ26</f>
        <v/>
      </c>
      <c r="AW21" s="351" t="str">
        <f>_xlfn.IFNA(Backend!O26,"")</f>
        <v/>
      </c>
      <c r="AX21" s="355" t="str">
        <f>_xlfn.IFNA(IF(D21="","",Backend!BK26),"")</f>
        <v/>
      </c>
      <c r="AY21" s="356" t="str">
        <f t="shared" si="7"/>
        <v/>
      </c>
      <c r="BB21" s="70"/>
    </row>
    <row r="22" spans="1:54">
      <c r="A22" s="89">
        <v>20</v>
      </c>
      <c r="B22" s="154" t="str">
        <f t="shared" si="16"/>
        <v>MB512123</v>
      </c>
      <c r="C22" s="89"/>
      <c r="D22" s="89"/>
      <c r="E22" s="89"/>
      <c r="F22" s="89"/>
      <c r="G22" s="89"/>
      <c r="H22" s="89"/>
      <c r="I22" s="89"/>
      <c r="J22" s="89"/>
      <c r="K22" s="351" t="str">
        <f>_xlfn.IFNA(Backend!AN27,"")</f>
        <v/>
      </c>
      <c r="L22" s="351" t="str">
        <f t="shared" si="8"/>
        <v/>
      </c>
      <c r="M22" s="351" t="str">
        <f t="shared" si="9"/>
        <v/>
      </c>
      <c r="N22" s="351" t="str">
        <f t="shared" si="10"/>
        <v/>
      </c>
      <c r="O22" s="351" t="str">
        <f t="shared" si="11"/>
        <v/>
      </c>
      <c r="P22" s="355" t="str">
        <f t="shared" si="12"/>
        <v/>
      </c>
      <c r="Q22" s="357" t="str">
        <f t="shared" si="13"/>
        <v/>
      </c>
      <c r="R22" s="323"/>
      <c r="S22" s="323"/>
      <c r="T22" s="351" t="str">
        <f>_xlfn.IFNA(IF(VLOOKUP(D22,Group!C:I,7,0)=0,"",VLOOKUP(D22,Group!C:I,7,0)),"")</f>
        <v/>
      </c>
      <c r="U22" s="351" t="str">
        <f t="shared" si="14"/>
        <v/>
      </c>
      <c r="V22" s="351" t="str">
        <f t="shared" si="15"/>
        <v/>
      </c>
      <c r="AA22" s="351" t="str">
        <f>_xlfn.IFNA(Backend!AO27,"")</f>
        <v/>
      </c>
      <c r="AB22" s="351" t="str">
        <f>Backend!AP27</f>
        <v/>
      </c>
      <c r="AC22" s="351" t="str">
        <f>Backend!AQ27</f>
        <v/>
      </c>
      <c r="AD22" s="351" t="str">
        <f>Backend!AR27</f>
        <v/>
      </c>
      <c r="AE22" s="351" t="str">
        <f>Backend!AS27</f>
        <v/>
      </c>
      <c r="AF22" s="351" t="str">
        <f>Backend!AT27</f>
        <v/>
      </c>
      <c r="AG22" s="351" t="str">
        <f>Backend!AU27</f>
        <v/>
      </c>
      <c r="AH22" s="351" t="str">
        <f>Backend!AV27</f>
        <v/>
      </c>
      <c r="AI22" s="351" t="str">
        <f>Backend!AW27</f>
        <v/>
      </c>
      <c r="AJ22" s="351" t="str">
        <f>Backend!AX27</f>
        <v/>
      </c>
      <c r="AK22" s="351" t="str">
        <f>Backend!AY27</f>
        <v/>
      </c>
      <c r="AL22" s="351" t="str">
        <f>Backend!AZ27</f>
        <v/>
      </c>
      <c r="AM22" s="351" t="str">
        <f>Backend!BA27</f>
        <v/>
      </c>
      <c r="AN22" s="351" t="str">
        <f>Backend!BB27</f>
        <v/>
      </c>
      <c r="AO22" s="351" t="str">
        <f>Backend!BC27</f>
        <v/>
      </c>
      <c r="AP22" s="351" t="str">
        <f>Backend!BD27</f>
        <v/>
      </c>
      <c r="AQ22" s="351" t="str">
        <f>Backend!BE27</f>
        <v/>
      </c>
      <c r="AR22" s="351" t="str">
        <f>Backend!BF27</f>
        <v/>
      </c>
      <c r="AS22" s="351" t="str">
        <f>Backend!BG27</f>
        <v/>
      </c>
      <c r="AT22" s="351" t="str">
        <f>Backend!BH27</f>
        <v/>
      </c>
      <c r="AU22" s="351" t="str">
        <f>Backend!BI27</f>
        <v/>
      </c>
      <c r="AV22" s="351" t="str">
        <f>Backend!BJ27</f>
        <v/>
      </c>
      <c r="AW22" s="351" t="str">
        <f>_xlfn.IFNA(Backend!O27,"")</f>
        <v/>
      </c>
      <c r="AX22" s="355" t="str">
        <f>_xlfn.IFNA(IF(D22="","",Backend!BK27),"")</f>
        <v/>
      </c>
      <c r="AY22" s="356" t="str">
        <f t="shared" si="7"/>
        <v/>
      </c>
      <c r="BB22" s="70"/>
    </row>
    <row r="23" spans="1:54">
      <c r="A23" s="89">
        <v>21</v>
      </c>
      <c r="B23" s="154" t="str">
        <f t="shared" si="16"/>
        <v>MB512123</v>
      </c>
      <c r="C23" s="89"/>
      <c r="D23" s="89"/>
      <c r="E23" s="89"/>
      <c r="F23" s="89"/>
      <c r="G23" s="89"/>
      <c r="H23" s="89"/>
      <c r="I23" s="89"/>
      <c r="J23" s="89"/>
      <c r="K23" s="351" t="str">
        <f>_xlfn.IFNA(Backend!AN28,"")</f>
        <v/>
      </c>
      <c r="L23" s="351" t="str">
        <f t="shared" si="8"/>
        <v/>
      </c>
      <c r="M23" s="351" t="str">
        <f t="shared" si="9"/>
        <v/>
      </c>
      <c r="N23" s="351" t="str">
        <f t="shared" si="10"/>
        <v/>
      </c>
      <c r="O23" s="351" t="str">
        <f t="shared" si="11"/>
        <v/>
      </c>
      <c r="P23" s="355" t="str">
        <f t="shared" si="12"/>
        <v/>
      </c>
      <c r="Q23" s="357" t="str">
        <f t="shared" si="13"/>
        <v/>
      </c>
      <c r="R23" s="323"/>
      <c r="S23" s="323"/>
      <c r="T23" s="351" t="str">
        <f>_xlfn.IFNA(IF(VLOOKUP(D23,Group!C:I,7,0)=0,"",VLOOKUP(D23,Group!C:I,7,0)),"")</f>
        <v/>
      </c>
      <c r="U23" s="351" t="str">
        <f t="shared" si="14"/>
        <v/>
      </c>
      <c r="V23" s="351" t="str">
        <f t="shared" si="15"/>
        <v/>
      </c>
      <c r="AA23" s="351" t="str">
        <f>_xlfn.IFNA(Backend!AO28,"")</f>
        <v/>
      </c>
      <c r="AB23" s="351" t="str">
        <f>Backend!AP28</f>
        <v/>
      </c>
      <c r="AC23" s="351" t="str">
        <f>Backend!AQ28</f>
        <v/>
      </c>
      <c r="AD23" s="351" t="str">
        <f>Backend!AR28</f>
        <v/>
      </c>
      <c r="AE23" s="351" t="str">
        <f>Backend!AS28</f>
        <v/>
      </c>
      <c r="AF23" s="351" t="str">
        <f>Backend!AT28</f>
        <v/>
      </c>
      <c r="AG23" s="351" t="str">
        <f>Backend!AU28</f>
        <v/>
      </c>
      <c r="AH23" s="351" t="str">
        <f>Backend!AV28</f>
        <v/>
      </c>
      <c r="AI23" s="351" t="str">
        <f>Backend!AW28</f>
        <v/>
      </c>
      <c r="AJ23" s="351" t="str">
        <f>Backend!AX28</f>
        <v/>
      </c>
      <c r="AK23" s="351" t="str">
        <f>Backend!AY28</f>
        <v/>
      </c>
      <c r="AL23" s="351" t="str">
        <f>Backend!AZ28</f>
        <v/>
      </c>
      <c r="AM23" s="351" t="str">
        <f>Backend!BA28</f>
        <v/>
      </c>
      <c r="AN23" s="351" t="str">
        <f>Backend!BB28</f>
        <v/>
      </c>
      <c r="AO23" s="351" t="str">
        <f>Backend!BC28</f>
        <v/>
      </c>
      <c r="AP23" s="351" t="str">
        <f>Backend!BD28</f>
        <v/>
      </c>
      <c r="AQ23" s="351" t="str">
        <f>Backend!BE28</f>
        <v/>
      </c>
      <c r="AR23" s="351" t="str">
        <f>Backend!BF28</f>
        <v/>
      </c>
      <c r="AS23" s="351" t="str">
        <f>Backend!BG28</f>
        <v/>
      </c>
      <c r="AT23" s="351" t="str">
        <f>Backend!BH28</f>
        <v/>
      </c>
      <c r="AU23" s="351" t="str">
        <f>Backend!BI28</f>
        <v/>
      </c>
      <c r="AV23" s="351" t="str">
        <f>Backend!BJ28</f>
        <v/>
      </c>
      <c r="AW23" s="351" t="str">
        <f>_xlfn.IFNA(Backend!O28,"")</f>
        <v/>
      </c>
      <c r="AX23" s="355" t="str">
        <f>_xlfn.IFNA(IF(D23="","",Backend!BK28),"")</f>
        <v/>
      </c>
      <c r="AY23" s="356" t="str">
        <f t="shared" si="7"/>
        <v/>
      </c>
      <c r="BB23" s="70"/>
    </row>
    <row r="24" spans="1:54">
      <c r="A24" s="89">
        <v>22</v>
      </c>
      <c r="B24" s="154" t="str">
        <f t="shared" si="16"/>
        <v>MB512123</v>
      </c>
      <c r="C24" s="89"/>
      <c r="D24" s="89"/>
      <c r="E24" s="89"/>
      <c r="F24" s="89"/>
      <c r="G24" s="89"/>
      <c r="H24" s="89"/>
      <c r="I24" s="89"/>
      <c r="J24" s="89"/>
      <c r="K24" s="351" t="str">
        <f>_xlfn.IFNA(Backend!AN29,"")</f>
        <v/>
      </c>
      <c r="L24" s="351" t="str">
        <f t="shared" si="8"/>
        <v/>
      </c>
      <c r="M24" s="351" t="str">
        <f t="shared" si="9"/>
        <v/>
      </c>
      <c r="N24" s="351" t="str">
        <f t="shared" si="10"/>
        <v/>
      </c>
      <c r="O24" s="351" t="str">
        <f t="shared" si="11"/>
        <v/>
      </c>
      <c r="P24" s="355" t="str">
        <f t="shared" si="12"/>
        <v/>
      </c>
      <c r="Q24" s="357" t="str">
        <f t="shared" si="13"/>
        <v/>
      </c>
      <c r="R24" s="323"/>
      <c r="S24" s="323"/>
      <c r="T24" s="351" t="str">
        <f>_xlfn.IFNA(IF(VLOOKUP(D24,Group!C:I,7,0)=0,"",VLOOKUP(D24,Group!C:I,7,0)),"")</f>
        <v/>
      </c>
      <c r="U24" s="351" t="str">
        <f t="shared" si="14"/>
        <v/>
      </c>
      <c r="V24" s="351" t="str">
        <f t="shared" si="15"/>
        <v/>
      </c>
      <c r="AA24" s="351" t="str">
        <f>_xlfn.IFNA(Backend!AO29,"")</f>
        <v/>
      </c>
      <c r="AB24" s="351" t="str">
        <f>Backend!AP29</f>
        <v/>
      </c>
      <c r="AC24" s="351" t="str">
        <f>Backend!AQ29</f>
        <v/>
      </c>
      <c r="AD24" s="351" t="str">
        <f>Backend!AR29</f>
        <v/>
      </c>
      <c r="AE24" s="351" t="str">
        <f>Backend!AS29</f>
        <v/>
      </c>
      <c r="AF24" s="351" t="str">
        <f>Backend!AT29</f>
        <v/>
      </c>
      <c r="AG24" s="351" t="str">
        <f>Backend!AU29</f>
        <v/>
      </c>
      <c r="AH24" s="351" t="str">
        <f>Backend!AV29</f>
        <v/>
      </c>
      <c r="AI24" s="351" t="str">
        <f>Backend!AW29</f>
        <v/>
      </c>
      <c r="AJ24" s="351" t="str">
        <f>Backend!AX29</f>
        <v/>
      </c>
      <c r="AK24" s="351" t="str">
        <f>Backend!AY29</f>
        <v/>
      </c>
      <c r="AL24" s="351" t="str">
        <f>Backend!AZ29</f>
        <v/>
      </c>
      <c r="AM24" s="351" t="str">
        <f>Backend!BA29</f>
        <v/>
      </c>
      <c r="AN24" s="351" t="str">
        <f>Backend!BB29</f>
        <v/>
      </c>
      <c r="AO24" s="351" t="str">
        <f>Backend!BC29</f>
        <v/>
      </c>
      <c r="AP24" s="351" t="str">
        <f>Backend!BD29</f>
        <v/>
      </c>
      <c r="AQ24" s="351" t="str">
        <f>Backend!BE29</f>
        <v/>
      </c>
      <c r="AR24" s="351" t="str">
        <f>Backend!BF29</f>
        <v/>
      </c>
      <c r="AS24" s="351" t="str">
        <f>Backend!BG29</f>
        <v/>
      </c>
      <c r="AT24" s="351" t="str">
        <f>Backend!BH29</f>
        <v/>
      </c>
      <c r="AU24" s="351" t="str">
        <f>Backend!BI29</f>
        <v/>
      </c>
      <c r="AV24" s="351" t="str">
        <f>Backend!BJ29</f>
        <v/>
      </c>
      <c r="AW24" s="351" t="str">
        <f>_xlfn.IFNA(Backend!O29,"")</f>
        <v/>
      </c>
      <c r="AX24" s="355" t="str">
        <f>_xlfn.IFNA(IF(D24="","",Backend!BK29),"")</f>
        <v/>
      </c>
      <c r="AY24" s="356" t="str">
        <f t="shared" si="7"/>
        <v/>
      </c>
      <c r="BB24" s="70"/>
    </row>
    <row r="25" spans="1:54">
      <c r="A25" s="89">
        <v>23</v>
      </c>
      <c r="B25" s="154" t="str">
        <f t="shared" si="16"/>
        <v>MB512123</v>
      </c>
      <c r="C25" s="89"/>
      <c r="D25" s="89"/>
      <c r="E25" s="89"/>
      <c r="F25" s="89"/>
      <c r="G25" s="89"/>
      <c r="H25" s="89"/>
      <c r="I25" s="89"/>
      <c r="J25" s="89"/>
      <c r="K25" s="351" t="str">
        <f>_xlfn.IFNA(Backend!AN30,"")</f>
        <v/>
      </c>
      <c r="L25" s="351" t="str">
        <f t="shared" si="8"/>
        <v/>
      </c>
      <c r="M25" s="351" t="str">
        <f t="shared" si="9"/>
        <v/>
      </c>
      <c r="N25" s="351" t="str">
        <f t="shared" si="10"/>
        <v/>
      </c>
      <c r="O25" s="351" t="str">
        <f t="shared" si="11"/>
        <v/>
      </c>
      <c r="P25" s="355" t="str">
        <f t="shared" si="12"/>
        <v/>
      </c>
      <c r="Q25" s="357" t="str">
        <f t="shared" si="13"/>
        <v/>
      </c>
      <c r="R25" s="323"/>
      <c r="S25" s="323"/>
      <c r="T25" s="351" t="str">
        <f>_xlfn.IFNA(IF(VLOOKUP(D25,Group!C:I,7,0)=0,"",VLOOKUP(D25,Group!C:I,7,0)),"")</f>
        <v/>
      </c>
      <c r="U25" s="351" t="str">
        <f t="shared" si="14"/>
        <v/>
      </c>
      <c r="V25" s="351" t="str">
        <f t="shared" si="15"/>
        <v/>
      </c>
      <c r="AA25" s="351" t="str">
        <f>_xlfn.IFNA(Backend!AO30,"")</f>
        <v/>
      </c>
      <c r="AB25" s="351" t="str">
        <f>Backend!AP30</f>
        <v/>
      </c>
      <c r="AC25" s="351" t="str">
        <f>Backend!AQ30</f>
        <v/>
      </c>
      <c r="AD25" s="351" t="str">
        <f>Backend!AR30</f>
        <v/>
      </c>
      <c r="AE25" s="351" t="str">
        <f>Backend!AS30</f>
        <v/>
      </c>
      <c r="AF25" s="351" t="str">
        <f>Backend!AT30</f>
        <v/>
      </c>
      <c r="AG25" s="351" t="str">
        <f>Backend!AU30</f>
        <v/>
      </c>
      <c r="AH25" s="351" t="str">
        <f>Backend!AV30</f>
        <v/>
      </c>
      <c r="AI25" s="351" t="str">
        <f>Backend!AW30</f>
        <v/>
      </c>
      <c r="AJ25" s="351" t="str">
        <f>Backend!AX30</f>
        <v/>
      </c>
      <c r="AK25" s="351" t="str">
        <f>Backend!AY30</f>
        <v/>
      </c>
      <c r="AL25" s="351" t="str">
        <f>Backend!AZ30</f>
        <v/>
      </c>
      <c r="AM25" s="351" t="str">
        <f>Backend!BA30</f>
        <v/>
      </c>
      <c r="AN25" s="351" t="str">
        <f>Backend!BB30</f>
        <v/>
      </c>
      <c r="AO25" s="351" t="str">
        <f>Backend!BC30</f>
        <v/>
      </c>
      <c r="AP25" s="351" t="str">
        <f>Backend!BD30</f>
        <v/>
      </c>
      <c r="AQ25" s="351" t="str">
        <f>Backend!BE30</f>
        <v/>
      </c>
      <c r="AR25" s="351" t="str">
        <f>Backend!BF30</f>
        <v/>
      </c>
      <c r="AS25" s="351" t="str">
        <f>Backend!BG30</f>
        <v/>
      </c>
      <c r="AT25" s="351" t="str">
        <f>Backend!BH30</f>
        <v/>
      </c>
      <c r="AU25" s="351" t="str">
        <f>Backend!BI30</f>
        <v/>
      </c>
      <c r="AV25" s="351" t="str">
        <f>Backend!BJ30</f>
        <v/>
      </c>
      <c r="AW25" s="351" t="str">
        <f>_xlfn.IFNA(Backend!O30,"")</f>
        <v/>
      </c>
      <c r="AX25" s="355" t="str">
        <f>_xlfn.IFNA(IF(D25="","",Backend!BK30),"")</f>
        <v/>
      </c>
      <c r="AY25" s="356" t="str">
        <f t="shared" si="7"/>
        <v/>
      </c>
      <c r="BB25" s="70"/>
    </row>
    <row r="26" spans="1:54">
      <c r="A26" s="89">
        <v>24</v>
      </c>
      <c r="B26" s="154" t="str">
        <f t="shared" si="16"/>
        <v>MB512123</v>
      </c>
      <c r="C26" s="89"/>
      <c r="D26" s="89"/>
      <c r="E26" s="89"/>
      <c r="F26" s="89"/>
      <c r="G26" s="89"/>
      <c r="H26" s="89"/>
      <c r="I26" s="89"/>
      <c r="J26" s="89"/>
      <c r="K26" s="351" t="str">
        <f>_xlfn.IFNA(Backend!AN31,"")</f>
        <v/>
      </c>
      <c r="L26" s="351" t="str">
        <f t="shared" si="8"/>
        <v/>
      </c>
      <c r="M26" s="351" t="str">
        <f t="shared" si="9"/>
        <v/>
      </c>
      <c r="N26" s="351" t="str">
        <f t="shared" si="10"/>
        <v/>
      </c>
      <c r="O26" s="351" t="str">
        <f t="shared" si="11"/>
        <v/>
      </c>
      <c r="P26" s="355" t="str">
        <f t="shared" si="12"/>
        <v/>
      </c>
      <c r="Q26" s="357" t="str">
        <f t="shared" si="13"/>
        <v/>
      </c>
      <c r="R26" s="323"/>
      <c r="S26" s="323"/>
      <c r="T26" s="351" t="str">
        <f>_xlfn.IFNA(IF(VLOOKUP(D26,Group!C:I,7,0)=0,"",VLOOKUP(D26,Group!C:I,7,0)),"")</f>
        <v/>
      </c>
      <c r="U26" s="351" t="str">
        <f t="shared" si="14"/>
        <v/>
      </c>
      <c r="V26" s="351" t="str">
        <f t="shared" si="15"/>
        <v/>
      </c>
      <c r="AA26" s="351" t="str">
        <f>_xlfn.IFNA(Backend!AO31,"")</f>
        <v/>
      </c>
      <c r="AB26" s="351" t="str">
        <f>Backend!AP31</f>
        <v/>
      </c>
      <c r="AC26" s="351" t="str">
        <f>Backend!AQ31</f>
        <v/>
      </c>
      <c r="AD26" s="351" t="str">
        <f>Backend!AR31</f>
        <v/>
      </c>
      <c r="AE26" s="351" t="str">
        <f>Backend!AS31</f>
        <v/>
      </c>
      <c r="AF26" s="351" t="str">
        <f>Backend!AT31</f>
        <v/>
      </c>
      <c r="AG26" s="351" t="str">
        <f>Backend!AU31</f>
        <v/>
      </c>
      <c r="AH26" s="351" t="str">
        <f>Backend!AV31</f>
        <v/>
      </c>
      <c r="AI26" s="351" t="str">
        <f>Backend!AW31</f>
        <v/>
      </c>
      <c r="AJ26" s="351" t="str">
        <f>Backend!AX31</f>
        <v/>
      </c>
      <c r="AK26" s="351" t="str">
        <f>Backend!AY31</f>
        <v/>
      </c>
      <c r="AL26" s="351" t="str">
        <f>Backend!AZ31</f>
        <v/>
      </c>
      <c r="AM26" s="351" t="str">
        <f>Backend!BA31</f>
        <v/>
      </c>
      <c r="AN26" s="351" t="str">
        <f>Backend!BB31</f>
        <v/>
      </c>
      <c r="AO26" s="351" t="str">
        <f>Backend!BC31</f>
        <v/>
      </c>
      <c r="AP26" s="351" t="str">
        <f>Backend!BD31</f>
        <v/>
      </c>
      <c r="AQ26" s="351" t="str">
        <f>Backend!BE31</f>
        <v/>
      </c>
      <c r="AR26" s="351" t="str">
        <f>Backend!BF31</f>
        <v/>
      </c>
      <c r="AS26" s="351" t="str">
        <f>Backend!BG31</f>
        <v/>
      </c>
      <c r="AT26" s="351" t="str">
        <f>Backend!BH31</f>
        <v/>
      </c>
      <c r="AU26" s="351" t="str">
        <f>Backend!BI31</f>
        <v/>
      </c>
      <c r="AV26" s="351" t="str">
        <f>Backend!BJ31</f>
        <v/>
      </c>
      <c r="AW26" s="351" t="str">
        <f>_xlfn.IFNA(Backend!O31,"")</f>
        <v/>
      </c>
      <c r="AX26" s="355" t="str">
        <f>_xlfn.IFNA(IF(D26="","",Backend!BK31),"")</f>
        <v/>
      </c>
      <c r="AY26" s="356" t="str">
        <f t="shared" si="7"/>
        <v/>
      </c>
      <c r="BB26" s="70"/>
    </row>
    <row r="27" spans="1:54">
      <c r="A27" s="89">
        <v>25</v>
      </c>
      <c r="B27" s="154" t="str">
        <f t="shared" si="16"/>
        <v>MB512123</v>
      </c>
      <c r="C27" s="89"/>
      <c r="D27" s="89"/>
      <c r="E27" s="89"/>
      <c r="F27" s="89"/>
      <c r="G27" s="89"/>
      <c r="H27" s="89"/>
      <c r="I27" s="89"/>
      <c r="J27" s="89"/>
      <c r="K27" s="351" t="str">
        <f>_xlfn.IFNA(Backend!AN32,"")</f>
        <v/>
      </c>
      <c r="L27" s="351" t="str">
        <f t="shared" si="8"/>
        <v/>
      </c>
      <c r="M27" s="351" t="str">
        <f t="shared" si="9"/>
        <v/>
      </c>
      <c r="N27" s="351" t="str">
        <f t="shared" si="10"/>
        <v/>
      </c>
      <c r="O27" s="351" t="str">
        <f t="shared" si="11"/>
        <v/>
      </c>
      <c r="P27" s="355" t="str">
        <f t="shared" si="12"/>
        <v/>
      </c>
      <c r="Q27" s="357" t="str">
        <f t="shared" si="13"/>
        <v/>
      </c>
      <c r="R27" s="323"/>
      <c r="S27" s="323"/>
      <c r="T27" s="351" t="str">
        <f>_xlfn.IFNA(IF(VLOOKUP(D27,Group!C:I,7,0)=0,"",VLOOKUP(D27,Group!C:I,7,0)),"")</f>
        <v/>
      </c>
      <c r="U27" s="351" t="str">
        <f t="shared" si="14"/>
        <v/>
      </c>
      <c r="V27" s="351" t="str">
        <f t="shared" si="15"/>
        <v/>
      </c>
      <c r="AA27" s="351" t="str">
        <f>_xlfn.IFNA(Backend!AO32,"")</f>
        <v/>
      </c>
      <c r="AB27" s="351" t="str">
        <f>Backend!AP32</f>
        <v/>
      </c>
      <c r="AC27" s="351" t="str">
        <f>Backend!AQ32</f>
        <v/>
      </c>
      <c r="AD27" s="351" t="str">
        <f>Backend!AR32</f>
        <v/>
      </c>
      <c r="AE27" s="351" t="str">
        <f>Backend!AS32</f>
        <v/>
      </c>
      <c r="AF27" s="351" t="str">
        <f>Backend!AT32</f>
        <v/>
      </c>
      <c r="AG27" s="351" t="str">
        <f>Backend!AU32</f>
        <v/>
      </c>
      <c r="AH27" s="351" t="str">
        <f>Backend!AV32</f>
        <v/>
      </c>
      <c r="AI27" s="351" t="str">
        <f>Backend!AW32</f>
        <v/>
      </c>
      <c r="AJ27" s="351" t="str">
        <f>Backend!AX32</f>
        <v/>
      </c>
      <c r="AK27" s="351" t="str">
        <f>Backend!AY32</f>
        <v/>
      </c>
      <c r="AL27" s="351" t="str">
        <f>Backend!AZ32</f>
        <v/>
      </c>
      <c r="AM27" s="351" t="str">
        <f>Backend!BA32</f>
        <v/>
      </c>
      <c r="AN27" s="351" t="str">
        <f>Backend!BB32</f>
        <v/>
      </c>
      <c r="AO27" s="351" t="str">
        <f>Backend!BC32</f>
        <v/>
      </c>
      <c r="AP27" s="351" t="str">
        <f>Backend!BD32</f>
        <v/>
      </c>
      <c r="AQ27" s="351" t="str">
        <f>Backend!BE32</f>
        <v/>
      </c>
      <c r="AR27" s="351" t="str">
        <f>Backend!BF32</f>
        <v/>
      </c>
      <c r="AS27" s="351" t="str">
        <f>Backend!BG32</f>
        <v/>
      </c>
      <c r="AT27" s="351" t="str">
        <f>Backend!BH32</f>
        <v/>
      </c>
      <c r="AU27" s="351" t="str">
        <f>Backend!BI32</f>
        <v/>
      </c>
      <c r="AV27" s="351" t="str">
        <f>Backend!BJ32</f>
        <v/>
      </c>
      <c r="AW27" s="351" t="str">
        <f>_xlfn.IFNA(Backend!O32,"")</f>
        <v/>
      </c>
      <c r="AX27" s="355" t="str">
        <f>_xlfn.IFNA(IF(D27="","",Backend!BK32),"")</f>
        <v/>
      </c>
      <c r="AY27" s="356" t="str">
        <f t="shared" si="7"/>
        <v/>
      </c>
      <c r="BB27" s="70"/>
    </row>
    <row r="28" spans="1:54">
      <c r="A28" s="89">
        <v>26</v>
      </c>
      <c r="B28" s="154" t="str">
        <f t="shared" si="16"/>
        <v>MB512123</v>
      </c>
      <c r="C28" s="89"/>
      <c r="D28" s="89"/>
      <c r="E28" s="89"/>
      <c r="F28" s="89"/>
      <c r="G28" s="89"/>
      <c r="H28" s="89"/>
      <c r="I28" s="89"/>
      <c r="J28" s="89"/>
      <c r="K28" s="351" t="str">
        <f>_xlfn.IFNA(Backend!AN33,"")</f>
        <v/>
      </c>
      <c r="L28" s="351" t="str">
        <f t="shared" si="8"/>
        <v/>
      </c>
      <c r="M28" s="351" t="str">
        <f t="shared" si="9"/>
        <v/>
      </c>
      <c r="N28" s="351" t="str">
        <f t="shared" si="10"/>
        <v/>
      </c>
      <c r="O28" s="351" t="str">
        <f t="shared" si="11"/>
        <v/>
      </c>
      <c r="P28" s="355" t="str">
        <f t="shared" si="12"/>
        <v/>
      </c>
      <c r="Q28" s="357" t="str">
        <f t="shared" si="13"/>
        <v/>
      </c>
      <c r="R28" s="323"/>
      <c r="S28" s="323"/>
      <c r="T28" s="351" t="str">
        <f>_xlfn.IFNA(IF(VLOOKUP(D28,Group!C:I,7,0)=0,"",VLOOKUP(D28,Group!C:I,7,0)),"")</f>
        <v/>
      </c>
      <c r="U28" s="351" t="str">
        <f t="shared" si="14"/>
        <v/>
      </c>
      <c r="V28" s="351" t="str">
        <f t="shared" si="15"/>
        <v/>
      </c>
      <c r="AA28" s="351" t="str">
        <f>_xlfn.IFNA(Backend!AO33,"")</f>
        <v/>
      </c>
      <c r="AB28" s="351" t="str">
        <f>Backend!AP33</f>
        <v/>
      </c>
      <c r="AC28" s="351" t="str">
        <f>Backend!AQ33</f>
        <v/>
      </c>
      <c r="AD28" s="351" t="str">
        <f>Backend!AR33</f>
        <v/>
      </c>
      <c r="AE28" s="351" t="str">
        <f>Backend!AS33</f>
        <v/>
      </c>
      <c r="AF28" s="351" t="str">
        <f>Backend!AT33</f>
        <v/>
      </c>
      <c r="AG28" s="351" t="str">
        <f>Backend!AU33</f>
        <v/>
      </c>
      <c r="AH28" s="351" t="str">
        <f>Backend!AV33</f>
        <v/>
      </c>
      <c r="AI28" s="351" t="str">
        <f>Backend!AW33</f>
        <v/>
      </c>
      <c r="AJ28" s="351" t="str">
        <f>Backend!AX33</f>
        <v/>
      </c>
      <c r="AK28" s="351" t="str">
        <f>Backend!AY33</f>
        <v/>
      </c>
      <c r="AL28" s="351" t="str">
        <f>Backend!AZ33</f>
        <v/>
      </c>
      <c r="AM28" s="351" t="str">
        <f>Backend!BA33</f>
        <v/>
      </c>
      <c r="AN28" s="351" t="str">
        <f>Backend!BB33</f>
        <v/>
      </c>
      <c r="AO28" s="351" t="str">
        <f>Backend!BC33</f>
        <v/>
      </c>
      <c r="AP28" s="351" t="str">
        <f>Backend!BD33</f>
        <v/>
      </c>
      <c r="AQ28" s="351" t="str">
        <f>Backend!BE33</f>
        <v/>
      </c>
      <c r="AR28" s="351" t="str">
        <f>Backend!BF33</f>
        <v/>
      </c>
      <c r="AS28" s="351" t="str">
        <f>Backend!BG33</f>
        <v/>
      </c>
      <c r="AT28" s="351" t="str">
        <f>Backend!BH33</f>
        <v/>
      </c>
      <c r="AU28" s="351" t="str">
        <f>Backend!BI33</f>
        <v/>
      </c>
      <c r="AV28" s="351" t="str">
        <f>Backend!BJ33</f>
        <v/>
      </c>
      <c r="AW28" s="351" t="str">
        <f>_xlfn.IFNA(Backend!O33,"")</f>
        <v/>
      </c>
      <c r="AX28" s="355" t="str">
        <f>_xlfn.IFNA(IF(D28="","",Backend!BK33),"")</f>
        <v/>
      </c>
      <c r="AY28" s="356" t="str">
        <f t="shared" si="7"/>
        <v/>
      </c>
      <c r="BB28" s="70"/>
    </row>
    <row r="29" spans="1:54">
      <c r="A29" s="89">
        <v>27</v>
      </c>
      <c r="B29" s="154" t="str">
        <f t="shared" si="16"/>
        <v>MB512123</v>
      </c>
      <c r="C29" s="89"/>
      <c r="D29" s="89"/>
      <c r="E29" s="89"/>
      <c r="F29" s="89"/>
      <c r="G29" s="89"/>
      <c r="H29" s="89"/>
      <c r="I29" s="89"/>
      <c r="J29" s="89"/>
      <c r="K29" s="351" t="str">
        <f>_xlfn.IFNA(Backend!AN34,"")</f>
        <v/>
      </c>
      <c r="L29" s="351" t="str">
        <f t="shared" si="8"/>
        <v/>
      </c>
      <c r="M29" s="351" t="str">
        <f t="shared" si="9"/>
        <v/>
      </c>
      <c r="N29" s="351" t="str">
        <f t="shared" si="10"/>
        <v/>
      </c>
      <c r="O29" s="351" t="str">
        <f t="shared" si="11"/>
        <v/>
      </c>
      <c r="P29" s="355" t="str">
        <f t="shared" si="12"/>
        <v/>
      </c>
      <c r="Q29" s="357" t="str">
        <f t="shared" si="13"/>
        <v/>
      </c>
      <c r="R29" s="323"/>
      <c r="S29" s="323"/>
      <c r="T29" s="351" t="str">
        <f>_xlfn.IFNA(IF(VLOOKUP(D29,Group!C:I,7,0)=0,"",VLOOKUP(D29,Group!C:I,7,0)),"")</f>
        <v/>
      </c>
      <c r="U29" s="351" t="str">
        <f t="shared" si="14"/>
        <v/>
      </c>
      <c r="V29" s="351" t="str">
        <f t="shared" si="15"/>
        <v/>
      </c>
      <c r="AA29" s="351" t="str">
        <f>_xlfn.IFNA(Backend!AO34,"")</f>
        <v/>
      </c>
      <c r="AB29" s="351" t="str">
        <f>Backend!AP34</f>
        <v/>
      </c>
      <c r="AC29" s="351" t="str">
        <f>Backend!AQ34</f>
        <v/>
      </c>
      <c r="AD29" s="351" t="str">
        <f>Backend!AR34</f>
        <v/>
      </c>
      <c r="AE29" s="351" t="str">
        <f>Backend!AS34</f>
        <v/>
      </c>
      <c r="AF29" s="351" t="str">
        <f>Backend!AT34</f>
        <v/>
      </c>
      <c r="AG29" s="351" t="str">
        <f>Backend!AU34</f>
        <v/>
      </c>
      <c r="AH29" s="351" t="str">
        <f>Backend!AV34</f>
        <v/>
      </c>
      <c r="AI29" s="351" t="str">
        <f>Backend!AW34</f>
        <v/>
      </c>
      <c r="AJ29" s="351" t="str">
        <f>Backend!AX34</f>
        <v/>
      </c>
      <c r="AK29" s="351" t="str">
        <f>Backend!AY34</f>
        <v/>
      </c>
      <c r="AL29" s="351" t="str">
        <f>Backend!AZ34</f>
        <v/>
      </c>
      <c r="AM29" s="351" t="str">
        <f>Backend!BA34</f>
        <v/>
      </c>
      <c r="AN29" s="351" t="str">
        <f>Backend!BB34</f>
        <v/>
      </c>
      <c r="AO29" s="351" t="str">
        <f>Backend!BC34</f>
        <v/>
      </c>
      <c r="AP29" s="351" t="str">
        <f>Backend!BD34</f>
        <v/>
      </c>
      <c r="AQ29" s="351" t="str">
        <f>Backend!BE34</f>
        <v/>
      </c>
      <c r="AR29" s="351" t="str">
        <f>Backend!BF34</f>
        <v/>
      </c>
      <c r="AS29" s="351" t="str">
        <f>Backend!BG34</f>
        <v/>
      </c>
      <c r="AT29" s="351" t="str">
        <f>Backend!BH34</f>
        <v/>
      </c>
      <c r="AU29" s="351" t="str">
        <f>Backend!BI34</f>
        <v/>
      </c>
      <c r="AV29" s="351" t="str">
        <f>Backend!BJ34</f>
        <v/>
      </c>
      <c r="AW29" s="351" t="str">
        <f>_xlfn.IFNA(Backend!O34,"")</f>
        <v/>
      </c>
      <c r="AX29" s="355" t="str">
        <f>_xlfn.IFNA(IF(D29="","",Backend!BK34),"")</f>
        <v/>
      </c>
      <c r="AY29" s="356" t="str">
        <f t="shared" si="7"/>
        <v/>
      </c>
      <c r="BB29" s="70"/>
    </row>
    <row r="30" spans="1:54">
      <c r="A30" s="89">
        <v>28</v>
      </c>
      <c r="B30" s="154" t="str">
        <f t="shared" si="16"/>
        <v>MB512123</v>
      </c>
      <c r="C30" s="89"/>
      <c r="D30" s="89"/>
      <c r="E30" s="89"/>
      <c r="F30" s="89"/>
      <c r="G30" s="89"/>
      <c r="H30" s="89"/>
      <c r="I30" s="89"/>
      <c r="J30" s="89"/>
      <c r="K30" s="351" t="str">
        <f>_xlfn.IFNA(Backend!AN35,"")</f>
        <v/>
      </c>
      <c r="L30" s="351" t="str">
        <f t="shared" si="8"/>
        <v/>
      </c>
      <c r="M30" s="351" t="str">
        <f t="shared" si="9"/>
        <v/>
      </c>
      <c r="N30" s="351" t="str">
        <f t="shared" si="10"/>
        <v/>
      </c>
      <c r="O30" s="351" t="str">
        <f t="shared" si="11"/>
        <v/>
      </c>
      <c r="P30" s="355" t="str">
        <f t="shared" si="12"/>
        <v/>
      </c>
      <c r="Q30" s="357" t="str">
        <f t="shared" si="13"/>
        <v/>
      </c>
      <c r="R30" s="323"/>
      <c r="S30" s="323"/>
      <c r="T30" s="351" t="str">
        <f>_xlfn.IFNA(IF(VLOOKUP(D30,Group!C:I,7,0)=0,"",VLOOKUP(D30,Group!C:I,7,0)),"")</f>
        <v/>
      </c>
      <c r="U30" s="351" t="str">
        <f t="shared" si="14"/>
        <v/>
      </c>
      <c r="V30" s="351" t="str">
        <f t="shared" si="15"/>
        <v/>
      </c>
      <c r="AA30" s="351" t="str">
        <f>_xlfn.IFNA(Backend!AO35,"")</f>
        <v/>
      </c>
      <c r="AB30" s="351" t="str">
        <f>Backend!AP35</f>
        <v/>
      </c>
      <c r="AC30" s="351" t="str">
        <f>Backend!AQ35</f>
        <v/>
      </c>
      <c r="AD30" s="351" t="str">
        <f>Backend!AR35</f>
        <v/>
      </c>
      <c r="AE30" s="351" t="str">
        <f>Backend!AS35</f>
        <v/>
      </c>
      <c r="AF30" s="351" t="str">
        <f>Backend!AT35</f>
        <v/>
      </c>
      <c r="AG30" s="351" t="str">
        <f>Backend!AU35</f>
        <v/>
      </c>
      <c r="AH30" s="351" t="str">
        <f>Backend!AV35</f>
        <v/>
      </c>
      <c r="AI30" s="351" t="str">
        <f>Backend!AW35</f>
        <v/>
      </c>
      <c r="AJ30" s="351" t="str">
        <f>Backend!AX35</f>
        <v/>
      </c>
      <c r="AK30" s="351" t="str">
        <f>Backend!AY35</f>
        <v/>
      </c>
      <c r="AL30" s="351" t="str">
        <f>Backend!AZ35</f>
        <v/>
      </c>
      <c r="AM30" s="351" t="str">
        <f>Backend!BA35</f>
        <v/>
      </c>
      <c r="AN30" s="351" t="str">
        <f>Backend!BB35</f>
        <v/>
      </c>
      <c r="AO30" s="351" t="str">
        <f>Backend!BC35</f>
        <v/>
      </c>
      <c r="AP30" s="351" t="str">
        <f>Backend!BD35</f>
        <v/>
      </c>
      <c r="AQ30" s="351" t="str">
        <f>Backend!BE35</f>
        <v/>
      </c>
      <c r="AR30" s="351" t="str">
        <f>Backend!BF35</f>
        <v/>
      </c>
      <c r="AS30" s="351" t="str">
        <f>Backend!BG35</f>
        <v/>
      </c>
      <c r="AT30" s="351" t="str">
        <f>Backend!BH35</f>
        <v/>
      </c>
      <c r="AU30" s="351" t="str">
        <f>Backend!BI35</f>
        <v/>
      </c>
      <c r="AV30" s="351" t="str">
        <f>Backend!BJ35</f>
        <v/>
      </c>
      <c r="AW30" s="351" t="str">
        <f>_xlfn.IFNA(Backend!O35,"")</f>
        <v/>
      </c>
      <c r="AX30" s="355" t="str">
        <f>_xlfn.IFNA(IF(D30="","",Backend!BK35),"")</f>
        <v/>
      </c>
      <c r="AY30" s="356" t="str">
        <f t="shared" si="7"/>
        <v/>
      </c>
      <c r="BB30" s="70"/>
    </row>
    <row r="31" spans="1:54">
      <c r="A31" s="89">
        <v>29</v>
      </c>
      <c r="B31" s="154" t="str">
        <f t="shared" si="16"/>
        <v>MB512123</v>
      </c>
      <c r="C31" s="89"/>
      <c r="D31" s="89"/>
      <c r="E31" s="89"/>
      <c r="F31" s="89"/>
      <c r="G31" s="89"/>
      <c r="H31" s="89"/>
      <c r="I31" s="89"/>
      <c r="J31" s="89"/>
      <c r="K31" s="351" t="str">
        <f>_xlfn.IFNA(Backend!AN36,"")</f>
        <v/>
      </c>
      <c r="L31" s="351" t="str">
        <f t="shared" si="8"/>
        <v/>
      </c>
      <c r="M31" s="351" t="str">
        <f t="shared" si="9"/>
        <v/>
      </c>
      <c r="N31" s="351" t="str">
        <f t="shared" si="10"/>
        <v/>
      </c>
      <c r="O31" s="351" t="str">
        <f t="shared" si="11"/>
        <v/>
      </c>
      <c r="P31" s="355" t="str">
        <f t="shared" si="12"/>
        <v/>
      </c>
      <c r="Q31" s="357" t="str">
        <f t="shared" si="13"/>
        <v/>
      </c>
      <c r="R31" s="323"/>
      <c r="S31" s="323"/>
      <c r="T31" s="351" t="str">
        <f>_xlfn.IFNA(IF(VLOOKUP(D31,Group!C:I,7,0)=0,"",VLOOKUP(D31,Group!C:I,7,0)),"")</f>
        <v/>
      </c>
      <c r="U31" s="351" t="str">
        <f t="shared" si="14"/>
        <v/>
      </c>
      <c r="V31" s="351" t="str">
        <f t="shared" si="15"/>
        <v/>
      </c>
      <c r="AA31" s="351" t="str">
        <f>_xlfn.IFNA(Backend!AO36,"")</f>
        <v/>
      </c>
      <c r="AB31" s="351" t="str">
        <f>Backend!AP36</f>
        <v/>
      </c>
      <c r="AC31" s="351" t="str">
        <f>Backend!AQ36</f>
        <v/>
      </c>
      <c r="AD31" s="351" t="str">
        <f>Backend!AR36</f>
        <v/>
      </c>
      <c r="AE31" s="351" t="str">
        <f>Backend!AS36</f>
        <v/>
      </c>
      <c r="AF31" s="351" t="str">
        <f>Backend!AT36</f>
        <v/>
      </c>
      <c r="AG31" s="351" t="str">
        <f>Backend!AU36</f>
        <v/>
      </c>
      <c r="AH31" s="351" t="str">
        <f>Backend!AV36</f>
        <v/>
      </c>
      <c r="AI31" s="351" t="str">
        <f>Backend!AW36</f>
        <v/>
      </c>
      <c r="AJ31" s="351" t="str">
        <f>Backend!AX36</f>
        <v/>
      </c>
      <c r="AK31" s="351" t="str">
        <f>Backend!AY36</f>
        <v/>
      </c>
      <c r="AL31" s="351" t="str">
        <f>Backend!AZ36</f>
        <v/>
      </c>
      <c r="AM31" s="351" t="str">
        <f>Backend!BA36</f>
        <v/>
      </c>
      <c r="AN31" s="351" t="str">
        <f>Backend!BB36</f>
        <v/>
      </c>
      <c r="AO31" s="351" t="str">
        <f>Backend!BC36</f>
        <v/>
      </c>
      <c r="AP31" s="351" t="str">
        <f>Backend!BD36</f>
        <v/>
      </c>
      <c r="AQ31" s="351" t="str">
        <f>Backend!BE36</f>
        <v/>
      </c>
      <c r="AR31" s="351" t="str">
        <f>Backend!BF36</f>
        <v/>
      </c>
      <c r="AS31" s="351" t="str">
        <f>Backend!BG36</f>
        <v/>
      </c>
      <c r="AT31" s="351" t="str">
        <f>Backend!BH36</f>
        <v/>
      </c>
      <c r="AU31" s="351" t="str">
        <f>Backend!BI36</f>
        <v/>
      </c>
      <c r="AV31" s="351" t="str">
        <f>Backend!BJ36</f>
        <v/>
      </c>
      <c r="AW31" s="351" t="str">
        <f>_xlfn.IFNA(Backend!O36,"")</f>
        <v/>
      </c>
      <c r="AX31" s="355" t="str">
        <f>_xlfn.IFNA(IF(D31="","",Backend!BK36),"")</f>
        <v/>
      </c>
      <c r="AY31" s="356" t="str">
        <f t="shared" si="7"/>
        <v/>
      </c>
      <c r="BB31" s="70"/>
    </row>
    <row r="32" spans="1:54">
      <c r="A32" s="89">
        <v>30</v>
      </c>
      <c r="B32" s="154" t="str">
        <f t="shared" si="16"/>
        <v>MB512123</v>
      </c>
      <c r="C32" s="89"/>
      <c r="D32" s="89"/>
      <c r="E32" s="89"/>
      <c r="F32" s="89"/>
      <c r="G32" s="89"/>
      <c r="H32" s="89"/>
      <c r="I32" s="89"/>
      <c r="J32" s="89"/>
      <c r="K32" s="351" t="str">
        <f>_xlfn.IFNA(Backend!AN37,"")</f>
        <v/>
      </c>
      <c r="L32" s="351" t="str">
        <f t="shared" si="8"/>
        <v/>
      </c>
      <c r="M32" s="351" t="str">
        <f t="shared" si="9"/>
        <v/>
      </c>
      <c r="N32" s="351" t="str">
        <f t="shared" si="10"/>
        <v/>
      </c>
      <c r="O32" s="351" t="str">
        <f t="shared" si="11"/>
        <v/>
      </c>
      <c r="P32" s="355" t="str">
        <f t="shared" si="12"/>
        <v/>
      </c>
      <c r="Q32" s="357" t="str">
        <f t="shared" si="13"/>
        <v/>
      </c>
      <c r="R32" s="323"/>
      <c r="S32" s="323"/>
      <c r="T32" s="351" t="str">
        <f>_xlfn.IFNA(IF(VLOOKUP(D32,Group!C:I,7,0)=0,"",VLOOKUP(D32,Group!C:I,7,0)),"")</f>
        <v/>
      </c>
      <c r="U32" s="351" t="str">
        <f t="shared" si="14"/>
        <v/>
      </c>
      <c r="V32" s="351" t="str">
        <f t="shared" si="15"/>
        <v/>
      </c>
      <c r="AA32" s="351" t="str">
        <f>_xlfn.IFNA(Backend!AO37,"")</f>
        <v/>
      </c>
      <c r="AB32" s="351" t="str">
        <f>Backend!AP37</f>
        <v/>
      </c>
      <c r="AC32" s="351" t="str">
        <f>Backend!AQ37</f>
        <v/>
      </c>
      <c r="AD32" s="351" t="str">
        <f>Backend!AR37</f>
        <v/>
      </c>
      <c r="AE32" s="351" t="str">
        <f>Backend!AS37</f>
        <v/>
      </c>
      <c r="AF32" s="351" t="str">
        <f>Backend!AT37</f>
        <v/>
      </c>
      <c r="AG32" s="351" t="str">
        <f>Backend!AU37</f>
        <v/>
      </c>
      <c r="AH32" s="351" t="str">
        <f>Backend!AV37</f>
        <v/>
      </c>
      <c r="AI32" s="351" t="str">
        <f>Backend!AW37</f>
        <v/>
      </c>
      <c r="AJ32" s="351" t="str">
        <f>Backend!AX37</f>
        <v/>
      </c>
      <c r="AK32" s="351" t="str">
        <f>Backend!AY37</f>
        <v/>
      </c>
      <c r="AL32" s="351" t="str">
        <f>Backend!AZ37</f>
        <v/>
      </c>
      <c r="AM32" s="351" t="str">
        <f>Backend!BA37</f>
        <v/>
      </c>
      <c r="AN32" s="351" t="str">
        <f>Backend!BB37</f>
        <v/>
      </c>
      <c r="AO32" s="351" t="str">
        <f>Backend!BC37</f>
        <v/>
      </c>
      <c r="AP32" s="351" t="str">
        <f>Backend!BD37</f>
        <v/>
      </c>
      <c r="AQ32" s="351" t="str">
        <f>Backend!BE37</f>
        <v/>
      </c>
      <c r="AR32" s="351" t="str">
        <f>Backend!BF37</f>
        <v/>
      </c>
      <c r="AS32" s="351" t="str">
        <f>Backend!BG37</f>
        <v/>
      </c>
      <c r="AT32" s="351" t="str">
        <f>Backend!BH37</f>
        <v/>
      </c>
      <c r="AU32" s="351" t="str">
        <f>Backend!BI37</f>
        <v/>
      </c>
      <c r="AV32" s="351" t="str">
        <f>Backend!BJ37</f>
        <v/>
      </c>
      <c r="AW32" s="351" t="str">
        <f>_xlfn.IFNA(Backend!O37,"")</f>
        <v/>
      </c>
      <c r="AX32" s="355" t="str">
        <f>_xlfn.IFNA(IF(D32="","",Backend!BK37),"")</f>
        <v/>
      </c>
      <c r="AY32" s="356" t="str">
        <f t="shared" si="7"/>
        <v/>
      </c>
      <c r="BB32" s="70"/>
    </row>
    <row r="33" spans="1:54">
      <c r="A33" s="89">
        <v>31</v>
      </c>
      <c r="B33" s="154" t="str">
        <f t="shared" si="16"/>
        <v>MB512123</v>
      </c>
      <c r="C33" s="89"/>
      <c r="D33" s="89"/>
      <c r="E33" s="89"/>
      <c r="F33" s="89"/>
      <c r="G33" s="89"/>
      <c r="H33" s="89"/>
      <c r="I33" s="89"/>
      <c r="J33" s="89"/>
      <c r="K33" s="351" t="str">
        <f>_xlfn.IFNA(Backend!AN38,"")</f>
        <v/>
      </c>
      <c r="L33" s="351" t="str">
        <f t="shared" si="8"/>
        <v/>
      </c>
      <c r="M33" s="351" t="str">
        <f t="shared" si="9"/>
        <v/>
      </c>
      <c r="N33" s="351" t="str">
        <f t="shared" si="10"/>
        <v/>
      </c>
      <c r="O33" s="351" t="str">
        <f t="shared" si="11"/>
        <v/>
      </c>
      <c r="P33" s="355" t="str">
        <f t="shared" si="12"/>
        <v/>
      </c>
      <c r="Q33" s="357" t="str">
        <f t="shared" si="13"/>
        <v/>
      </c>
      <c r="R33" s="323"/>
      <c r="S33" s="323"/>
      <c r="T33" s="351" t="str">
        <f>_xlfn.IFNA(IF(VLOOKUP(D33,Group!C:I,7,0)=0,"",VLOOKUP(D33,Group!C:I,7,0)),"")</f>
        <v/>
      </c>
      <c r="U33" s="351" t="str">
        <f t="shared" si="14"/>
        <v/>
      </c>
      <c r="V33" s="351" t="str">
        <f t="shared" si="15"/>
        <v/>
      </c>
      <c r="AA33" s="351" t="str">
        <f>_xlfn.IFNA(Backend!AO38,"")</f>
        <v/>
      </c>
      <c r="AB33" s="351" t="str">
        <f>Backend!AP38</f>
        <v/>
      </c>
      <c r="AC33" s="351" t="str">
        <f>Backend!AQ38</f>
        <v/>
      </c>
      <c r="AD33" s="351" t="str">
        <f>Backend!AR38</f>
        <v/>
      </c>
      <c r="AE33" s="351" t="str">
        <f>Backend!AS38</f>
        <v/>
      </c>
      <c r="AF33" s="351" t="str">
        <f>Backend!AT38</f>
        <v/>
      </c>
      <c r="AG33" s="351" t="str">
        <f>Backend!AU38</f>
        <v/>
      </c>
      <c r="AH33" s="351" t="str">
        <f>Backend!AV38</f>
        <v/>
      </c>
      <c r="AI33" s="351" t="str">
        <f>Backend!AW38</f>
        <v/>
      </c>
      <c r="AJ33" s="351" t="str">
        <f>Backend!AX38</f>
        <v/>
      </c>
      <c r="AK33" s="351" t="str">
        <f>Backend!AY38</f>
        <v/>
      </c>
      <c r="AL33" s="351" t="str">
        <f>Backend!AZ38</f>
        <v/>
      </c>
      <c r="AM33" s="351" t="str">
        <f>Backend!BA38</f>
        <v/>
      </c>
      <c r="AN33" s="351" t="str">
        <f>Backend!BB38</f>
        <v/>
      </c>
      <c r="AO33" s="351" t="str">
        <f>Backend!BC38</f>
        <v/>
      </c>
      <c r="AP33" s="351" t="str">
        <f>Backend!BD38</f>
        <v/>
      </c>
      <c r="AQ33" s="351" t="str">
        <f>Backend!BE38</f>
        <v/>
      </c>
      <c r="AR33" s="351" t="str">
        <f>Backend!BF38</f>
        <v/>
      </c>
      <c r="AS33" s="351" t="str">
        <f>Backend!BG38</f>
        <v/>
      </c>
      <c r="AT33" s="351" t="str">
        <f>Backend!BH38</f>
        <v/>
      </c>
      <c r="AU33" s="351" t="str">
        <f>Backend!BI38</f>
        <v/>
      </c>
      <c r="AV33" s="351" t="str">
        <f>Backend!BJ38</f>
        <v/>
      </c>
      <c r="AW33" s="351" t="str">
        <f>_xlfn.IFNA(Backend!O38,"")</f>
        <v/>
      </c>
      <c r="AX33" s="355" t="str">
        <f>_xlfn.IFNA(IF(D33="","",Backend!BK38),"")</f>
        <v/>
      </c>
      <c r="AY33" s="356" t="str">
        <f t="shared" si="7"/>
        <v/>
      </c>
      <c r="BB33" s="70"/>
    </row>
    <row r="34" spans="1:54">
      <c r="A34" s="89">
        <v>32</v>
      </c>
      <c r="B34" s="154" t="str">
        <f t="shared" si="16"/>
        <v>MB512123</v>
      </c>
      <c r="C34" s="89"/>
      <c r="D34" s="89"/>
      <c r="E34" s="89"/>
      <c r="F34" s="89"/>
      <c r="G34" s="89"/>
      <c r="H34" s="89"/>
      <c r="I34" s="89"/>
      <c r="J34" s="89"/>
      <c r="K34" s="351" t="str">
        <f>_xlfn.IFNA(Backend!AN39,"")</f>
        <v/>
      </c>
      <c r="L34" s="351" t="str">
        <f t="shared" si="8"/>
        <v/>
      </c>
      <c r="M34" s="351" t="str">
        <f t="shared" si="9"/>
        <v/>
      </c>
      <c r="N34" s="351" t="str">
        <f t="shared" si="10"/>
        <v/>
      </c>
      <c r="O34" s="351" t="str">
        <f t="shared" si="11"/>
        <v/>
      </c>
      <c r="P34" s="355" t="str">
        <f t="shared" si="12"/>
        <v/>
      </c>
      <c r="Q34" s="357" t="str">
        <f t="shared" si="13"/>
        <v/>
      </c>
      <c r="R34" s="323"/>
      <c r="S34" s="323"/>
      <c r="T34" s="351" t="str">
        <f>_xlfn.IFNA(IF(VLOOKUP(D34,Group!C:I,7,0)=0,"",VLOOKUP(D34,Group!C:I,7,0)),"")</f>
        <v/>
      </c>
      <c r="U34" s="351" t="str">
        <f t="shared" si="14"/>
        <v/>
      </c>
      <c r="V34" s="351" t="str">
        <f t="shared" si="15"/>
        <v/>
      </c>
      <c r="AA34" s="351" t="str">
        <f>_xlfn.IFNA(Backend!AO39,"")</f>
        <v/>
      </c>
      <c r="AB34" s="351" t="str">
        <f>Backend!AP39</f>
        <v/>
      </c>
      <c r="AC34" s="351" t="str">
        <f>Backend!AQ39</f>
        <v/>
      </c>
      <c r="AD34" s="351" t="str">
        <f>Backend!AR39</f>
        <v/>
      </c>
      <c r="AE34" s="351" t="str">
        <f>Backend!AS39</f>
        <v/>
      </c>
      <c r="AF34" s="351" t="str">
        <f>Backend!AT39</f>
        <v/>
      </c>
      <c r="AG34" s="351" t="str">
        <f>Backend!AU39</f>
        <v/>
      </c>
      <c r="AH34" s="351" t="str">
        <f>Backend!AV39</f>
        <v/>
      </c>
      <c r="AI34" s="351" t="str">
        <f>Backend!AW39</f>
        <v/>
      </c>
      <c r="AJ34" s="351" t="str">
        <f>Backend!AX39</f>
        <v/>
      </c>
      <c r="AK34" s="351" t="str">
        <f>Backend!AY39</f>
        <v/>
      </c>
      <c r="AL34" s="351" t="str">
        <f>Backend!AZ39</f>
        <v/>
      </c>
      <c r="AM34" s="351" t="str">
        <f>Backend!BA39</f>
        <v/>
      </c>
      <c r="AN34" s="351" t="str">
        <f>Backend!BB39</f>
        <v/>
      </c>
      <c r="AO34" s="351" t="str">
        <f>Backend!BC39</f>
        <v/>
      </c>
      <c r="AP34" s="351" t="str">
        <f>Backend!BD39</f>
        <v/>
      </c>
      <c r="AQ34" s="351" t="str">
        <f>Backend!BE39</f>
        <v/>
      </c>
      <c r="AR34" s="351" t="str">
        <f>Backend!BF39</f>
        <v/>
      </c>
      <c r="AS34" s="351" t="str">
        <f>Backend!BG39</f>
        <v/>
      </c>
      <c r="AT34" s="351" t="str">
        <f>Backend!BH39</f>
        <v/>
      </c>
      <c r="AU34" s="351" t="str">
        <f>Backend!BI39</f>
        <v/>
      </c>
      <c r="AV34" s="351" t="str">
        <f>Backend!BJ39</f>
        <v/>
      </c>
      <c r="AW34" s="351" t="str">
        <f>_xlfn.IFNA(Backend!O39,"")</f>
        <v/>
      </c>
      <c r="AX34" s="355" t="str">
        <f>_xlfn.IFNA(IF(D34="","",Backend!BK39),"")</f>
        <v/>
      </c>
      <c r="AY34" s="356" t="str">
        <f t="shared" si="7"/>
        <v/>
      </c>
      <c r="BB34" s="70"/>
    </row>
    <row r="35" spans="1:54">
      <c r="A35" s="89">
        <v>33</v>
      </c>
      <c r="B35" s="154" t="str">
        <f t="shared" si="16"/>
        <v>MB512123</v>
      </c>
      <c r="C35" s="89"/>
      <c r="D35" s="89"/>
      <c r="E35" s="89"/>
      <c r="F35" s="89"/>
      <c r="G35" s="89"/>
      <c r="H35" s="89"/>
      <c r="I35" s="89"/>
      <c r="J35" s="89"/>
      <c r="K35" s="351" t="str">
        <f>_xlfn.IFNA(Backend!AN40,"")</f>
        <v/>
      </c>
      <c r="L35" s="351" t="str">
        <f t="shared" si="8"/>
        <v/>
      </c>
      <c r="M35" s="351" t="str">
        <f t="shared" si="9"/>
        <v/>
      </c>
      <c r="N35" s="351" t="str">
        <f t="shared" si="10"/>
        <v/>
      </c>
      <c r="O35" s="351" t="str">
        <f t="shared" si="11"/>
        <v/>
      </c>
      <c r="P35" s="355" t="str">
        <f t="shared" si="12"/>
        <v/>
      </c>
      <c r="Q35" s="357" t="str">
        <f t="shared" si="13"/>
        <v/>
      </c>
      <c r="R35" s="323"/>
      <c r="S35" s="323"/>
      <c r="T35" s="351" t="str">
        <f>_xlfn.IFNA(IF(VLOOKUP(D35,Group!C:I,7,0)=0,"",VLOOKUP(D35,Group!C:I,7,0)),"")</f>
        <v/>
      </c>
      <c r="U35" s="351" t="str">
        <f t="shared" si="14"/>
        <v/>
      </c>
      <c r="V35" s="351" t="str">
        <f t="shared" si="15"/>
        <v/>
      </c>
      <c r="AA35" s="351" t="str">
        <f>_xlfn.IFNA(Backend!AO40,"")</f>
        <v/>
      </c>
      <c r="AB35" s="351" t="str">
        <f>Backend!AP40</f>
        <v/>
      </c>
      <c r="AC35" s="351" t="str">
        <f>Backend!AQ40</f>
        <v/>
      </c>
      <c r="AD35" s="351" t="str">
        <f>Backend!AR40</f>
        <v/>
      </c>
      <c r="AE35" s="351" t="str">
        <f>Backend!AS40</f>
        <v/>
      </c>
      <c r="AF35" s="351" t="str">
        <f>Backend!AT40</f>
        <v/>
      </c>
      <c r="AG35" s="351" t="str">
        <f>Backend!AU40</f>
        <v/>
      </c>
      <c r="AH35" s="351" t="str">
        <f>Backend!AV40</f>
        <v/>
      </c>
      <c r="AI35" s="351" t="str">
        <f>Backend!AW40</f>
        <v/>
      </c>
      <c r="AJ35" s="351" t="str">
        <f>Backend!AX40</f>
        <v/>
      </c>
      <c r="AK35" s="351" t="str">
        <f>Backend!AY40</f>
        <v/>
      </c>
      <c r="AL35" s="351" t="str">
        <f>Backend!AZ40</f>
        <v/>
      </c>
      <c r="AM35" s="351" t="str">
        <f>Backend!BA40</f>
        <v/>
      </c>
      <c r="AN35" s="351" t="str">
        <f>Backend!BB40</f>
        <v/>
      </c>
      <c r="AO35" s="351" t="str">
        <f>Backend!BC40</f>
        <v/>
      </c>
      <c r="AP35" s="351" t="str">
        <f>Backend!BD40</f>
        <v/>
      </c>
      <c r="AQ35" s="351" t="str">
        <f>Backend!BE40</f>
        <v/>
      </c>
      <c r="AR35" s="351" t="str">
        <f>Backend!BF40</f>
        <v/>
      </c>
      <c r="AS35" s="351" t="str">
        <f>Backend!BG40</f>
        <v/>
      </c>
      <c r="AT35" s="351" t="str">
        <f>Backend!BH40</f>
        <v/>
      </c>
      <c r="AU35" s="351" t="str">
        <f>Backend!BI40</f>
        <v/>
      </c>
      <c r="AV35" s="351" t="str">
        <f>Backend!BJ40</f>
        <v/>
      </c>
      <c r="AW35" s="351" t="str">
        <f>_xlfn.IFNA(Backend!O40,"")</f>
        <v/>
      </c>
      <c r="AX35" s="355" t="str">
        <f>_xlfn.IFNA(IF(D35="","",Backend!BK40),"")</f>
        <v/>
      </c>
      <c r="AY35" s="356" t="str">
        <f t="shared" ref="AY35:AY52" si="17">IF(AX35="","",AX35*G35)</f>
        <v/>
      </c>
      <c r="BB35" s="70"/>
    </row>
    <row r="36" spans="1:54">
      <c r="A36" s="89">
        <v>34</v>
      </c>
      <c r="B36" s="154" t="str">
        <f t="shared" si="16"/>
        <v>MB512123</v>
      </c>
      <c r="C36" s="89"/>
      <c r="D36" s="89"/>
      <c r="E36" s="89"/>
      <c r="F36" s="89"/>
      <c r="G36" s="89"/>
      <c r="H36" s="89"/>
      <c r="I36" s="89"/>
      <c r="J36" s="89"/>
      <c r="K36" s="351" t="str">
        <f>_xlfn.IFNA(Backend!AN41,"")</f>
        <v/>
      </c>
      <c r="L36" s="351" t="str">
        <f t="shared" si="8"/>
        <v/>
      </c>
      <c r="M36" s="351" t="str">
        <f t="shared" si="9"/>
        <v/>
      </c>
      <c r="N36" s="351" t="str">
        <f t="shared" si="10"/>
        <v/>
      </c>
      <c r="O36" s="351" t="str">
        <f t="shared" si="11"/>
        <v/>
      </c>
      <c r="P36" s="355" t="str">
        <f t="shared" si="12"/>
        <v/>
      </c>
      <c r="Q36" s="357" t="str">
        <f t="shared" si="13"/>
        <v/>
      </c>
      <c r="R36" s="323"/>
      <c r="S36" s="323"/>
      <c r="T36" s="351" t="str">
        <f>_xlfn.IFNA(IF(VLOOKUP(D36,Group!C:I,7,0)=0,"",VLOOKUP(D36,Group!C:I,7,0)),"")</f>
        <v/>
      </c>
      <c r="U36" s="351" t="str">
        <f t="shared" si="14"/>
        <v/>
      </c>
      <c r="V36" s="351" t="str">
        <f t="shared" si="15"/>
        <v/>
      </c>
      <c r="AA36" s="351" t="str">
        <f>_xlfn.IFNA(Backend!AO41,"")</f>
        <v/>
      </c>
      <c r="AB36" s="351" t="str">
        <f>Backend!AP41</f>
        <v/>
      </c>
      <c r="AC36" s="351" t="str">
        <f>Backend!AQ41</f>
        <v/>
      </c>
      <c r="AD36" s="351" t="str">
        <f>Backend!AR41</f>
        <v/>
      </c>
      <c r="AE36" s="351" t="str">
        <f>Backend!AS41</f>
        <v/>
      </c>
      <c r="AF36" s="351" t="str">
        <f>Backend!AT41</f>
        <v/>
      </c>
      <c r="AG36" s="351" t="str">
        <f>Backend!AU41</f>
        <v/>
      </c>
      <c r="AH36" s="351" t="str">
        <f>Backend!AV41</f>
        <v/>
      </c>
      <c r="AI36" s="351" t="str">
        <f>Backend!AW41</f>
        <v/>
      </c>
      <c r="AJ36" s="351" t="str">
        <f>Backend!AX41</f>
        <v/>
      </c>
      <c r="AK36" s="351" t="str">
        <f>Backend!AY41</f>
        <v/>
      </c>
      <c r="AL36" s="351" t="str">
        <f>Backend!AZ41</f>
        <v/>
      </c>
      <c r="AM36" s="351" t="str">
        <f>Backend!BA41</f>
        <v/>
      </c>
      <c r="AN36" s="351" t="str">
        <f>Backend!BB41</f>
        <v/>
      </c>
      <c r="AO36" s="351" t="str">
        <f>Backend!BC41</f>
        <v/>
      </c>
      <c r="AP36" s="351" t="str">
        <f>Backend!BD41</f>
        <v/>
      </c>
      <c r="AQ36" s="351" t="str">
        <f>Backend!BE41</f>
        <v/>
      </c>
      <c r="AR36" s="351" t="str">
        <f>Backend!BF41</f>
        <v/>
      </c>
      <c r="AS36" s="351" t="str">
        <f>Backend!BG41</f>
        <v/>
      </c>
      <c r="AT36" s="351" t="str">
        <f>Backend!BH41</f>
        <v/>
      </c>
      <c r="AU36" s="351" t="str">
        <f>Backend!BI41</f>
        <v/>
      </c>
      <c r="AV36" s="351" t="str">
        <f>Backend!BJ41</f>
        <v/>
      </c>
      <c r="AW36" s="351" t="str">
        <f>_xlfn.IFNA(Backend!O41,"")</f>
        <v/>
      </c>
      <c r="AX36" s="355" t="str">
        <f>_xlfn.IFNA(IF(D36="","",Backend!BK41),"")</f>
        <v/>
      </c>
      <c r="AY36" s="356" t="str">
        <f t="shared" si="17"/>
        <v/>
      </c>
      <c r="BB36" s="70"/>
    </row>
    <row r="37" spans="1:54">
      <c r="A37" s="89">
        <v>35</v>
      </c>
      <c r="B37" s="154" t="str">
        <f t="shared" si="16"/>
        <v>MB512123</v>
      </c>
      <c r="C37" s="89"/>
      <c r="D37" s="89"/>
      <c r="E37" s="89"/>
      <c r="F37" s="89"/>
      <c r="G37" s="89"/>
      <c r="H37" s="89"/>
      <c r="I37" s="89"/>
      <c r="J37" s="89"/>
      <c r="K37" s="351" t="str">
        <f>_xlfn.IFNA(Backend!AN42,"")</f>
        <v/>
      </c>
      <c r="L37" s="351" t="str">
        <f t="shared" si="8"/>
        <v/>
      </c>
      <c r="M37" s="351" t="str">
        <f t="shared" si="9"/>
        <v/>
      </c>
      <c r="N37" s="351" t="str">
        <f t="shared" si="10"/>
        <v/>
      </c>
      <c r="O37" s="351" t="str">
        <f t="shared" si="11"/>
        <v/>
      </c>
      <c r="P37" s="355" t="str">
        <f t="shared" si="12"/>
        <v/>
      </c>
      <c r="Q37" s="357" t="str">
        <f t="shared" si="13"/>
        <v/>
      </c>
      <c r="R37" s="323"/>
      <c r="S37" s="323"/>
      <c r="T37" s="351" t="str">
        <f>_xlfn.IFNA(IF(VLOOKUP(D37,Group!C:I,7,0)=0,"",VLOOKUP(D37,Group!C:I,7,0)),"")</f>
        <v/>
      </c>
      <c r="U37" s="351" t="str">
        <f t="shared" si="14"/>
        <v/>
      </c>
      <c r="V37" s="351" t="str">
        <f t="shared" si="15"/>
        <v/>
      </c>
      <c r="AA37" s="351" t="str">
        <f>_xlfn.IFNA(Backend!AO42,"")</f>
        <v/>
      </c>
      <c r="AB37" s="351" t="str">
        <f>Backend!AP42</f>
        <v/>
      </c>
      <c r="AC37" s="351" t="str">
        <f>Backend!AQ42</f>
        <v/>
      </c>
      <c r="AD37" s="351" t="str">
        <f>Backend!AR42</f>
        <v/>
      </c>
      <c r="AE37" s="351" t="str">
        <f>Backend!AS42</f>
        <v/>
      </c>
      <c r="AF37" s="351" t="str">
        <f>Backend!AT42</f>
        <v/>
      </c>
      <c r="AG37" s="351" t="str">
        <f>Backend!AU42</f>
        <v/>
      </c>
      <c r="AH37" s="351" t="str">
        <f>Backend!AV42</f>
        <v/>
      </c>
      <c r="AI37" s="351" t="str">
        <f>Backend!AW42</f>
        <v/>
      </c>
      <c r="AJ37" s="351" t="str">
        <f>Backend!AX42</f>
        <v/>
      </c>
      <c r="AK37" s="351" t="str">
        <f>Backend!AY42</f>
        <v/>
      </c>
      <c r="AL37" s="351" t="str">
        <f>Backend!AZ42</f>
        <v/>
      </c>
      <c r="AM37" s="351" t="str">
        <f>Backend!BA42</f>
        <v/>
      </c>
      <c r="AN37" s="351" t="str">
        <f>Backend!BB42</f>
        <v/>
      </c>
      <c r="AO37" s="351" t="str">
        <f>Backend!BC42</f>
        <v/>
      </c>
      <c r="AP37" s="351" t="str">
        <f>Backend!BD42</f>
        <v/>
      </c>
      <c r="AQ37" s="351" t="str">
        <f>Backend!BE42</f>
        <v/>
      </c>
      <c r="AR37" s="351" t="str">
        <f>Backend!BF42</f>
        <v/>
      </c>
      <c r="AS37" s="351" t="str">
        <f>Backend!BG42</f>
        <v/>
      </c>
      <c r="AT37" s="351" t="str">
        <f>Backend!BH42</f>
        <v/>
      </c>
      <c r="AU37" s="351" t="str">
        <f>Backend!BI42</f>
        <v/>
      </c>
      <c r="AV37" s="351" t="str">
        <f>Backend!BJ42</f>
        <v/>
      </c>
      <c r="AW37" s="351" t="str">
        <f>_xlfn.IFNA(Backend!O42,"")</f>
        <v/>
      </c>
      <c r="AX37" s="355" t="str">
        <f>_xlfn.IFNA(IF(D37="","",Backend!BK42),"")</f>
        <v/>
      </c>
      <c r="AY37" s="356" t="str">
        <f t="shared" si="17"/>
        <v/>
      </c>
      <c r="BB37" s="70"/>
    </row>
    <row r="38" spans="1:54">
      <c r="A38" s="89">
        <v>36</v>
      </c>
      <c r="B38" s="154" t="str">
        <f t="shared" si="16"/>
        <v>MB512123</v>
      </c>
      <c r="C38" s="89"/>
      <c r="D38" s="89"/>
      <c r="E38" s="89"/>
      <c r="F38" s="89"/>
      <c r="G38" s="89"/>
      <c r="H38" s="89"/>
      <c r="I38" s="89"/>
      <c r="J38" s="89"/>
      <c r="K38" s="351" t="str">
        <f>_xlfn.IFNA(Backend!AN43,"")</f>
        <v/>
      </c>
      <c r="L38" s="351" t="str">
        <f t="shared" si="8"/>
        <v/>
      </c>
      <c r="M38" s="351" t="str">
        <f t="shared" si="9"/>
        <v/>
      </c>
      <c r="N38" s="351" t="str">
        <f t="shared" si="10"/>
        <v/>
      </c>
      <c r="O38" s="351" t="str">
        <f t="shared" si="11"/>
        <v/>
      </c>
      <c r="P38" s="355" t="str">
        <f t="shared" si="12"/>
        <v/>
      </c>
      <c r="Q38" s="357" t="str">
        <f t="shared" si="13"/>
        <v/>
      </c>
      <c r="R38" s="323"/>
      <c r="S38" s="323"/>
      <c r="T38" s="351" t="str">
        <f>_xlfn.IFNA(IF(VLOOKUP(D38,Group!C:I,7,0)=0,"",VLOOKUP(D38,Group!C:I,7,0)),"")</f>
        <v/>
      </c>
      <c r="U38" s="351" t="str">
        <f t="shared" si="14"/>
        <v/>
      </c>
      <c r="V38" s="351" t="str">
        <f t="shared" si="15"/>
        <v/>
      </c>
      <c r="AA38" s="351" t="str">
        <f>_xlfn.IFNA(Backend!AO43,"")</f>
        <v/>
      </c>
      <c r="AB38" s="351" t="str">
        <f>Backend!AP43</f>
        <v/>
      </c>
      <c r="AC38" s="351" t="str">
        <f>Backend!AQ43</f>
        <v/>
      </c>
      <c r="AD38" s="351" t="str">
        <f>Backend!AR43</f>
        <v/>
      </c>
      <c r="AE38" s="351" t="str">
        <f>Backend!AS43</f>
        <v/>
      </c>
      <c r="AF38" s="351" t="str">
        <f>Backend!AT43</f>
        <v/>
      </c>
      <c r="AG38" s="351" t="str">
        <f>Backend!AU43</f>
        <v/>
      </c>
      <c r="AH38" s="351" t="str">
        <f>Backend!AV43</f>
        <v/>
      </c>
      <c r="AI38" s="351" t="str">
        <f>Backend!AW43</f>
        <v/>
      </c>
      <c r="AJ38" s="351" t="str">
        <f>Backend!AX43</f>
        <v/>
      </c>
      <c r="AK38" s="351" t="str">
        <f>Backend!AY43</f>
        <v/>
      </c>
      <c r="AL38" s="351" t="str">
        <f>Backend!AZ43</f>
        <v/>
      </c>
      <c r="AM38" s="351" t="str">
        <f>Backend!BA43</f>
        <v/>
      </c>
      <c r="AN38" s="351" t="str">
        <f>Backend!BB43</f>
        <v/>
      </c>
      <c r="AO38" s="351" t="str">
        <f>Backend!BC43</f>
        <v/>
      </c>
      <c r="AP38" s="351" t="str">
        <f>Backend!BD43</f>
        <v/>
      </c>
      <c r="AQ38" s="351" t="str">
        <f>Backend!BE43</f>
        <v/>
      </c>
      <c r="AR38" s="351" t="str">
        <f>Backend!BF43</f>
        <v/>
      </c>
      <c r="AS38" s="351" t="str">
        <f>Backend!BG43</f>
        <v/>
      </c>
      <c r="AT38" s="351" t="str">
        <f>Backend!BH43</f>
        <v/>
      </c>
      <c r="AU38" s="351" t="str">
        <f>Backend!BI43</f>
        <v/>
      </c>
      <c r="AV38" s="351" t="str">
        <f>Backend!BJ43</f>
        <v/>
      </c>
      <c r="AW38" s="351" t="str">
        <f>_xlfn.IFNA(Backend!O43,"")</f>
        <v/>
      </c>
      <c r="AX38" s="355" t="str">
        <f>_xlfn.IFNA(IF(D38="","",Backend!BK43),"")</f>
        <v/>
      </c>
      <c r="AY38" s="356" t="str">
        <f t="shared" si="17"/>
        <v/>
      </c>
      <c r="BB38" s="70"/>
    </row>
    <row r="39" spans="1:54">
      <c r="A39" s="89">
        <v>37</v>
      </c>
      <c r="B39" s="154" t="str">
        <f t="shared" si="16"/>
        <v>MB512123</v>
      </c>
      <c r="C39" s="89"/>
      <c r="D39" s="89"/>
      <c r="E39" s="89"/>
      <c r="F39" s="89"/>
      <c r="G39" s="89"/>
      <c r="H39" s="89"/>
      <c r="I39" s="89"/>
      <c r="J39" s="89"/>
      <c r="K39" s="351" t="str">
        <f>_xlfn.IFNA(Backend!AN44,"")</f>
        <v/>
      </c>
      <c r="L39" s="351" t="str">
        <f t="shared" si="8"/>
        <v/>
      </c>
      <c r="M39" s="351" t="str">
        <f t="shared" si="9"/>
        <v/>
      </c>
      <c r="N39" s="351" t="str">
        <f t="shared" si="10"/>
        <v/>
      </c>
      <c r="O39" s="351" t="str">
        <f t="shared" si="11"/>
        <v/>
      </c>
      <c r="P39" s="355" t="str">
        <f t="shared" si="12"/>
        <v/>
      </c>
      <c r="Q39" s="357" t="str">
        <f t="shared" si="13"/>
        <v/>
      </c>
      <c r="R39" s="323"/>
      <c r="S39" s="323"/>
      <c r="T39" s="351" t="str">
        <f>_xlfn.IFNA(IF(VLOOKUP(D39,Group!C:I,7,0)=0,"",VLOOKUP(D39,Group!C:I,7,0)),"")</f>
        <v/>
      </c>
      <c r="U39" s="351" t="str">
        <f t="shared" si="14"/>
        <v/>
      </c>
      <c r="V39" s="351" t="str">
        <f t="shared" si="15"/>
        <v/>
      </c>
      <c r="AA39" s="351" t="str">
        <f>_xlfn.IFNA(Backend!AO44,"")</f>
        <v/>
      </c>
      <c r="AB39" s="351" t="str">
        <f>Backend!AP44</f>
        <v/>
      </c>
      <c r="AC39" s="351" t="str">
        <f>Backend!AQ44</f>
        <v/>
      </c>
      <c r="AD39" s="351" t="str">
        <f>Backend!AR44</f>
        <v/>
      </c>
      <c r="AE39" s="351" t="str">
        <f>Backend!AS44</f>
        <v/>
      </c>
      <c r="AF39" s="351" t="str">
        <f>Backend!AT44</f>
        <v/>
      </c>
      <c r="AG39" s="351" t="str">
        <f>Backend!AU44</f>
        <v/>
      </c>
      <c r="AH39" s="351" t="str">
        <f>Backend!AV44</f>
        <v/>
      </c>
      <c r="AI39" s="351" t="str">
        <f>Backend!AW44</f>
        <v/>
      </c>
      <c r="AJ39" s="351" t="str">
        <f>Backend!AX44</f>
        <v/>
      </c>
      <c r="AK39" s="351" t="str">
        <f>Backend!AY44</f>
        <v/>
      </c>
      <c r="AL39" s="351" t="str">
        <f>Backend!AZ44</f>
        <v/>
      </c>
      <c r="AM39" s="351" t="str">
        <f>Backend!BA44</f>
        <v/>
      </c>
      <c r="AN39" s="351" t="str">
        <f>Backend!BB44</f>
        <v/>
      </c>
      <c r="AO39" s="351" t="str">
        <f>Backend!BC44</f>
        <v/>
      </c>
      <c r="AP39" s="351" t="str">
        <f>Backend!BD44</f>
        <v/>
      </c>
      <c r="AQ39" s="351" t="str">
        <f>Backend!BE44</f>
        <v/>
      </c>
      <c r="AR39" s="351" t="str">
        <f>Backend!BF44</f>
        <v/>
      </c>
      <c r="AS39" s="351" t="str">
        <f>Backend!BG44</f>
        <v/>
      </c>
      <c r="AT39" s="351" t="str">
        <f>Backend!BH44</f>
        <v/>
      </c>
      <c r="AU39" s="351" t="str">
        <f>Backend!BI44</f>
        <v/>
      </c>
      <c r="AV39" s="351" t="str">
        <f>Backend!BJ44</f>
        <v/>
      </c>
      <c r="AW39" s="351" t="str">
        <f>_xlfn.IFNA(Backend!O44,"")</f>
        <v/>
      </c>
      <c r="AX39" s="355" t="str">
        <f>_xlfn.IFNA(IF(D39="","",Backend!BK44),"")</f>
        <v/>
      </c>
      <c r="AY39" s="356" t="str">
        <f t="shared" si="17"/>
        <v/>
      </c>
      <c r="BB39" s="70"/>
    </row>
    <row r="40" spans="1:54">
      <c r="A40" s="89">
        <v>38</v>
      </c>
      <c r="B40" s="154" t="str">
        <f t="shared" si="16"/>
        <v>MB512123</v>
      </c>
      <c r="C40" s="89"/>
      <c r="D40" s="89"/>
      <c r="E40" s="89"/>
      <c r="F40" s="89"/>
      <c r="G40" s="89"/>
      <c r="H40" s="89"/>
      <c r="I40" s="89"/>
      <c r="J40" s="89"/>
      <c r="K40" s="351" t="str">
        <f>_xlfn.IFNA(Backend!AN45,"")</f>
        <v/>
      </c>
      <c r="L40" s="351" t="str">
        <f t="shared" si="8"/>
        <v/>
      </c>
      <c r="M40" s="351" t="str">
        <f t="shared" si="9"/>
        <v/>
      </c>
      <c r="N40" s="351" t="str">
        <f t="shared" si="10"/>
        <v/>
      </c>
      <c r="O40" s="351" t="str">
        <f t="shared" si="11"/>
        <v/>
      </c>
      <c r="P40" s="355" t="str">
        <f t="shared" si="12"/>
        <v/>
      </c>
      <c r="Q40" s="357" t="str">
        <f t="shared" si="13"/>
        <v/>
      </c>
      <c r="R40" s="323"/>
      <c r="S40" s="323"/>
      <c r="T40" s="351" t="str">
        <f>_xlfn.IFNA(IF(VLOOKUP(D40,Group!C:I,7,0)=0,"",VLOOKUP(D40,Group!C:I,7,0)),"")</f>
        <v/>
      </c>
      <c r="U40" s="351" t="str">
        <f t="shared" si="14"/>
        <v/>
      </c>
      <c r="V40" s="351" t="str">
        <f t="shared" si="15"/>
        <v/>
      </c>
      <c r="AA40" s="351" t="str">
        <f>_xlfn.IFNA(Backend!AO45,"")</f>
        <v/>
      </c>
      <c r="AB40" s="351" t="str">
        <f>Backend!AP45</f>
        <v/>
      </c>
      <c r="AC40" s="351" t="str">
        <f>Backend!AQ45</f>
        <v/>
      </c>
      <c r="AD40" s="351" t="str">
        <f>Backend!AR45</f>
        <v/>
      </c>
      <c r="AE40" s="351" t="str">
        <f>Backend!AS45</f>
        <v/>
      </c>
      <c r="AF40" s="351" t="str">
        <f>Backend!AT45</f>
        <v/>
      </c>
      <c r="AG40" s="351" t="str">
        <f>Backend!AU45</f>
        <v/>
      </c>
      <c r="AH40" s="351" t="str">
        <f>Backend!AV45</f>
        <v/>
      </c>
      <c r="AI40" s="351" t="str">
        <f>Backend!AW45</f>
        <v/>
      </c>
      <c r="AJ40" s="351" t="str">
        <f>Backend!AX45</f>
        <v/>
      </c>
      <c r="AK40" s="351" t="str">
        <f>Backend!AY45</f>
        <v/>
      </c>
      <c r="AL40" s="351" t="str">
        <f>Backend!AZ45</f>
        <v/>
      </c>
      <c r="AM40" s="351" t="str">
        <f>Backend!BA45</f>
        <v/>
      </c>
      <c r="AN40" s="351" t="str">
        <f>Backend!BB45</f>
        <v/>
      </c>
      <c r="AO40" s="351" t="str">
        <f>Backend!BC45</f>
        <v/>
      </c>
      <c r="AP40" s="351" t="str">
        <f>Backend!BD45</f>
        <v/>
      </c>
      <c r="AQ40" s="351" t="str">
        <f>Backend!BE45</f>
        <v/>
      </c>
      <c r="AR40" s="351" t="str">
        <f>Backend!BF45</f>
        <v/>
      </c>
      <c r="AS40" s="351" t="str">
        <f>Backend!BG45</f>
        <v/>
      </c>
      <c r="AT40" s="351" t="str">
        <f>Backend!BH45</f>
        <v/>
      </c>
      <c r="AU40" s="351" t="str">
        <f>Backend!BI45</f>
        <v/>
      </c>
      <c r="AV40" s="351" t="str">
        <f>Backend!BJ45</f>
        <v/>
      </c>
      <c r="AW40" s="351" t="str">
        <f>_xlfn.IFNA(Backend!O45,"")</f>
        <v/>
      </c>
      <c r="AX40" s="355" t="str">
        <f>_xlfn.IFNA(IF(D40="","",Backend!BK45),"")</f>
        <v/>
      </c>
      <c r="AY40" s="356" t="str">
        <f t="shared" si="17"/>
        <v/>
      </c>
      <c r="BB40" s="70"/>
    </row>
    <row r="41" spans="1:54">
      <c r="A41" s="89">
        <v>39</v>
      </c>
      <c r="B41" s="154" t="str">
        <f t="shared" si="16"/>
        <v>MB512123</v>
      </c>
      <c r="C41" s="89"/>
      <c r="D41" s="89"/>
      <c r="E41" s="89"/>
      <c r="F41" s="89"/>
      <c r="G41" s="89"/>
      <c r="H41" s="89"/>
      <c r="I41" s="89"/>
      <c r="J41" s="89"/>
      <c r="K41" s="351" t="str">
        <f>_xlfn.IFNA(Backend!AN46,"")</f>
        <v/>
      </c>
      <c r="L41" s="351" t="str">
        <f t="shared" si="8"/>
        <v/>
      </c>
      <c r="M41" s="351" t="str">
        <f t="shared" si="9"/>
        <v/>
      </c>
      <c r="N41" s="351" t="str">
        <f t="shared" si="10"/>
        <v/>
      </c>
      <c r="O41" s="351" t="str">
        <f t="shared" si="11"/>
        <v/>
      </c>
      <c r="P41" s="355" t="str">
        <f t="shared" si="12"/>
        <v/>
      </c>
      <c r="Q41" s="357" t="str">
        <f t="shared" si="13"/>
        <v/>
      </c>
      <c r="R41" s="323"/>
      <c r="S41" s="323"/>
      <c r="T41" s="351" t="str">
        <f>_xlfn.IFNA(IF(VLOOKUP(D41,Group!C:I,7,0)=0,"",VLOOKUP(D41,Group!C:I,7,0)),"")</f>
        <v/>
      </c>
      <c r="U41" s="351" t="str">
        <f t="shared" si="14"/>
        <v/>
      </c>
      <c r="V41" s="351" t="str">
        <f t="shared" si="15"/>
        <v/>
      </c>
      <c r="AA41" s="351" t="str">
        <f>_xlfn.IFNA(Backend!AO46,"")</f>
        <v/>
      </c>
      <c r="AB41" s="351" t="str">
        <f>Backend!AP46</f>
        <v/>
      </c>
      <c r="AC41" s="351" t="str">
        <f>Backend!AQ46</f>
        <v/>
      </c>
      <c r="AD41" s="351" t="str">
        <f>Backend!AR46</f>
        <v/>
      </c>
      <c r="AE41" s="351" t="str">
        <f>Backend!AS46</f>
        <v/>
      </c>
      <c r="AF41" s="351" t="str">
        <f>Backend!AT46</f>
        <v/>
      </c>
      <c r="AG41" s="351" t="str">
        <f>Backend!AU46</f>
        <v/>
      </c>
      <c r="AH41" s="351" t="str">
        <f>Backend!AV46</f>
        <v/>
      </c>
      <c r="AI41" s="351" t="str">
        <f>Backend!AW46</f>
        <v/>
      </c>
      <c r="AJ41" s="351" t="str">
        <f>Backend!AX46</f>
        <v/>
      </c>
      <c r="AK41" s="351" t="str">
        <f>Backend!AY46</f>
        <v/>
      </c>
      <c r="AL41" s="351" t="str">
        <f>Backend!AZ46</f>
        <v/>
      </c>
      <c r="AM41" s="351" t="str">
        <f>Backend!BA46</f>
        <v/>
      </c>
      <c r="AN41" s="351" t="str">
        <f>Backend!BB46</f>
        <v/>
      </c>
      <c r="AO41" s="351" t="str">
        <f>Backend!BC46</f>
        <v/>
      </c>
      <c r="AP41" s="351" t="str">
        <f>Backend!BD46</f>
        <v/>
      </c>
      <c r="AQ41" s="351" t="str">
        <f>Backend!BE46</f>
        <v/>
      </c>
      <c r="AR41" s="351" t="str">
        <f>Backend!BF46</f>
        <v/>
      </c>
      <c r="AS41" s="351" t="str">
        <f>Backend!BG46</f>
        <v/>
      </c>
      <c r="AT41" s="351" t="str">
        <f>Backend!BH46</f>
        <v/>
      </c>
      <c r="AU41" s="351" t="str">
        <f>Backend!BI46</f>
        <v/>
      </c>
      <c r="AV41" s="351" t="str">
        <f>Backend!BJ46</f>
        <v/>
      </c>
      <c r="AW41" s="351" t="str">
        <f>_xlfn.IFNA(Backend!O46,"")</f>
        <v/>
      </c>
      <c r="AX41" s="355" t="str">
        <f>_xlfn.IFNA(IF(D41="","",Backend!BK46),"")</f>
        <v/>
      </c>
      <c r="AY41" s="356" t="str">
        <f t="shared" si="17"/>
        <v/>
      </c>
      <c r="BB41" s="70"/>
    </row>
    <row r="42" spans="1:54">
      <c r="A42" s="89">
        <v>40</v>
      </c>
      <c r="B42" s="154" t="str">
        <f t="shared" si="16"/>
        <v>MB512123</v>
      </c>
      <c r="C42" s="89"/>
      <c r="D42" s="89"/>
      <c r="E42" s="89"/>
      <c r="F42" s="89"/>
      <c r="G42" s="89"/>
      <c r="H42" s="89"/>
      <c r="I42" s="89"/>
      <c r="J42" s="89"/>
      <c r="K42" s="351" t="str">
        <f>_xlfn.IFNA(Backend!AN47,"")</f>
        <v/>
      </c>
      <c r="L42" s="351" t="str">
        <f t="shared" si="8"/>
        <v/>
      </c>
      <c r="M42" s="351" t="str">
        <f t="shared" si="9"/>
        <v/>
      </c>
      <c r="N42" s="351" t="str">
        <f t="shared" si="10"/>
        <v/>
      </c>
      <c r="O42" s="351" t="str">
        <f t="shared" si="11"/>
        <v/>
      </c>
      <c r="P42" s="355" t="str">
        <f t="shared" si="12"/>
        <v/>
      </c>
      <c r="Q42" s="357" t="str">
        <f t="shared" si="13"/>
        <v/>
      </c>
      <c r="R42" s="323"/>
      <c r="S42" s="323"/>
      <c r="T42" s="351" t="str">
        <f>_xlfn.IFNA(IF(VLOOKUP(D42,Group!C:I,7,0)=0,"",VLOOKUP(D42,Group!C:I,7,0)),"")</f>
        <v/>
      </c>
      <c r="U42" s="351" t="str">
        <f t="shared" si="14"/>
        <v/>
      </c>
      <c r="V42" s="351" t="str">
        <f t="shared" si="15"/>
        <v/>
      </c>
      <c r="AA42" s="351" t="str">
        <f>_xlfn.IFNA(Backend!AO47,"")</f>
        <v/>
      </c>
      <c r="AB42" s="351" t="str">
        <f>Backend!AP47</f>
        <v/>
      </c>
      <c r="AC42" s="351" t="str">
        <f>Backend!AQ47</f>
        <v/>
      </c>
      <c r="AD42" s="351" t="str">
        <f>Backend!AR47</f>
        <v/>
      </c>
      <c r="AE42" s="351" t="str">
        <f>Backend!AS47</f>
        <v/>
      </c>
      <c r="AF42" s="351" t="str">
        <f>Backend!AT47</f>
        <v/>
      </c>
      <c r="AG42" s="351" t="str">
        <f>Backend!AU47</f>
        <v/>
      </c>
      <c r="AH42" s="351" t="str">
        <f>Backend!AV47</f>
        <v/>
      </c>
      <c r="AI42" s="351" t="str">
        <f>Backend!AW47</f>
        <v/>
      </c>
      <c r="AJ42" s="351" t="str">
        <f>Backend!AX47</f>
        <v/>
      </c>
      <c r="AK42" s="351" t="str">
        <f>Backend!AY47</f>
        <v/>
      </c>
      <c r="AL42" s="351" t="str">
        <f>Backend!AZ47</f>
        <v/>
      </c>
      <c r="AM42" s="351" t="str">
        <f>Backend!BA47</f>
        <v/>
      </c>
      <c r="AN42" s="351" t="str">
        <f>Backend!BB47</f>
        <v/>
      </c>
      <c r="AO42" s="351" t="str">
        <f>Backend!BC47</f>
        <v/>
      </c>
      <c r="AP42" s="351" t="str">
        <f>Backend!BD47</f>
        <v/>
      </c>
      <c r="AQ42" s="351" t="str">
        <f>Backend!BE47</f>
        <v/>
      </c>
      <c r="AR42" s="351" t="str">
        <f>Backend!BF47</f>
        <v/>
      </c>
      <c r="AS42" s="351" t="str">
        <f>Backend!BG47</f>
        <v/>
      </c>
      <c r="AT42" s="351" t="str">
        <f>Backend!BH47</f>
        <v/>
      </c>
      <c r="AU42" s="351" t="str">
        <f>Backend!BI47</f>
        <v/>
      </c>
      <c r="AV42" s="351" t="str">
        <f>Backend!BJ47</f>
        <v/>
      </c>
      <c r="AW42" s="351" t="str">
        <f>_xlfn.IFNA(Backend!O47,"")</f>
        <v/>
      </c>
      <c r="AX42" s="355" t="str">
        <f>_xlfn.IFNA(IF(D42="","",Backend!BK47),"")</f>
        <v/>
      </c>
      <c r="AY42" s="356" t="str">
        <f t="shared" si="17"/>
        <v/>
      </c>
      <c r="BB42" s="70"/>
    </row>
    <row r="43" spans="1:54">
      <c r="A43" s="89">
        <v>41</v>
      </c>
      <c r="B43" s="154" t="str">
        <f t="shared" si="16"/>
        <v>MB512123</v>
      </c>
      <c r="C43" s="89"/>
      <c r="D43" s="89"/>
      <c r="E43" s="89"/>
      <c r="F43" s="89"/>
      <c r="G43" s="89"/>
      <c r="H43" s="89"/>
      <c r="I43" s="89"/>
      <c r="J43" s="89"/>
      <c r="K43" s="351" t="str">
        <f>_xlfn.IFNA(Backend!AN48,"")</f>
        <v/>
      </c>
      <c r="L43" s="351" t="str">
        <f t="shared" si="8"/>
        <v/>
      </c>
      <c r="M43" s="351" t="str">
        <f t="shared" si="9"/>
        <v/>
      </c>
      <c r="N43" s="351" t="str">
        <f t="shared" si="10"/>
        <v/>
      </c>
      <c r="O43" s="351" t="str">
        <f t="shared" si="11"/>
        <v/>
      </c>
      <c r="P43" s="355" t="str">
        <f t="shared" si="12"/>
        <v/>
      </c>
      <c r="Q43" s="357" t="str">
        <f t="shared" si="13"/>
        <v/>
      </c>
      <c r="R43" s="323"/>
      <c r="S43" s="323"/>
      <c r="T43" s="351" t="str">
        <f>_xlfn.IFNA(IF(VLOOKUP(D43,Group!C:I,7,0)=0,"",VLOOKUP(D43,Group!C:I,7,0)),"")</f>
        <v/>
      </c>
      <c r="U43" s="351" t="str">
        <f t="shared" si="14"/>
        <v/>
      </c>
      <c r="V43" s="351" t="str">
        <f t="shared" si="15"/>
        <v/>
      </c>
      <c r="AA43" s="351" t="str">
        <f>_xlfn.IFNA(Backend!AO48,"")</f>
        <v/>
      </c>
      <c r="AB43" s="351" t="str">
        <f>Backend!AP48</f>
        <v/>
      </c>
      <c r="AC43" s="351" t="str">
        <f>Backend!AQ48</f>
        <v/>
      </c>
      <c r="AD43" s="351" t="str">
        <f>Backend!AR48</f>
        <v/>
      </c>
      <c r="AE43" s="351" t="str">
        <f>Backend!AS48</f>
        <v/>
      </c>
      <c r="AF43" s="351" t="str">
        <f>Backend!AT48</f>
        <v/>
      </c>
      <c r="AG43" s="351" t="str">
        <f>Backend!AU48</f>
        <v/>
      </c>
      <c r="AH43" s="351" t="str">
        <f>Backend!AV48</f>
        <v/>
      </c>
      <c r="AI43" s="351" t="str">
        <f>Backend!AW48</f>
        <v/>
      </c>
      <c r="AJ43" s="351" t="str">
        <f>Backend!AX48</f>
        <v/>
      </c>
      <c r="AK43" s="351" t="str">
        <f>Backend!AY48</f>
        <v/>
      </c>
      <c r="AL43" s="351" t="str">
        <f>Backend!AZ48</f>
        <v/>
      </c>
      <c r="AM43" s="351" t="str">
        <f>Backend!BA48</f>
        <v/>
      </c>
      <c r="AN43" s="351" t="str">
        <f>Backend!BB48</f>
        <v/>
      </c>
      <c r="AO43" s="351" t="str">
        <f>Backend!BC48</f>
        <v/>
      </c>
      <c r="AP43" s="351" t="str">
        <f>Backend!BD48</f>
        <v/>
      </c>
      <c r="AQ43" s="351" t="str">
        <f>Backend!BE48</f>
        <v/>
      </c>
      <c r="AR43" s="351" t="str">
        <f>Backend!BF48</f>
        <v/>
      </c>
      <c r="AS43" s="351" t="str">
        <f>Backend!BG48</f>
        <v/>
      </c>
      <c r="AT43" s="351" t="str">
        <f>Backend!BH48</f>
        <v/>
      </c>
      <c r="AU43" s="351" t="str">
        <f>Backend!BI48</f>
        <v/>
      </c>
      <c r="AV43" s="351" t="str">
        <f>Backend!BJ48</f>
        <v/>
      </c>
      <c r="AW43" s="351" t="str">
        <f>_xlfn.IFNA(Backend!O48,"")</f>
        <v/>
      </c>
      <c r="AX43" s="355" t="str">
        <f>_xlfn.IFNA(IF(D43="","",Backend!BK48),"")</f>
        <v/>
      </c>
      <c r="AY43" s="356" t="str">
        <f t="shared" si="17"/>
        <v/>
      </c>
      <c r="BB43" s="70"/>
    </row>
    <row r="44" spans="1:54">
      <c r="A44" s="89">
        <v>42</v>
      </c>
      <c r="B44" s="154" t="str">
        <f t="shared" si="16"/>
        <v>MB512123</v>
      </c>
      <c r="C44" s="89"/>
      <c r="D44" s="89"/>
      <c r="E44" s="89"/>
      <c r="F44" s="89"/>
      <c r="G44" s="89"/>
      <c r="H44" s="89"/>
      <c r="I44" s="89"/>
      <c r="J44" s="89"/>
      <c r="K44" s="351" t="str">
        <f>_xlfn.IFNA(Backend!AN49,"")</f>
        <v/>
      </c>
      <c r="L44" s="351" t="str">
        <f t="shared" si="8"/>
        <v/>
      </c>
      <c r="M44" s="351" t="str">
        <f t="shared" si="9"/>
        <v/>
      </c>
      <c r="N44" s="351" t="str">
        <f t="shared" si="10"/>
        <v/>
      </c>
      <c r="O44" s="351" t="str">
        <f t="shared" si="11"/>
        <v/>
      </c>
      <c r="P44" s="355" t="str">
        <f t="shared" si="12"/>
        <v/>
      </c>
      <c r="Q44" s="357" t="str">
        <f t="shared" si="13"/>
        <v/>
      </c>
      <c r="R44" s="323"/>
      <c r="S44" s="323"/>
      <c r="T44" s="351" t="str">
        <f>_xlfn.IFNA(IF(VLOOKUP(D44,Group!C:I,7,0)=0,"",VLOOKUP(D44,Group!C:I,7,0)),"")</f>
        <v/>
      </c>
      <c r="U44" s="351" t="str">
        <f t="shared" si="14"/>
        <v/>
      </c>
      <c r="V44" s="351" t="str">
        <f t="shared" si="15"/>
        <v/>
      </c>
      <c r="AA44" s="351" t="str">
        <f>_xlfn.IFNA(Backend!AO49,"")</f>
        <v/>
      </c>
      <c r="AB44" s="351" t="str">
        <f>Backend!AP49</f>
        <v/>
      </c>
      <c r="AC44" s="351" t="str">
        <f>Backend!AQ49</f>
        <v/>
      </c>
      <c r="AD44" s="351" t="str">
        <f>Backend!AR49</f>
        <v/>
      </c>
      <c r="AE44" s="351" t="str">
        <f>Backend!AS49</f>
        <v/>
      </c>
      <c r="AF44" s="351" t="str">
        <f>Backend!AT49</f>
        <v/>
      </c>
      <c r="AG44" s="351" t="str">
        <f>Backend!AU49</f>
        <v/>
      </c>
      <c r="AH44" s="351" t="str">
        <f>Backend!AV49</f>
        <v/>
      </c>
      <c r="AI44" s="351" t="str">
        <f>Backend!AW49</f>
        <v/>
      </c>
      <c r="AJ44" s="351" t="str">
        <f>Backend!AX49</f>
        <v/>
      </c>
      <c r="AK44" s="351" t="str">
        <f>Backend!AY49</f>
        <v/>
      </c>
      <c r="AL44" s="351" t="str">
        <f>Backend!AZ49</f>
        <v/>
      </c>
      <c r="AM44" s="351" t="str">
        <f>Backend!BA49</f>
        <v/>
      </c>
      <c r="AN44" s="351" t="str">
        <f>Backend!BB49</f>
        <v/>
      </c>
      <c r="AO44" s="351" t="str">
        <f>Backend!BC49</f>
        <v/>
      </c>
      <c r="AP44" s="351" t="str">
        <f>Backend!BD49</f>
        <v/>
      </c>
      <c r="AQ44" s="351" t="str">
        <f>Backend!BE49</f>
        <v/>
      </c>
      <c r="AR44" s="351" t="str">
        <f>Backend!BF49</f>
        <v/>
      </c>
      <c r="AS44" s="351" t="str">
        <f>Backend!BG49</f>
        <v/>
      </c>
      <c r="AT44" s="351" t="str">
        <f>Backend!BH49</f>
        <v/>
      </c>
      <c r="AU44" s="351" t="str">
        <f>Backend!BI49</f>
        <v/>
      </c>
      <c r="AV44" s="351" t="str">
        <f>Backend!BJ49</f>
        <v/>
      </c>
      <c r="AW44" s="351" t="str">
        <f>_xlfn.IFNA(Backend!O49,"")</f>
        <v/>
      </c>
      <c r="AX44" s="355" t="str">
        <f>_xlfn.IFNA(IF(D44="","",Backend!BK49),"")</f>
        <v/>
      </c>
      <c r="AY44" s="356" t="str">
        <f t="shared" si="17"/>
        <v/>
      </c>
      <c r="BB44" s="70"/>
    </row>
    <row r="45" spans="1:54">
      <c r="A45" s="89">
        <v>43</v>
      </c>
      <c r="B45" s="154" t="str">
        <f t="shared" si="16"/>
        <v>MB512123</v>
      </c>
      <c r="C45" s="89"/>
      <c r="D45" s="89"/>
      <c r="E45" s="89"/>
      <c r="F45" s="89"/>
      <c r="G45" s="89"/>
      <c r="H45" s="89"/>
      <c r="I45" s="89"/>
      <c r="J45" s="89"/>
      <c r="K45" s="351" t="str">
        <f>_xlfn.IFNA(Backend!AN50,"")</f>
        <v/>
      </c>
      <c r="L45" s="351" t="str">
        <f t="shared" si="8"/>
        <v/>
      </c>
      <c r="M45" s="351" t="str">
        <f t="shared" si="9"/>
        <v/>
      </c>
      <c r="N45" s="351" t="str">
        <f t="shared" si="10"/>
        <v/>
      </c>
      <c r="O45" s="351" t="str">
        <f t="shared" si="11"/>
        <v/>
      </c>
      <c r="P45" s="355" t="str">
        <f t="shared" si="12"/>
        <v/>
      </c>
      <c r="Q45" s="357" t="str">
        <f t="shared" si="13"/>
        <v/>
      </c>
      <c r="R45" s="323"/>
      <c r="S45" s="323"/>
      <c r="T45" s="351" t="str">
        <f>_xlfn.IFNA(IF(VLOOKUP(D45,Group!C:I,7,0)=0,"",VLOOKUP(D45,Group!C:I,7,0)),"")</f>
        <v/>
      </c>
      <c r="U45" s="351" t="str">
        <f t="shared" si="14"/>
        <v/>
      </c>
      <c r="V45" s="351" t="str">
        <f t="shared" si="15"/>
        <v/>
      </c>
      <c r="AA45" s="351" t="str">
        <f>_xlfn.IFNA(Backend!AO50,"")</f>
        <v/>
      </c>
      <c r="AB45" s="351" t="str">
        <f>Backend!AP50</f>
        <v/>
      </c>
      <c r="AC45" s="351" t="str">
        <f>Backend!AQ50</f>
        <v/>
      </c>
      <c r="AD45" s="351" t="str">
        <f>Backend!AR50</f>
        <v/>
      </c>
      <c r="AE45" s="351" t="str">
        <f>Backend!AS50</f>
        <v/>
      </c>
      <c r="AF45" s="351" t="str">
        <f>Backend!AT50</f>
        <v/>
      </c>
      <c r="AG45" s="351" t="str">
        <f>Backend!AU50</f>
        <v/>
      </c>
      <c r="AH45" s="351" t="str">
        <f>Backend!AV50</f>
        <v/>
      </c>
      <c r="AI45" s="351" t="str">
        <f>Backend!AW50</f>
        <v/>
      </c>
      <c r="AJ45" s="351" t="str">
        <f>Backend!AX50</f>
        <v/>
      </c>
      <c r="AK45" s="351" t="str">
        <f>Backend!AY50</f>
        <v/>
      </c>
      <c r="AL45" s="351" t="str">
        <f>Backend!AZ50</f>
        <v/>
      </c>
      <c r="AM45" s="351" t="str">
        <f>Backend!BA50</f>
        <v/>
      </c>
      <c r="AN45" s="351" t="str">
        <f>Backend!BB50</f>
        <v/>
      </c>
      <c r="AO45" s="351" t="str">
        <f>Backend!BC50</f>
        <v/>
      </c>
      <c r="AP45" s="351" t="str">
        <f>Backend!BD50</f>
        <v/>
      </c>
      <c r="AQ45" s="351" t="str">
        <f>Backend!BE50</f>
        <v/>
      </c>
      <c r="AR45" s="351" t="str">
        <f>Backend!BF50</f>
        <v/>
      </c>
      <c r="AS45" s="351" t="str">
        <f>Backend!BG50</f>
        <v/>
      </c>
      <c r="AT45" s="351" t="str">
        <f>Backend!BH50</f>
        <v/>
      </c>
      <c r="AU45" s="351" t="str">
        <f>Backend!BI50</f>
        <v/>
      </c>
      <c r="AV45" s="351" t="str">
        <f>Backend!BJ50</f>
        <v/>
      </c>
      <c r="AW45" s="351" t="str">
        <f>_xlfn.IFNA(Backend!O50,"")</f>
        <v/>
      </c>
      <c r="AX45" s="355" t="str">
        <f>_xlfn.IFNA(IF(D45="","",Backend!BK50),"")</f>
        <v/>
      </c>
      <c r="AY45" s="356" t="str">
        <f t="shared" si="17"/>
        <v/>
      </c>
      <c r="BB45" s="70"/>
    </row>
    <row r="46" spans="1:54">
      <c r="A46" s="89">
        <v>44</v>
      </c>
      <c r="B46" s="154" t="str">
        <f t="shared" si="16"/>
        <v>MB512123</v>
      </c>
      <c r="C46" s="89"/>
      <c r="D46" s="89"/>
      <c r="E46" s="89"/>
      <c r="F46" s="89"/>
      <c r="G46" s="89"/>
      <c r="H46" s="89"/>
      <c r="I46" s="89"/>
      <c r="J46" s="89"/>
      <c r="K46" s="351" t="str">
        <f>_xlfn.IFNA(Backend!AN51,"")</f>
        <v/>
      </c>
      <c r="L46" s="351" t="str">
        <f t="shared" si="8"/>
        <v/>
      </c>
      <c r="M46" s="351" t="str">
        <f t="shared" si="9"/>
        <v/>
      </c>
      <c r="N46" s="351" t="str">
        <f t="shared" si="10"/>
        <v/>
      </c>
      <c r="O46" s="351" t="str">
        <f t="shared" si="11"/>
        <v/>
      </c>
      <c r="P46" s="355" t="str">
        <f t="shared" si="12"/>
        <v/>
      </c>
      <c r="Q46" s="357" t="str">
        <f t="shared" si="13"/>
        <v/>
      </c>
      <c r="R46" s="323"/>
      <c r="S46" s="323"/>
      <c r="T46" s="351" t="str">
        <f>_xlfn.IFNA(IF(VLOOKUP(D46,Group!C:I,7,0)=0,"",VLOOKUP(D46,Group!C:I,7,0)),"")</f>
        <v/>
      </c>
      <c r="U46" s="351" t="str">
        <f t="shared" si="14"/>
        <v/>
      </c>
      <c r="V46" s="351" t="str">
        <f t="shared" si="15"/>
        <v/>
      </c>
      <c r="AA46" s="351" t="str">
        <f>_xlfn.IFNA(Backend!AO51,"")</f>
        <v/>
      </c>
      <c r="AB46" s="351" t="str">
        <f>Backend!AP51</f>
        <v/>
      </c>
      <c r="AC46" s="351" t="str">
        <f>Backend!AQ51</f>
        <v/>
      </c>
      <c r="AD46" s="351" t="str">
        <f>Backend!AR51</f>
        <v/>
      </c>
      <c r="AE46" s="351" t="str">
        <f>Backend!AS51</f>
        <v/>
      </c>
      <c r="AF46" s="351" t="str">
        <f>Backend!AT51</f>
        <v/>
      </c>
      <c r="AG46" s="351" t="str">
        <f>Backend!AU51</f>
        <v/>
      </c>
      <c r="AH46" s="351" t="str">
        <f>Backend!AV51</f>
        <v/>
      </c>
      <c r="AI46" s="351" t="str">
        <f>Backend!AW51</f>
        <v/>
      </c>
      <c r="AJ46" s="351" t="str">
        <f>Backend!AX51</f>
        <v/>
      </c>
      <c r="AK46" s="351" t="str">
        <f>Backend!AY51</f>
        <v/>
      </c>
      <c r="AL46" s="351" t="str">
        <f>Backend!AZ51</f>
        <v/>
      </c>
      <c r="AM46" s="351" t="str">
        <f>Backend!BA51</f>
        <v/>
      </c>
      <c r="AN46" s="351" t="str">
        <f>Backend!BB51</f>
        <v/>
      </c>
      <c r="AO46" s="351" t="str">
        <f>Backend!BC51</f>
        <v/>
      </c>
      <c r="AP46" s="351" t="str">
        <f>Backend!BD51</f>
        <v/>
      </c>
      <c r="AQ46" s="351" t="str">
        <f>Backend!BE51</f>
        <v/>
      </c>
      <c r="AR46" s="351" t="str">
        <f>Backend!BF51</f>
        <v/>
      </c>
      <c r="AS46" s="351" t="str">
        <f>Backend!BG51</f>
        <v/>
      </c>
      <c r="AT46" s="351" t="str">
        <f>Backend!BH51</f>
        <v/>
      </c>
      <c r="AU46" s="351" t="str">
        <f>Backend!BI51</f>
        <v/>
      </c>
      <c r="AV46" s="351" t="str">
        <f>Backend!BJ51</f>
        <v/>
      </c>
      <c r="AW46" s="351" t="str">
        <f>_xlfn.IFNA(Backend!O51,"")</f>
        <v/>
      </c>
      <c r="AX46" s="355" t="str">
        <f>_xlfn.IFNA(IF(D46="","",Backend!BK51),"")</f>
        <v/>
      </c>
      <c r="AY46" s="356" t="str">
        <f t="shared" si="17"/>
        <v/>
      </c>
      <c r="BB46" s="70"/>
    </row>
    <row r="47" spans="1:54">
      <c r="A47" s="89">
        <v>45</v>
      </c>
      <c r="B47" s="154" t="str">
        <f t="shared" si="16"/>
        <v>MB512123</v>
      </c>
      <c r="C47" s="89"/>
      <c r="D47" s="89"/>
      <c r="E47" s="89"/>
      <c r="F47" s="89"/>
      <c r="G47" s="89"/>
      <c r="H47" s="89"/>
      <c r="I47" s="89"/>
      <c r="J47" s="89"/>
      <c r="K47" s="351" t="str">
        <f>_xlfn.IFNA(Backend!AN52,"")</f>
        <v/>
      </c>
      <c r="L47" s="351" t="str">
        <f t="shared" si="8"/>
        <v/>
      </c>
      <c r="M47" s="351" t="str">
        <f t="shared" si="9"/>
        <v/>
      </c>
      <c r="N47" s="351" t="str">
        <f t="shared" si="10"/>
        <v/>
      </c>
      <c r="O47" s="351" t="str">
        <f t="shared" si="11"/>
        <v/>
      </c>
      <c r="P47" s="355" t="str">
        <f t="shared" si="12"/>
        <v/>
      </c>
      <c r="Q47" s="357" t="str">
        <f t="shared" si="13"/>
        <v/>
      </c>
      <c r="R47" s="323"/>
      <c r="S47" s="323"/>
      <c r="T47" s="351" t="str">
        <f>_xlfn.IFNA(IF(VLOOKUP(D47,Group!C:I,7,0)=0,"",VLOOKUP(D47,Group!C:I,7,0)),"")</f>
        <v/>
      </c>
      <c r="U47" s="351" t="str">
        <f t="shared" si="14"/>
        <v/>
      </c>
      <c r="V47" s="351" t="str">
        <f t="shared" si="15"/>
        <v/>
      </c>
      <c r="AA47" s="351" t="str">
        <f>_xlfn.IFNA(Backend!AO52,"")</f>
        <v/>
      </c>
      <c r="AB47" s="351" t="str">
        <f>Backend!AP52</f>
        <v/>
      </c>
      <c r="AC47" s="351" t="str">
        <f>Backend!AQ52</f>
        <v/>
      </c>
      <c r="AD47" s="351" t="str">
        <f>Backend!AR52</f>
        <v/>
      </c>
      <c r="AE47" s="351" t="str">
        <f>Backend!AS52</f>
        <v/>
      </c>
      <c r="AF47" s="351" t="str">
        <f>Backend!AT52</f>
        <v/>
      </c>
      <c r="AG47" s="351" t="str">
        <f>Backend!AU52</f>
        <v/>
      </c>
      <c r="AH47" s="351" t="str">
        <f>Backend!AV52</f>
        <v/>
      </c>
      <c r="AI47" s="351" t="str">
        <f>Backend!AW52</f>
        <v/>
      </c>
      <c r="AJ47" s="351" t="str">
        <f>Backend!AX52</f>
        <v/>
      </c>
      <c r="AK47" s="351" t="str">
        <f>Backend!AY52</f>
        <v/>
      </c>
      <c r="AL47" s="351" t="str">
        <f>Backend!AZ52</f>
        <v/>
      </c>
      <c r="AM47" s="351" t="str">
        <f>Backend!BA52</f>
        <v/>
      </c>
      <c r="AN47" s="351" t="str">
        <f>Backend!BB52</f>
        <v/>
      </c>
      <c r="AO47" s="351" t="str">
        <f>Backend!BC52</f>
        <v/>
      </c>
      <c r="AP47" s="351" t="str">
        <f>Backend!BD52</f>
        <v/>
      </c>
      <c r="AQ47" s="351" t="str">
        <f>Backend!BE52</f>
        <v/>
      </c>
      <c r="AR47" s="351" t="str">
        <f>Backend!BF52</f>
        <v/>
      </c>
      <c r="AS47" s="351" t="str">
        <f>Backend!BG52</f>
        <v/>
      </c>
      <c r="AT47" s="351" t="str">
        <f>Backend!BH52</f>
        <v/>
      </c>
      <c r="AU47" s="351" t="str">
        <f>Backend!BI52</f>
        <v/>
      </c>
      <c r="AV47" s="351" t="str">
        <f>Backend!BJ52</f>
        <v/>
      </c>
      <c r="AW47" s="351" t="str">
        <f>_xlfn.IFNA(Backend!O52,"")</f>
        <v/>
      </c>
      <c r="AX47" s="355" t="str">
        <f>_xlfn.IFNA(IF(D47="","",Backend!BK52),"")</f>
        <v/>
      </c>
      <c r="AY47" s="356" t="str">
        <f t="shared" si="17"/>
        <v/>
      </c>
      <c r="BB47" s="70"/>
    </row>
    <row r="48" spans="1:54">
      <c r="A48" s="89">
        <v>46</v>
      </c>
      <c r="B48" s="154" t="str">
        <f t="shared" si="16"/>
        <v>MB512123</v>
      </c>
      <c r="C48" s="89"/>
      <c r="D48" s="89"/>
      <c r="E48" s="89"/>
      <c r="F48" s="89"/>
      <c r="G48" s="89"/>
      <c r="H48" s="89"/>
      <c r="I48" s="89"/>
      <c r="J48" s="89"/>
      <c r="K48" s="351" t="str">
        <f>_xlfn.IFNA(Backend!AN53,"")</f>
        <v/>
      </c>
      <c r="L48" s="351" t="str">
        <f t="shared" si="8"/>
        <v/>
      </c>
      <c r="M48" s="351" t="str">
        <f t="shared" si="9"/>
        <v/>
      </c>
      <c r="N48" s="351" t="str">
        <f t="shared" si="10"/>
        <v/>
      </c>
      <c r="O48" s="351" t="str">
        <f t="shared" si="11"/>
        <v/>
      </c>
      <c r="P48" s="355" t="str">
        <f t="shared" si="12"/>
        <v/>
      </c>
      <c r="Q48" s="357" t="str">
        <f t="shared" si="13"/>
        <v/>
      </c>
      <c r="R48" s="323"/>
      <c r="S48" s="323"/>
      <c r="T48" s="351" t="str">
        <f>_xlfn.IFNA(IF(VLOOKUP(D48,Group!C:I,7,0)=0,"",VLOOKUP(D48,Group!C:I,7,0)),"")</f>
        <v/>
      </c>
      <c r="U48" s="351" t="str">
        <f t="shared" si="14"/>
        <v/>
      </c>
      <c r="V48" s="351" t="str">
        <f t="shared" si="15"/>
        <v/>
      </c>
      <c r="AA48" s="351" t="str">
        <f>_xlfn.IFNA(Backend!AO53,"")</f>
        <v/>
      </c>
      <c r="AB48" s="351" t="str">
        <f>Backend!AP53</f>
        <v/>
      </c>
      <c r="AC48" s="351" t="str">
        <f>Backend!AQ53</f>
        <v/>
      </c>
      <c r="AD48" s="351" t="str">
        <f>Backend!AR53</f>
        <v/>
      </c>
      <c r="AE48" s="351" t="str">
        <f>Backend!AS53</f>
        <v/>
      </c>
      <c r="AF48" s="351" t="str">
        <f>Backend!AT53</f>
        <v/>
      </c>
      <c r="AG48" s="351" t="str">
        <f>Backend!AU53</f>
        <v/>
      </c>
      <c r="AH48" s="351" t="str">
        <f>Backend!AV53</f>
        <v/>
      </c>
      <c r="AI48" s="351" t="str">
        <f>Backend!AW53</f>
        <v/>
      </c>
      <c r="AJ48" s="351" t="str">
        <f>Backend!AX53</f>
        <v/>
      </c>
      <c r="AK48" s="351" t="str">
        <f>Backend!AY53</f>
        <v/>
      </c>
      <c r="AL48" s="351" t="str">
        <f>Backend!AZ53</f>
        <v/>
      </c>
      <c r="AM48" s="351" t="str">
        <f>Backend!BA53</f>
        <v/>
      </c>
      <c r="AN48" s="351" t="str">
        <f>Backend!BB53</f>
        <v/>
      </c>
      <c r="AO48" s="351" t="str">
        <f>Backend!BC53</f>
        <v/>
      </c>
      <c r="AP48" s="351" t="str">
        <f>Backend!BD53</f>
        <v/>
      </c>
      <c r="AQ48" s="351" t="str">
        <f>Backend!BE53</f>
        <v/>
      </c>
      <c r="AR48" s="351" t="str">
        <f>Backend!BF53</f>
        <v/>
      </c>
      <c r="AS48" s="351" t="str">
        <f>Backend!BG53</f>
        <v/>
      </c>
      <c r="AT48" s="351" t="str">
        <f>Backend!BH53</f>
        <v/>
      </c>
      <c r="AU48" s="351" t="str">
        <f>Backend!BI53</f>
        <v/>
      </c>
      <c r="AV48" s="351" t="str">
        <f>Backend!BJ53</f>
        <v/>
      </c>
      <c r="AW48" s="351" t="str">
        <f>_xlfn.IFNA(Backend!O53,"")</f>
        <v/>
      </c>
      <c r="AX48" s="355" t="str">
        <f>_xlfn.IFNA(IF(D48="","",Backend!BK53),"")</f>
        <v/>
      </c>
      <c r="AY48" s="356" t="str">
        <f t="shared" si="17"/>
        <v/>
      </c>
      <c r="BB48" s="70"/>
    </row>
    <row r="49" spans="1:54">
      <c r="A49" s="89">
        <v>47</v>
      </c>
      <c r="B49" s="154" t="str">
        <f t="shared" si="16"/>
        <v>MB512123</v>
      </c>
      <c r="C49" s="89"/>
      <c r="D49" s="89"/>
      <c r="E49" s="89"/>
      <c r="F49" s="89"/>
      <c r="G49" s="89"/>
      <c r="H49" s="89"/>
      <c r="I49" s="89"/>
      <c r="J49" s="89"/>
      <c r="K49" s="351" t="str">
        <f>_xlfn.IFNA(Backend!AN54,"")</f>
        <v/>
      </c>
      <c r="L49" s="351" t="str">
        <f t="shared" si="8"/>
        <v/>
      </c>
      <c r="M49" s="351" t="str">
        <f t="shared" si="9"/>
        <v/>
      </c>
      <c r="N49" s="351" t="str">
        <f t="shared" si="10"/>
        <v/>
      </c>
      <c r="O49" s="351" t="str">
        <f t="shared" si="11"/>
        <v/>
      </c>
      <c r="P49" s="355" t="str">
        <f t="shared" si="12"/>
        <v/>
      </c>
      <c r="Q49" s="357" t="str">
        <f t="shared" si="13"/>
        <v/>
      </c>
      <c r="R49" s="323"/>
      <c r="S49" s="323"/>
      <c r="T49" s="351" t="str">
        <f>_xlfn.IFNA(IF(VLOOKUP(D49,Group!C:I,7,0)=0,"",VLOOKUP(D49,Group!C:I,7,0)),"")</f>
        <v/>
      </c>
      <c r="U49" s="351" t="str">
        <f t="shared" si="14"/>
        <v/>
      </c>
      <c r="V49" s="351" t="str">
        <f t="shared" si="15"/>
        <v/>
      </c>
      <c r="AA49" s="351" t="str">
        <f>_xlfn.IFNA(Backend!AO54,"")</f>
        <v/>
      </c>
      <c r="AB49" s="351" t="str">
        <f>Backend!AP54</f>
        <v/>
      </c>
      <c r="AC49" s="351" t="str">
        <f>Backend!AQ54</f>
        <v/>
      </c>
      <c r="AD49" s="351" t="str">
        <f>Backend!AR54</f>
        <v/>
      </c>
      <c r="AE49" s="351" t="str">
        <f>Backend!AS54</f>
        <v/>
      </c>
      <c r="AF49" s="351" t="str">
        <f>Backend!AT54</f>
        <v/>
      </c>
      <c r="AG49" s="351" t="str">
        <f>Backend!AU54</f>
        <v/>
      </c>
      <c r="AH49" s="351" t="str">
        <f>Backend!AV54</f>
        <v/>
      </c>
      <c r="AI49" s="351" t="str">
        <f>Backend!AW54</f>
        <v/>
      </c>
      <c r="AJ49" s="351" t="str">
        <f>Backend!AX54</f>
        <v/>
      </c>
      <c r="AK49" s="351" t="str">
        <f>Backend!AY54</f>
        <v/>
      </c>
      <c r="AL49" s="351" t="str">
        <f>Backend!AZ54</f>
        <v/>
      </c>
      <c r="AM49" s="351" t="str">
        <f>Backend!BA54</f>
        <v/>
      </c>
      <c r="AN49" s="351" t="str">
        <f>Backend!BB54</f>
        <v/>
      </c>
      <c r="AO49" s="351" t="str">
        <f>Backend!BC54</f>
        <v/>
      </c>
      <c r="AP49" s="351" t="str">
        <f>Backend!BD54</f>
        <v/>
      </c>
      <c r="AQ49" s="351" t="str">
        <f>Backend!BE54</f>
        <v/>
      </c>
      <c r="AR49" s="351" t="str">
        <f>Backend!BF54</f>
        <v/>
      </c>
      <c r="AS49" s="351" t="str">
        <f>Backend!BG54</f>
        <v/>
      </c>
      <c r="AT49" s="351" t="str">
        <f>Backend!BH54</f>
        <v/>
      </c>
      <c r="AU49" s="351" t="str">
        <f>Backend!BI54</f>
        <v/>
      </c>
      <c r="AV49" s="351" t="str">
        <f>Backend!BJ54</f>
        <v/>
      </c>
      <c r="AW49" s="351" t="str">
        <f>_xlfn.IFNA(Backend!O54,"")</f>
        <v/>
      </c>
      <c r="AX49" s="355" t="str">
        <f>_xlfn.IFNA(IF(D49="","",Backend!BK54),"")</f>
        <v/>
      </c>
      <c r="AY49" s="356" t="str">
        <f t="shared" si="17"/>
        <v/>
      </c>
      <c r="BB49" s="70"/>
    </row>
    <row r="50" spans="1:54">
      <c r="A50" s="89">
        <v>48</v>
      </c>
      <c r="B50" s="154" t="str">
        <f t="shared" si="16"/>
        <v>MB512123</v>
      </c>
      <c r="C50" s="89"/>
      <c r="D50" s="89"/>
      <c r="E50" s="89"/>
      <c r="F50" s="89"/>
      <c r="G50" s="89"/>
      <c r="H50" s="89"/>
      <c r="I50" s="89"/>
      <c r="J50" s="89"/>
      <c r="K50" s="351" t="str">
        <f>_xlfn.IFNA(Backend!AN55,"")</f>
        <v/>
      </c>
      <c r="L50" s="351" t="str">
        <f t="shared" si="8"/>
        <v/>
      </c>
      <c r="M50" s="351" t="str">
        <f t="shared" si="9"/>
        <v/>
      </c>
      <c r="N50" s="351" t="str">
        <f t="shared" si="10"/>
        <v/>
      </c>
      <c r="O50" s="351" t="str">
        <f t="shared" si="11"/>
        <v/>
      </c>
      <c r="P50" s="355" t="str">
        <f t="shared" si="12"/>
        <v/>
      </c>
      <c r="Q50" s="357" t="str">
        <f t="shared" si="13"/>
        <v/>
      </c>
      <c r="R50" s="323"/>
      <c r="S50" s="323"/>
      <c r="T50" s="351" t="str">
        <f>_xlfn.IFNA(IF(VLOOKUP(D50,Group!C:I,7,0)=0,"",VLOOKUP(D50,Group!C:I,7,0)),"")</f>
        <v/>
      </c>
      <c r="U50" s="351" t="str">
        <f t="shared" si="14"/>
        <v/>
      </c>
      <c r="V50" s="351" t="str">
        <f t="shared" si="15"/>
        <v/>
      </c>
      <c r="AA50" s="351" t="str">
        <f>_xlfn.IFNA(Backend!AO55,"")</f>
        <v/>
      </c>
      <c r="AB50" s="351" t="str">
        <f>Backend!AP55</f>
        <v/>
      </c>
      <c r="AC50" s="351" t="str">
        <f>Backend!AQ55</f>
        <v/>
      </c>
      <c r="AD50" s="351" t="str">
        <f>Backend!AR55</f>
        <v/>
      </c>
      <c r="AE50" s="351" t="str">
        <f>Backend!AS55</f>
        <v/>
      </c>
      <c r="AF50" s="351" t="str">
        <f>Backend!AT55</f>
        <v/>
      </c>
      <c r="AG50" s="351" t="str">
        <f>Backend!AU55</f>
        <v/>
      </c>
      <c r="AH50" s="351" t="str">
        <f>Backend!AV55</f>
        <v/>
      </c>
      <c r="AI50" s="351" t="str">
        <f>Backend!AW55</f>
        <v/>
      </c>
      <c r="AJ50" s="351" t="str">
        <f>Backend!AX55</f>
        <v/>
      </c>
      <c r="AK50" s="351" t="str">
        <f>Backend!AY55</f>
        <v/>
      </c>
      <c r="AL50" s="351" t="str">
        <f>Backend!AZ55</f>
        <v/>
      </c>
      <c r="AM50" s="351" t="str">
        <f>Backend!BA55</f>
        <v/>
      </c>
      <c r="AN50" s="351" t="str">
        <f>Backend!BB55</f>
        <v/>
      </c>
      <c r="AO50" s="351" t="str">
        <f>Backend!BC55</f>
        <v/>
      </c>
      <c r="AP50" s="351" t="str">
        <f>Backend!BD55</f>
        <v/>
      </c>
      <c r="AQ50" s="351" t="str">
        <f>Backend!BE55</f>
        <v/>
      </c>
      <c r="AR50" s="351" t="str">
        <f>Backend!BF55</f>
        <v/>
      </c>
      <c r="AS50" s="351" t="str">
        <f>Backend!BG55</f>
        <v/>
      </c>
      <c r="AT50" s="351" t="str">
        <f>Backend!BH55</f>
        <v/>
      </c>
      <c r="AU50" s="351" t="str">
        <f>Backend!BI55</f>
        <v/>
      </c>
      <c r="AV50" s="351" t="str">
        <f>Backend!BJ55</f>
        <v/>
      </c>
      <c r="AW50" s="351" t="str">
        <f>_xlfn.IFNA(Backend!O55,"")</f>
        <v/>
      </c>
      <c r="AX50" s="355" t="str">
        <f>_xlfn.IFNA(IF(D50="","",Backend!BK55),"")</f>
        <v/>
      </c>
      <c r="AY50" s="356" t="str">
        <f t="shared" si="17"/>
        <v/>
      </c>
      <c r="BB50" s="70"/>
    </row>
    <row r="51" spans="1:54">
      <c r="A51" s="89">
        <v>49</v>
      </c>
      <c r="B51" s="154" t="str">
        <f t="shared" si="16"/>
        <v>MB512123</v>
      </c>
      <c r="C51" s="89"/>
      <c r="D51" s="89"/>
      <c r="E51" s="89"/>
      <c r="F51" s="89"/>
      <c r="G51" s="89"/>
      <c r="H51" s="89"/>
      <c r="I51" s="89"/>
      <c r="J51" s="89"/>
      <c r="K51" s="351" t="str">
        <f>_xlfn.IFNA(Backend!AN56,"")</f>
        <v/>
      </c>
      <c r="L51" s="351" t="str">
        <f t="shared" si="8"/>
        <v/>
      </c>
      <c r="M51" s="351" t="str">
        <f t="shared" si="9"/>
        <v/>
      </c>
      <c r="N51" s="351" t="str">
        <f t="shared" si="10"/>
        <v/>
      </c>
      <c r="O51" s="351" t="str">
        <f t="shared" si="11"/>
        <v/>
      </c>
      <c r="P51" s="355" t="str">
        <f t="shared" si="12"/>
        <v/>
      </c>
      <c r="Q51" s="357" t="str">
        <f t="shared" si="13"/>
        <v/>
      </c>
      <c r="R51" s="323"/>
      <c r="S51" s="323"/>
      <c r="T51" s="351" t="str">
        <f>_xlfn.IFNA(IF(VLOOKUP(D51,Group!C:I,7,0)=0,"",VLOOKUP(D51,Group!C:I,7,0)),"")</f>
        <v/>
      </c>
      <c r="U51" s="351" t="str">
        <f t="shared" si="14"/>
        <v/>
      </c>
      <c r="V51" s="351" t="str">
        <f t="shared" si="15"/>
        <v/>
      </c>
      <c r="AA51" s="351" t="str">
        <f>_xlfn.IFNA(Backend!AO56,"")</f>
        <v/>
      </c>
      <c r="AB51" s="351" t="str">
        <f>Backend!AP56</f>
        <v/>
      </c>
      <c r="AC51" s="351" t="str">
        <f>Backend!AQ56</f>
        <v/>
      </c>
      <c r="AD51" s="351" t="str">
        <f>Backend!AR56</f>
        <v/>
      </c>
      <c r="AE51" s="351" t="str">
        <f>Backend!AS56</f>
        <v/>
      </c>
      <c r="AF51" s="351" t="str">
        <f>Backend!AT56</f>
        <v/>
      </c>
      <c r="AG51" s="351" t="str">
        <f>Backend!AU56</f>
        <v/>
      </c>
      <c r="AH51" s="351" t="str">
        <f>Backend!AV56</f>
        <v/>
      </c>
      <c r="AI51" s="351" t="str">
        <f>Backend!AW56</f>
        <v/>
      </c>
      <c r="AJ51" s="351" t="str">
        <f>Backend!AX56</f>
        <v/>
      </c>
      <c r="AK51" s="351" t="str">
        <f>Backend!AY56</f>
        <v/>
      </c>
      <c r="AL51" s="351" t="str">
        <f>Backend!AZ56</f>
        <v/>
      </c>
      <c r="AM51" s="351" t="str">
        <f>Backend!BA56</f>
        <v/>
      </c>
      <c r="AN51" s="351" t="str">
        <f>Backend!BB56</f>
        <v/>
      </c>
      <c r="AO51" s="351" t="str">
        <f>Backend!BC56</f>
        <v/>
      </c>
      <c r="AP51" s="351" t="str">
        <f>Backend!BD56</f>
        <v/>
      </c>
      <c r="AQ51" s="351" t="str">
        <f>Backend!BE56</f>
        <v/>
      </c>
      <c r="AR51" s="351" t="str">
        <f>Backend!BF56</f>
        <v/>
      </c>
      <c r="AS51" s="351" t="str">
        <f>Backend!BG56</f>
        <v/>
      </c>
      <c r="AT51" s="351" t="str">
        <f>Backend!BH56</f>
        <v/>
      </c>
      <c r="AU51" s="351" t="str">
        <f>Backend!BI56</f>
        <v/>
      </c>
      <c r="AV51" s="351" t="str">
        <f>Backend!BJ56</f>
        <v/>
      </c>
      <c r="AW51" s="351" t="str">
        <f>_xlfn.IFNA(Backend!O56,"")</f>
        <v/>
      </c>
      <c r="AX51" s="355" t="str">
        <f>_xlfn.IFNA(IF(D51="","",Backend!BK56),"")</f>
        <v/>
      </c>
      <c r="AY51" s="356" t="str">
        <f t="shared" si="17"/>
        <v/>
      </c>
      <c r="BB51" s="70"/>
    </row>
    <row r="52" spans="1:54">
      <c r="A52" s="89">
        <v>50</v>
      </c>
      <c r="B52" s="154" t="str">
        <f t="shared" si="16"/>
        <v>MB512123</v>
      </c>
      <c r="C52" s="89"/>
      <c r="D52" s="89"/>
      <c r="E52" s="89"/>
      <c r="F52" s="89"/>
      <c r="G52" s="89"/>
      <c r="H52" s="89"/>
      <c r="I52" s="89"/>
      <c r="J52" s="89"/>
      <c r="K52" s="351" t="str">
        <f>_xlfn.IFNA(Backend!AN57,"")</f>
        <v/>
      </c>
      <c r="L52" s="351" t="str">
        <f t="shared" si="8"/>
        <v/>
      </c>
      <c r="M52" s="351" t="str">
        <f t="shared" si="9"/>
        <v/>
      </c>
      <c r="N52" s="351" t="str">
        <f t="shared" si="10"/>
        <v/>
      </c>
      <c r="O52" s="351" t="str">
        <f t="shared" si="11"/>
        <v/>
      </c>
      <c r="P52" s="355" t="str">
        <f t="shared" si="12"/>
        <v/>
      </c>
      <c r="Q52" s="357" t="str">
        <f t="shared" si="13"/>
        <v/>
      </c>
      <c r="R52" s="323"/>
      <c r="S52" s="323"/>
      <c r="T52" s="351" t="str">
        <f>_xlfn.IFNA(IF(VLOOKUP(D52,Group!C:I,7,0)=0,"",VLOOKUP(D52,Group!C:I,7,0)),"")</f>
        <v/>
      </c>
      <c r="U52" s="351" t="str">
        <f t="shared" si="14"/>
        <v/>
      </c>
      <c r="V52" s="351" t="str">
        <f t="shared" si="15"/>
        <v/>
      </c>
      <c r="AA52" s="351" t="str">
        <f>_xlfn.IFNA(Backend!AO57,"")</f>
        <v/>
      </c>
      <c r="AB52" s="351" t="str">
        <f>Backend!AP57</f>
        <v/>
      </c>
      <c r="AC52" s="351" t="str">
        <f>Backend!AQ57</f>
        <v/>
      </c>
      <c r="AD52" s="351" t="str">
        <f>Backend!AR57</f>
        <v/>
      </c>
      <c r="AE52" s="351" t="str">
        <f>Backend!AS57</f>
        <v/>
      </c>
      <c r="AF52" s="351" t="str">
        <f>Backend!AT57</f>
        <v/>
      </c>
      <c r="AG52" s="351" t="str">
        <f>Backend!AU57</f>
        <v/>
      </c>
      <c r="AH52" s="351" t="str">
        <f>Backend!AV57</f>
        <v/>
      </c>
      <c r="AI52" s="351" t="str">
        <f>Backend!AW57</f>
        <v/>
      </c>
      <c r="AJ52" s="351" t="str">
        <f>Backend!AX57</f>
        <v/>
      </c>
      <c r="AK52" s="351" t="str">
        <f>Backend!AY57</f>
        <v/>
      </c>
      <c r="AL52" s="351" t="str">
        <f>Backend!AZ57</f>
        <v/>
      </c>
      <c r="AM52" s="351" t="str">
        <f>Backend!BA57</f>
        <v/>
      </c>
      <c r="AN52" s="351" t="str">
        <f>Backend!BB57</f>
        <v/>
      </c>
      <c r="AO52" s="351" t="str">
        <f>Backend!BC57</f>
        <v/>
      </c>
      <c r="AP52" s="351" t="str">
        <f>Backend!BD57</f>
        <v/>
      </c>
      <c r="AQ52" s="351" t="str">
        <f>Backend!BE57</f>
        <v/>
      </c>
      <c r="AR52" s="351" t="str">
        <f>Backend!BF57</f>
        <v/>
      </c>
      <c r="AS52" s="351" t="str">
        <f>Backend!BG57</f>
        <v/>
      </c>
      <c r="AT52" s="351" t="str">
        <f>Backend!BH57</f>
        <v/>
      </c>
      <c r="AU52" s="351" t="str">
        <f>Backend!BI57</f>
        <v/>
      </c>
      <c r="AV52" s="351" t="str">
        <f>Backend!BJ57</f>
        <v/>
      </c>
      <c r="AW52" s="351" t="str">
        <f>_xlfn.IFNA(Backend!O57,"")</f>
        <v/>
      </c>
      <c r="AX52" s="355" t="str">
        <f>_xlfn.IFNA(IF(D52="","",Backend!BK57),"")</f>
        <v/>
      </c>
      <c r="AY52" s="356" t="str">
        <f t="shared" si="17"/>
        <v/>
      </c>
      <c r="BB52" s="70"/>
    </row>
    <row r="53" spans="1:54">
      <c r="A53"/>
      <c r="K53"/>
      <c r="L53"/>
      <c r="M53"/>
      <c r="N53"/>
      <c r="O53"/>
      <c r="P53"/>
      <c r="R53"/>
      <c r="S53"/>
      <c r="T53"/>
    </row>
    <row r="54" spans="1:54">
      <c r="A54"/>
      <c r="K54"/>
      <c r="L54"/>
      <c r="M54"/>
      <c r="N54"/>
      <c r="O54"/>
      <c r="P54"/>
      <c r="R54"/>
      <c r="S54"/>
      <c r="T54"/>
    </row>
    <row r="55" spans="1:54">
      <c r="A55"/>
      <c r="K55"/>
      <c r="L55"/>
      <c r="M55"/>
      <c r="N55"/>
      <c r="O55"/>
      <c r="P55"/>
      <c r="R55"/>
      <c r="S55"/>
      <c r="T55"/>
    </row>
    <row r="56" spans="1:54">
      <c r="A56"/>
      <c r="K56"/>
      <c r="L56"/>
      <c r="M56"/>
      <c r="N56"/>
      <c r="O56"/>
      <c r="P56"/>
      <c r="R56"/>
      <c r="S56"/>
      <c r="T56"/>
    </row>
    <row r="57" spans="1:54">
      <c r="A57"/>
      <c r="K57"/>
      <c r="L57"/>
      <c r="M57"/>
      <c r="N57"/>
      <c r="O57"/>
      <c r="P57"/>
      <c r="R57"/>
      <c r="S57"/>
      <c r="T57"/>
    </row>
    <row r="58" spans="1:54">
      <c r="A58"/>
      <c r="K58"/>
      <c r="L58"/>
      <c r="M58"/>
      <c r="N58"/>
      <c r="O58"/>
      <c r="P58"/>
      <c r="R58"/>
      <c r="S58"/>
      <c r="T58"/>
    </row>
    <row r="59" spans="1:54">
      <c r="A59"/>
      <c r="K59"/>
      <c r="L59"/>
      <c r="M59"/>
      <c r="N59"/>
      <c r="O59"/>
      <c r="P59"/>
      <c r="R59"/>
      <c r="S59"/>
      <c r="T59"/>
    </row>
    <row r="60" spans="1:54">
      <c r="A60"/>
      <c r="K60"/>
      <c r="L60"/>
      <c r="M60"/>
      <c r="N60"/>
      <c r="O60"/>
      <c r="P60"/>
      <c r="R60"/>
      <c r="S60"/>
      <c r="T60"/>
    </row>
    <row r="61" spans="1:54">
      <c r="A61"/>
      <c r="K61"/>
      <c r="L61"/>
      <c r="M61"/>
      <c r="N61"/>
      <c r="O61"/>
      <c r="P61"/>
      <c r="R61"/>
      <c r="S61"/>
      <c r="T61"/>
    </row>
    <row r="62" spans="1:54">
      <c r="A62"/>
      <c r="K62"/>
      <c r="L62"/>
      <c r="M62"/>
      <c r="N62"/>
      <c r="O62"/>
      <c r="P62"/>
      <c r="R62"/>
      <c r="S62"/>
      <c r="T62"/>
    </row>
    <row r="63" spans="1:54">
      <c r="A63"/>
      <c r="K63"/>
      <c r="L63"/>
      <c r="M63"/>
      <c r="N63"/>
      <c r="O63"/>
      <c r="P63"/>
      <c r="R63"/>
      <c r="S63"/>
      <c r="T63"/>
    </row>
    <row r="64" spans="1:54">
      <c r="A64"/>
      <c r="K64"/>
      <c r="L64"/>
      <c r="M64"/>
      <c r="N64"/>
      <c r="O64"/>
      <c r="P64"/>
      <c r="R64"/>
      <c r="S64"/>
      <c r="T64"/>
    </row>
    <row r="65" spans="1:20">
      <c r="A65"/>
      <c r="K65"/>
      <c r="L65"/>
      <c r="M65"/>
      <c r="N65"/>
      <c r="O65"/>
      <c r="P65"/>
      <c r="R65"/>
      <c r="S65"/>
      <c r="T65"/>
    </row>
    <row r="66" spans="1:20">
      <c r="A66"/>
      <c r="K66"/>
      <c r="L66"/>
      <c r="M66"/>
      <c r="N66"/>
      <c r="O66"/>
      <c r="P66"/>
      <c r="R66"/>
      <c r="S66"/>
      <c r="T66"/>
    </row>
    <row r="67" spans="1:20">
      <c r="A67"/>
      <c r="K67"/>
      <c r="L67"/>
      <c r="M67"/>
      <c r="N67"/>
      <c r="O67"/>
      <c r="P67"/>
      <c r="R67"/>
      <c r="S67"/>
      <c r="T67"/>
    </row>
    <row r="68" spans="1:20">
      <c r="A68"/>
      <c r="K68"/>
      <c r="L68"/>
      <c r="M68"/>
      <c r="N68"/>
      <c r="O68"/>
      <c r="P68"/>
      <c r="R68"/>
      <c r="S68"/>
      <c r="T68"/>
    </row>
    <row r="69" spans="1:20">
      <c r="A69"/>
      <c r="K69"/>
      <c r="L69"/>
      <c r="M69"/>
      <c r="N69"/>
      <c r="O69"/>
      <c r="P69"/>
      <c r="R69"/>
      <c r="S69"/>
      <c r="T69"/>
    </row>
    <row r="70" spans="1:20">
      <c r="A70"/>
      <c r="K70"/>
      <c r="L70"/>
      <c r="M70"/>
      <c r="N70"/>
      <c r="O70"/>
      <c r="P70"/>
      <c r="R70"/>
      <c r="S70"/>
      <c r="T70"/>
    </row>
    <row r="71" spans="1:20">
      <c r="A71"/>
      <c r="K71"/>
      <c r="L71"/>
      <c r="M71"/>
      <c r="N71"/>
      <c r="O71"/>
      <c r="P71"/>
      <c r="R71"/>
      <c r="S71"/>
      <c r="T71"/>
    </row>
    <row r="72" spans="1:20">
      <c r="A72"/>
      <c r="K72"/>
      <c r="L72"/>
      <c r="M72"/>
      <c r="N72"/>
      <c r="O72"/>
      <c r="P72"/>
      <c r="R72"/>
      <c r="S72"/>
      <c r="T72"/>
    </row>
    <row r="73" spans="1:20">
      <c r="A73"/>
      <c r="K73"/>
      <c r="L73"/>
      <c r="M73"/>
      <c r="N73"/>
      <c r="O73"/>
      <c r="P73"/>
      <c r="R73"/>
      <c r="S73"/>
      <c r="T73"/>
    </row>
  </sheetData>
  <autoFilter ref="A2:V52" xr:uid="{00000000-0009-0000-0000-000001000000}"/>
  <conditionalFormatting sqref="P3:P52 P1">
    <cfRule type="expression" dxfId="98" priority="12">
      <formula>$P1&lt;&gt;$AX1</formula>
    </cfRule>
  </conditionalFormatting>
  <conditionalFormatting sqref="Q3:Q52 Q1">
    <cfRule type="expression" dxfId="97" priority="11">
      <formula>$Q1&lt;&gt;$AY1</formula>
    </cfRule>
  </conditionalFormatting>
  <conditionalFormatting sqref="Q1:Q52">
    <cfRule type="cellIs" dxfId="96" priority="1" operator="equal">
      <formula>0</formula>
    </cfRule>
  </conditionalFormatting>
  <dataValidations count="6">
    <dataValidation type="list" allowBlank="1" showInputMessage="1" showErrorMessage="1" sqref="I3:I52" xr:uid="{00000000-0002-0000-0100-000000000000}">
      <formula1>"Inhouse,BOSF,BOF"</formula1>
    </dataValidation>
    <dataValidation type="list" allowBlank="1" showInputMessage="1" showErrorMessage="1" sqref="H3:H52" xr:uid="{00000000-0002-0000-0100-000001000000}">
      <formula1>"Sheet Metal-A,Sheet Metal-B,Sheet Metal-C,Aluminium Casting,Bar Machining,Hoses,Castings,Forgings,Modular Hoses,Noise Shield,Load Body,Rear Axle,Injection Moulding,Compressor hose,Steering pipe,Compression Moulding,AMT,Kromex,SMC,Exhaust Pipe,Assembly"</formula1>
    </dataValidation>
    <dataValidation type="list" allowBlank="1" showInputMessage="1" showErrorMessage="1" sqref="J3:J52" xr:uid="{00000000-0002-0000-0100-000002000000}">
      <formula1>"CSC,Standard,Reference,Import,Consumables,LPP-Regression,LPP-Thumbrule,KMC,ME2M,MM03,Quote,ZS08,ZS12,CS03"</formula1>
    </dataValidation>
    <dataValidation allowBlank="1" showInputMessage="1" showErrorMessage="1" prompt="Enter the parent part revision number" sqref="E3" xr:uid="{00000000-0002-0000-0100-000003000000}"/>
    <dataValidation allowBlank="1" showInputMessage="1" showErrorMessage="1" prompt="Enter the parent part's Description" sqref="F3" xr:uid="{00000000-0002-0000-0100-000004000000}"/>
    <dataValidation allowBlank="1" showInputMessage="1" showErrorMessage="1" prompt="Enter the Parent part number" sqref="D3" xr:uid="{00000000-0002-0000-0100-000005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510" r:id="rId4" name="Button 46">
              <controlPr defaultSize="0" print="0" autoFill="0" autoPict="0" macro="[0]!AfterBOMClick">
                <anchor moveWithCells="1">
                  <from>
                    <xdr:col>0</xdr:col>
                    <xdr:colOff>152400</xdr:colOff>
                    <xdr:row>0</xdr:row>
                    <xdr:rowOff>152400</xdr:rowOff>
                  </from>
                  <to>
                    <xdr:col>3</xdr:col>
                    <xdr:colOff>733425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9D29FAD2-B433-4A33-8E8F-5AA8CE36686A}">
            <xm:f>$Q$1=Summary!$M$9</xm:f>
            <x14:dxf>
              <fill>
                <patternFill>
                  <bgColor rgb="FF92D050"/>
                </patternFill>
              </fill>
            </x14:dxf>
          </x14:cfRule>
          <xm:sqref>Q1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21"/>
  <sheetViews>
    <sheetView topLeftCell="B1" workbookViewId="0">
      <selection activeCell="G28" sqref="G28"/>
    </sheetView>
  </sheetViews>
  <sheetFormatPr defaultRowHeight="15"/>
  <cols>
    <col min="1" max="1" width="41.7109375" bestFit="1" customWidth="1"/>
    <col min="2" max="2" width="12" bestFit="1" customWidth="1"/>
    <col min="3" max="3" width="18.7109375" bestFit="1" customWidth="1"/>
    <col min="4" max="4" width="32.85546875" bestFit="1" customWidth="1"/>
    <col min="5" max="5" width="15.28515625" customWidth="1"/>
    <col min="6" max="7" width="17.7109375" bestFit="1" customWidth="1"/>
    <col min="8" max="8" width="12.85546875" bestFit="1" customWidth="1"/>
    <col min="9" max="9" width="11.42578125" bestFit="1" customWidth="1"/>
    <col min="10" max="10" width="13.7109375" bestFit="1" customWidth="1"/>
    <col min="11" max="11" width="11" bestFit="1" customWidth="1"/>
    <col min="12" max="12" width="9" bestFit="1" customWidth="1"/>
  </cols>
  <sheetData>
    <row r="1" spans="1:12" ht="26.25">
      <c r="A1" s="608" t="s">
        <v>80</v>
      </c>
    </row>
    <row r="3" spans="1:12" s="103" customFormat="1" ht="45">
      <c r="A3"/>
      <c r="B3" s="152" t="s">
        <v>3</v>
      </c>
      <c r="C3" s="152" t="s">
        <v>35</v>
      </c>
      <c r="D3" s="152" t="s">
        <v>81</v>
      </c>
      <c r="E3" s="779" t="s">
        <v>82</v>
      </c>
      <c r="F3" s="779"/>
      <c r="G3" s="152" t="s">
        <v>83</v>
      </c>
      <c r="H3" s="152" t="s">
        <v>84</v>
      </c>
      <c r="I3" s="152" t="s">
        <v>85</v>
      </c>
      <c r="J3" s="152" t="s">
        <v>86</v>
      </c>
      <c r="K3" s="152" t="s">
        <v>87</v>
      </c>
      <c r="L3" s="152" t="s">
        <v>88</v>
      </c>
    </row>
    <row r="4" spans="1:12">
      <c r="B4" s="324"/>
      <c r="C4" s="71" t="str">
        <f>_xlfn.IFNA(IF(VLOOKUP(B4,BOM!$D$1:$I$10000,6,0)="Inhouse","Process-Inhouse",IF(VLOOKUP(B4,BOM!$D$1:$I$10000,6,0)="BOF","Process-outsourced",IF(VLOOKUP(B4,BOM!$D$1:$I$10000,6,0)="BOSF","Process-Inhouse"))),"")</f>
        <v/>
      </c>
      <c r="D4" s="71" t="str">
        <f>_xlfn.IFNA(VLOOKUP(B4,BOM!D:F,3,0),"")</f>
        <v/>
      </c>
      <c r="E4" s="780"/>
      <c r="F4" s="780"/>
      <c r="G4" s="312"/>
      <c r="H4" s="211" t="str">
        <f>_xlfn.IFNA(VLOOKUP(G4,'Process Base'!D:G,4,0),"")</f>
        <v/>
      </c>
      <c r="I4" s="73"/>
      <c r="J4" s="73"/>
      <c r="K4" s="28" t="str">
        <f>_xlfn.IFNA(VLOOKUP(G4,'Process Base'!D:F,3,0),"")</f>
        <v/>
      </c>
      <c r="L4" s="28" t="str">
        <f>IFERROR((K4/J4)*I4,"")</f>
        <v/>
      </c>
    </row>
    <row r="5" spans="1:12">
      <c r="B5" s="71" t="str">
        <f t="shared" ref="B5" si="0">IF(B4="","",B4)</f>
        <v/>
      </c>
      <c r="C5" s="71" t="str">
        <f>_xlfn.IFNA(IF(VLOOKUP(B5,BOM!$D$1:$I$10000,6,0)="Inhouse","Process-Inhouse",IF(VLOOKUP(B5,BOM!$D$1:$I$10000,6,0)="BOF","Process-outsourced",IF(VLOOKUP(B5,BOM!$D$1:$I$10000,6,0)="BOSF","Process-Inhouse"))),"")</f>
        <v/>
      </c>
      <c r="D5" s="71" t="str">
        <f>_xlfn.IFNA(VLOOKUP(B5,BOM!D:F,3,0),"")</f>
        <v/>
      </c>
      <c r="E5" s="780"/>
      <c r="F5" s="780"/>
      <c r="G5" s="312"/>
      <c r="H5" s="211" t="str">
        <f>_xlfn.IFNA(VLOOKUP(G5,'Process Base'!D:G,4,0),"")</f>
        <v/>
      </c>
      <c r="I5" s="73"/>
      <c r="J5" s="73"/>
      <c r="K5" s="28" t="str">
        <f>_xlfn.IFNA(VLOOKUP(G5,'Process Base'!D:F,3,0),"")</f>
        <v/>
      </c>
      <c r="L5" s="28" t="str">
        <f t="shared" ref="L5" si="1">IFERROR((K5/J5)*I5,"")</f>
        <v/>
      </c>
    </row>
    <row r="17" spans="1:12">
      <c r="A17" s="242" t="s">
        <v>89</v>
      </c>
      <c r="B17" s="242" t="s">
        <v>31</v>
      </c>
      <c r="C17" s="242" t="s">
        <v>35</v>
      </c>
      <c r="D17" s="242" t="s">
        <v>39</v>
      </c>
      <c r="E17" s="242" t="s">
        <v>90</v>
      </c>
      <c r="F17" s="242" t="s">
        <v>91</v>
      </c>
      <c r="G17" s="242" t="s">
        <v>92</v>
      </c>
      <c r="H17" s="242" t="s">
        <v>93</v>
      </c>
      <c r="I17" s="242" t="s">
        <v>94</v>
      </c>
      <c r="J17" s="242" t="s">
        <v>95</v>
      </c>
      <c r="K17" s="242" t="s">
        <v>96</v>
      </c>
      <c r="L17" s="242" t="s">
        <v>97</v>
      </c>
    </row>
    <row r="18" spans="1:12">
      <c r="A18" s="205" t="str">
        <f>_xlfn.IFNA(VLOOKUP(B18,BOM!D:F,3,0),"")</f>
        <v>SA DASH BOARD TRIMS SA IP CARRIER WITH REINFORCEMENT</v>
      </c>
      <c r="B18" s="205" t="str">
        <f>Group!AF2</f>
        <v>MB512123</v>
      </c>
      <c r="C18" s="205" t="str">
        <f>_xlfn.IFNA(IF(VLOOKUP(B18,BOM!$D$1:$I$10000,6,0)="Inhouse","Process-Inhouse",IF(VLOOKUP(B18,BOM!$D$1:$I$10000,6,0)="BOF","Process-outsourced",IF(VLOOKUP(B18,BOM!$D$1:$I$10000,6,0)="BOSF","Process-Inhouse"))),"")</f>
        <v>Process-Inhouse</v>
      </c>
      <c r="D18" s="1" t="s">
        <v>98</v>
      </c>
      <c r="E18" s="2">
        <f>21*9</f>
        <v>189</v>
      </c>
      <c r="F18" s="1">
        <v>314</v>
      </c>
      <c r="G18" s="205">
        <f>E18*F18/3600</f>
        <v>16.484999999999999</v>
      </c>
      <c r="H18" s="1">
        <v>2</v>
      </c>
      <c r="I18" s="1" t="s">
        <v>99</v>
      </c>
      <c r="J18" s="205">
        <f>IF(I18="Skilled",120,IF(I18="Semi-skilled",100,IF(I18="Unskilled",80,0)))</f>
        <v>120</v>
      </c>
      <c r="K18" s="245">
        <f>H18*J18*E18/3600</f>
        <v>12.6</v>
      </c>
      <c r="L18" s="215">
        <f>G18+K18</f>
        <v>29.085000000000001</v>
      </c>
    </row>
    <row r="19" spans="1:12">
      <c r="A19" s="205" t="str">
        <f>_xlfn.IFNA(VLOOKUP(B19,BOM!D:F,3,0),"")</f>
        <v/>
      </c>
      <c r="B19" s="205">
        <f>Group!AF3</f>
        <v>0</v>
      </c>
      <c r="C19" s="205" t="str">
        <f>_xlfn.IFNA(IF(VLOOKUP(B19,BOM!$D$1:$I$10000,6,0)="Inhouse","Process-Inhouse",IF(VLOOKUP(B19,BOM!$D$1:$I$10000,6,0)="BOF","Process-outsourced",IF(VLOOKUP(B19,BOM!$D$1:$I$10000,6,0)="BOSF","Process-Inhouse"))),"")</f>
        <v/>
      </c>
      <c r="D19" s="1"/>
      <c r="E19" s="2"/>
      <c r="F19" s="1"/>
      <c r="G19" s="205">
        <f t="shared" ref="G19" si="2">E19*F19/3600</f>
        <v>0</v>
      </c>
      <c r="H19" s="1"/>
      <c r="I19" s="1"/>
      <c r="J19" s="205">
        <f t="shared" ref="J19:J21" si="3">IF(I19="Skilled",120,IF(I19="Semi-skilled",100,IF(I19="Unskilled",80,0)))</f>
        <v>0</v>
      </c>
      <c r="K19" s="245">
        <f t="shared" ref="K19:K21" si="4">H19*J19*E19/3600</f>
        <v>0</v>
      </c>
      <c r="L19" s="215">
        <f t="shared" ref="L19:L21" si="5">G19+K19</f>
        <v>0</v>
      </c>
    </row>
    <row r="20" spans="1:12">
      <c r="A20" s="205" t="str">
        <f>_xlfn.IFNA(VLOOKUP(B20,BOM!D:F,3,0),"")</f>
        <v/>
      </c>
      <c r="B20" s="205">
        <f>Group!AF4</f>
        <v>0</v>
      </c>
      <c r="C20" s="205" t="str">
        <f>_xlfn.IFNA(IF(VLOOKUP(B20,BOM!$D$1:$I$10000,6,0)="Inhouse","Process-Inhouse",IF(VLOOKUP(B20,BOM!$D$1:$I$10000,6,0)="BOF","Process-outsourced",IF(VLOOKUP(B20,BOM!$D$1:$I$10000,6,0)="BOSF","Process-Inhouse"))),"")</f>
        <v/>
      </c>
      <c r="D20" s="1"/>
      <c r="E20" s="2"/>
      <c r="F20" s="1"/>
      <c r="G20" s="205">
        <f t="shared" ref="G20:G21" si="6">E20*F20/3600</f>
        <v>0</v>
      </c>
      <c r="H20" s="1"/>
      <c r="I20" s="1"/>
      <c r="J20" s="205">
        <f t="shared" si="3"/>
        <v>0</v>
      </c>
      <c r="K20" s="245">
        <f t="shared" si="4"/>
        <v>0</v>
      </c>
      <c r="L20" s="215">
        <f t="shared" si="5"/>
        <v>0</v>
      </c>
    </row>
    <row r="21" spans="1:12">
      <c r="A21" s="205" t="str">
        <f>_xlfn.IFNA(VLOOKUP(B21,BOM!D:F,3,0),"")</f>
        <v/>
      </c>
      <c r="B21" s="205">
        <f>Group!AF5</f>
        <v>0</v>
      </c>
      <c r="C21" s="205" t="str">
        <f>_xlfn.IFNA(IF(VLOOKUP(B21,BOM!$D$1:$I$10000,6,0)="Inhouse","Process-Inhouse",IF(VLOOKUP(B21,BOM!$D$1:$I$10000,6,0)="BOF","Process-outsourced",IF(VLOOKUP(B21,BOM!$D$1:$I$10000,6,0)="BOSF","Process-Inhouse"))),"")</f>
        <v/>
      </c>
      <c r="D21" s="1"/>
      <c r="E21" s="2"/>
      <c r="F21" s="1"/>
      <c r="G21" s="205">
        <f t="shared" si="6"/>
        <v>0</v>
      </c>
      <c r="H21" s="1"/>
      <c r="I21" s="1"/>
      <c r="J21" s="205">
        <f t="shared" si="3"/>
        <v>0</v>
      </c>
      <c r="K21" s="245">
        <f t="shared" si="4"/>
        <v>0</v>
      </c>
      <c r="L21" s="215">
        <f t="shared" si="5"/>
        <v>0</v>
      </c>
    </row>
  </sheetData>
  <mergeCells count="3">
    <mergeCell ref="E3:F3"/>
    <mergeCell ref="E4:F4"/>
    <mergeCell ref="E5:F5"/>
  </mergeCells>
  <conditionalFormatting sqref="D4:D5">
    <cfRule type="containsErrors" dxfId="94" priority="1">
      <formula>ISERROR(D4)</formula>
    </cfRule>
  </conditionalFormatting>
  <dataValidations count="1">
    <dataValidation type="list" allowBlank="1" showInputMessage="1" showErrorMessage="1" sqref="I18:I21" xr:uid="{00000000-0002-0000-0200-000000000000}">
      <formula1>"Skilled,Semi-skilled,Unskilled"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61F668-5ABE-4B01-B34B-871F7FFE16B8}">
          <x14:formula1>
            <xm:f>'Process Base'!$D$3:$D$715</xm:f>
          </x14:formula1>
          <xm:sqref>G4:G18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/>
  <dimension ref="A1:JV87"/>
  <sheetViews>
    <sheetView showGridLines="0" zoomScale="85" zoomScaleNormal="85" workbookViewId="0">
      <pane xSplit="23" topLeftCell="HS1" activePane="topRight" state="frozen"/>
      <selection activeCell="J53" sqref="J53"/>
      <selection pane="topRight" activeCell="E52" sqref="E52"/>
    </sheetView>
  </sheetViews>
  <sheetFormatPr defaultColWidth="0" defaultRowHeight="15"/>
  <cols>
    <col min="1" max="1" width="5.42578125" style="67" customWidth="1"/>
    <col min="2" max="2" width="19.140625" style="66" bestFit="1" customWidth="1"/>
    <col min="3" max="3" width="21.140625" style="66" bestFit="1" customWidth="1"/>
    <col min="4" max="4" width="16.28515625" style="66" bestFit="1" customWidth="1"/>
    <col min="5" max="5" width="32.140625" style="67" customWidth="1"/>
    <col min="6" max="6" width="6" style="66" customWidth="1"/>
    <col min="7" max="7" width="2.7109375" style="66" hidden="1" customWidth="1"/>
    <col min="8" max="8" width="15.28515625" style="67" bestFit="1" customWidth="1"/>
    <col min="9" max="9" width="5.28515625" style="67" customWidth="1"/>
    <col min="10" max="10" width="16.5703125" style="67" customWidth="1"/>
    <col min="11" max="11" width="10.28515625" style="67" customWidth="1"/>
    <col min="12" max="12" width="8.28515625" style="67" customWidth="1"/>
    <col min="13" max="13" width="10.42578125" style="67" customWidth="1"/>
    <col min="14" max="14" width="6.28515625" style="67" customWidth="1"/>
    <col min="15" max="15" width="8.28515625" style="67" customWidth="1"/>
    <col min="16" max="16" width="10.5703125" style="67" customWidth="1"/>
    <col min="17" max="17" width="10" style="78" customWidth="1"/>
    <col min="18" max="18" width="10.42578125" style="78" customWidth="1"/>
    <col min="19" max="21" width="10.140625" style="66" customWidth="1"/>
    <col min="22" max="22" width="9.140625" style="66" customWidth="1"/>
    <col min="23" max="23" width="12.42578125" style="85" customWidth="1"/>
    <col min="24" max="25" width="12" style="78" hidden="1" customWidth="1"/>
    <col min="26" max="26" width="8" style="78" hidden="1" customWidth="1"/>
    <col min="27" max="28" width="8.7109375" style="78" hidden="1" customWidth="1"/>
    <col min="29" max="29" width="8.7109375" style="79" hidden="1" customWidth="1"/>
    <col min="30" max="30" width="8.7109375" style="65" hidden="1" customWidth="1"/>
    <col min="31" max="32" width="8.7109375" style="66" hidden="1" customWidth="1"/>
    <col min="33" max="33" width="2.7109375" style="78" hidden="1" customWidth="1"/>
    <col min="34" max="34" width="8.7109375" style="78" hidden="1" customWidth="1"/>
    <col min="35" max="35" width="8.42578125" style="78" hidden="1" customWidth="1"/>
    <col min="36" max="40" width="8.7109375" style="78" hidden="1" customWidth="1"/>
    <col min="41" max="41" width="8.7109375" style="79" hidden="1" customWidth="1"/>
    <col min="42" max="42" width="8.7109375" style="65" hidden="1" customWidth="1"/>
    <col min="43" max="44" width="8.7109375" style="66" hidden="1" customWidth="1"/>
    <col min="45" max="45" width="2.7109375" style="78" hidden="1" customWidth="1"/>
    <col min="46" max="46" width="8.7109375" style="78" hidden="1" customWidth="1"/>
    <col min="47" max="47" width="8.42578125" style="78" hidden="1" customWidth="1"/>
    <col min="48" max="52" width="8.7109375" style="78" hidden="1" customWidth="1"/>
    <col min="53" max="53" width="8.7109375" style="79" hidden="1" customWidth="1"/>
    <col min="54" max="54" width="8.7109375" style="65" hidden="1" customWidth="1"/>
    <col min="55" max="55" width="8.7109375" style="66" hidden="1" customWidth="1"/>
    <col min="56" max="56" width="8.7109375" style="85" hidden="1" customWidth="1"/>
    <col min="57" max="57" width="2.7109375" style="78" hidden="1" customWidth="1"/>
    <col min="58" max="58" width="8.7109375" style="78" hidden="1" customWidth="1"/>
    <col min="59" max="59" width="7.5703125" style="78" hidden="1" customWidth="1"/>
    <col min="60" max="62" width="8.7109375" style="78" hidden="1" customWidth="1"/>
    <col min="63" max="63" width="8.7109375" style="79" hidden="1" customWidth="1"/>
    <col min="64" max="64" width="8.7109375" style="65" hidden="1" customWidth="1"/>
    <col min="65" max="65" width="8.7109375" style="66" hidden="1" customWidth="1"/>
    <col min="66" max="66" width="8.7109375" style="85" hidden="1" customWidth="1"/>
    <col min="67" max="67" width="2.7109375" style="78" hidden="1" customWidth="1"/>
    <col min="68" max="68" width="8.7109375" style="78" hidden="1" customWidth="1"/>
    <col min="69" max="69" width="7" style="78" hidden="1" customWidth="1"/>
    <col min="70" max="71" width="8.7109375" style="78" hidden="1" customWidth="1"/>
    <col min="72" max="72" width="8.7109375" style="79" hidden="1" customWidth="1"/>
    <col min="73" max="73" width="8.7109375" style="65" hidden="1" customWidth="1"/>
    <col min="74" max="74" width="8.7109375" style="66" hidden="1" customWidth="1"/>
    <col min="75" max="75" width="8.7109375" style="85" hidden="1" customWidth="1"/>
    <col min="76" max="76" width="2.7109375" style="78" hidden="1" customWidth="1"/>
    <col min="77" max="77" width="8.7109375" style="78" hidden="1" customWidth="1"/>
    <col min="78" max="78" width="7" style="78" hidden="1" customWidth="1"/>
    <col min="79" max="81" width="8.7109375" style="78" hidden="1" customWidth="1"/>
    <col min="82" max="82" width="8.7109375" style="79" hidden="1" customWidth="1"/>
    <col min="83" max="83" width="8.7109375" style="65" hidden="1" customWidth="1"/>
    <col min="84" max="84" width="8.7109375" style="66" hidden="1" customWidth="1"/>
    <col min="85" max="85" width="8.7109375" style="85" hidden="1" customWidth="1"/>
    <col min="86" max="86" width="2.7109375" style="78" hidden="1" customWidth="1"/>
    <col min="87" max="87" width="8.7109375" style="78" hidden="1" customWidth="1"/>
    <col min="88" max="88" width="8" style="78" hidden="1" customWidth="1"/>
    <col min="89" max="92" width="8.7109375" style="78" hidden="1" customWidth="1"/>
    <col min="93" max="93" width="8.7109375" style="79" hidden="1" customWidth="1"/>
    <col min="94" max="94" width="8.7109375" style="65" hidden="1" customWidth="1"/>
    <col min="95" max="98" width="8.7109375" style="66" hidden="1" customWidth="1"/>
    <col min="99" max="99" width="2.7109375" style="66" hidden="1" customWidth="1"/>
    <col min="100" max="100" width="8.7109375" style="78" hidden="1" customWidth="1"/>
    <col min="101" max="101" width="8" style="78" hidden="1" customWidth="1"/>
    <col min="102" max="107" width="8.7109375" style="78" hidden="1" customWidth="1"/>
    <col min="108" max="108" width="8.7109375" style="79" hidden="1" customWidth="1"/>
    <col min="109" max="109" width="8.7109375" style="65" hidden="1" customWidth="1"/>
    <col min="110" max="110" width="8.7109375" style="66" hidden="1" customWidth="1"/>
    <col min="111" max="111" width="2.7109375" style="66" hidden="1" customWidth="1"/>
    <col min="112" max="114" width="8.7109375" style="66" hidden="1" customWidth="1"/>
    <col min="115" max="115" width="8.7109375" style="78" hidden="1" customWidth="1"/>
    <col min="116" max="116" width="8" style="78" hidden="1" customWidth="1"/>
    <col min="117" max="120" width="8.7109375" style="78" hidden="1" customWidth="1"/>
    <col min="121" max="121" width="8.7109375" style="79" hidden="1" customWidth="1"/>
    <col min="122" max="122" width="2.7109375" style="65" hidden="1" customWidth="1"/>
    <col min="123" max="125" width="8.7109375" style="66" hidden="1" customWidth="1"/>
    <col min="126" max="126" width="8.7109375" style="78" hidden="1" customWidth="1"/>
    <col min="127" max="127" width="8" style="78" hidden="1" customWidth="1"/>
    <col min="128" max="131" width="8.7109375" style="78" hidden="1" customWidth="1"/>
    <col min="132" max="132" width="8.7109375" style="79" hidden="1" customWidth="1"/>
    <col min="133" max="133" width="8.7109375" style="65" hidden="1" customWidth="1"/>
    <col min="134" max="134" width="2.7109375" style="65" hidden="1" customWidth="1"/>
    <col min="135" max="136" width="8.7109375" style="66" hidden="1" customWidth="1"/>
    <col min="137" max="139" width="8.7109375" style="78" hidden="1" customWidth="1"/>
    <col min="140" max="140" width="8.7109375" style="79" hidden="1" customWidth="1"/>
    <col min="141" max="141" width="8.7109375" style="65" hidden="1" customWidth="1"/>
    <col min="142" max="142" width="8.7109375" style="66" hidden="1" customWidth="1"/>
    <col min="143" max="146" width="8.7109375" style="66" customWidth="1"/>
    <col min="147" max="153" width="11.7109375" style="66" customWidth="1"/>
    <col min="154" max="154" width="9.28515625" style="66" customWidth="1"/>
    <col min="155" max="164" width="11.7109375" style="66" customWidth="1"/>
    <col min="165" max="165" width="9.28515625" style="66" customWidth="1"/>
    <col min="166" max="175" width="11.7109375" style="66" customWidth="1"/>
    <col min="176" max="176" width="9.28515625" style="66" customWidth="1"/>
    <col min="177" max="177" width="9.140625" style="67" customWidth="1"/>
    <col min="178" max="187" width="11.7109375" style="66" customWidth="1"/>
    <col min="188" max="188" width="9.28515625" style="66" customWidth="1"/>
    <col min="189" max="198" width="11.7109375" style="66" customWidth="1"/>
    <col min="199" max="199" width="9.28515625" style="66" customWidth="1"/>
    <col min="200" max="209" width="11.7109375" style="66" customWidth="1"/>
    <col min="210" max="210" width="9.28515625" style="66" customWidth="1"/>
    <col min="211" max="211" width="9.140625" style="67" customWidth="1"/>
    <col min="212" max="221" width="11.7109375" style="66" customWidth="1"/>
    <col min="222" max="222" width="9.28515625" style="66" customWidth="1"/>
    <col min="223" max="232" width="11.7109375" style="66" customWidth="1"/>
    <col min="233" max="233" width="9.28515625" style="66" customWidth="1"/>
    <col min="234" max="243" width="11.7109375" style="66" customWidth="1"/>
    <col min="244" max="244" width="9.28515625" style="66" customWidth="1"/>
    <col min="245" max="245" width="9.140625" style="67" customWidth="1"/>
    <col min="246" max="282" width="0" style="67" hidden="1" customWidth="1"/>
    <col min="283" max="16384" width="9.140625" style="67" hidden="1"/>
  </cols>
  <sheetData>
    <row r="1" spans="1:251" ht="12" hidden="1" customHeight="1">
      <c r="A1" s="614">
        <v>1</v>
      </c>
      <c r="B1" s="76"/>
      <c r="C1" s="76"/>
      <c r="D1" s="76"/>
      <c r="E1" s="77"/>
      <c r="J1" s="78"/>
      <c r="K1" s="78"/>
      <c r="L1" s="78"/>
      <c r="M1" s="66"/>
      <c r="O1" s="78"/>
      <c r="P1" s="78"/>
      <c r="S1" s="78"/>
      <c r="T1" s="78"/>
      <c r="U1" s="78"/>
      <c r="V1" s="78"/>
      <c r="W1" s="78"/>
      <c r="X1" s="66"/>
      <c r="Y1" s="66"/>
      <c r="Z1" s="66"/>
      <c r="AA1" s="66"/>
      <c r="AC1" s="78"/>
      <c r="AD1" s="78"/>
      <c r="AE1" s="78"/>
      <c r="AF1" s="78"/>
      <c r="AG1" s="79"/>
      <c r="AH1" s="65"/>
      <c r="AI1" s="66"/>
      <c r="AJ1" s="66"/>
      <c r="AK1" s="66"/>
      <c r="AO1" s="78"/>
      <c r="AP1" s="78"/>
      <c r="AQ1" s="79"/>
      <c r="AR1" s="65"/>
      <c r="AS1" s="66"/>
      <c r="AT1" s="66"/>
      <c r="AU1" s="66"/>
      <c r="AY1" s="65"/>
      <c r="BB1" s="66"/>
      <c r="BD1" s="66"/>
      <c r="BJ1" s="79"/>
      <c r="BK1" s="65"/>
      <c r="BL1" s="66"/>
      <c r="BN1" s="66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7"/>
      <c r="FV1" s="67"/>
      <c r="FW1" s="67"/>
      <c r="FX1" s="67"/>
      <c r="FY1" s="67"/>
      <c r="FZ1" s="67"/>
      <c r="GA1" s="67"/>
      <c r="GB1" s="67"/>
      <c r="GC1" s="67"/>
      <c r="GD1" s="67"/>
      <c r="GE1" s="67"/>
      <c r="GF1" s="67"/>
      <c r="GG1" s="67"/>
      <c r="GH1" s="67"/>
      <c r="GI1" s="67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</row>
    <row r="2" spans="1:251" ht="21" hidden="1" customHeight="1">
      <c r="B2" s="76"/>
      <c r="C2" s="76"/>
      <c r="D2" s="76"/>
      <c r="E2" s="77"/>
      <c r="F2" s="67"/>
      <c r="G2" s="67"/>
      <c r="K2"/>
      <c r="L2"/>
      <c r="M2" s="80" t="s">
        <v>100</v>
      </c>
      <c r="N2" s="81"/>
      <c r="O2"/>
      <c r="P2"/>
      <c r="Q2"/>
      <c r="R2"/>
      <c r="S2"/>
      <c r="T2"/>
      <c r="U2"/>
      <c r="V2" s="82"/>
      <c r="W2" s="82"/>
      <c r="X2" s="82"/>
      <c r="Y2" s="82"/>
      <c r="Z2" s="83"/>
      <c r="AA2" s="83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  <c r="EC2" s="67"/>
      <c r="ED2" s="67"/>
      <c r="EE2" s="67"/>
      <c r="EF2" s="67"/>
      <c r="EG2" s="67"/>
      <c r="EH2" s="67"/>
      <c r="EI2" s="67"/>
      <c r="EJ2" s="67"/>
      <c r="EK2" s="67"/>
      <c r="EL2" s="67"/>
      <c r="EM2" s="67"/>
      <c r="EN2" s="67"/>
      <c r="EO2" s="67"/>
      <c r="EP2" s="67"/>
      <c r="EQ2" s="67"/>
      <c r="ER2" s="67"/>
      <c r="ES2" s="67"/>
      <c r="ET2" s="67"/>
      <c r="EU2" s="67"/>
      <c r="EV2" s="67"/>
      <c r="EW2" s="67"/>
      <c r="EX2" s="67"/>
      <c r="EY2" s="67"/>
      <c r="EZ2" s="67"/>
      <c r="FA2" s="67"/>
      <c r="FB2" s="67"/>
      <c r="FC2" s="67"/>
      <c r="FD2" s="67"/>
      <c r="FE2" s="67"/>
      <c r="FF2" s="67"/>
      <c r="FG2" s="67"/>
      <c r="FH2" s="67"/>
      <c r="FI2" s="67"/>
      <c r="FJ2" s="67"/>
      <c r="FK2" s="67"/>
      <c r="FL2" s="67"/>
      <c r="FM2" s="67"/>
      <c r="FN2" s="67"/>
      <c r="FO2" s="67"/>
      <c r="FP2" s="67"/>
      <c r="FQ2" s="67"/>
      <c r="FR2" s="67"/>
      <c r="FS2" s="67"/>
      <c r="FT2" s="67"/>
      <c r="FV2" s="67"/>
      <c r="FW2" s="67"/>
      <c r="FX2" s="67"/>
      <c r="FY2" s="67"/>
      <c r="FZ2" s="67"/>
      <c r="GA2" s="67"/>
      <c r="GB2" s="67"/>
      <c r="GC2" s="67"/>
      <c r="GD2" s="67"/>
      <c r="GE2" s="67"/>
      <c r="GF2" s="67"/>
      <c r="GG2" s="67"/>
      <c r="GH2" s="67"/>
      <c r="GI2" s="67"/>
      <c r="GJ2" s="67"/>
      <c r="GK2" s="67"/>
      <c r="GL2" s="67"/>
      <c r="GM2" s="67"/>
      <c r="GN2" s="67"/>
      <c r="GO2" s="67"/>
      <c r="GP2" s="67"/>
      <c r="GQ2" s="67"/>
      <c r="GR2" s="67"/>
      <c r="GS2" s="67"/>
      <c r="GT2" s="67"/>
      <c r="GU2" s="67"/>
      <c r="GV2" s="67"/>
      <c r="GW2" s="67"/>
      <c r="GX2" s="67"/>
      <c r="GY2" s="67"/>
      <c r="GZ2" s="67"/>
      <c r="HA2" s="67"/>
      <c r="HB2" s="67"/>
      <c r="HD2" s="67"/>
      <c r="HE2" s="67"/>
      <c r="HF2" s="67"/>
      <c r="HG2" s="67"/>
      <c r="HH2" s="67"/>
      <c r="HI2" s="67"/>
      <c r="HJ2" s="67"/>
      <c r="HK2" s="67"/>
      <c r="HL2" s="67"/>
      <c r="HM2" s="67"/>
      <c r="HN2" s="67"/>
      <c r="HO2" s="67"/>
      <c r="HP2" s="67"/>
      <c r="HQ2" s="67"/>
      <c r="HR2" s="67"/>
      <c r="HS2" s="67"/>
      <c r="HT2" s="67"/>
      <c r="HU2" s="67"/>
      <c r="HV2" s="67"/>
      <c r="HW2" s="67"/>
      <c r="HX2" s="67"/>
      <c r="HY2" s="67"/>
      <c r="HZ2" s="67"/>
      <c r="IA2" s="67"/>
      <c r="IB2" s="67"/>
      <c r="IC2" s="67"/>
      <c r="ID2" s="67"/>
      <c r="IE2" s="67"/>
      <c r="IF2" s="67"/>
      <c r="IG2" s="67"/>
      <c r="IH2" s="67"/>
      <c r="II2" s="67"/>
      <c r="IJ2" s="67"/>
    </row>
    <row r="3" spans="1:251" s="78" customFormat="1" ht="21" hidden="1" customHeight="1">
      <c r="B3" s="76"/>
      <c r="C3" s="76"/>
      <c r="D3" s="76"/>
      <c r="K3" s="84" t="s">
        <v>101</v>
      </c>
      <c r="L3" s="84" t="s">
        <v>102</v>
      </c>
      <c r="M3" s="84" t="s">
        <v>103</v>
      </c>
      <c r="N3" s="84" t="s">
        <v>104</v>
      </c>
      <c r="O3" s="84" t="s">
        <v>105</v>
      </c>
      <c r="P3" s="84" t="s">
        <v>106</v>
      </c>
      <c r="Q3" s="84" t="s">
        <v>107</v>
      </c>
      <c r="R3" s="84" t="s">
        <v>108</v>
      </c>
      <c r="S3" s="84" t="s">
        <v>109</v>
      </c>
      <c r="T3" s="84" t="s">
        <v>109</v>
      </c>
      <c r="U3" s="84" t="s">
        <v>109</v>
      </c>
      <c r="X3" s="65"/>
      <c r="Y3" s="66"/>
      <c r="Z3" s="66"/>
      <c r="AA3" s="66"/>
      <c r="AI3" s="79"/>
      <c r="AJ3" s="65"/>
      <c r="AK3" s="66"/>
      <c r="AL3" s="85"/>
      <c r="AS3" s="79"/>
      <c r="AT3" s="65"/>
      <c r="AU3" s="66"/>
      <c r="AV3" s="85"/>
      <c r="BB3" s="79"/>
      <c r="BC3" s="65"/>
      <c r="BD3" s="66"/>
      <c r="BE3" s="85"/>
      <c r="BL3" s="79"/>
      <c r="BM3" s="65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7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  <c r="FY3" s="66"/>
      <c r="FZ3" s="66"/>
      <c r="GA3" s="66"/>
      <c r="GB3" s="66"/>
      <c r="GC3" s="66"/>
      <c r="GD3" s="66"/>
      <c r="GE3" s="66"/>
      <c r="GF3" s="66"/>
      <c r="GG3" s="66"/>
      <c r="GH3" s="66"/>
      <c r="GI3" s="66"/>
      <c r="GJ3" s="66"/>
      <c r="GK3" s="67"/>
      <c r="GL3" s="66"/>
      <c r="GM3" s="66"/>
      <c r="GN3" s="66"/>
      <c r="GO3" s="66"/>
      <c r="GP3" s="66"/>
      <c r="GQ3" s="66"/>
      <c r="GR3" s="66"/>
      <c r="GS3" s="66"/>
      <c r="GT3" s="66"/>
      <c r="GU3" s="66"/>
      <c r="GV3" s="66"/>
      <c r="GW3" s="66"/>
      <c r="GX3" s="66"/>
      <c r="GY3" s="66"/>
      <c r="GZ3" s="66"/>
      <c r="HA3" s="66"/>
      <c r="HB3" s="66"/>
      <c r="HC3" s="66"/>
      <c r="HD3" s="66"/>
      <c r="HE3" s="66"/>
      <c r="HF3" s="66"/>
      <c r="HG3" s="66"/>
      <c r="HH3" s="66"/>
      <c r="HI3" s="66"/>
      <c r="HJ3" s="66"/>
      <c r="HK3" s="66"/>
      <c r="HL3" s="66"/>
      <c r="HM3" s="66"/>
      <c r="HN3" s="66"/>
      <c r="HO3" s="66"/>
      <c r="HP3" s="66"/>
      <c r="HQ3" s="66"/>
      <c r="HR3" s="66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</row>
    <row r="4" spans="1:251" s="78" customFormat="1" ht="21" hidden="1" customHeight="1">
      <c r="B4" s="76"/>
      <c r="C4" s="76"/>
      <c r="D4" s="76"/>
      <c r="K4" s="84"/>
      <c r="L4" s="84">
        <v>2</v>
      </c>
      <c r="M4" s="84">
        <v>3</v>
      </c>
      <c r="N4" s="84">
        <v>4</v>
      </c>
      <c r="O4" s="84">
        <v>5</v>
      </c>
      <c r="P4" s="84">
        <v>6</v>
      </c>
      <c r="Q4" s="84">
        <v>7</v>
      </c>
      <c r="R4" s="84">
        <v>8</v>
      </c>
      <c r="S4" s="84">
        <v>9</v>
      </c>
      <c r="T4" s="84">
        <v>9</v>
      </c>
      <c r="U4" s="84">
        <v>9</v>
      </c>
      <c r="X4" s="65"/>
      <c r="Y4" s="66"/>
      <c r="Z4" s="66"/>
      <c r="AA4" s="66"/>
      <c r="AI4" s="79"/>
      <c r="AJ4" s="65"/>
      <c r="AK4" s="66"/>
      <c r="AL4" s="85"/>
      <c r="AS4" s="79"/>
      <c r="AT4" s="65"/>
      <c r="AU4" s="66"/>
      <c r="AV4" s="85"/>
      <c r="BB4" s="79"/>
      <c r="BC4" s="65"/>
      <c r="BD4" s="66"/>
      <c r="BE4" s="85"/>
      <c r="BL4" s="79"/>
      <c r="BM4" s="65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7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7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</row>
    <row r="5" spans="1:251" s="78" customFormat="1" ht="21" hidden="1" customHeight="1">
      <c r="B5" s="76"/>
      <c r="C5" s="76"/>
      <c r="D5" s="76"/>
      <c r="K5" s="4" t="s">
        <v>110</v>
      </c>
      <c r="L5" s="1">
        <v>25</v>
      </c>
      <c r="M5" s="1">
        <v>50</v>
      </c>
      <c r="N5" s="1">
        <v>80</v>
      </c>
      <c r="O5" s="1">
        <v>100</v>
      </c>
      <c r="P5" s="1">
        <v>20</v>
      </c>
      <c r="Q5" s="1">
        <v>50</v>
      </c>
      <c r="R5" s="1">
        <v>35</v>
      </c>
      <c r="S5" s="1">
        <v>20</v>
      </c>
      <c r="T5" s="1">
        <v>20</v>
      </c>
      <c r="U5" s="1">
        <v>20</v>
      </c>
      <c r="X5" s="65"/>
      <c r="Y5" s="66"/>
      <c r="Z5" s="66"/>
      <c r="AA5" s="66"/>
      <c r="AI5" s="79"/>
      <c r="AJ5" s="65"/>
      <c r="AK5" s="66"/>
      <c r="AL5" s="85"/>
      <c r="AS5" s="79"/>
      <c r="AT5" s="65"/>
      <c r="AU5" s="66"/>
      <c r="AV5" s="85"/>
      <c r="BB5" s="79"/>
      <c r="BC5" s="65"/>
      <c r="BD5" s="66"/>
      <c r="BE5" s="85"/>
      <c r="BL5" s="79"/>
      <c r="BM5" s="65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7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7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</row>
    <row r="6" spans="1:251" s="78" customFormat="1" ht="21" hidden="1" customHeight="1">
      <c r="B6" s="76"/>
      <c r="C6" s="76"/>
      <c r="D6" s="76"/>
      <c r="K6" s="4" t="s">
        <v>111</v>
      </c>
      <c r="L6" s="1">
        <v>100</v>
      </c>
      <c r="M6" s="1">
        <v>160</v>
      </c>
      <c r="N6" s="1">
        <v>200</v>
      </c>
      <c r="O6" s="1">
        <v>350</v>
      </c>
      <c r="P6" s="1">
        <v>80</v>
      </c>
      <c r="Q6" s="1">
        <v>190</v>
      </c>
      <c r="R6" s="1">
        <v>155</v>
      </c>
      <c r="S6" s="1">
        <v>62</v>
      </c>
      <c r="T6" s="1">
        <v>62</v>
      </c>
      <c r="U6" s="1">
        <v>62</v>
      </c>
      <c r="W6" s="66" t="s">
        <v>112</v>
      </c>
      <c r="X6" s="65" t="s">
        <v>113</v>
      </c>
      <c r="Y6" s="66"/>
      <c r="Z6" s="66"/>
      <c r="AA6" s="66"/>
      <c r="AI6" s="79"/>
      <c r="AJ6" s="65"/>
      <c r="AK6" s="66"/>
      <c r="AL6" s="85"/>
      <c r="AS6" s="79"/>
      <c r="AT6" s="65"/>
      <c r="AU6" s="66"/>
      <c r="AV6" s="85"/>
      <c r="BB6" s="79"/>
      <c r="BC6" s="65"/>
      <c r="BD6" s="66"/>
      <c r="BE6" s="85"/>
      <c r="BL6" s="79"/>
      <c r="BM6" s="65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7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7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6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</row>
    <row r="7" spans="1:251" s="78" customFormat="1" ht="21" hidden="1" customHeight="1">
      <c r="B7" s="76"/>
      <c r="C7" s="76"/>
      <c r="D7" s="76"/>
      <c r="K7" s="1" t="s">
        <v>114</v>
      </c>
      <c r="L7" s="1">
        <f t="shared" ref="L7:U7" si="0">L6/2</f>
        <v>50</v>
      </c>
      <c r="M7" s="1">
        <f t="shared" si="0"/>
        <v>80</v>
      </c>
      <c r="N7" s="1">
        <f t="shared" si="0"/>
        <v>100</v>
      </c>
      <c r="O7" s="1">
        <f t="shared" si="0"/>
        <v>175</v>
      </c>
      <c r="P7" s="1">
        <f t="shared" si="0"/>
        <v>40</v>
      </c>
      <c r="Q7" s="1">
        <f t="shared" si="0"/>
        <v>95</v>
      </c>
      <c r="R7" s="1">
        <f t="shared" si="0"/>
        <v>77.5</v>
      </c>
      <c r="S7" s="1">
        <f t="shared" si="0"/>
        <v>31</v>
      </c>
      <c r="T7" s="1">
        <f t="shared" si="0"/>
        <v>31</v>
      </c>
      <c r="U7" s="1">
        <f t="shared" si="0"/>
        <v>31</v>
      </c>
      <c r="X7" s="65"/>
      <c r="Y7" s="66"/>
      <c r="Z7" s="66"/>
      <c r="AA7" s="66"/>
      <c r="AI7" s="79"/>
      <c r="AJ7" s="65"/>
      <c r="AK7" s="66"/>
      <c r="AL7" s="85"/>
      <c r="AS7" s="79"/>
      <c r="AT7" s="65"/>
      <c r="AU7" s="66"/>
      <c r="AV7" s="85"/>
      <c r="BB7" s="79"/>
      <c r="BC7" s="65"/>
      <c r="BD7" s="66"/>
      <c r="BE7" s="85"/>
      <c r="BL7" s="79"/>
      <c r="BM7" s="65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I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Q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7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  <c r="FY7" s="66"/>
      <c r="FZ7" s="66"/>
      <c r="GA7" s="66"/>
      <c r="GB7" s="66"/>
      <c r="GC7" s="66"/>
      <c r="GD7" s="66"/>
      <c r="GE7" s="66"/>
      <c r="GF7" s="66"/>
      <c r="GG7" s="66"/>
      <c r="GH7" s="66"/>
      <c r="GI7" s="66"/>
      <c r="GJ7" s="66"/>
      <c r="GK7" s="67"/>
      <c r="GL7" s="66"/>
      <c r="GM7" s="66"/>
      <c r="GN7" s="66"/>
      <c r="GO7" s="66"/>
      <c r="GP7" s="66"/>
      <c r="GQ7" s="66"/>
      <c r="GR7" s="66"/>
      <c r="GS7" s="66"/>
      <c r="GT7" s="66"/>
      <c r="GU7" s="66"/>
      <c r="GV7" s="66"/>
      <c r="GW7" s="66"/>
      <c r="GX7" s="66"/>
      <c r="GY7" s="66"/>
      <c r="GZ7" s="66"/>
      <c r="HA7" s="66"/>
      <c r="HB7" s="66"/>
      <c r="HC7" s="66"/>
      <c r="HD7" s="66"/>
      <c r="HE7" s="66"/>
      <c r="HF7" s="66"/>
      <c r="HG7" s="66"/>
      <c r="HH7" s="66"/>
      <c r="HI7" s="66"/>
      <c r="HJ7" s="66"/>
      <c r="HK7" s="66"/>
      <c r="HL7" s="66"/>
      <c r="HM7" s="66"/>
      <c r="HN7" s="66"/>
      <c r="HO7" s="66"/>
      <c r="HP7" s="66"/>
      <c r="HQ7" s="66"/>
      <c r="HR7" s="66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/>
      <c r="IE7" s="67"/>
      <c r="IF7" s="67"/>
      <c r="IG7" s="67"/>
      <c r="IH7" s="67"/>
      <c r="II7" s="67"/>
      <c r="IJ7" s="67"/>
      <c r="IK7" s="67"/>
      <c r="IL7" s="67"/>
      <c r="IM7" s="67"/>
      <c r="IN7" s="67"/>
      <c r="IO7" s="67"/>
      <c r="IP7" s="67"/>
      <c r="IQ7" s="67"/>
    </row>
    <row r="8" spans="1:251" s="78" customFormat="1" ht="21" hidden="1" customHeight="1">
      <c r="B8" s="76"/>
      <c r="C8" s="76"/>
      <c r="D8" s="76"/>
      <c r="K8" s="4" t="s">
        <v>115</v>
      </c>
      <c r="L8" s="1">
        <v>110</v>
      </c>
      <c r="M8" s="1">
        <v>150</v>
      </c>
      <c r="N8" s="1">
        <v>190</v>
      </c>
      <c r="O8" s="1">
        <v>350</v>
      </c>
      <c r="P8" s="1">
        <v>100</v>
      </c>
      <c r="Q8" s="1">
        <v>190</v>
      </c>
      <c r="R8" s="1">
        <v>155</v>
      </c>
      <c r="S8" s="1">
        <v>62</v>
      </c>
      <c r="T8" s="1">
        <v>62</v>
      </c>
      <c r="U8" s="1">
        <v>62</v>
      </c>
      <c r="X8" s="65"/>
      <c r="Y8" s="66"/>
      <c r="Z8" s="66"/>
      <c r="AA8" s="66"/>
      <c r="AI8" s="79"/>
      <c r="AJ8" s="65"/>
      <c r="AK8" s="66"/>
      <c r="AL8" s="85"/>
      <c r="AS8" s="79"/>
      <c r="AT8" s="65"/>
      <c r="AU8" s="66"/>
      <c r="AV8" s="85"/>
      <c r="BB8" s="79"/>
      <c r="BC8" s="65"/>
      <c r="BD8" s="66"/>
      <c r="BE8" s="85"/>
      <c r="BL8" s="79"/>
      <c r="BM8" s="65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66"/>
      <c r="EZ8" s="66"/>
      <c r="FA8" s="66"/>
      <c r="FB8" s="66"/>
      <c r="FC8" s="67"/>
      <c r="FD8" s="66"/>
      <c r="FE8" s="66"/>
      <c r="FF8" s="66"/>
      <c r="FG8" s="66"/>
      <c r="FH8" s="66"/>
      <c r="FI8" s="66"/>
      <c r="FJ8" s="66"/>
      <c r="FK8" s="66"/>
      <c r="FL8" s="66"/>
      <c r="FM8" s="66"/>
      <c r="FN8" s="66"/>
      <c r="FO8" s="66"/>
      <c r="FP8" s="66"/>
      <c r="FQ8" s="66"/>
      <c r="FR8" s="66"/>
      <c r="FS8" s="66"/>
      <c r="FT8" s="66"/>
      <c r="FU8" s="66"/>
      <c r="FV8" s="66"/>
      <c r="FW8" s="66"/>
      <c r="FX8" s="66"/>
      <c r="FY8" s="66"/>
      <c r="FZ8" s="66"/>
      <c r="GA8" s="66"/>
      <c r="GB8" s="66"/>
      <c r="GC8" s="66"/>
      <c r="GD8" s="66"/>
      <c r="GE8" s="66"/>
      <c r="GF8" s="66"/>
      <c r="GG8" s="66"/>
      <c r="GH8" s="66"/>
      <c r="GI8" s="66"/>
      <c r="GJ8" s="66"/>
      <c r="GK8" s="67"/>
      <c r="GL8" s="66"/>
      <c r="GM8" s="66"/>
      <c r="GN8" s="66"/>
      <c r="GO8" s="66"/>
      <c r="GP8" s="66"/>
      <c r="GQ8" s="66"/>
      <c r="GR8" s="66"/>
      <c r="GS8" s="66"/>
      <c r="GT8" s="66"/>
      <c r="GU8" s="66"/>
      <c r="GV8" s="66"/>
      <c r="GW8" s="66"/>
      <c r="GX8" s="66"/>
      <c r="GY8" s="66"/>
      <c r="GZ8" s="66"/>
      <c r="HA8" s="66"/>
      <c r="HB8" s="66"/>
      <c r="HC8" s="66"/>
      <c r="HD8" s="66"/>
      <c r="HE8" s="66"/>
      <c r="HF8" s="66"/>
      <c r="HG8" s="66"/>
      <c r="HH8" s="66"/>
      <c r="HI8" s="66"/>
      <c r="HJ8" s="66"/>
      <c r="HK8" s="66"/>
      <c r="HL8" s="66"/>
      <c r="HM8" s="66"/>
      <c r="HN8" s="66"/>
      <c r="HO8" s="66"/>
      <c r="HP8" s="66"/>
      <c r="HQ8" s="66"/>
      <c r="HR8" s="66"/>
      <c r="HS8" s="67"/>
      <c r="HT8" s="67"/>
      <c r="HU8" s="67"/>
      <c r="HV8" s="67"/>
      <c r="HW8" s="67"/>
      <c r="HX8" s="67"/>
      <c r="HY8" s="67"/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</row>
    <row r="9" spans="1:251" s="78" customFormat="1" ht="21" hidden="1" customHeight="1">
      <c r="B9" s="76"/>
      <c r="C9" s="76"/>
      <c r="D9" s="76"/>
      <c r="K9" s="4" t="s">
        <v>116</v>
      </c>
      <c r="L9" s="1">
        <f t="shared" ref="L9:U9" si="1">L5/5</f>
        <v>5</v>
      </c>
      <c r="M9" s="1">
        <f t="shared" si="1"/>
        <v>10</v>
      </c>
      <c r="N9" s="1">
        <f t="shared" si="1"/>
        <v>16</v>
      </c>
      <c r="O9" s="1">
        <f t="shared" si="1"/>
        <v>20</v>
      </c>
      <c r="P9" s="1">
        <f t="shared" si="1"/>
        <v>4</v>
      </c>
      <c r="Q9" s="1">
        <f t="shared" si="1"/>
        <v>10</v>
      </c>
      <c r="R9" s="1">
        <f t="shared" si="1"/>
        <v>7</v>
      </c>
      <c r="S9" s="1">
        <f t="shared" si="1"/>
        <v>4</v>
      </c>
      <c r="T9" s="1">
        <f t="shared" si="1"/>
        <v>4</v>
      </c>
      <c r="U9" s="1">
        <f t="shared" si="1"/>
        <v>4</v>
      </c>
      <c r="X9" s="65"/>
      <c r="Y9" s="66"/>
      <c r="Z9" s="66"/>
      <c r="AA9" s="66"/>
      <c r="AI9" s="79"/>
      <c r="AJ9" s="65"/>
      <c r="AK9" s="66"/>
      <c r="AL9" s="85"/>
      <c r="AS9" s="79"/>
      <c r="AT9" s="65"/>
      <c r="AU9" s="66"/>
      <c r="AV9" s="85"/>
      <c r="BB9" s="79"/>
      <c r="BC9" s="65"/>
      <c r="BD9" s="66"/>
      <c r="BE9" s="85"/>
      <c r="BL9" s="79"/>
      <c r="BM9" s="65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66"/>
      <c r="CW9" s="66"/>
      <c r="CX9" s="66"/>
      <c r="CY9" s="66"/>
      <c r="CZ9" s="66"/>
      <c r="DA9" s="66"/>
      <c r="DB9" s="66"/>
      <c r="DC9" s="66"/>
      <c r="DD9" s="66"/>
      <c r="DE9" s="66"/>
      <c r="DF9" s="66"/>
      <c r="DG9" s="66"/>
      <c r="DH9" s="66"/>
      <c r="DI9" s="66"/>
      <c r="DJ9" s="66"/>
      <c r="DK9" s="66"/>
      <c r="DL9" s="66"/>
      <c r="DM9" s="66"/>
      <c r="DN9" s="66"/>
      <c r="DO9" s="66"/>
      <c r="DP9" s="66"/>
      <c r="DQ9" s="66"/>
      <c r="DR9" s="66"/>
      <c r="DS9" s="66"/>
      <c r="DT9" s="66"/>
      <c r="DU9" s="66"/>
      <c r="DV9" s="66"/>
      <c r="DW9" s="66"/>
      <c r="DX9" s="66"/>
      <c r="DY9" s="66"/>
      <c r="DZ9" s="66"/>
      <c r="EA9" s="66"/>
      <c r="EB9" s="66"/>
      <c r="EC9" s="66"/>
      <c r="ED9" s="66"/>
      <c r="EE9" s="66"/>
      <c r="EF9" s="66"/>
      <c r="EG9" s="66"/>
      <c r="EH9" s="66"/>
      <c r="EI9" s="66"/>
      <c r="EJ9" s="66"/>
      <c r="EK9" s="66"/>
      <c r="EL9" s="66"/>
      <c r="EM9" s="66"/>
      <c r="EN9" s="66"/>
      <c r="EO9" s="66"/>
      <c r="EP9" s="66"/>
      <c r="EQ9" s="66"/>
      <c r="ER9" s="66"/>
      <c r="ES9" s="66"/>
      <c r="ET9" s="66"/>
      <c r="EU9" s="66"/>
      <c r="EV9" s="66"/>
      <c r="EW9" s="66"/>
      <c r="EX9" s="66"/>
      <c r="EY9" s="66"/>
      <c r="EZ9" s="66"/>
      <c r="FA9" s="66"/>
      <c r="FB9" s="66"/>
      <c r="FC9" s="67"/>
      <c r="FD9" s="66"/>
      <c r="FE9" s="66"/>
      <c r="FF9" s="66"/>
      <c r="FG9" s="66"/>
      <c r="FH9" s="66"/>
      <c r="FI9" s="66"/>
      <c r="FJ9" s="66"/>
      <c r="FK9" s="66"/>
      <c r="FL9" s="66"/>
      <c r="FM9" s="66"/>
      <c r="FN9" s="66"/>
      <c r="FO9" s="66"/>
      <c r="FP9" s="66"/>
      <c r="FQ9" s="66"/>
      <c r="FR9" s="66"/>
      <c r="FS9" s="66"/>
      <c r="FT9" s="66"/>
      <c r="FU9" s="66"/>
      <c r="FV9" s="66"/>
      <c r="FW9" s="66"/>
      <c r="FX9" s="66"/>
      <c r="FY9" s="66"/>
      <c r="FZ9" s="66"/>
      <c r="GA9" s="66"/>
      <c r="GB9" s="66"/>
      <c r="GC9" s="66"/>
      <c r="GD9" s="66"/>
      <c r="GE9" s="66"/>
      <c r="GF9" s="66"/>
      <c r="GG9" s="66"/>
      <c r="GH9" s="66"/>
      <c r="GI9" s="66"/>
      <c r="GJ9" s="66"/>
      <c r="GK9" s="67"/>
      <c r="GL9" s="66"/>
      <c r="GM9" s="66"/>
      <c r="GN9" s="66"/>
      <c r="GO9" s="66"/>
      <c r="GP9" s="66"/>
      <c r="GQ9" s="66"/>
      <c r="GR9" s="66"/>
      <c r="GS9" s="66"/>
      <c r="GT9" s="66"/>
      <c r="GU9" s="66"/>
      <c r="GV9" s="66"/>
      <c r="GW9" s="66"/>
      <c r="GX9" s="66"/>
      <c r="GY9" s="66"/>
      <c r="GZ9" s="66"/>
      <c r="HA9" s="66"/>
      <c r="HB9" s="66"/>
      <c r="HC9" s="66"/>
      <c r="HD9" s="66"/>
      <c r="HE9" s="66"/>
      <c r="HF9" s="66"/>
      <c r="HG9" s="66"/>
      <c r="HH9" s="66"/>
      <c r="HI9" s="66"/>
      <c r="HJ9" s="66"/>
      <c r="HK9" s="66"/>
      <c r="HL9" s="66"/>
      <c r="HM9" s="66"/>
      <c r="HN9" s="66"/>
      <c r="HO9" s="66"/>
      <c r="HP9" s="66"/>
      <c r="HQ9" s="66"/>
      <c r="HR9" s="66"/>
      <c r="HS9" s="67"/>
      <c r="HT9" s="67"/>
      <c r="HU9" s="67"/>
      <c r="HV9" s="67"/>
      <c r="HW9" s="67"/>
      <c r="HX9" s="67"/>
      <c r="HY9" s="67"/>
      <c r="HZ9" s="67"/>
      <c r="IA9" s="67"/>
      <c r="IB9" s="67"/>
      <c r="IC9" s="67"/>
      <c r="ID9" s="67"/>
      <c r="IE9" s="67"/>
      <c r="IF9" s="67"/>
      <c r="IG9" s="67"/>
      <c r="IH9" s="67"/>
      <c r="II9" s="67"/>
      <c r="IJ9" s="67"/>
      <c r="IK9" s="67"/>
      <c r="IL9" s="67"/>
      <c r="IM9" s="67"/>
      <c r="IN9" s="67"/>
      <c r="IO9" s="67"/>
      <c r="IP9" s="67"/>
      <c r="IQ9" s="67"/>
    </row>
    <row r="10" spans="1:251" s="78" customFormat="1" ht="21" hidden="1" customHeight="1">
      <c r="B10" s="76"/>
      <c r="C10" s="76"/>
      <c r="D10" s="76"/>
      <c r="K10" s="4" t="s">
        <v>117</v>
      </c>
      <c r="L10" s="1">
        <v>110</v>
      </c>
      <c r="M10" s="1">
        <v>150</v>
      </c>
      <c r="N10" s="1">
        <v>190</v>
      </c>
      <c r="O10" s="1">
        <v>350</v>
      </c>
      <c r="P10" s="1">
        <v>100</v>
      </c>
      <c r="Q10" s="1">
        <v>190</v>
      </c>
      <c r="R10" s="1">
        <v>155</v>
      </c>
      <c r="S10" s="1">
        <v>62</v>
      </c>
      <c r="T10" s="1">
        <v>62</v>
      </c>
      <c r="U10" s="1">
        <v>62</v>
      </c>
      <c r="X10" s="65"/>
      <c r="Y10" s="66"/>
      <c r="Z10" s="66"/>
      <c r="AA10" s="66"/>
      <c r="AI10" s="79"/>
      <c r="AJ10" s="65"/>
      <c r="AK10" s="66"/>
      <c r="AL10" s="85"/>
      <c r="AS10" s="79"/>
      <c r="AT10" s="65"/>
      <c r="AU10" s="66"/>
      <c r="AV10" s="85"/>
      <c r="BB10" s="79"/>
      <c r="BC10" s="65"/>
      <c r="BD10" s="66"/>
      <c r="BE10" s="85"/>
      <c r="BL10" s="79"/>
      <c r="BM10" s="65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66"/>
      <c r="EZ10" s="66"/>
      <c r="FA10" s="66"/>
      <c r="FB10" s="66"/>
      <c r="FC10" s="67"/>
      <c r="FD10" s="66"/>
      <c r="FE10" s="66"/>
      <c r="FF10" s="66"/>
      <c r="FG10" s="66"/>
      <c r="FH10" s="66"/>
      <c r="FI10" s="66"/>
      <c r="FJ10" s="66"/>
      <c r="FK10" s="66"/>
      <c r="FL10" s="66"/>
      <c r="FM10" s="66"/>
      <c r="FN10" s="66"/>
      <c r="FO10" s="66"/>
      <c r="FP10" s="66"/>
      <c r="FQ10" s="66"/>
      <c r="FR10" s="66"/>
      <c r="FS10" s="66"/>
      <c r="FT10" s="66"/>
      <c r="FU10" s="66"/>
      <c r="FV10" s="66"/>
      <c r="FW10" s="66"/>
      <c r="FX10" s="66"/>
      <c r="FY10" s="66"/>
      <c r="FZ10" s="66"/>
      <c r="GA10" s="66"/>
      <c r="GB10" s="66"/>
      <c r="GC10" s="66"/>
      <c r="GD10" s="66"/>
      <c r="GE10" s="66"/>
      <c r="GF10" s="66"/>
      <c r="GG10" s="66"/>
      <c r="GH10" s="66"/>
      <c r="GI10" s="66"/>
      <c r="GJ10" s="66"/>
      <c r="GK10" s="67"/>
      <c r="GL10" s="66"/>
      <c r="GM10" s="66"/>
      <c r="GN10" s="66"/>
      <c r="GO10" s="66"/>
      <c r="GP10" s="66"/>
      <c r="GQ10" s="66"/>
      <c r="GR10" s="66"/>
      <c r="GS10" s="66"/>
      <c r="GT10" s="66"/>
      <c r="GU10" s="66"/>
      <c r="GV10" s="66"/>
      <c r="GW10" s="66"/>
      <c r="GX10" s="66"/>
      <c r="GY10" s="66"/>
      <c r="GZ10" s="66"/>
      <c r="HA10" s="66"/>
      <c r="HB10" s="66"/>
      <c r="HC10" s="66"/>
      <c r="HD10" s="66"/>
      <c r="HE10" s="66"/>
      <c r="HF10" s="66"/>
      <c r="HG10" s="66"/>
      <c r="HH10" s="66"/>
      <c r="HI10" s="66"/>
      <c r="HJ10" s="66"/>
      <c r="HK10" s="66"/>
      <c r="HL10" s="66"/>
      <c r="HM10" s="66"/>
      <c r="HN10" s="66"/>
      <c r="HO10" s="66"/>
      <c r="HP10" s="66"/>
      <c r="HQ10" s="66"/>
      <c r="HR10" s="66"/>
      <c r="HS10" s="67"/>
      <c r="HT10" s="67"/>
      <c r="HU10" s="67"/>
      <c r="HV10" s="67"/>
      <c r="HW10" s="67"/>
      <c r="HX10" s="67"/>
      <c r="HY10" s="67"/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</row>
    <row r="11" spans="1:251" s="78" customFormat="1" ht="21" hidden="1" customHeight="1">
      <c r="B11" s="76"/>
      <c r="C11" s="76"/>
      <c r="D11" s="76"/>
      <c r="K11" s="4" t="s">
        <v>118</v>
      </c>
      <c r="L11" s="1">
        <v>100</v>
      </c>
      <c r="M11" s="1">
        <v>160</v>
      </c>
      <c r="N11" s="1">
        <v>200</v>
      </c>
      <c r="O11" s="1">
        <v>350</v>
      </c>
      <c r="P11" s="1">
        <v>80</v>
      </c>
      <c r="Q11" s="1">
        <v>190</v>
      </c>
      <c r="R11" s="1">
        <v>155</v>
      </c>
      <c r="S11" s="1">
        <v>62</v>
      </c>
      <c r="T11" s="1">
        <v>62</v>
      </c>
      <c r="U11" s="1">
        <v>62</v>
      </c>
      <c r="W11" s="65" t="s">
        <v>119</v>
      </c>
      <c r="X11" s="65"/>
      <c r="Y11" s="66"/>
      <c r="Z11" s="66"/>
      <c r="AA11" s="66"/>
      <c r="AI11" s="79"/>
      <c r="AJ11" s="65"/>
      <c r="AK11" s="66"/>
      <c r="AL11" s="85"/>
      <c r="AS11" s="79"/>
      <c r="AT11" s="65"/>
      <c r="AU11" s="66"/>
      <c r="AV11" s="85"/>
      <c r="BB11" s="79"/>
      <c r="BC11" s="65"/>
      <c r="BD11" s="66"/>
      <c r="BE11" s="85"/>
      <c r="BL11" s="79"/>
      <c r="BM11" s="65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66"/>
      <c r="CW11" s="66"/>
      <c r="CX11" s="66"/>
      <c r="CY11" s="66"/>
      <c r="CZ11" s="66"/>
      <c r="DA11" s="66"/>
      <c r="DB11" s="66"/>
      <c r="DC11" s="66"/>
      <c r="DD11" s="66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  <c r="DT11" s="66"/>
      <c r="DU11" s="66"/>
      <c r="DV11" s="66"/>
      <c r="DW11" s="66"/>
      <c r="DX11" s="66"/>
      <c r="DY11" s="66"/>
      <c r="DZ11" s="66"/>
      <c r="EA11" s="66"/>
      <c r="EB11" s="66"/>
      <c r="EC11" s="66"/>
      <c r="ED11" s="66"/>
      <c r="EE11" s="66"/>
      <c r="EF11" s="66"/>
      <c r="EG11" s="66"/>
      <c r="EH11" s="66"/>
      <c r="EI11" s="66"/>
      <c r="EJ11" s="66"/>
      <c r="EK11" s="66"/>
      <c r="EL11" s="66"/>
      <c r="EM11" s="66"/>
      <c r="EN11" s="66"/>
      <c r="EO11" s="66"/>
      <c r="EP11" s="66"/>
      <c r="EQ11" s="66"/>
      <c r="ER11" s="66"/>
      <c r="ES11" s="66"/>
      <c r="ET11" s="66"/>
      <c r="EU11" s="66"/>
      <c r="EV11" s="66"/>
      <c r="EW11" s="66"/>
      <c r="EX11" s="66"/>
      <c r="EY11" s="66"/>
      <c r="EZ11" s="66"/>
      <c r="FA11" s="66"/>
      <c r="FB11" s="66"/>
      <c r="FC11" s="67"/>
      <c r="FD11" s="66"/>
      <c r="FE11" s="66"/>
      <c r="FF11" s="66"/>
      <c r="FG11" s="66"/>
      <c r="FH11" s="66"/>
      <c r="FI11" s="66"/>
      <c r="FJ11" s="66"/>
      <c r="FK11" s="66"/>
      <c r="FL11" s="66"/>
      <c r="FM11" s="66"/>
      <c r="FN11" s="66"/>
      <c r="FO11" s="66"/>
      <c r="FP11" s="66"/>
      <c r="FQ11" s="66"/>
      <c r="FR11" s="66"/>
      <c r="FS11" s="66"/>
      <c r="FT11" s="66"/>
      <c r="FU11" s="66"/>
      <c r="FV11" s="66"/>
      <c r="FW11" s="66"/>
      <c r="FX11" s="66"/>
      <c r="FY11" s="66"/>
      <c r="FZ11" s="66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7"/>
      <c r="GL11" s="66"/>
      <c r="GM11" s="66"/>
      <c r="GN11" s="66"/>
      <c r="GO11" s="66"/>
      <c r="GP11" s="66"/>
      <c r="GQ11" s="66"/>
      <c r="GR11" s="66"/>
      <c r="GS11" s="66"/>
      <c r="GT11" s="66"/>
      <c r="GU11" s="66"/>
      <c r="GV11" s="66"/>
      <c r="GW11" s="66"/>
      <c r="GX11" s="66"/>
      <c r="GY11" s="66"/>
      <c r="GZ11" s="66"/>
      <c r="HA11" s="66"/>
      <c r="HB11" s="66"/>
      <c r="HC11" s="66"/>
      <c r="HD11" s="66"/>
      <c r="HE11" s="66"/>
      <c r="HF11" s="66"/>
      <c r="HG11" s="66"/>
      <c r="HH11" s="66"/>
      <c r="HI11" s="66"/>
      <c r="HJ11" s="66"/>
      <c r="HK11" s="66"/>
      <c r="HL11" s="66"/>
      <c r="HM11" s="66"/>
      <c r="HN11" s="66"/>
      <c r="HO11" s="66"/>
      <c r="HP11" s="66"/>
      <c r="HQ11" s="66"/>
      <c r="HR11" s="66"/>
      <c r="HS11" s="67"/>
      <c r="HT11" s="67"/>
      <c r="HU11" s="67"/>
      <c r="HV11" s="67"/>
      <c r="HW11" s="67"/>
      <c r="HX11" s="67"/>
      <c r="HY11" s="67"/>
      <c r="HZ11" s="67"/>
      <c r="IA11" s="67"/>
      <c r="IB11" s="67"/>
      <c r="IC11" s="67"/>
      <c r="ID11" s="67"/>
      <c r="IE11" s="67"/>
      <c r="IF11" s="67"/>
      <c r="IG11" s="67"/>
      <c r="IH11" s="67"/>
      <c r="II11" s="67"/>
      <c r="IJ11" s="67"/>
      <c r="IK11" s="67"/>
      <c r="IL11" s="67"/>
      <c r="IM11" s="67"/>
      <c r="IN11" s="67"/>
      <c r="IO11" s="67"/>
      <c r="IP11" s="67"/>
      <c r="IQ11" s="67"/>
    </row>
    <row r="12" spans="1:251" s="78" customFormat="1" ht="21" hidden="1" customHeight="1">
      <c r="B12" s="76"/>
      <c r="C12" s="76"/>
      <c r="D12" s="76"/>
      <c r="K12" s="4" t="s">
        <v>120</v>
      </c>
      <c r="L12" s="248">
        <v>2500</v>
      </c>
      <c r="M12" s="248"/>
      <c r="N12" s="248"/>
      <c r="O12" s="248"/>
      <c r="P12" s="248"/>
      <c r="Q12" s="248"/>
      <c r="R12" s="248"/>
      <c r="S12" s="248"/>
      <c r="T12" s="248"/>
      <c r="U12" s="248"/>
      <c r="W12" s="249" t="s">
        <v>121</v>
      </c>
      <c r="X12" s="65"/>
      <c r="Y12" s="66"/>
      <c r="Z12" s="66"/>
      <c r="AA12" s="66"/>
      <c r="AI12" s="79"/>
      <c r="AJ12" s="65"/>
      <c r="AK12" s="66"/>
      <c r="AL12" s="85"/>
      <c r="AS12" s="79"/>
      <c r="AT12" s="65"/>
      <c r="AU12" s="66"/>
      <c r="AV12" s="85"/>
      <c r="BB12" s="79"/>
      <c r="BC12" s="65"/>
      <c r="BD12" s="66"/>
      <c r="BE12" s="85"/>
      <c r="BL12" s="79"/>
      <c r="BM12" s="65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66"/>
      <c r="EZ12" s="66"/>
      <c r="FA12" s="66"/>
      <c r="FB12" s="66"/>
      <c r="FC12" s="67"/>
      <c r="FD12" s="66"/>
      <c r="FE12" s="66"/>
      <c r="FF12" s="66"/>
      <c r="FG12" s="66"/>
      <c r="FH12" s="66"/>
      <c r="FI12" s="66"/>
      <c r="FJ12" s="66"/>
      <c r="FK12" s="66"/>
      <c r="FL12" s="66"/>
      <c r="FM12" s="66"/>
      <c r="FN12" s="66"/>
      <c r="FO12" s="66"/>
      <c r="FP12" s="66"/>
      <c r="FQ12" s="66"/>
      <c r="FR12" s="66"/>
      <c r="FS12" s="66"/>
      <c r="FT12" s="66"/>
      <c r="FU12" s="66"/>
      <c r="FV12" s="66"/>
      <c r="FW12" s="66"/>
      <c r="FX12" s="66"/>
      <c r="FY12" s="66"/>
      <c r="FZ12" s="66"/>
      <c r="GA12" s="66"/>
      <c r="GB12" s="66"/>
      <c r="GC12" s="66"/>
      <c r="GD12" s="66"/>
      <c r="GE12" s="66"/>
      <c r="GF12" s="66"/>
      <c r="GG12" s="66"/>
      <c r="GH12" s="66"/>
      <c r="GI12" s="66"/>
      <c r="GJ12" s="66"/>
      <c r="GK12" s="67"/>
      <c r="GL12" s="66"/>
      <c r="GM12" s="66"/>
      <c r="GN12" s="66"/>
      <c r="GO12" s="66"/>
      <c r="GP12" s="66"/>
      <c r="GQ12" s="66"/>
      <c r="GR12" s="66"/>
      <c r="GS12" s="66"/>
      <c r="GT12" s="66"/>
      <c r="GU12" s="6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66"/>
      <c r="HG12" s="66"/>
      <c r="HH12" s="66"/>
      <c r="HI12" s="66"/>
      <c r="HJ12" s="66"/>
      <c r="HK12" s="66"/>
      <c r="HL12" s="66"/>
      <c r="HM12" s="66"/>
      <c r="HN12" s="66"/>
      <c r="HO12" s="66"/>
      <c r="HP12" s="66"/>
      <c r="HQ12" s="66"/>
      <c r="HR12" s="66"/>
      <c r="HS12" s="67"/>
      <c r="HT12" s="67"/>
      <c r="HU12" s="67"/>
      <c r="HV12" s="67"/>
      <c r="HW12" s="67"/>
      <c r="HX12" s="67"/>
      <c r="HY12" s="67"/>
      <c r="HZ12" s="67"/>
      <c r="IA12" s="67"/>
      <c r="IB12" s="67"/>
      <c r="IC12" s="67"/>
      <c r="ID12" s="67"/>
      <c r="IE12" s="67"/>
      <c r="IF12" s="67"/>
      <c r="IG12" s="67"/>
      <c r="IH12" s="67"/>
      <c r="II12" s="67"/>
      <c r="IJ12" s="67"/>
      <c r="IK12" s="67"/>
      <c r="IL12" s="67"/>
      <c r="IM12" s="67"/>
      <c r="IN12" s="67"/>
      <c r="IO12" s="67"/>
      <c r="IP12" s="67"/>
      <c r="IQ12" s="67"/>
    </row>
    <row r="13" spans="1:251" s="78" customFormat="1" ht="21" hidden="1" customHeight="1">
      <c r="B13" s="76"/>
      <c r="C13" s="76"/>
      <c r="D13" s="76"/>
      <c r="K13" s="4" t="s">
        <v>122</v>
      </c>
      <c r="L13" s="248">
        <v>2500</v>
      </c>
      <c r="M13" s="248"/>
      <c r="N13" s="248"/>
      <c r="O13" s="248"/>
      <c r="P13" s="248"/>
      <c r="Q13" s="248"/>
      <c r="R13" s="248"/>
      <c r="S13" s="248"/>
      <c r="T13" s="248"/>
      <c r="U13" s="248"/>
      <c r="W13" s="249"/>
      <c r="X13" s="65"/>
      <c r="Y13" s="66"/>
      <c r="Z13" s="66"/>
      <c r="AA13" s="66"/>
      <c r="AI13" s="79"/>
      <c r="AJ13" s="65"/>
      <c r="AK13" s="66"/>
      <c r="AL13" s="85"/>
      <c r="AS13" s="79"/>
      <c r="AT13" s="65"/>
      <c r="AU13" s="66"/>
      <c r="AV13" s="85"/>
      <c r="BB13" s="79"/>
      <c r="BC13" s="65"/>
      <c r="BD13" s="66"/>
      <c r="BE13" s="85"/>
      <c r="BL13" s="79"/>
      <c r="BM13" s="65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6"/>
      <c r="CN13" s="66"/>
      <c r="CO13" s="66"/>
      <c r="CP13" s="66"/>
      <c r="CQ13" s="66"/>
      <c r="CR13" s="66"/>
      <c r="CS13" s="66"/>
      <c r="CT13" s="66"/>
      <c r="CU13" s="66"/>
      <c r="CV13" s="66"/>
      <c r="CW13" s="66"/>
      <c r="CX13" s="66"/>
      <c r="CY13" s="66"/>
      <c r="CZ13" s="66"/>
      <c r="DA13" s="66"/>
      <c r="DB13" s="66"/>
      <c r="DC13" s="66"/>
      <c r="DD13" s="66"/>
      <c r="DE13" s="66"/>
      <c r="DF13" s="66"/>
      <c r="DG13" s="66"/>
      <c r="DH13" s="66"/>
      <c r="DI13" s="66"/>
      <c r="DJ13" s="66"/>
      <c r="DK13" s="66"/>
      <c r="DL13" s="66"/>
      <c r="DM13" s="66"/>
      <c r="DN13" s="66"/>
      <c r="DO13" s="66"/>
      <c r="DP13" s="66"/>
      <c r="DQ13" s="66"/>
      <c r="DR13" s="66"/>
      <c r="DS13" s="66"/>
      <c r="DT13" s="66"/>
      <c r="DU13" s="66"/>
      <c r="DV13" s="66"/>
      <c r="DW13" s="66"/>
      <c r="DX13" s="66"/>
      <c r="DY13" s="66"/>
      <c r="DZ13" s="66"/>
      <c r="EA13" s="66"/>
      <c r="EB13" s="66"/>
      <c r="EC13" s="66"/>
      <c r="ED13" s="66"/>
      <c r="EE13" s="66"/>
      <c r="EF13" s="66"/>
      <c r="EG13" s="66"/>
      <c r="EH13" s="66"/>
      <c r="EI13" s="66"/>
      <c r="EJ13" s="66"/>
      <c r="EK13" s="66"/>
      <c r="EL13" s="66"/>
      <c r="EM13" s="66"/>
      <c r="EN13" s="66"/>
      <c r="EO13" s="66"/>
      <c r="EP13" s="66"/>
      <c r="EQ13" s="66"/>
      <c r="ER13" s="66"/>
      <c r="ES13" s="66"/>
      <c r="ET13" s="66"/>
      <c r="EU13" s="66"/>
      <c r="EV13" s="66"/>
      <c r="EW13" s="66"/>
      <c r="EX13" s="66"/>
      <c r="EY13" s="66"/>
      <c r="EZ13" s="66"/>
      <c r="FA13" s="66"/>
      <c r="FB13" s="66"/>
      <c r="FC13" s="67"/>
      <c r="FD13" s="66"/>
      <c r="FE13" s="66"/>
      <c r="FF13" s="66"/>
      <c r="FG13" s="66"/>
      <c r="FH13" s="66"/>
      <c r="FI13" s="66"/>
      <c r="FJ13" s="66"/>
      <c r="FK13" s="66"/>
      <c r="FL13" s="66"/>
      <c r="FM13" s="66"/>
      <c r="FN13" s="66"/>
      <c r="FO13" s="66"/>
      <c r="FP13" s="66"/>
      <c r="FQ13" s="66"/>
      <c r="FR13" s="66"/>
      <c r="FS13" s="66"/>
      <c r="FT13" s="66"/>
      <c r="FU13" s="66"/>
      <c r="FV13" s="66"/>
      <c r="FW13" s="66"/>
      <c r="FX13" s="66"/>
      <c r="FY13" s="66"/>
      <c r="FZ13" s="66"/>
      <c r="GA13" s="66"/>
      <c r="GB13" s="66"/>
      <c r="GC13" s="66"/>
      <c r="GD13" s="66"/>
      <c r="GE13" s="66"/>
      <c r="GF13" s="66"/>
      <c r="GG13" s="66"/>
      <c r="GH13" s="66"/>
      <c r="GI13" s="66"/>
      <c r="GJ13" s="66"/>
      <c r="GK13" s="67"/>
      <c r="GL13" s="66"/>
      <c r="GM13" s="66"/>
      <c r="GN13" s="66"/>
      <c r="GO13" s="66"/>
      <c r="GP13" s="66"/>
      <c r="GQ13" s="66"/>
      <c r="GR13" s="66"/>
      <c r="GS13" s="66"/>
      <c r="GT13" s="66"/>
      <c r="GU13" s="66"/>
      <c r="GV13" s="66"/>
      <c r="GW13" s="66"/>
      <c r="GX13" s="66"/>
      <c r="GY13" s="66"/>
      <c r="GZ13" s="66"/>
      <c r="HA13" s="66"/>
      <c r="HB13" s="66"/>
      <c r="HC13" s="66"/>
      <c r="HD13" s="66"/>
      <c r="HE13" s="66"/>
      <c r="HF13" s="66"/>
      <c r="HG13" s="66"/>
      <c r="HH13" s="66"/>
      <c r="HI13" s="66"/>
      <c r="HJ13" s="66"/>
      <c r="HK13" s="66"/>
      <c r="HL13" s="66"/>
      <c r="HM13" s="66"/>
      <c r="HN13" s="66"/>
      <c r="HO13" s="66"/>
      <c r="HP13" s="66"/>
      <c r="HQ13" s="66"/>
      <c r="HR13" s="66"/>
      <c r="HS13" s="67"/>
      <c r="HT13" s="67"/>
      <c r="HU13" s="67"/>
      <c r="HV13" s="67"/>
      <c r="HW13" s="67"/>
      <c r="HX13" s="67"/>
      <c r="HY13" s="67"/>
      <c r="HZ13" s="67"/>
      <c r="IA13" s="67"/>
      <c r="IB13" s="67"/>
      <c r="IC13" s="67"/>
      <c r="ID13" s="67"/>
      <c r="IE13" s="67"/>
      <c r="IF13" s="67"/>
      <c r="IG13" s="67"/>
      <c r="IH13" s="67"/>
      <c r="II13" s="67"/>
      <c r="IJ13" s="67"/>
      <c r="IK13" s="67"/>
      <c r="IL13" s="67"/>
      <c r="IM13" s="67"/>
      <c r="IN13" s="67"/>
      <c r="IO13" s="67"/>
      <c r="IP13" s="67"/>
      <c r="IQ13" s="67"/>
    </row>
    <row r="14" spans="1:251" s="78" customFormat="1" ht="21" hidden="1" customHeight="1">
      <c r="B14" s="76"/>
      <c r="C14" s="76"/>
      <c r="D14" s="76"/>
      <c r="K14" s="4" t="s">
        <v>123</v>
      </c>
      <c r="L14" s="248">
        <v>2500</v>
      </c>
      <c r="M14" s="248"/>
      <c r="N14" s="248"/>
      <c r="O14" s="248"/>
      <c r="P14" s="248"/>
      <c r="Q14" s="248"/>
      <c r="R14" s="248"/>
      <c r="S14" s="248"/>
      <c r="T14" s="248"/>
      <c r="U14" s="248"/>
      <c r="W14" s="249"/>
      <c r="X14" s="65"/>
      <c r="Y14" s="66"/>
      <c r="Z14" s="66"/>
      <c r="AA14" s="66"/>
      <c r="AI14" s="79"/>
      <c r="AJ14" s="65"/>
      <c r="AK14" s="66"/>
      <c r="AL14" s="85"/>
      <c r="AS14" s="79"/>
      <c r="AT14" s="65"/>
      <c r="AU14" s="66"/>
      <c r="AV14" s="85"/>
      <c r="BB14" s="79"/>
      <c r="BC14" s="65"/>
      <c r="BD14" s="66"/>
      <c r="BE14" s="85"/>
      <c r="BL14" s="79"/>
      <c r="BM14" s="65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7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7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7"/>
      <c r="HT14" s="67"/>
      <c r="HU14" s="67"/>
      <c r="HV14" s="67"/>
      <c r="HW14" s="67"/>
      <c r="HX14" s="67"/>
      <c r="HY14" s="67"/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</row>
    <row r="15" spans="1:251" s="78" customFormat="1" ht="21" hidden="1" customHeight="1">
      <c r="B15" s="76"/>
      <c r="C15" s="76"/>
      <c r="D15" s="76"/>
      <c r="K15" s="4" t="s">
        <v>124</v>
      </c>
      <c r="L15" s="248">
        <v>1500</v>
      </c>
      <c r="M15" s="248"/>
      <c r="N15" s="248"/>
      <c r="O15" s="248"/>
      <c r="P15" s="248"/>
      <c r="Q15" s="248"/>
      <c r="R15" s="248"/>
      <c r="S15" s="248"/>
      <c r="T15" s="248"/>
      <c r="U15" s="248"/>
      <c r="X15" s="65"/>
      <c r="Y15" s="66"/>
      <c r="Z15" s="66"/>
      <c r="AA15" s="66"/>
      <c r="AI15" s="79"/>
      <c r="AJ15" s="65"/>
      <c r="AK15" s="66"/>
      <c r="AL15" s="85"/>
      <c r="AS15" s="79"/>
      <c r="AT15" s="65"/>
      <c r="AU15" s="66"/>
      <c r="AV15" s="85"/>
      <c r="BB15" s="79"/>
      <c r="BC15" s="65"/>
      <c r="BD15" s="66"/>
      <c r="BE15" s="85"/>
      <c r="BL15" s="79"/>
      <c r="BM15" s="65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66"/>
      <c r="CW15" s="66"/>
      <c r="CX15" s="66"/>
      <c r="CY15" s="66"/>
      <c r="CZ15" s="66"/>
      <c r="DA15" s="66"/>
      <c r="DB15" s="66"/>
      <c r="DC15" s="66"/>
      <c r="DD15" s="66"/>
      <c r="DE15" s="66"/>
      <c r="DF15" s="66"/>
      <c r="DG15" s="66"/>
      <c r="DH15" s="66"/>
      <c r="DI15" s="66"/>
      <c r="DJ15" s="66"/>
      <c r="DK15" s="66"/>
      <c r="DL15" s="66"/>
      <c r="DM15" s="66"/>
      <c r="DN15" s="66"/>
      <c r="DO15" s="66"/>
      <c r="DP15" s="66"/>
      <c r="DQ15" s="66"/>
      <c r="DR15" s="66"/>
      <c r="DS15" s="66"/>
      <c r="DT15" s="66"/>
      <c r="DU15" s="66"/>
      <c r="DV15" s="66"/>
      <c r="DW15" s="66"/>
      <c r="DX15" s="66"/>
      <c r="DY15" s="66"/>
      <c r="DZ15" s="66"/>
      <c r="EA15" s="66"/>
      <c r="EB15" s="66"/>
      <c r="EC15" s="66"/>
      <c r="ED15" s="66"/>
      <c r="EE15" s="66"/>
      <c r="EF15" s="66"/>
      <c r="EG15" s="66"/>
      <c r="EH15" s="66"/>
      <c r="EI15" s="66"/>
      <c r="EJ15" s="6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66"/>
      <c r="EV15" s="66"/>
      <c r="EW15" s="66"/>
      <c r="EX15" s="66"/>
      <c r="EY15" s="66"/>
      <c r="EZ15" s="66"/>
      <c r="FA15" s="66"/>
      <c r="FB15" s="66"/>
      <c r="FC15" s="67"/>
      <c r="FD15" s="66"/>
      <c r="FE15" s="66"/>
      <c r="FF15" s="66"/>
      <c r="FG15" s="66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6"/>
      <c r="FY15" s="66"/>
      <c r="FZ15" s="66"/>
      <c r="GA15" s="66"/>
      <c r="GB15" s="66"/>
      <c r="GC15" s="66"/>
      <c r="GD15" s="66"/>
      <c r="GE15" s="66"/>
      <c r="GF15" s="66"/>
      <c r="GG15" s="66"/>
      <c r="GH15" s="66"/>
      <c r="GI15" s="66"/>
      <c r="GJ15" s="66"/>
      <c r="GK15" s="67"/>
      <c r="GL15" s="66"/>
      <c r="GM15" s="66"/>
      <c r="GN15" s="66"/>
      <c r="GO15" s="66"/>
      <c r="GP15" s="66"/>
      <c r="GQ15" s="66"/>
      <c r="GR15" s="66"/>
      <c r="GS15" s="66"/>
      <c r="GT15" s="66"/>
      <c r="GU15" s="6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66"/>
      <c r="HG15" s="66"/>
      <c r="HH15" s="66"/>
      <c r="HI15" s="66"/>
      <c r="HJ15" s="66"/>
      <c r="HK15" s="66"/>
      <c r="HL15" s="66"/>
      <c r="HM15" s="66"/>
      <c r="HN15" s="66"/>
      <c r="HO15" s="66"/>
      <c r="HP15" s="66"/>
      <c r="HQ15" s="66"/>
      <c r="HR15" s="66"/>
      <c r="HS15" s="67"/>
      <c r="HT15" s="67"/>
      <c r="HU15" s="67"/>
      <c r="HV15" s="67"/>
      <c r="HW15" s="67"/>
      <c r="HX15" s="67"/>
      <c r="HY15" s="67"/>
      <c r="HZ15" s="67"/>
      <c r="IA15" s="67"/>
      <c r="IB15" s="67"/>
      <c r="IC15" s="67"/>
      <c r="ID15" s="67"/>
      <c r="IE15" s="67"/>
      <c r="IF15" s="67"/>
      <c r="IG15" s="67"/>
      <c r="IH15" s="67"/>
      <c r="II15" s="67"/>
      <c r="IJ15" s="67"/>
      <c r="IK15" s="67"/>
      <c r="IL15" s="67"/>
      <c r="IM15" s="67"/>
      <c r="IN15" s="67"/>
      <c r="IO15" s="67"/>
      <c r="IP15" s="67"/>
      <c r="IQ15" s="67"/>
    </row>
    <row r="16" spans="1:251" s="66" customFormat="1" ht="21" hidden="1" customHeight="1">
      <c r="B16" s="76"/>
      <c r="C16" s="76"/>
      <c r="D16" s="76"/>
      <c r="K16" s="4" t="s">
        <v>125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78"/>
      <c r="W16" s="78"/>
      <c r="X16" s="65"/>
      <c r="AB16" s="78"/>
      <c r="AC16" s="78"/>
      <c r="AE16" s="78"/>
      <c r="AF16" s="78"/>
      <c r="AG16" s="78"/>
      <c r="AH16" s="78"/>
      <c r="AI16" s="79"/>
      <c r="AJ16" s="65"/>
      <c r="AL16" s="85"/>
      <c r="AM16" s="78"/>
      <c r="AN16" s="78"/>
      <c r="AO16" s="78"/>
      <c r="AP16" s="78"/>
      <c r="AQ16" s="78"/>
      <c r="AR16" s="78"/>
      <c r="AS16" s="79"/>
      <c r="AT16" s="65"/>
      <c r="AV16" s="85"/>
      <c r="AW16" s="78"/>
      <c r="AX16" s="78"/>
      <c r="AY16" s="78"/>
      <c r="AZ16" s="78"/>
      <c r="BA16" s="78"/>
      <c r="BB16" s="79"/>
      <c r="BC16" s="65"/>
      <c r="BE16" s="85"/>
      <c r="BF16" s="78"/>
      <c r="BG16" s="78"/>
      <c r="BH16" s="78"/>
      <c r="BI16" s="78"/>
      <c r="BJ16" s="78"/>
      <c r="BK16" s="78"/>
      <c r="BL16" s="79"/>
      <c r="BM16" s="65"/>
      <c r="FC16" s="67"/>
      <c r="GK16" s="67"/>
      <c r="HS16" s="67"/>
      <c r="HT16" s="67"/>
      <c r="HU16" s="67"/>
      <c r="HV16" s="67"/>
      <c r="HW16" s="67"/>
      <c r="HX16" s="67"/>
      <c r="HY16" s="67"/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</row>
    <row r="17" spans="1:251" s="66" customFormat="1" ht="21" hidden="1" customHeight="1">
      <c r="B17" s="76"/>
      <c r="C17" s="76"/>
      <c r="D17" s="76"/>
      <c r="K17" s="4" t="s">
        <v>126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78"/>
      <c r="W17" s="78"/>
      <c r="X17" s="65"/>
      <c r="AB17" s="78"/>
      <c r="AC17" s="78"/>
      <c r="AD17" s="78"/>
      <c r="AE17" s="78"/>
      <c r="AF17" s="78"/>
      <c r="AG17" s="78"/>
      <c r="AH17" s="78"/>
      <c r="AI17" s="79"/>
      <c r="AJ17" s="65"/>
      <c r="AL17" s="85"/>
      <c r="AM17" s="78"/>
      <c r="AN17" s="78"/>
      <c r="AO17" s="78"/>
      <c r="AP17" s="78"/>
      <c r="AQ17" s="78"/>
      <c r="AR17" s="78"/>
      <c r="AS17" s="79"/>
      <c r="AT17" s="65"/>
      <c r="AV17" s="85"/>
      <c r="AW17" s="78"/>
      <c r="AX17" s="78"/>
      <c r="AY17" s="78"/>
      <c r="AZ17" s="78"/>
      <c r="BA17" s="78"/>
      <c r="BB17" s="79"/>
      <c r="BC17" s="65"/>
      <c r="BE17" s="85"/>
      <c r="BF17" s="78"/>
      <c r="BG17" s="78"/>
      <c r="BH17" s="78"/>
      <c r="BI17" s="78"/>
      <c r="BJ17" s="78"/>
      <c r="BK17" s="78"/>
      <c r="BL17" s="79"/>
      <c r="BM17" s="65"/>
      <c r="FC17" s="67"/>
      <c r="GK17" s="67"/>
      <c r="HS17" s="67"/>
      <c r="HT17" s="67"/>
      <c r="HU17" s="67"/>
      <c r="HV17" s="67"/>
      <c r="HW17" s="67"/>
      <c r="HX17" s="67"/>
      <c r="HY17" s="67"/>
      <c r="HZ17" s="67"/>
      <c r="IA17" s="67"/>
      <c r="IB17" s="67"/>
      <c r="IC17" s="67"/>
      <c r="ID17" s="67"/>
      <c r="IE17" s="67"/>
      <c r="IF17" s="67"/>
      <c r="IG17" s="67"/>
      <c r="IH17" s="67"/>
      <c r="II17" s="67"/>
      <c r="IJ17" s="67"/>
      <c r="IK17" s="67"/>
      <c r="IL17" s="67"/>
      <c r="IM17" s="67"/>
      <c r="IN17" s="67"/>
      <c r="IO17" s="67"/>
      <c r="IP17" s="67"/>
      <c r="IQ17" s="67"/>
    </row>
    <row r="18" spans="1:251" ht="21" hidden="1">
      <c r="B18" s="724" t="s">
        <v>127</v>
      </c>
      <c r="C18" s="76"/>
      <c r="D18" s="76"/>
      <c r="F18" s="67"/>
      <c r="G18" s="67"/>
      <c r="O18" s="78"/>
    </row>
    <row r="19" spans="1:251" ht="15" customHeight="1">
      <c r="I19"/>
      <c r="J19"/>
      <c r="K19"/>
      <c r="L19"/>
      <c r="M19"/>
      <c r="P19" s="322"/>
      <c r="Q19" s="65" t="s">
        <v>128</v>
      </c>
    </row>
    <row r="20" spans="1:251">
      <c r="I20"/>
      <c r="J20"/>
      <c r="K20"/>
      <c r="L20"/>
      <c r="M20"/>
      <c r="P20" s="198"/>
      <c r="Q20" s="65" t="s">
        <v>129</v>
      </c>
    </row>
    <row r="21" spans="1:251" ht="12" customHeight="1">
      <c r="B21" s="76"/>
      <c r="C21" s="76"/>
      <c r="D21" s="76"/>
      <c r="E21" s="77"/>
      <c r="J21" s="78"/>
      <c r="K21" s="78"/>
      <c r="L21" s="78"/>
      <c r="M21" s="78"/>
      <c r="N21" s="78"/>
      <c r="O21" s="78"/>
      <c r="P21" s="164"/>
      <c r="Q21" s="65" t="s">
        <v>130</v>
      </c>
      <c r="V21" s="67"/>
      <c r="W21" s="78"/>
      <c r="AB21" s="65"/>
      <c r="AC21" s="66"/>
      <c r="AD21" s="66"/>
      <c r="AM21" s="79"/>
      <c r="AN21" s="65"/>
      <c r="AO21" s="66"/>
      <c r="AP21" s="66"/>
      <c r="AY21" s="79"/>
      <c r="AZ21" s="65"/>
      <c r="BA21" s="66"/>
      <c r="BB21" s="66"/>
      <c r="BD21" s="78"/>
      <c r="BI21" s="79"/>
      <c r="BJ21" s="65"/>
      <c r="BK21" s="66"/>
      <c r="BL21" s="66"/>
      <c r="BN21" s="78"/>
      <c r="BQ21" s="65"/>
      <c r="BS21" s="79"/>
      <c r="BT21" s="66"/>
      <c r="BU21" s="66"/>
      <c r="BW21" s="78"/>
      <c r="CB21" s="79"/>
      <c r="CC21" s="65"/>
      <c r="CD21" s="66"/>
      <c r="CE21" s="66"/>
      <c r="CG21" s="78"/>
      <c r="CM21" s="65"/>
      <c r="CN21" s="65"/>
      <c r="CO21" s="66"/>
      <c r="CP21" s="66"/>
      <c r="CT21" s="67"/>
      <c r="CU21" s="67"/>
      <c r="DA21" s="65"/>
      <c r="DB21" s="65"/>
      <c r="DC21" s="65"/>
      <c r="DD21" s="66"/>
      <c r="DE21" s="66"/>
      <c r="DI21" s="67"/>
      <c r="DJ21" s="67"/>
      <c r="DO21" s="65"/>
      <c r="DP21" s="65"/>
      <c r="DQ21" s="66"/>
      <c r="DR21" s="66"/>
      <c r="DT21" s="67"/>
      <c r="DU21" s="67"/>
      <c r="DZ21" s="65"/>
      <c r="EA21" s="65"/>
      <c r="EB21" s="66"/>
      <c r="EC21" s="66"/>
      <c r="ED21" s="66"/>
      <c r="EF21" s="67" t="s">
        <v>131</v>
      </c>
      <c r="EH21" s="65"/>
      <c r="EI21" s="65"/>
      <c r="EJ21" s="66"/>
      <c r="EK21" s="66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7"/>
      <c r="EX21" s="67"/>
      <c r="EY21" s="67"/>
      <c r="EZ21" s="67"/>
      <c r="FA21" s="67"/>
      <c r="FB21" s="67"/>
      <c r="FC21" s="67"/>
      <c r="FD21" s="67"/>
      <c r="FE21" s="67"/>
      <c r="FF21" s="67"/>
      <c r="FG21" s="67"/>
      <c r="FH21" s="67"/>
      <c r="FI21" s="67"/>
      <c r="FJ21" s="67"/>
      <c r="FK21" s="67"/>
      <c r="FL21" s="67"/>
      <c r="FM21" s="67"/>
      <c r="FN21" s="67"/>
      <c r="FO21" s="67"/>
      <c r="FP21" s="67"/>
      <c r="FQ21" s="67"/>
      <c r="FR21" s="67"/>
      <c r="FS21" s="67"/>
      <c r="FT21" s="67"/>
      <c r="FV21" s="67"/>
      <c r="FW21" s="67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7"/>
      <c r="GJ21" s="67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D21" s="67"/>
      <c r="HE21" s="67"/>
      <c r="HF21" s="67"/>
      <c r="HG21" s="67"/>
      <c r="HH21" s="67"/>
      <c r="HI21" s="67"/>
      <c r="HJ21" s="67"/>
      <c r="HK21" s="67"/>
      <c r="HL21" s="67"/>
      <c r="HM21" s="67"/>
      <c r="HN21" s="67"/>
      <c r="HO21" s="67"/>
      <c r="HP21" s="67"/>
      <c r="HQ21" s="67"/>
      <c r="HR21" s="67"/>
      <c r="HS21" s="67"/>
      <c r="HT21" s="67"/>
      <c r="HU21" s="67"/>
      <c r="HV21" s="67"/>
      <c r="HW21" s="67"/>
      <c r="HX21" s="67"/>
      <c r="HY21" s="67"/>
      <c r="HZ21" s="67"/>
      <c r="IA21" s="67"/>
      <c r="IB21" s="67"/>
      <c r="IC21" s="67"/>
      <c r="ID21" s="67"/>
      <c r="IE21" s="67"/>
      <c r="IF21" s="67"/>
      <c r="IG21" s="67"/>
      <c r="IH21" s="67"/>
      <c r="II21" s="67"/>
      <c r="IJ21" s="67"/>
    </row>
    <row r="22" spans="1:251" ht="25.5" customHeight="1">
      <c r="B22" s="633"/>
      <c r="C22" s="653"/>
      <c r="E22" s="66"/>
      <c r="F22" s="86" t="s">
        <v>132</v>
      </c>
      <c r="H22" s="322"/>
      <c r="I22" s="87"/>
      <c r="J22" s="82"/>
      <c r="K22" s="82"/>
      <c r="L22" s="82"/>
      <c r="M22" s="82"/>
      <c r="N22" s="82"/>
      <c r="O22" s="82"/>
      <c r="P22" s="82"/>
      <c r="Q22" s="82"/>
      <c r="U22" s="86" t="s">
        <v>133</v>
      </c>
      <c r="V22" s="88">
        <f>SUMIF(B25:$B$9953,B22,V25:$V$9953)</f>
        <v>0</v>
      </c>
      <c r="Y22" s="82"/>
      <c r="Z22" s="82"/>
      <c r="AA22" s="82"/>
      <c r="AB22" s="82"/>
      <c r="AC22" s="82"/>
      <c r="AD22" s="82"/>
      <c r="AE22" s="82"/>
      <c r="AF22" s="83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3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67"/>
      <c r="CU22" s="67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2"/>
      <c r="DG22" s="82"/>
      <c r="DH22" s="82"/>
      <c r="DI22" s="67"/>
      <c r="DJ22" s="67"/>
      <c r="DK22" s="82"/>
      <c r="DL22" s="82"/>
      <c r="DM22" s="82" t="s">
        <v>134</v>
      </c>
      <c r="DN22" s="82"/>
      <c r="DO22" s="82"/>
      <c r="DP22" s="82"/>
      <c r="DQ22" s="82"/>
      <c r="DR22" s="82"/>
      <c r="DS22" s="82"/>
      <c r="DT22" s="250" t="s">
        <v>134</v>
      </c>
      <c r="DU22" s="67"/>
      <c r="DV22" s="82"/>
      <c r="DW22" s="82"/>
      <c r="DY22" s="82"/>
      <c r="DZ22" s="82"/>
      <c r="EB22" s="82"/>
      <c r="EC22" s="82"/>
      <c r="ED22" s="82"/>
      <c r="EE22" s="82"/>
      <c r="EF22" s="250" t="s">
        <v>135</v>
      </c>
      <c r="EG22" s="82"/>
      <c r="EH22" s="82"/>
      <c r="EJ22" s="82"/>
      <c r="EK22" s="82"/>
      <c r="EL22" s="82"/>
      <c r="EM22" s="67"/>
      <c r="EN22" s="67"/>
      <c r="EO22" s="67"/>
      <c r="EP22" s="67"/>
      <c r="EQ22" s="67"/>
      <c r="ER22" s="67"/>
      <c r="ES22" s="67"/>
      <c r="ET22" s="67"/>
      <c r="EU22" s="67"/>
      <c r="EV22" s="67"/>
      <c r="EW22" s="67"/>
      <c r="EX22" s="67"/>
      <c r="EY22" s="67"/>
      <c r="EZ22" s="67"/>
      <c r="FA22" s="67"/>
      <c r="FB22" s="67"/>
      <c r="FC22" s="67"/>
      <c r="FD22" s="67"/>
      <c r="FE22" s="67"/>
      <c r="FF22" s="67"/>
      <c r="FG22" s="67"/>
      <c r="FH22" s="67"/>
      <c r="FI22" s="67"/>
      <c r="FJ22" s="67"/>
      <c r="FK22" s="67"/>
      <c r="FL22" s="67"/>
      <c r="FM22" s="67"/>
      <c r="FN22" s="67"/>
      <c r="FO22" s="67"/>
      <c r="FP22" s="67"/>
      <c r="FQ22" s="67"/>
      <c r="FR22" s="67"/>
      <c r="FS22" s="67"/>
      <c r="FT22" s="67"/>
      <c r="FV22" s="67"/>
      <c r="FW22" s="67"/>
      <c r="FX22" s="67"/>
      <c r="FY22" s="67"/>
      <c r="FZ22" s="67"/>
      <c r="GA22" s="67"/>
      <c r="GB22" s="67"/>
      <c r="GC22" s="67"/>
      <c r="GD22" s="67"/>
      <c r="GE22" s="67"/>
      <c r="GF22" s="67"/>
      <c r="GG22" s="67"/>
      <c r="GH22" s="67"/>
      <c r="GI22" s="67"/>
      <c r="GJ22" s="67"/>
      <c r="GK22" s="67"/>
      <c r="GL22" s="67"/>
      <c r="GM22" s="67"/>
      <c r="GN22" s="67"/>
      <c r="GO22" s="67"/>
      <c r="GP22" s="67"/>
      <c r="GQ22" s="67"/>
      <c r="GR22" s="67"/>
      <c r="GS22" s="67"/>
      <c r="GT22" s="67"/>
      <c r="GU22" s="67"/>
      <c r="GV22" s="67"/>
      <c r="GW22" s="67"/>
      <c r="GX22" s="67"/>
      <c r="GY22" s="67"/>
      <c r="GZ22" s="67"/>
      <c r="HA22" s="67"/>
      <c r="HB22" s="67"/>
      <c r="HD22" s="67"/>
      <c r="HE22" s="67"/>
      <c r="HF22" s="67"/>
      <c r="HG22" s="67"/>
      <c r="HH22" s="67"/>
      <c r="HI22" s="67"/>
      <c r="HJ22" s="67"/>
      <c r="HK22" s="67"/>
      <c r="HL22" s="67"/>
      <c r="HM22" s="67"/>
      <c r="HN22" s="67"/>
      <c r="HO22" s="67"/>
      <c r="HP22" s="67"/>
      <c r="HQ22" s="67"/>
      <c r="HR22" s="67"/>
      <c r="HS22" s="67"/>
      <c r="HT22" s="67"/>
      <c r="HU22" s="67"/>
      <c r="HV22" s="67"/>
      <c r="HW22" s="67"/>
      <c r="HX22" s="67"/>
      <c r="HY22" s="67"/>
      <c r="HZ22" s="67"/>
      <c r="IA22" s="67"/>
      <c r="IB22" s="67"/>
      <c r="IC22" s="67"/>
      <c r="ID22" s="67"/>
      <c r="IE22" s="67"/>
      <c r="IF22" s="67"/>
      <c r="IG22" s="67"/>
      <c r="IH22" s="67"/>
      <c r="II22" s="67"/>
      <c r="IJ22" s="67"/>
    </row>
    <row r="23" spans="1:251" ht="15.75" customHeight="1">
      <c r="B23" s="786" t="s">
        <v>136</v>
      </c>
      <c r="C23" s="787"/>
      <c r="D23" s="787"/>
      <c r="E23" s="787"/>
      <c r="F23" s="788"/>
      <c r="G23" s="643"/>
      <c r="H23" s="789" t="s">
        <v>137</v>
      </c>
      <c r="I23" s="790"/>
      <c r="J23" s="791"/>
      <c r="K23" s="784" t="s">
        <v>138</v>
      </c>
      <c r="L23" s="784"/>
      <c r="M23" s="784"/>
      <c r="N23" s="784"/>
      <c r="O23" s="784"/>
      <c r="P23" s="784"/>
      <c r="Q23" s="784"/>
      <c r="R23" s="784"/>
      <c r="S23" s="784"/>
      <c r="T23" s="784"/>
      <c r="U23" s="784"/>
      <c r="V23" s="784"/>
      <c r="W23" s="784"/>
      <c r="X23" s="190"/>
      <c r="Y23" s="785" t="s">
        <v>110</v>
      </c>
      <c r="Z23" s="785"/>
      <c r="AA23" s="785"/>
      <c r="AB23" s="785"/>
      <c r="AC23" s="785"/>
      <c r="AD23" s="785"/>
      <c r="AE23" s="785"/>
      <c r="AF23" s="785"/>
      <c r="AG23" s="191"/>
      <c r="AH23" s="785" t="s">
        <v>111</v>
      </c>
      <c r="AI23" s="785"/>
      <c r="AJ23" s="785"/>
      <c r="AK23" s="785"/>
      <c r="AL23" s="785"/>
      <c r="AM23" s="785"/>
      <c r="AN23" s="785"/>
      <c r="AO23" s="785"/>
      <c r="AP23" s="785"/>
      <c r="AQ23" s="785"/>
      <c r="AR23" s="785"/>
      <c r="AS23" s="191"/>
      <c r="AT23" s="785" t="s">
        <v>139</v>
      </c>
      <c r="AU23" s="785"/>
      <c r="AV23" s="785"/>
      <c r="AW23" s="785"/>
      <c r="AX23" s="785"/>
      <c r="AY23" s="785"/>
      <c r="AZ23" s="785"/>
      <c r="BA23" s="785"/>
      <c r="BB23" s="785"/>
      <c r="BC23" s="785"/>
      <c r="BD23" s="785"/>
      <c r="BE23" s="191"/>
      <c r="BF23" s="785" t="s">
        <v>115</v>
      </c>
      <c r="BG23" s="785"/>
      <c r="BH23" s="785"/>
      <c r="BI23" s="785"/>
      <c r="BJ23" s="785"/>
      <c r="BK23" s="785"/>
      <c r="BL23" s="785"/>
      <c r="BM23" s="785"/>
      <c r="BN23" s="785"/>
      <c r="BO23" s="191"/>
      <c r="BP23" s="785" t="s">
        <v>116</v>
      </c>
      <c r="BQ23" s="785"/>
      <c r="BR23" s="785"/>
      <c r="BS23" s="785"/>
      <c r="BT23" s="785"/>
      <c r="BU23" s="785"/>
      <c r="BV23" s="785"/>
      <c r="BW23" s="785"/>
      <c r="BX23" s="191"/>
      <c r="BY23" s="781" t="s">
        <v>117</v>
      </c>
      <c r="BZ23" s="782"/>
      <c r="CA23" s="782"/>
      <c r="CB23" s="782"/>
      <c r="CC23" s="782"/>
      <c r="CD23" s="782"/>
      <c r="CE23" s="782"/>
      <c r="CF23" s="782"/>
      <c r="CG23" s="783"/>
      <c r="CH23" s="191"/>
      <c r="CI23" s="781" t="s">
        <v>118</v>
      </c>
      <c r="CJ23" s="782"/>
      <c r="CK23" s="782"/>
      <c r="CL23" s="782"/>
      <c r="CM23" s="782"/>
      <c r="CN23" s="782"/>
      <c r="CO23" s="782"/>
      <c r="CP23" s="782"/>
      <c r="CQ23" s="782"/>
      <c r="CR23" s="782"/>
      <c r="CS23" s="782"/>
      <c r="CT23" s="783"/>
      <c r="CU23" s="191"/>
      <c r="CV23" s="781" t="s">
        <v>120</v>
      </c>
      <c r="CW23" s="782"/>
      <c r="CX23" s="782"/>
      <c r="CY23" s="782"/>
      <c r="CZ23" s="782"/>
      <c r="DA23" s="782"/>
      <c r="DB23" s="782"/>
      <c r="DC23" s="782"/>
      <c r="DD23" s="782"/>
      <c r="DE23" s="782"/>
      <c r="DF23" s="783"/>
      <c r="DG23" s="191"/>
      <c r="DH23" s="781" t="s">
        <v>122</v>
      </c>
      <c r="DI23" s="782"/>
      <c r="DJ23" s="782"/>
      <c r="DK23" s="782"/>
      <c r="DL23" s="782"/>
      <c r="DM23" s="782"/>
      <c r="DN23" s="782"/>
      <c r="DO23" s="782"/>
      <c r="DP23" s="782"/>
      <c r="DQ23" s="783"/>
      <c r="DR23" s="191"/>
      <c r="DS23" s="781" t="s">
        <v>123</v>
      </c>
      <c r="DT23" s="782"/>
      <c r="DU23" s="782"/>
      <c r="DV23" s="782"/>
      <c r="DW23" s="782"/>
      <c r="DX23" s="782"/>
      <c r="DY23" s="782"/>
      <c r="DZ23" s="782"/>
      <c r="EA23" s="782"/>
      <c r="EB23" s="782"/>
      <c r="EC23" s="783"/>
      <c r="ED23" s="191"/>
      <c r="EE23" s="781" t="s">
        <v>140</v>
      </c>
      <c r="EF23" s="782"/>
      <c r="EG23" s="782"/>
      <c r="EH23" s="782"/>
      <c r="EI23" s="782"/>
      <c r="EJ23" s="782"/>
      <c r="EK23" s="783"/>
      <c r="EL23" s="82"/>
      <c r="EM23" s="67"/>
      <c r="EN23" s="67"/>
      <c r="EO23" s="67"/>
      <c r="EP23" s="67"/>
      <c r="EQ23" s="67"/>
      <c r="ER23" s="67"/>
      <c r="ES23" s="67"/>
      <c r="ET23" s="67"/>
      <c r="EU23" s="67"/>
      <c r="EV23" s="67"/>
      <c r="EW23" s="67"/>
      <c r="EX23" s="67"/>
      <c r="EY23" s="67"/>
      <c r="EZ23" s="67"/>
      <c r="FA23" s="67"/>
      <c r="FB23" s="67"/>
      <c r="FC23" s="67"/>
      <c r="FD23" s="67"/>
      <c r="FE23" s="67"/>
      <c r="FF23" s="67"/>
      <c r="FG23" s="67"/>
      <c r="FH23" s="67"/>
      <c r="FI23" s="67"/>
      <c r="FJ23" s="67"/>
      <c r="FK23" s="67"/>
      <c r="FL23" s="67"/>
      <c r="FM23" s="67"/>
      <c r="FN23" s="67"/>
      <c r="FO23" s="67"/>
      <c r="FP23" s="67"/>
      <c r="FQ23" s="67"/>
      <c r="FR23" s="67"/>
      <c r="FS23" s="67"/>
      <c r="FT23" s="67"/>
      <c r="FV23" s="67"/>
      <c r="FW23" s="67"/>
      <c r="FX23" s="67"/>
      <c r="FY23" s="67"/>
      <c r="FZ23" s="67"/>
      <c r="GA23" s="67"/>
      <c r="GB23" s="67"/>
      <c r="GC23" s="67"/>
      <c r="GD23" s="67"/>
      <c r="GE23" s="67"/>
      <c r="GF23" s="67"/>
      <c r="GG23" s="67"/>
      <c r="GH23" s="67"/>
      <c r="GI23" s="67"/>
      <c r="GJ23" s="67"/>
      <c r="GK23" s="67"/>
      <c r="GL23" s="67"/>
      <c r="GM23" s="67"/>
      <c r="GN23" s="67"/>
      <c r="GO23" s="67"/>
      <c r="GP23" s="67"/>
      <c r="GQ23" s="67"/>
      <c r="GR23" s="67"/>
      <c r="GS23" s="67"/>
      <c r="GT23" s="67"/>
      <c r="GU23" s="67"/>
      <c r="GV23" s="67"/>
      <c r="GW23" s="67"/>
      <c r="GX23" s="67"/>
      <c r="GY23" s="67"/>
      <c r="GZ23" s="67"/>
      <c r="HA23" s="67"/>
      <c r="HB23" s="67"/>
      <c r="HD23" s="67"/>
      <c r="HE23" s="67"/>
      <c r="HF23" s="67"/>
      <c r="HG23" s="67"/>
      <c r="HH23" s="67"/>
      <c r="HI23" s="67"/>
      <c r="HJ23" s="67"/>
      <c r="HK23" s="67"/>
      <c r="HL23" s="67"/>
      <c r="HM23" s="67"/>
      <c r="HN23" s="67"/>
      <c r="HO23" s="67"/>
      <c r="HP23" s="67"/>
      <c r="HQ23" s="67"/>
      <c r="HR23" s="67"/>
      <c r="HS23" s="67"/>
      <c r="HT23" s="67"/>
      <c r="HU23" s="67"/>
      <c r="HV23" s="67"/>
      <c r="HW23" s="67"/>
      <c r="HX23" s="67"/>
      <c r="HY23" s="67"/>
      <c r="HZ23" s="67"/>
      <c r="IA23" s="67"/>
      <c r="IB23" s="67"/>
      <c r="IC23" s="67"/>
      <c r="ID23" s="67"/>
      <c r="IE23" s="67"/>
      <c r="IF23" s="67"/>
      <c r="IG23" s="67"/>
      <c r="IH23" s="67"/>
      <c r="II23" s="67"/>
      <c r="IJ23" s="67"/>
    </row>
    <row r="24" spans="1:251" s="70" customFormat="1" ht="60">
      <c r="A24" s="67"/>
      <c r="B24" s="644" t="s">
        <v>3</v>
      </c>
      <c r="C24" s="644" t="s">
        <v>35</v>
      </c>
      <c r="D24" s="644" t="s">
        <v>141</v>
      </c>
      <c r="E24" s="645" t="s">
        <v>82</v>
      </c>
      <c r="F24" s="644" t="s">
        <v>142</v>
      </c>
      <c r="G24" s="646"/>
      <c r="H24" s="646" t="s">
        <v>143</v>
      </c>
      <c r="I24" s="647" t="s">
        <v>91</v>
      </c>
      <c r="J24" s="647" t="s">
        <v>101</v>
      </c>
      <c r="K24" s="634" t="s">
        <v>144</v>
      </c>
      <c r="L24" s="635" t="s">
        <v>145</v>
      </c>
      <c r="M24" s="634" t="s">
        <v>146</v>
      </c>
      <c r="N24" s="648" t="s">
        <v>147</v>
      </c>
      <c r="O24" s="649" t="s">
        <v>148</v>
      </c>
      <c r="P24" s="648" t="s">
        <v>149</v>
      </c>
      <c r="Q24" s="648" t="s">
        <v>150</v>
      </c>
      <c r="R24" s="648" t="s">
        <v>151</v>
      </c>
      <c r="S24" s="648" t="s">
        <v>152</v>
      </c>
      <c r="T24" s="647" t="s">
        <v>153</v>
      </c>
      <c r="U24" s="646" t="s">
        <v>154</v>
      </c>
      <c r="V24" s="646" t="s">
        <v>155</v>
      </c>
      <c r="W24" s="646" t="s">
        <v>156</v>
      </c>
      <c r="X24" s="152"/>
      <c r="Y24" s="192" t="s">
        <v>157</v>
      </c>
      <c r="Z24" s="196" t="s">
        <v>158</v>
      </c>
      <c r="AA24" s="197" t="s">
        <v>159</v>
      </c>
      <c r="AB24" s="197" t="s">
        <v>160</v>
      </c>
      <c r="AC24" s="194" t="s">
        <v>161</v>
      </c>
      <c r="AD24" s="198" t="s">
        <v>162</v>
      </c>
      <c r="AE24" s="194" t="s">
        <v>163</v>
      </c>
      <c r="AF24" s="152" t="s">
        <v>164</v>
      </c>
      <c r="AG24" s="152"/>
      <c r="AH24" s="199" t="s">
        <v>165</v>
      </c>
      <c r="AI24" s="196" t="s">
        <v>145</v>
      </c>
      <c r="AJ24" s="197" t="s">
        <v>166</v>
      </c>
      <c r="AK24" s="194" t="s">
        <v>147</v>
      </c>
      <c r="AL24" s="195" t="s">
        <v>167</v>
      </c>
      <c r="AM24" s="192" t="s">
        <v>159</v>
      </c>
      <c r="AN24" s="192" t="s">
        <v>160</v>
      </c>
      <c r="AO24" s="194" t="s">
        <v>161</v>
      </c>
      <c r="AP24" s="194" t="s">
        <v>162</v>
      </c>
      <c r="AQ24" s="194" t="s">
        <v>163</v>
      </c>
      <c r="AR24" s="152" t="s">
        <v>168</v>
      </c>
      <c r="AS24" s="192"/>
      <c r="AT24" s="198" t="s">
        <v>165</v>
      </c>
      <c r="AU24" s="196" t="s">
        <v>145</v>
      </c>
      <c r="AV24" s="197" t="s">
        <v>166</v>
      </c>
      <c r="AW24" s="194" t="s">
        <v>147</v>
      </c>
      <c r="AX24" s="195" t="s">
        <v>167</v>
      </c>
      <c r="AY24" s="192" t="s">
        <v>159</v>
      </c>
      <c r="AZ24" s="192" t="s">
        <v>160</v>
      </c>
      <c r="BA24" s="194" t="s">
        <v>161</v>
      </c>
      <c r="BB24" s="194" t="s">
        <v>162</v>
      </c>
      <c r="BC24" s="194" t="s">
        <v>163</v>
      </c>
      <c r="BD24" s="152" t="s">
        <v>168</v>
      </c>
      <c r="BE24" s="152"/>
      <c r="BF24" s="197" t="s">
        <v>169</v>
      </c>
      <c r="BG24" s="193" t="s">
        <v>170</v>
      </c>
      <c r="BH24" s="194" t="s">
        <v>147</v>
      </c>
      <c r="BI24" s="197" t="s">
        <v>159</v>
      </c>
      <c r="BJ24" s="197" t="s">
        <v>160</v>
      </c>
      <c r="BK24" s="194" t="s">
        <v>161</v>
      </c>
      <c r="BL24" s="198" t="s">
        <v>162</v>
      </c>
      <c r="BM24" s="194" t="s">
        <v>163</v>
      </c>
      <c r="BN24" s="152" t="s">
        <v>171</v>
      </c>
      <c r="BO24" s="152"/>
      <c r="BP24" s="192" t="s">
        <v>172</v>
      </c>
      <c r="BQ24" s="193" t="s">
        <v>173</v>
      </c>
      <c r="BR24" s="194" t="s">
        <v>174</v>
      </c>
      <c r="BS24" s="197" t="s">
        <v>159</v>
      </c>
      <c r="BT24" s="197" t="s">
        <v>160</v>
      </c>
      <c r="BU24" s="198" t="s">
        <v>162</v>
      </c>
      <c r="BV24" s="194" t="s">
        <v>163</v>
      </c>
      <c r="BW24" s="152" t="s">
        <v>175</v>
      </c>
      <c r="BX24" s="152"/>
      <c r="BY24" s="197" t="s">
        <v>176</v>
      </c>
      <c r="BZ24" s="193" t="s">
        <v>177</v>
      </c>
      <c r="CA24" s="194" t="s">
        <v>147</v>
      </c>
      <c r="CB24" s="197" t="s">
        <v>159</v>
      </c>
      <c r="CC24" s="197" t="s">
        <v>160</v>
      </c>
      <c r="CD24" s="194" t="s">
        <v>161</v>
      </c>
      <c r="CE24" s="198" t="s">
        <v>162</v>
      </c>
      <c r="CF24" s="194" t="s">
        <v>163</v>
      </c>
      <c r="CG24" s="152" t="s">
        <v>178</v>
      </c>
      <c r="CH24" s="152"/>
      <c r="CI24" s="192" t="s">
        <v>179</v>
      </c>
      <c r="CJ24" s="193" t="s">
        <v>180</v>
      </c>
      <c r="CK24" s="194" t="s">
        <v>181</v>
      </c>
      <c r="CL24" s="197" t="s">
        <v>159</v>
      </c>
      <c r="CM24" s="197" t="s">
        <v>160</v>
      </c>
      <c r="CN24" s="194" t="s">
        <v>182</v>
      </c>
      <c r="CO24" s="194" t="s">
        <v>183</v>
      </c>
      <c r="CP24" s="194" t="s">
        <v>184</v>
      </c>
      <c r="CQ24" s="194" t="s">
        <v>161</v>
      </c>
      <c r="CR24" s="198" t="s">
        <v>162</v>
      </c>
      <c r="CS24" s="194" t="s">
        <v>163</v>
      </c>
      <c r="CT24" s="152" t="s">
        <v>185</v>
      </c>
      <c r="CU24" s="152"/>
      <c r="CV24" s="192" t="s">
        <v>186</v>
      </c>
      <c r="CW24" s="193" t="s">
        <v>180</v>
      </c>
      <c r="CX24" s="193" t="s">
        <v>181</v>
      </c>
      <c r="CY24" s="193" t="s">
        <v>187</v>
      </c>
      <c r="CZ24" s="192" t="s">
        <v>188</v>
      </c>
      <c r="DA24" s="192" t="s">
        <v>189</v>
      </c>
      <c r="DB24" s="194" t="s">
        <v>182</v>
      </c>
      <c r="DC24" s="194" t="s">
        <v>161</v>
      </c>
      <c r="DD24" s="198" t="s">
        <v>162</v>
      </c>
      <c r="DE24" s="194" t="s">
        <v>163</v>
      </c>
      <c r="DF24" s="152" t="s">
        <v>190</v>
      </c>
      <c r="DG24" s="152"/>
      <c r="DH24" s="192" t="s">
        <v>191</v>
      </c>
      <c r="DI24" s="193" t="s">
        <v>192</v>
      </c>
      <c r="DJ24" s="193" t="s">
        <v>193</v>
      </c>
      <c r="DK24" s="194" t="s">
        <v>194</v>
      </c>
      <c r="DL24" s="192" t="s">
        <v>195</v>
      </c>
      <c r="DM24" s="192" t="s">
        <v>196</v>
      </c>
      <c r="DN24" s="194" t="s">
        <v>161</v>
      </c>
      <c r="DO24" s="198" t="s">
        <v>162</v>
      </c>
      <c r="DP24" s="194" t="s">
        <v>163</v>
      </c>
      <c r="DQ24" s="152" t="s">
        <v>190</v>
      </c>
      <c r="DR24" s="152"/>
      <c r="DS24" s="192" t="s">
        <v>191</v>
      </c>
      <c r="DT24" s="193" t="s">
        <v>192</v>
      </c>
      <c r="DU24" s="193" t="s">
        <v>193</v>
      </c>
      <c r="DV24" s="194" t="s">
        <v>194</v>
      </c>
      <c r="DW24" s="197" t="s">
        <v>159</v>
      </c>
      <c r="DX24" s="192" t="s">
        <v>196</v>
      </c>
      <c r="DY24" s="194" t="s">
        <v>161</v>
      </c>
      <c r="DZ24" s="198" t="s">
        <v>162</v>
      </c>
      <c r="EA24" s="194" t="s">
        <v>163</v>
      </c>
      <c r="EB24" s="152" t="s">
        <v>190</v>
      </c>
      <c r="EC24" s="152"/>
      <c r="ED24" s="152"/>
      <c r="EE24" s="193" t="s">
        <v>192</v>
      </c>
      <c r="EF24" s="193" t="s">
        <v>146</v>
      </c>
      <c r="EG24" s="194" t="s">
        <v>194</v>
      </c>
      <c r="EH24" s="198" t="s">
        <v>162</v>
      </c>
      <c r="EI24" s="194" t="s">
        <v>163</v>
      </c>
      <c r="EJ24" s="152" t="s">
        <v>190</v>
      </c>
      <c r="EK24" s="152"/>
      <c r="EL24" s="67"/>
      <c r="EM24" s="67"/>
      <c r="EN24" s="67"/>
      <c r="EO24" s="67"/>
      <c r="EP24" s="67"/>
      <c r="EQ24" s="67"/>
      <c r="ER24" s="67"/>
      <c r="ES24" s="67"/>
      <c r="ET24" s="67"/>
      <c r="EU24" s="67"/>
      <c r="EW24" s="67"/>
      <c r="EX24" s="67"/>
      <c r="EY24" s="67"/>
      <c r="EZ24" s="67"/>
      <c r="FA24" s="67"/>
      <c r="FB24" s="67"/>
      <c r="FC24" s="67"/>
      <c r="FD24" s="67"/>
      <c r="FE24" s="67"/>
      <c r="FF24" s="67"/>
      <c r="FH24" s="67"/>
      <c r="FI24" s="67"/>
      <c r="FJ24" s="67"/>
      <c r="FK24" s="67"/>
      <c r="FL24" s="67"/>
      <c r="FM24" s="67"/>
      <c r="FN24" s="67"/>
      <c r="FO24" s="67"/>
      <c r="FP24" s="67"/>
      <c r="FQ24" s="67"/>
      <c r="FT24" s="67"/>
      <c r="FU24" s="67"/>
      <c r="FV24" s="67"/>
      <c r="FW24" s="67"/>
      <c r="FX24" s="67"/>
      <c r="FY24" s="67"/>
      <c r="FZ24" s="67"/>
      <c r="GA24" s="67"/>
      <c r="GB24" s="67"/>
      <c r="GC24" s="67"/>
      <c r="GE24" s="67"/>
      <c r="GF24" s="67"/>
      <c r="GG24" s="67"/>
      <c r="GH24" s="67"/>
      <c r="GI24" s="67"/>
      <c r="GJ24" s="67"/>
      <c r="GK24" s="67"/>
      <c r="GL24" s="67"/>
      <c r="GM24" s="67"/>
      <c r="GN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HB24" s="67"/>
      <c r="HC24" s="67"/>
      <c r="HD24" s="67"/>
      <c r="HE24" s="67"/>
      <c r="HF24" s="67"/>
      <c r="HG24" s="67"/>
      <c r="HH24" s="67"/>
      <c r="HI24" s="67"/>
      <c r="HJ24" s="67"/>
      <c r="HK24" s="67"/>
      <c r="HM24" s="67"/>
      <c r="HN24" s="67"/>
      <c r="HO24" s="67"/>
      <c r="HP24" s="67"/>
      <c r="HQ24" s="67"/>
      <c r="HR24" s="67"/>
      <c r="HS24" s="67"/>
      <c r="HT24" s="67"/>
      <c r="HU24" s="67"/>
      <c r="HV24" s="67"/>
      <c r="HX24" s="67"/>
      <c r="HY24" s="67"/>
      <c r="HZ24" s="67"/>
      <c r="IA24" s="67"/>
      <c r="IB24" s="67"/>
      <c r="IC24" s="67"/>
      <c r="ID24" s="67"/>
      <c r="IE24" s="67"/>
      <c r="IF24" s="67"/>
      <c r="IG24" s="67"/>
    </row>
    <row r="25" spans="1:251">
      <c r="B25" s="71">
        <f>B22</f>
        <v>0</v>
      </c>
      <c r="C25" s="71" t="str">
        <f>_xlfn.IFNA(VLOOKUP(B25,BOM!$D$1:$H$10000,5,0),"")</f>
        <v/>
      </c>
      <c r="D25" s="637"/>
      <c r="E25" s="209" t="s">
        <v>197</v>
      </c>
      <c r="F25" s="89">
        <v>1</v>
      </c>
      <c r="G25" s="90"/>
      <c r="H25" s="252"/>
      <c r="I25" s="89"/>
      <c r="J25" s="91"/>
      <c r="K25" s="91"/>
      <c r="L25" s="251"/>
      <c r="M25" s="91"/>
      <c r="N25" s="91"/>
      <c r="O25" s="91"/>
      <c r="P25" s="91"/>
      <c r="Q25" s="91"/>
      <c r="R25" s="91"/>
      <c r="S25" s="91"/>
      <c r="T25" s="93">
        <f t="shared" ref="T25:T29" si="2">IF(J25="Drilling",AF25,IF(J25="Face Milling",AR25,IF(J25="Pocket Milling",BD25,IF(J25="Turning",BN25,IF(J25="Tapping",BW25,IF(J25="Boring",CG25,IF(J25="Chamfering",5,IF(J25="Spot facing",10,IF(J25="Hobbing",CT25,IF(J25="Gear grinding",DF25,IF(J25="Internal Grinding",DQ25,IF(J25="External Grinding",EB25,IF(J25="Surface grinding",EJ25,0)))))))))))))</f>
        <v>0</v>
      </c>
      <c r="U25" s="94">
        <f t="shared" ref="U25" si="3">I25/3600*T25</f>
        <v>0</v>
      </c>
      <c r="V25" s="95">
        <f t="shared" ref="V25" si="4">U25*F25</f>
        <v>0</v>
      </c>
      <c r="W25" s="677"/>
      <c r="X25" s="90"/>
      <c r="Y25" s="96">
        <f t="shared" ref="Y25" si="5">K25</f>
        <v>0</v>
      </c>
      <c r="Z25" s="96">
        <f t="shared" ref="Z25" si="6">L25+Y25*0.3</f>
        <v>0</v>
      </c>
      <c r="AA25" s="97" t="e">
        <f t="shared" ref="AA25:AA31" si="7">VLOOKUP(Y$23,$K$3:$S$17,HLOOKUP(VLOOKUP(B25,B:H,7,0),$3:$4,2,0),0)</f>
        <v>#N/A</v>
      </c>
      <c r="AB25" s="98">
        <f t="shared" ref="AB25" si="8">MIN(IFERROR(AA25*1000/(PI()*Y25),0),5000)</f>
        <v>0</v>
      </c>
      <c r="AC25" s="97">
        <f t="shared" ref="AC25" si="9">IF(K25&lt;15,0.05,0.1)</f>
        <v>0.05</v>
      </c>
      <c r="AD25" s="98">
        <f t="shared" ref="AD25" si="10">IFERROR((Z25+3)/(AB25*AC25/60),0)</f>
        <v>0</v>
      </c>
      <c r="AE25" s="98">
        <v>5</v>
      </c>
      <c r="AF25" s="99">
        <f t="shared" ref="AF25" si="11">AD25+AE25</f>
        <v>5</v>
      </c>
      <c r="AG25" s="90"/>
      <c r="AH25" s="146">
        <f t="shared" ref="AH25:AL25" si="12">K25</f>
        <v>0</v>
      </c>
      <c r="AI25" s="96">
        <f t="shared" si="12"/>
        <v>0</v>
      </c>
      <c r="AJ25" s="96">
        <f t="shared" si="12"/>
        <v>0</v>
      </c>
      <c r="AK25" s="96">
        <f t="shared" si="12"/>
        <v>0</v>
      </c>
      <c r="AL25" s="96">
        <f t="shared" si="12"/>
        <v>0</v>
      </c>
      <c r="AM25" s="97" t="e">
        <f t="shared" ref="AM25:AM31" si="13">VLOOKUP(AH$23,$K$3:$S$17,HLOOKUP(VLOOKUP(B25,B:H,7,0),$3:$4,2,0),0)</f>
        <v>#N/A</v>
      </c>
      <c r="AN25" s="98">
        <f t="shared" ref="AN25" si="14">MIN(IFERROR((AM25*1000/(PI()*AH25)),0),5000)</f>
        <v>0</v>
      </c>
      <c r="AO25" s="97">
        <f t="shared" ref="AO25" si="15">0.05*AL25</f>
        <v>0</v>
      </c>
      <c r="AP25" s="98">
        <f t="shared" ref="AP25" si="16">IFERROR(((AI25+(AH25+10)+IF(AJ25&lt;AH25,0,((CEILING(AJ25/AH25,1)-1)*AI25)+((CEILING(AJ25/AH25,1)-1)*AH25)))/(AO25*AN25/60)),0)*AK25</f>
        <v>0</v>
      </c>
      <c r="AQ25" s="96">
        <v>5</v>
      </c>
      <c r="AR25" s="101">
        <f t="shared" ref="AR25" si="17">AP25+AQ25</f>
        <v>5</v>
      </c>
      <c r="AS25" s="90"/>
      <c r="AT25" s="146">
        <f t="shared" ref="AT25:AX25" si="18">K25</f>
        <v>0</v>
      </c>
      <c r="AU25" s="100">
        <f t="shared" si="18"/>
        <v>0</v>
      </c>
      <c r="AV25" s="100">
        <f t="shared" si="18"/>
        <v>0</v>
      </c>
      <c r="AW25" s="96">
        <f t="shared" si="18"/>
        <v>0</v>
      </c>
      <c r="AX25" s="96">
        <f t="shared" si="18"/>
        <v>0</v>
      </c>
      <c r="AY25" s="97" t="e">
        <f t="shared" ref="AY25:AY31" si="19">VLOOKUP(AT$23,$K$3:$S$17,HLOOKUP(VLOOKUP(B25,B:H,7,0),$3:$4,2,0),0)</f>
        <v>#N/A</v>
      </c>
      <c r="AZ25" s="98">
        <f t="shared" ref="AZ25" si="20">MIN(IFERROR((AY25*1000/(PI()*AT25)),0),5000)</f>
        <v>0</v>
      </c>
      <c r="BA25" s="97">
        <f t="shared" ref="BA25" si="21">0.03*AX25</f>
        <v>0</v>
      </c>
      <c r="BB25" s="98">
        <f t="shared" ref="BB25" si="22">IFERROR(((AU25+(AT25+10)+IF(AV25&lt;AT25,0,((CEILING(AV25/AT25,1)-1)*AU25)+((CEILING(AV25/AT25,1)-1)*AT25)))/(BA25*AZ25/60)),0)*AW25</f>
        <v>0</v>
      </c>
      <c r="BC25" s="96">
        <v>5</v>
      </c>
      <c r="BD25" s="101">
        <f t="shared" ref="BD25" si="23">BB25+BC25</f>
        <v>5</v>
      </c>
      <c r="BE25" s="90"/>
      <c r="BF25" s="96">
        <f t="shared" ref="BF25:BG25" si="24">K25</f>
        <v>0</v>
      </c>
      <c r="BG25" s="96">
        <f t="shared" si="24"/>
        <v>0</v>
      </c>
      <c r="BH25" s="96">
        <f t="shared" ref="BH25" si="25">N25</f>
        <v>0</v>
      </c>
      <c r="BI25" s="97" t="e">
        <f t="shared" ref="BI25:BI31" si="26">VLOOKUP(BF$23,$K$3:$S$17,HLOOKUP(VLOOKUP(B25,B:H,7,0),$3:$4,2,0),0)</f>
        <v>#N/A</v>
      </c>
      <c r="BJ25" s="98">
        <f t="shared" ref="BJ25" si="27">MIN(IFERROR(BI25*1000/(PI()*BF25),0),5000)</f>
        <v>0</v>
      </c>
      <c r="BK25" s="97">
        <v>0.1</v>
      </c>
      <c r="BL25" s="98">
        <f t="shared" ref="BL25" si="28">IFERROR((BG25+3)/(BJ25*BK25/60),0)*BH25</f>
        <v>0</v>
      </c>
      <c r="BM25" s="96">
        <v>2</v>
      </c>
      <c r="BN25" s="101">
        <f t="shared" ref="BN25" si="29">BL25+BM25</f>
        <v>2</v>
      </c>
      <c r="BO25" s="90"/>
      <c r="BP25" s="97">
        <f t="shared" ref="BP25:BQ25" si="30">K25</f>
        <v>0</v>
      </c>
      <c r="BQ25" s="97">
        <f t="shared" si="30"/>
        <v>0</v>
      </c>
      <c r="BR25" s="96">
        <f>P25</f>
        <v>0</v>
      </c>
      <c r="BS25" s="97" t="e">
        <f t="shared" ref="BS25:BS31" si="31">VLOOKUP(BP$23,$K$3:$S$17,HLOOKUP(VLOOKUP(B25,B:H,7,0),$3:$4,2,0),0)</f>
        <v>#N/A</v>
      </c>
      <c r="BT25" s="98">
        <f t="shared" ref="BT25" si="32">MIN(IFERROR(BS25*1000/(PI()*BP25),0),400)</f>
        <v>0</v>
      </c>
      <c r="BU25" s="98">
        <f t="shared" ref="BU25" si="33">IFERROR((BQ25+3)/(BT25*BR25/60),0)*2</f>
        <v>0</v>
      </c>
      <c r="BV25" s="96">
        <v>5</v>
      </c>
      <c r="BW25" s="101">
        <f t="shared" ref="BW25" si="34">BU25+BV25</f>
        <v>5</v>
      </c>
      <c r="BX25" s="90"/>
      <c r="BY25" s="96">
        <f t="shared" ref="BY25:BZ25" si="35">K25</f>
        <v>0</v>
      </c>
      <c r="BZ25" s="96">
        <f t="shared" si="35"/>
        <v>0</v>
      </c>
      <c r="CA25" s="96">
        <f t="shared" ref="CA25" si="36">N25</f>
        <v>0</v>
      </c>
      <c r="CB25" s="97" t="e">
        <f t="shared" ref="CB25:CB31" si="37">VLOOKUP(BY$23,$K$3:$S$17,HLOOKUP(VLOOKUP(B25,B:H,7,0),$3:$4,2,0),0)</f>
        <v>#N/A</v>
      </c>
      <c r="CC25" s="98">
        <f t="shared" ref="CC25" si="38">MIN(IFERROR(CB25*1000/(PI()*BY25),0),5000)</f>
        <v>0</v>
      </c>
      <c r="CD25" s="97">
        <v>0.05</v>
      </c>
      <c r="CE25" s="98">
        <f t="shared" ref="CE25" si="39">IFERROR((BZ25+3)/(CC25*CD25/60),0)*CA25</f>
        <v>0</v>
      </c>
      <c r="CF25" s="96">
        <v>5</v>
      </c>
      <c r="CG25" s="101">
        <f t="shared" ref="CG25" si="40">CE25+CF25</f>
        <v>5</v>
      </c>
      <c r="CH25" s="90"/>
      <c r="CI25" s="96">
        <f t="shared" ref="CI25:CJ25" si="41">K25</f>
        <v>0</v>
      </c>
      <c r="CJ25" s="96">
        <f t="shared" si="41"/>
        <v>0</v>
      </c>
      <c r="CK25" s="96">
        <f t="shared" ref="CK25" si="42">R25</f>
        <v>0</v>
      </c>
      <c r="CL25" s="97" t="e">
        <f t="shared" ref="CL25:CL31" si="43">VLOOKUP(CI$23,$K$3:$S$17,HLOOKUP(VLOOKUP(B25,B:H,7,0),$3:$4,2,0),0)</f>
        <v>#N/A</v>
      </c>
      <c r="CM25" s="98">
        <f>MIN(IFERROR(CL25*1000/(PI()*CP25),0),5000)</f>
        <v>0</v>
      </c>
      <c r="CN25" s="97">
        <f t="shared" ref="CN25" si="44">Q25</f>
        <v>0</v>
      </c>
      <c r="CO25" s="97">
        <f t="shared" ref="CO25" si="45">S25</f>
        <v>0</v>
      </c>
      <c r="CP25" s="97">
        <f>9.7903*CO25+41.578</f>
        <v>41.578000000000003</v>
      </c>
      <c r="CQ25" s="97">
        <v>1.5</v>
      </c>
      <c r="CR25" s="98">
        <f>IFERROR((((SQRT((CP25*CK25-CK25^2))+CJ25+5)*CN25)/(CM25*CQ25))*60,0)</f>
        <v>0</v>
      </c>
      <c r="CS25" s="96">
        <v>5</v>
      </c>
      <c r="CT25" s="101">
        <f t="shared" ref="CT25" si="46">CR25+CS25</f>
        <v>5</v>
      </c>
      <c r="CU25" s="90"/>
      <c r="CV25" s="96">
        <f t="shared" ref="CV25:CW25" si="47">K25</f>
        <v>0</v>
      </c>
      <c r="CW25" s="96">
        <f t="shared" si="47"/>
        <v>0</v>
      </c>
      <c r="CX25" s="97">
        <f t="shared" ref="CX25" si="48">R25</f>
        <v>0</v>
      </c>
      <c r="CY25" s="97" t="e">
        <f t="shared" ref="CY25:CY31" si="49">VLOOKUP(CV$23,$K$3:$S$17,HLOOKUP(VLOOKUP(B25,B:H,7,0),$3:$4,2,0),0)</f>
        <v>#N/A</v>
      </c>
      <c r="CZ25" s="98">
        <f t="shared" ref="CZ25" si="50">MIN(IFERROR(CY25*1000/(PI()*DA25),0),5000)</f>
        <v>0</v>
      </c>
      <c r="DA25" s="98">
        <v>300</v>
      </c>
      <c r="DB25" s="97">
        <f t="shared" ref="DB25" si="51">Q25</f>
        <v>0</v>
      </c>
      <c r="DC25" s="97">
        <v>0.4</v>
      </c>
      <c r="DD25" s="98">
        <f t="shared" ref="DD25" si="52">IFERROR((((SQRT((DA25*CX25-CX25^2))+CW25+5)*DB25)/(DC25*CZ25))*60,0)</f>
        <v>0</v>
      </c>
      <c r="DE25" s="96">
        <v>5</v>
      </c>
      <c r="DF25" s="101">
        <f t="shared" ref="DF25" si="53">DD25+DE25</f>
        <v>5</v>
      </c>
      <c r="DG25" s="90"/>
      <c r="DH25" s="96">
        <f>K25</f>
        <v>0</v>
      </c>
      <c r="DI25" s="96">
        <f>L25</f>
        <v>0</v>
      </c>
      <c r="DJ25" s="96">
        <v>12</v>
      </c>
      <c r="DK25" s="96">
        <v>30</v>
      </c>
      <c r="DL25" s="97">
        <v>15</v>
      </c>
      <c r="DM25" s="98">
        <f t="shared" ref="DM25" si="54">MIN(IFERROR(DL25*1000/(PI()*DH25),0),5000)</f>
        <v>0</v>
      </c>
      <c r="DN25" s="98">
        <f>DK25/2</f>
        <v>15</v>
      </c>
      <c r="DO25" s="98">
        <f>IFERROR(((DI25+DK25)*2)/(DM25*DN25/60),0)*DJ25</f>
        <v>0</v>
      </c>
      <c r="DP25" s="96">
        <v>5</v>
      </c>
      <c r="DQ25" s="101">
        <f t="shared" ref="DQ25" si="55">DO25+DP25</f>
        <v>5</v>
      </c>
      <c r="DR25" s="90"/>
      <c r="DS25" s="147">
        <f>K25</f>
        <v>0</v>
      </c>
      <c r="DT25" s="147">
        <f>L25</f>
        <v>0</v>
      </c>
      <c r="DU25" s="96">
        <v>12</v>
      </c>
      <c r="DV25" s="96">
        <v>30</v>
      </c>
      <c r="DW25" s="97">
        <v>15</v>
      </c>
      <c r="DX25" s="98">
        <f t="shared" ref="DX25" si="56">MIN(IFERROR(DW25*1000/(PI()*DS25),0),5000)</f>
        <v>0</v>
      </c>
      <c r="DY25" s="98">
        <f>DV25/2</f>
        <v>15</v>
      </c>
      <c r="DZ25" s="98">
        <f>IFERROR(((DT25+DV25)*2)/(DX25*DY25/60),0)*DU25</f>
        <v>0</v>
      </c>
      <c r="EA25" s="96">
        <v>5</v>
      </c>
      <c r="EB25" s="101">
        <f t="shared" ref="EB25" si="57">DZ25+EA25</f>
        <v>5</v>
      </c>
      <c r="EC25" s="101"/>
      <c r="ED25" s="90"/>
      <c r="EE25" s="147">
        <f>L25</f>
        <v>0</v>
      </c>
      <c r="EF25" s="147">
        <f>M25</f>
        <v>0</v>
      </c>
      <c r="EG25" s="96">
        <v>30</v>
      </c>
      <c r="EH25" s="95">
        <f>(EE25+30)/500*CEILING((EF25+EG25+3)/(EG25/6),INT(EG25/6))*4+(EE25+30)/500*CEILING((EF25+EG25+3)/(EG25/10),INT(EG25/10))</f>
        <v>3.12</v>
      </c>
      <c r="EI25" s="96">
        <v>3</v>
      </c>
      <c r="EJ25" s="101">
        <f t="shared" ref="EJ25" si="58">EH25+EI25</f>
        <v>6.12</v>
      </c>
      <c r="EK25" s="101"/>
      <c r="EL25" s="67"/>
      <c r="EM25" s="67"/>
      <c r="EN25" s="67"/>
      <c r="EO25" s="67"/>
      <c r="EP25" s="67"/>
      <c r="EQ25" s="67"/>
      <c r="ER25" s="67"/>
      <c r="ES25" s="67"/>
      <c r="ET25" s="67"/>
      <c r="EV25" s="67"/>
      <c r="EW25" s="67"/>
      <c r="EX25" s="67"/>
      <c r="EY25" s="67"/>
      <c r="EZ25" s="67"/>
      <c r="FA25" s="67"/>
      <c r="FB25" s="67"/>
      <c r="FC25" s="67"/>
      <c r="FD25" s="67"/>
      <c r="FE25" s="67"/>
      <c r="FG25" s="67"/>
      <c r="FH25" s="67"/>
      <c r="FI25" s="67"/>
      <c r="FJ25" s="67"/>
      <c r="FK25" s="67"/>
      <c r="FL25" s="67"/>
      <c r="FM25" s="67"/>
      <c r="FN25" s="67"/>
      <c r="FO25" s="67"/>
      <c r="FP25" s="67"/>
      <c r="FR25" s="67"/>
      <c r="FS25" s="67"/>
      <c r="FT25" s="67"/>
      <c r="FV25" s="67"/>
      <c r="FW25" s="67"/>
      <c r="FX25" s="67"/>
      <c r="FY25" s="67"/>
      <c r="FZ25" s="67"/>
      <c r="GA25" s="67"/>
      <c r="GB25" s="67"/>
      <c r="GD25" s="67"/>
      <c r="GE25" s="67"/>
      <c r="GF25" s="67"/>
      <c r="GG25" s="67"/>
      <c r="GH25" s="67"/>
      <c r="GI25" s="67"/>
      <c r="GJ25" s="67"/>
      <c r="GK25" s="67"/>
      <c r="GL25" s="67"/>
      <c r="GM25" s="67"/>
      <c r="GO25" s="67"/>
      <c r="GP25" s="67"/>
      <c r="GQ25" s="67"/>
      <c r="GR25" s="67"/>
      <c r="GS25" s="67"/>
      <c r="GT25" s="67"/>
      <c r="GU25" s="67"/>
      <c r="GV25" s="67"/>
      <c r="GW25" s="67"/>
      <c r="GX25" s="67"/>
      <c r="GZ25" s="67"/>
      <c r="HA25" s="67"/>
      <c r="HB25" s="67"/>
      <c r="HD25" s="67"/>
      <c r="HE25" s="67"/>
      <c r="HF25" s="67"/>
      <c r="HG25" s="67"/>
      <c r="HH25" s="67"/>
      <c r="HI25" s="67"/>
      <c r="HJ25" s="67"/>
      <c r="HL25" s="67"/>
      <c r="HM25" s="67"/>
      <c r="HN25" s="67"/>
      <c r="HO25" s="67"/>
      <c r="HP25" s="67"/>
      <c r="HQ25" s="67"/>
      <c r="HR25" s="67"/>
      <c r="HS25" s="67"/>
      <c r="HT25" s="67"/>
      <c r="HU25" s="67"/>
      <c r="HW25" s="67"/>
      <c r="HX25" s="67"/>
      <c r="HY25" s="67"/>
      <c r="HZ25" s="67"/>
      <c r="IA25" s="67"/>
      <c r="IB25" s="67"/>
      <c r="IC25" s="67"/>
      <c r="ID25" s="67"/>
      <c r="IE25" s="67"/>
      <c r="IF25" s="67"/>
      <c r="IH25" s="67"/>
      <c r="II25" s="67"/>
      <c r="IJ25" s="67"/>
    </row>
    <row r="26" spans="1:251">
      <c r="B26" s="71">
        <f>B25</f>
        <v>0</v>
      </c>
      <c r="C26" s="71" t="str">
        <f>_xlfn.IFNA(VLOOKUP(B26,BOM!$D$1:$H$10000,5,0),"")</f>
        <v/>
      </c>
      <c r="D26" s="637"/>
      <c r="E26" s="4"/>
      <c r="F26" s="89"/>
      <c r="G26" s="90"/>
      <c r="H26" s="252"/>
      <c r="I26" s="89"/>
      <c r="J26" s="91"/>
      <c r="K26" s="91"/>
      <c r="L26" s="251"/>
      <c r="M26" s="91"/>
      <c r="N26" s="91"/>
      <c r="O26" s="91"/>
      <c r="P26" s="91"/>
      <c r="Q26" s="91"/>
      <c r="R26" s="91"/>
      <c r="S26" s="91"/>
      <c r="T26" s="93">
        <f t="shared" si="2"/>
        <v>0</v>
      </c>
      <c r="U26" s="94">
        <f t="shared" ref="U26:U28" si="59">I26/3600*T26</f>
        <v>0</v>
      </c>
      <c r="V26" s="95">
        <f t="shared" ref="V26:V28" si="60">U26*F26</f>
        <v>0</v>
      </c>
      <c r="W26" s="677"/>
      <c r="X26" s="90"/>
      <c r="Y26" s="96">
        <f t="shared" ref="Y26:Y31" si="61">K26</f>
        <v>0</v>
      </c>
      <c r="Z26" s="96">
        <f t="shared" ref="Z26:Z31" si="62">L26+Y26*0.3</f>
        <v>0</v>
      </c>
      <c r="AA26" s="97" t="e">
        <f t="shared" si="7"/>
        <v>#N/A</v>
      </c>
      <c r="AB26" s="98">
        <f t="shared" ref="AB26:AB31" si="63">MIN(IFERROR(AA26*1000/(PI()*Y26),0),5000)</f>
        <v>0</v>
      </c>
      <c r="AC26" s="97">
        <f t="shared" ref="AC26:AC31" si="64">IF(K26&lt;15,0.05,0.1)</f>
        <v>0.05</v>
      </c>
      <c r="AD26" s="98">
        <f t="shared" ref="AD26:AD31" si="65">IFERROR((Z26+3)/(AB26*AC26/60),0)</f>
        <v>0</v>
      </c>
      <c r="AE26" s="98">
        <v>5</v>
      </c>
      <c r="AF26" s="99">
        <f t="shared" ref="AF26:AF31" si="66">AD26+AE26</f>
        <v>5</v>
      </c>
      <c r="AG26" s="90"/>
      <c r="AH26" s="146">
        <f t="shared" ref="AH26:AH31" si="67">K26</f>
        <v>0</v>
      </c>
      <c r="AI26" s="96">
        <f t="shared" ref="AI26:AI31" si="68">L26</f>
        <v>0</v>
      </c>
      <c r="AJ26" s="96">
        <f t="shared" ref="AJ26:AJ31" si="69">M26</f>
        <v>0</v>
      </c>
      <c r="AK26" s="96">
        <f t="shared" ref="AK26:AK31" si="70">N26</f>
        <v>0</v>
      </c>
      <c r="AL26" s="96">
        <f t="shared" ref="AL26:AL31" si="71">O26</f>
        <v>0</v>
      </c>
      <c r="AM26" s="97" t="e">
        <f t="shared" si="13"/>
        <v>#N/A</v>
      </c>
      <c r="AN26" s="98">
        <f t="shared" ref="AN26:AN31" si="72">MIN(IFERROR((AM26*1000/(PI()*AH26)),0),5000)</f>
        <v>0</v>
      </c>
      <c r="AO26" s="97">
        <f t="shared" ref="AO26:AO31" si="73">0.05*AL26</f>
        <v>0</v>
      </c>
      <c r="AP26" s="98">
        <f t="shared" ref="AP26:AP31" si="74">IFERROR(((AI26+(AH26+10)+IF(AJ26&lt;AH26,0,((CEILING(AJ26/AH26,1)-1)*AI26)+((CEILING(AJ26/AH26,1)-1)*AH26)))/(AO26*AN26/60)),0)*AK26</f>
        <v>0</v>
      </c>
      <c r="AQ26" s="96">
        <v>5</v>
      </c>
      <c r="AR26" s="101">
        <f t="shared" ref="AR26:AR31" si="75">AP26+AQ26</f>
        <v>5</v>
      </c>
      <c r="AS26" s="90"/>
      <c r="AT26" s="146">
        <f t="shared" ref="AT26:AT31" si="76">K26</f>
        <v>0</v>
      </c>
      <c r="AU26" s="100">
        <f t="shared" ref="AU26:AU31" si="77">L26</f>
        <v>0</v>
      </c>
      <c r="AV26" s="100">
        <f t="shared" ref="AV26:AV31" si="78">M26</f>
        <v>0</v>
      </c>
      <c r="AW26" s="96">
        <f t="shared" ref="AW26:AW31" si="79">N26</f>
        <v>0</v>
      </c>
      <c r="AX26" s="96">
        <f t="shared" ref="AX26:AX31" si="80">O26</f>
        <v>0</v>
      </c>
      <c r="AY26" s="97" t="e">
        <f t="shared" si="19"/>
        <v>#N/A</v>
      </c>
      <c r="AZ26" s="98">
        <f t="shared" ref="AZ26:AZ31" si="81">MIN(IFERROR((AY26*1000/(PI()*AT26)),0),5000)</f>
        <v>0</v>
      </c>
      <c r="BA26" s="97">
        <f t="shared" ref="BA26:BA31" si="82">0.03*AX26</f>
        <v>0</v>
      </c>
      <c r="BB26" s="98">
        <f t="shared" ref="BB26:BB31" si="83">IFERROR(((AU26+(AT26+10)+IF(AV26&lt;AT26,0,((CEILING(AV26/AT26,1)-1)*AU26)+((CEILING(AV26/AT26,1)-1)*AT26)))/(BA26*AZ26/60)),0)*AW26</f>
        <v>0</v>
      </c>
      <c r="BC26" s="96">
        <v>5</v>
      </c>
      <c r="BD26" s="101">
        <f t="shared" ref="BD26:BD31" si="84">BB26+BC26</f>
        <v>5</v>
      </c>
      <c r="BE26" s="90"/>
      <c r="BF26" s="96">
        <f t="shared" ref="BF26:BF31" si="85">K26</f>
        <v>0</v>
      </c>
      <c r="BG26" s="96">
        <f t="shared" ref="BG26:BG31" si="86">L26</f>
        <v>0</v>
      </c>
      <c r="BH26" s="96">
        <f t="shared" ref="BH26:BH31" si="87">N26</f>
        <v>0</v>
      </c>
      <c r="BI26" s="97" t="e">
        <f t="shared" si="26"/>
        <v>#N/A</v>
      </c>
      <c r="BJ26" s="98">
        <f t="shared" ref="BJ26:BJ31" si="88">MIN(IFERROR(BI26*1000/(PI()*BF26),0),5000)</f>
        <v>0</v>
      </c>
      <c r="BK26" s="97">
        <v>0.1</v>
      </c>
      <c r="BL26" s="98">
        <f t="shared" ref="BL26:BL31" si="89">IFERROR((BG26+3)/(BJ26*BK26/60),0)*BH26</f>
        <v>0</v>
      </c>
      <c r="BM26" s="96">
        <v>2</v>
      </c>
      <c r="BN26" s="101">
        <f t="shared" ref="BN26:BN31" si="90">BL26+BM26</f>
        <v>2</v>
      </c>
      <c r="BO26" s="90"/>
      <c r="BP26" s="97">
        <f t="shared" ref="BP26:BP31" si="91">K26</f>
        <v>0</v>
      </c>
      <c r="BQ26" s="97">
        <f t="shared" ref="BQ26:BQ31" si="92">L26</f>
        <v>0</v>
      </c>
      <c r="BR26" s="96">
        <f t="shared" ref="BR26:BR31" si="93">P26</f>
        <v>0</v>
      </c>
      <c r="BS26" s="97" t="e">
        <f t="shared" si="31"/>
        <v>#N/A</v>
      </c>
      <c r="BT26" s="98">
        <f t="shared" ref="BT26:BT31" si="94">MIN(IFERROR(BS26*1000/(PI()*BP26),0),400)</f>
        <v>0</v>
      </c>
      <c r="BU26" s="98">
        <f t="shared" ref="BU26:BU31" si="95">IFERROR((BQ26+3)/(BT26*BR26/60),0)*2</f>
        <v>0</v>
      </c>
      <c r="BV26" s="96">
        <v>5</v>
      </c>
      <c r="BW26" s="101">
        <f t="shared" ref="BW26:BW31" si="96">BU26+BV26</f>
        <v>5</v>
      </c>
      <c r="BX26" s="90"/>
      <c r="BY26" s="96">
        <f t="shared" ref="BY26:BY31" si="97">K26</f>
        <v>0</v>
      </c>
      <c r="BZ26" s="96">
        <f t="shared" ref="BZ26:BZ31" si="98">L26</f>
        <v>0</v>
      </c>
      <c r="CA26" s="96">
        <f t="shared" ref="CA26:CA31" si="99">N26</f>
        <v>0</v>
      </c>
      <c r="CB26" s="97" t="e">
        <f t="shared" si="37"/>
        <v>#N/A</v>
      </c>
      <c r="CC26" s="98">
        <f t="shared" ref="CC26:CC31" si="100">MIN(IFERROR(CB26*1000/(PI()*BY26),0),5000)</f>
        <v>0</v>
      </c>
      <c r="CD26" s="97">
        <v>0.05</v>
      </c>
      <c r="CE26" s="98">
        <f t="shared" ref="CE26:CE31" si="101">IFERROR((BZ26+3)/(CC26*CD26/60),0)*CA26</f>
        <v>0</v>
      </c>
      <c r="CF26" s="96">
        <v>5</v>
      </c>
      <c r="CG26" s="101">
        <f t="shared" ref="CG26:CG31" si="102">CE26+CF26</f>
        <v>5</v>
      </c>
      <c r="CH26" s="90"/>
      <c r="CI26" s="96">
        <f t="shared" ref="CI26:CI31" si="103">K26</f>
        <v>0</v>
      </c>
      <c r="CJ26" s="96">
        <f t="shared" ref="CJ26:CJ31" si="104">L26</f>
        <v>0</v>
      </c>
      <c r="CK26" s="96">
        <f t="shared" ref="CK26:CK31" si="105">R26</f>
        <v>0</v>
      </c>
      <c r="CL26" s="97" t="e">
        <f t="shared" si="43"/>
        <v>#N/A</v>
      </c>
      <c r="CM26" s="98">
        <f t="shared" ref="CM26:CM31" si="106">MIN(IFERROR(CL26*1000/(PI()*CP26),0),5000)</f>
        <v>0</v>
      </c>
      <c r="CN26" s="97">
        <f t="shared" ref="CN26:CN31" si="107">Q26</f>
        <v>0</v>
      </c>
      <c r="CO26" s="97">
        <f t="shared" ref="CO26:CO31" si="108">S26</f>
        <v>0</v>
      </c>
      <c r="CP26" s="97">
        <f t="shared" ref="CP26:CP31" si="109">9.7903*CO26+41.578</f>
        <v>41.578000000000003</v>
      </c>
      <c r="CQ26" s="97">
        <v>1.5</v>
      </c>
      <c r="CR26" s="98">
        <f t="shared" ref="CR26:CR31" si="110">IFERROR((((SQRT((CP26*CK26-CK26^2))+CJ26+5)*CN26)/(CM26*CQ26))*60,0)</f>
        <v>0</v>
      </c>
      <c r="CS26" s="96">
        <v>5</v>
      </c>
      <c r="CT26" s="101">
        <f t="shared" ref="CT26:CT31" si="111">CR26+CS26</f>
        <v>5</v>
      </c>
      <c r="CU26" s="90"/>
      <c r="CV26" s="96">
        <f t="shared" ref="CV26:CV31" si="112">K26</f>
        <v>0</v>
      </c>
      <c r="CW26" s="96">
        <f t="shared" ref="CW26:CW31" si="113">L26</f>
        <v>0</v>
      </c>
      <c r="CX26" s="97">
        <f t="shared" ref="CX26:CX31" si="114">R26</f>
        <v>0</v>
      </c>
      <c r="CY26" s="97" t="e">
        <f t="shared" si="49"/>
        <v>#N/A</v>
      </c>
      <c r="CZ26" s="98">
        <f t="shared" ref="CZ26:CZ31" si="115">MIN(IFERROR(CY26*1000/(PI()*DA26),0),5000)</f>
        <v>0</v>
      </c>
      <c r="DA26" s="98">
        <v>300</v>
      </c>
      <c r="DB26" s="97">
        <f t="shared" ref="DB26:DB31" si="116">Q26</f>
        <v>0</v>
      </c>
      <c r="DC26" s="97">
        <v>0.4</v>
      </c>
      <c r="DD26" s="98">
        <f t="shared" ref="DD26:DD31" si="117">IFERROR((((SQRT((DA26*CX26-CX26^2))+CW26+5)*DB26)/(DC26*CZ26))*60,0)</f>
        <v>0</v>
      </c>
      <c r="DE26" s="96">
        <v>5</v>
      </c>
      <c r="DF26" s="101">
        <f t="shared" ref="DF26:DF31" si="118">DD26+DE26</f>
        <v>5</v>
      </c>
      <c r="DG26" s="90"/>
      <c r="DH26" s="96">
        <f t="shared" ref="DH26:DH31" si="119">K26</f>
        <v>0</v>
      </c>
      <c r="DI26" s="96">
        <f t="shared" ref="DI26:DI31" si="120">L26</f>
        <v>0</v>
      </c>
      <c r="DJ26" s="96">
        <v>12</v>
      </c>
      <c r="DK26" s="96">
        <v>30</v>
      </c>
      <c r="DL26" s="97">
        <v>15</v>
      </c>
      <c r="DM26" s="98">
        <f t="shared" ref="DM26:DM31" si="121">MIN(IFERROR(DL26*1000/(PI()*DH26),0),5000)</f>
        <v>0</v>
      </c>
      <c r="DN26" s="98">
        <f t="shared" ref="DN26:DN31" si="122">DK26/2</f>
        <v>15</v>
      </c>
      <c r="DO26" s="98">
        <f t="shared" ref="DO26:DO31" si="123">IFERROR(((DI26+DK26)*2)/(DM26*DN26/60),0)*DJ26</f>
        <v>0</v>
      </c>
      <c r="DP26" s="96">
        <v>5</v>
      </c>
      <c r="DQ26" s="101">
        <f t="shared" ref="DQ26:DQ31" si="124">DO26+DP26</f>
        <v>5</v>
      </c>
      <c r="DR26" s="90"/>
      <c r="DS26" s="147">
        <f t="shared" ref="DS26:DS31" si="125">K26</f>
        <v>0</v>
      </c>
      <c r="DT26" s="147">
        <f t="shared" ref="DT26:DT31" si="126">L26</f>
        <v>0</v>
      </c>
      <c r="DU26" s="96">
        <v>12</v>
      </c>
      <c r="DV26" s="96">
        <v>30</v>
      </c>
      <c r="DW26" s="97">
        <v>15</v>
      </c>
      <c r="DX26" s="98">
        <f t="shared" ref="DX26:DX31" si="127">MIN(IFERROR(DW26*1000/(PI()*DS26),0),5000)</f>
        <v>0</v>
      </c>
      <c r="DY26" s="98">
        <f t="shared" ref="DY26:DY31" si="128">DV26/2</f>
        <v>15</v>
      </c>
      <c r="DZ26" s="98">
        <f t="shared" ref="DZ26:DZ31" si="129">IFERROR(((DT26+DV26)*2)/(DX26*DY26/60),0)*DU26</f>
        <v>0</v>
      </c>
      <c r="EA26" s="96">
        <v>5</v>
      </c>
      <c r="EB26" s="101">
        <f t="shared" ref="EB26:EB31" si="130">DZ26+EA26</f>
        <v>5</v>
      </c>
      <c r="EC26" s="101"/>
      <c r="ED26" s="90"/>
      <c r="EE26" s="147">
        <f t="shared" ref="EE26:EE31" si="131">L26</f>
        <v>0</v>
      </c>
      <c r="EF26" s="147">
        <f t="shared" ref="EF26:EF31" si="132">M26</f>
        <v>0</v>
      </c>
      <c r="EG26" s="96">
        <v>30</v>
      </c>
      <c r="EH26" s="95">
        <f t="shared" ref="EH26:EH31" si="133">(EE26+30)/500*CEILING((EF26+EG26+3)/(EG26/6),INT(EG26/6))*4+(EE26+30)/500*CEILING((EF26+EG26+3)/(EG26/10),INT(EG26/10))</f>
        <v>3.12</v>
      </c>
      <c r="EI26" s="96">
        <v>3</v>
      </c>
      <c r="EJ26" s="101">
        <f t="shared" ref="EJ26:EJ31" si="134">EH26+EI26</f>
        <v>6.12</v>
      </c>
      <c r="EK26" s="101"/>
      <c r="EL26" s="67"/>
      <c r="EM26" s="67"/>
      <c r="EN26" s="67"/>
      <c r="EO26" s="67"/>
      <c r="EP26" s="67"/>
      <c r="EQ26" s="67"/>
      <c r="ER26" s="67"/>
      <c r="ES26" s="67"/>
      <c r="ET26" s="67"/>
      <c r="EV26" s="67"/>
      <c r="EW26" s="67"/>
      <c r="EX26" s="67"/>
      <c r="EY26" s="67"/>
      <c r="EZ26" s="67"/>
      <c r="FA26" s="67"/>
      <c r="FB26" s="67"/>
      <c r="FC26" s="67"/>
      <c r="FD26" s="67"/>
      <c r="FE26" s="67"/>
      <c r="FG26" s="67"/>
      <c r="FH26" s="67"/>
      <c r="FI26" s="67"/>
      <c r="FJ26" s="67"/>
      <c r="FK26" s="67"/>
      <c r="FL26" s="67"/>
      <c r="FM26" s="67"/>
      <c r="FN26" s="67"/>
      <c r="FO26" s="67"/>
      <c r="FP26" s="67"/>
      <c r="FR26" s="67"/>
      <c r="FS26" s="67"/>
      <c r="FT26" s="67"/>
      <c r="FV26" s="67"/>
      <c r="FW26" s="67"/>
      <c r="FX26" s="67"/>
      <c r="FY26" s="67"/>
      <c r="FZ26" s="67"/>
      <c r="GA26" s="67"/>
      <c r="GB26" s="67"/>
      <c r="GD26" s="67"/>
      <c r="GE26" s="67"/>
      <c r="GF26" s="67"/>
      <c r="GG26" s="67"/>
      <c r="GH26" s="67"/>
      <c r="GI26" s="67"/>
      <c r="GJ26" s="67"/>
      <c r="GK26" s="67"/>
      <c r="GL26" s="67"/>
      <c r="GM26" s="67"/>
      <c r="GO26" s="67"/>
      <c r="GP26" s="67"/>
      <c r="GQ26" s="67"/>
      <c r="GR26" s="67"/>
      <c r="GS26" s="67"/>
      <c r="GT26" s="67"/>
      <c r="GU26" s="67"/>
      <c r="GV26" s="67"/>
      <c r="GW26" s="67"/>
      <c r="GX26" s="67"/>
      <c r="GZ26" s="67"/>
      <c r="HA26" s="67"/>
      <c r="HB26" s="67"/>
      <c r="HD26" s="67"/>
      <c r="HE26" s="67"/>
      <c r="HF26" s="67"/>
      <c r="HG26" s="67"/>
      <c r="HH26" s="67"/>
      <c r="HI26" s="67"/>
      <c r="HJ26" s="67"/>
      <c r="HL26" s="67"/>
      <c r="HM26" s="67"/>
      <c r="HN26" s="67"/>
      <c r="HO26" s="67"/>
      <c r="HP26" s="67"/>
      <c r="HQ26" s="67"/>
      <c r="HR26" s="67"/>
      <c r="HS26" s="67"/>
      <c r="HT26" s="67"/>
      <c r="HU26" s="67"/>
      <c r="HW26" s="67"/>
      <c r="HX26" s="67"/>
      <c r="HY26" s="67"/>
      <c r="HZ26" s="67"/>
      <c r="IA26" s="67"/>
      <c r="IB26" s="67"/>
      <c r="IC26" s="67"/>
      <c r="ID26" s="67"/>
      <c r="IE26" s="67"/>
      <c r="IF26" s="67"/>
      <c r="IH26" s="67"/>
      <c r="II26" s="67"/>
      <c r="IJ26" s="67"/>
    </row>
    <row r="27" spans="1:251">
      <c r="B27" s="71">
        <f t="shared" ref="B27:B28" si="135">B26</f>
        <v>0</v>
      </c>
      <c r="C27" s="71" t="str">
        <f>_xlfn.IFNA(VLOOKUP(B27,BOM!$D$1:$H$10000,5,0),"")</f>
        <v/>
      </c>
      <c r="D27" s="637"/>
      <c r="E27" s="4"/>
      <c r="F27" s="89"/>
      <c r="G27" s="90"/>
      <c r="H27" s="252"/>
      <c r="I27" s="89"/>
      <c r="J27" s="91"/>
      <c r="K27" s="91"/>
      <c r="L27" s="251"/>
      <c r="M27" s="91"/>
      <c r="N27" s="91"/>
      <c r="O27" s="91"/>
      <c r="P27" s="91"/>
      <c r="Q27" s="91"/>
      <c r="R27" s="91"/>
      <c r="S27" s="91"/>
      <c r="T27" s="93">
        <f t="shared" si="2"/>
        <v>0</v>
      </c>
      <c r="U27" s="94">
        <f t="shared" si="59"/>
        <v>0</v>
      </c>
      <c r="V27" s="95">
        <f t="shared" si="60"/>
        <v>0</v>
      </c>
      <c r="W27" s="677"/>
      <c r="X27" s="90"/>
      <c r="Y27" s="96">
        <f t="shared" si="61"/>
        <v>0</v>
      </c>
      <c r="Z27" s="96">
        <f t="shared" si="62"/>
        <v>0</v>
      </c>
      <c r="AA27" s="97" t="e">
        <f t="shared" si="7"/>
        <v>#N/A</v>
      </c>
      <c r="AB27" s="98">
        <f t="shared" si="63"/>
        <v>0</v>
      </c>
      <c r="AC27" s="97">
        <f t="shared" si="64"/>
        <v>0.05</v>
      </c>
      <c r="AD27" s="98">
        <f t="shared" si="65"/>
        <v>0</v>
      </c>
      <c r="AE27" s="98">
        <v>5</v>
      </c>
      <c r="AF27" s="99">
        <f t="shared" si="66"/>
        <v>5</v>
      </c>
      <c r="AG27" s="90"/>
      <c r="AH27" s="146">
        <f t="shared" si="67"/>
        <v>0</v>
      </c>
      <c r="AI27" s="96">
        <f t="shared" si="68"/>
        <v>0</v>
      </c>
      <c r="AJ27" s="96">
        <f t="shared" si="69"/>
        <v>0</v>
      </c>
      <c r="AK27" s="96">
        <f t="shared" si="70"/>
        <v>0</v>
      </c>
      <c r="AL27" s="96">
        <f t="shared" si="71"/>
        <v>0</v>
      </c>
      <c r="AM27" s="97" t="e">
        <f t="shared" si="13"/>
        <v>#N/A</v>
      </c>
      <c r="AN27" s="98">
        <f t="shared" si="72"/>
        <v>0</v>
      </c>
      <c r="AO27" s="97">
        <f t="shared" si="73"/>
        <v>0</v>
      </c>
      <c r="AP27" s="98">
        <f t="shared" si="74"/>
        <v>0</v>
      </c>
      <c r="AQ27" s="96">
        <v>5</v>
      </c>
      <c r="AR27" s="101">
        <f t="shared" si="75"/>
        <v>5</v>
      </c>
      <c r="AS27" s="90"/>
      <c r="AT27" s="146">
        <f t="shared" si="76"/>
        <v>0</v>
      </c>
      <c r="AU27" s="100">
        <f t="shared" si="77"/>
        <v>0</v>
      </c>
      <c r="AV27" s="100">
        <f t="shared" si="78"/>
        <v>0</v>
      </c>
      <c r="AW27" s="96">
        <f t="shared" si="79"/>
        <v>0</v>
      </c>
      <c r="AX27" s="96">
        <f t="shared" si="80"/>
        <v>0</v>
      </c>
      <c r="AY27" s="97" t="e">
        <f t="shared" si="19"/>
        <v>#N/A</v>
      </c>
      <c r="AZ27" s="98">
        <f t="shared" si="81"/>
        <v>0</v>
      </c>
      <c r="BA27" s="97">
        <f t="shared" si="82"/>
        <v>0</v>
      </c>
      <c r="BB27" s="98">
        <f t="shared" si="83"/>
        <v>0</v>
      </c>
      <c r="BC27" s="96">
        <v>5</v>
      </c>
      <c r="BD27" s="101">
        <f t="shared" si="84"/>
        <v>5</v>
      </c>
      <c r="BE27" s="90"/>
      <c r="BF27" s="96">
        <f t="shared" si="85"/>
        <v>0</v>
      </c>
      <c r="BG27" s="96">
        <f t="shared" si="86"/>
        <v>0</v>
      </c>
      <c r="BH27" s="96">
        <f t="shared" si="87"/>
        <v>0</v>
      </c>
      <c r="BI27" s="97" t="e">
        <f t="shared" si="26"/>
        <v>#N/A</v>
      </c>
      <c r="BJ27" s="98">
        <f t="shared" si="88"/>
        <v>0</v>
      </c>
      <c r="BK27" s="97">
        <v>0.1</v>
      </c>
      <c r="BL27" s="98">
        <f t="shared" si="89"/>
        <v>0</v>
      </c>
      <c r="BM27" s="96">
        <v>2</v>
      </c>
      <c r="BN27" s="101">
        <f t="shared" si="90"/>
        <v>2</v>
      </c>
      <c r="BO27" s="90"/>
      <c r="BP27" s="97">
        <f t="shared" si="91"/>
        <v>0</v>
      </c>
      <c r="BQ27" s="97">
        <f t="shared" si="92"/>
        <v>0</v>
      </c>
      <c r="BR27" s="96">
        <f t="shared" si="93"/>
        <v>0</v>
      </c>
      <c r="BS27" s="97" t="e">
        <f t="shared" si="31"/>
        <v>#N/A</v>
      </c>
      <c r="BT27" s="98">
        <f t="shared" si="94"/>
        <v>0</v>
      </c>
      <c r="BU27" s="98">
        <f t="shared" si="95"/>
        <v>0</v>
      </c>
      <c r="BV27" s="96">
        <v>5</v>
      </c>
      <c r="BW27" s="101">
        <f t="shared" si="96"/>
        <v>5</v>
      </c>
      <c r="BX27" s="90"/>
      <c r="BY27" s="96">
        <f t="shared" si="97"/>
        <v>0</v>
      </c>
      <c r="BZ27" s="96">
        <f t="shared" si="98"/>
        <v>0</v>
      </c>
      <c r="CA27" s="96">
        <f t="shared" si="99"/>
        <v>0</v>
      </c>
      <c r="CB27" s="97" t="e">
        <f t="shared" si="37"/>
        <v>#N/A</v>
      </c>
      <c r="CC27" s="98">
        <f t="shared" si="100"/>
        <v>0</v>
      </c>
      <c r="CD27" s="97">
        <v>0.05</v>
      </c>
      <c r="CE27" s="98">
        <f t="shared" si="101"/>
        <v>0</v>
      </c>
      <c r="CF27" s="96">
        <v>5</v>
      </c>
      <c r="CG27" s="101">
        <f t="shared" si="102"/>
        <v>5</v>
      </c>
      <c r="CH27" s="90"/>
      <c r="CI27" s="96">
        <f t="shared" si="103"/>
        <v>0</v>
      </c>
      <c r="CJ27" s="96">
        <f t="shared" si="104"/>
        <v>0</v>
      </c>
      <c r="CK27" s="96">
        <f t="shared" si="105"/>
        <v>0</v>
      </c>
      <c r="CL27" s="97" t="e">
        <f t="shared" si="43"/>
        <v>#N/A</v>
      </c>
      <c r="CM27" s="98">
        <f t="shared" si="106"/>
        <v>0</v>
      </c>
      <c r="CN27" s="97">
        <f t="shared" si="107"/>
        <v>0</v>
      </c>
      <c r="CO27" s="97">
        <f t="shared" si="108"/>
        <v>0</v>
      </c>
      <c r="CP27" s="97">
        <f t="shared" si="109"/>
        <v>41.578000000000003</v>
      </c>
      <c r="CQ27" s="97">
        <v>1.5</v>
      </c>
      <c r="CR27" s="98">
        <f t="shared" si="110"/>
        <v>0</v>
      </c>
      <c r="CS27" s="96">
        <v>5</v>
      </c>
      <c r="CT27" s="101">
        <f t="shared" si="111"/>
        <v>5</v>
      </c>
      <c r="CU27" s="90"/>
      <c r="CV27" s="96">
        <f t="shared" si="112"/>
        <v>0</v>
      </c>
      <c r="CW27" s="96">
        <f t="shared" si="113"/>
        <v>0</v>
      </c>
      <c r="CX27" s="97">
        <f t="shared" si="114"/>
        <v>0</v>
      </c>
      <c r="CY27" s="97" t="e">
        <f t="shared" si="49"/>
        <v>#N/A</v>
      </c>
      <c r="CZ27" s="98">
        <f t="shared" si="115"/>
        <v>0</v>
      </c>
      <c r="DA27" s="98">
        <v>300</v>
      </c>
      <c r="DB27" s="97">
        <f t="shared" si="116"/>
        <v>0</v>
      </c>
      <c r="DC27" s="97">
        <v>0.4</v>
      </c>
      <c r="DD27" s="98">
        <f t="shared" si="117"/>
        <v>0</v>
      </c>
      <c r="DE27" s="96">
        <v>5</v>
      </c>
      <c r="DF27" s="101">
        <f t="shared" si="118"/>
        <v>5</v>
      </c>
      <c r="DG27" s="90"/>
      <c r="DH27" s="96">
        <f t="shared" si="119"/>
        <v>0</v>
      </c>
      <c r="DI27" s="96">
        <f t="shared" si="120"/>
        <v>0</v>
      </c>
      <c r="DJ27" s="96">
        <v>12</v>
      </c>
      <c r="DK27" s="96">
        <v>30</v>
      </c>
      <c r="DL27" s="97">
        <v>15</v>
      </c>
      <c r="DM27" s="98">
        <f t="shared" si="121"/>
        <v>0</v>
      </c>
      <c r="DN27" s="98">
        <f t="shared" si="122"/>
        <v>15</v>
      </c>
      <c r="DO27" s="98">
        <f t="shared" si="123"/>
        <v>0</v>
      </c>
      <c r="DP27" s="96">
        <v>5</v>
      </c>
      <c r="DQ27" s="101">
        <f t="shared" si="124"/>
        <v>5</v>
      </c>
      <c r="DR27" s="90"/>
      <c r="DS27" s="147">
        <f t="shared" si="125"/>
        <v>0</v>
      </c>
      <c r="DT27" s="147">
        <f t="shared" si="126"/>
        <v>0</v>
      </c>
      <c r="DU27" s="96">
        <v>12</v>
      </c>
      <c r="DV27" s="96">
        <v>30</v>
      </c>
      <c r="DW27" s="97">
        <v>15</v>
      </c>
      <c r="DX27" s="98">
        <f t="shared" si="127"/>
        <v>0</v>
      </c>
      <c r="DY27" s="98">
        <f t="shared" si="128"/>
        <v>15</v>
      </c>
      <c r="DZ27" s="98">
        <f t="shared" si="129"/>
        <v>0</v>
      </c>
      <c r="EA27" s="96">
        <v>5</v>
      </c>
      <c r="EB27" s="101">
        <f t="shared" si="130"/>
        <v>5</v>
      </c>
      <c r="EC27" s="101"/>
      <c r="ED27" s="90"/>
      <c r="EE27" s="147">
        <f t="shared" si="131"/>
        <v>0</v>
      </c>
      <c r="EF27" s="147">
        <f t="shared" si="132"/>
        <v>0</v>
      </c>
      <c r="EG27" s="96">
        <v>30</v>
      </c>
      <c r="EH27" s="95">
        <f t="shared" si="133"/>
        <v>3.12</v>
      </c>
      <c r="EI27" s="96">
        <v>3</v>
      </c>
      <c r="EJ27" s="101">
        <f t="shared" si="134"/>
        <v>6.12</v>
      </c>
      <c r="EK27" s="101"/>
      <c r="EL27" s="67"/>
      <c r="EM27" s="67"/>
      <c r="EN27" s="67"/>
      <c r="EO27" s="67"/>
      <c r="EP27" s="67"/>
      <c r="EQ27" s="67"/>
      <c r="ER27" s="67"/>
      <c r="ES27" s="67"/>
      <c r="ET27" s="67"/>
      <c r="EV27" s="67"/>
      <c r="EW27" s="67"/>
      <c r="EX27" s="67"/>
      <c r="EY27" s="67"/>
      <c r="EZ27" s="67"/>
      <c r="FA27" s="67"/>
      <c r="FB27" s="67"/>
      <c r="FC27" s="67"/>
      <c r="FD27" s="67"/>
      <c r="FE27" s="67"/>
      <c r="FG27" s="67"/>
      <c r="FH27" s="67"/>
      <c r="FI27" s="67"/>
      <c r="FJ27" s="67"/>
      <c r="FK27" s="67"/>
      <c r="FL27" s="67"/>
      <c r="FM27" s="67"/>
      <c r="FN27" s="67"/>
      <c r="FO27" s="67"/>
      <c r="FP27" s="67"/>
      <c r="FR27" s="67"/>
      <c r="FS27" s="67"/>
      <c r="FT27" s="67"/>
      <c r="FV27" s="67"/>
      <c r="FW27" s="67"/>
      <c r="FX27" s="67"/>
      <c r="FY27" s="67"/>
      <c r="FZ27" s="67"/>
      <c r="GA27" s="67"/>
      <c r="GB27" s="67"/>
      <c r="GD27" s="67"/>
      <c r="GE27" s="67"/>
      <c r="GF27" s="67"/>
      <c r="GG27" s="67"/>
      <c r="GH27" s="67"/>
      <c r="GI27" s="67"/>
      <c r="GJ27" s="67"/>
      <c r="GK27" s="67"/>
      <c r="GL27" s="67"/>
      <c r="GM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Z27" s="67"/>
      <c r="HA27" s="67"/>
      <c r="HB27" s="67"/>
      <c r="HD27" s="67"/>
      <c r="HE27" s="67"/>
      <c r="HF27" s="67"/>
      <c r="HG27" s="67"/>
      <c r="HH27" s="67"/>
      <c r="HI27" s="67"/>
      <c r="HJ27" s="67"/>
      <c r="HL27" s="67"/>
      <c r="HM27" s="67"/>
      <c r="HN27" s="67"/>
      <c r="HO27" s="67"/>
      <c r="HP27" s="67"/>
      <c r="HQ27" s="67"/>
      <c r="HR27" s="67"/>
      <c r="HS27" s="67"/>
      <c r="HT27" s="67"/>
      <c r="HU27" s="67"/>
      <c r="HW27" s="67"/>
      <c r="HX27" s="67"/>
      <c r="HY27" s="67"/>
      <c r="HZ27" s="67"/>
      <c r="IA27" s="67"/>
      <c r="IB27" s="67"/>
      <c r="IC27" s="67"/>
      <c r="ID27" s="67"/>
      <c r="IE27" s="67"/>
      <c r="IF27" s="67"/>
      <c r="IH27" s="67"/>
      <c r="II27" s="67"/>
      <c r="IJ27" s="67"/>
    </row>
    <row r="28" spans="1:251">
      <c r="B28" s="71">
        <f t="shared" si="135"/>
        <v>0</v>
      </c>
      <c r="C28" s="71" t="str">
        <f>_xlfn.IFNA(VLOOKUP(B28,BOM!$D$1:$H$10000,5,0),"")</f>
        <v/>
      </c>
      <c r="D28" s="637"/>
      <c r="E28" s="4"/>
      <c r="F28" s="89"/>
      <c r="G28" s="90"/>
      <c r="H28" s="252"/>
      <c r="I28" s="89"/>
      <c r="J28" s="91"/>
      <c r="K28" s="91"/>
      <c r="L28" s="251"/>
      <c r="M28" s="91"/>
      <c r="N28" s="91"/>
      <c r="O28" s="91"/>
      <c r="P28" s="91"/>
      <c r="Q28" s="91"/>
      <c r="R28" s="91"/>
      <c r="S28" s="91"/>
      <c r="T28" s="93">
        <f t="shared" si="2"/>
        <v>0</v>
      </c>
      <c r="U28" s="94">
        <f t="shared" si="59"/>
        <v>0</v>
      </c>
      <c r="V28" s="95">
        <f t="shared" si="60"/>
        <v>0</v>
      </c>
      <c r="W28" s="677"/>
      <c r="X28" s="90"/>
      <c r="Y28" s="96">
        <f t="shared" si="61"/>
        <v>0</v>
      </c>
      <c r="Z28" s="96">
        <f t="shared" si="62"/>
        <v>0</v>
      </c>
      <c r="AA28" s="97" t="e">
        <f t="shared" si="7"/>
        <v>#N/A</v>
      </c>
      <c r="AB28" s="98">
        <f t="shared" si="63"/>
        <v>0</v>
      </c>
      <c r="AC28" s="97">
        <f t="shared" si="64"/>
        <v>0.05</v>
      </c>
      <c r="AD28" s="98">
        <f t="shared" si="65"/>
        <v>0</v>
      </c>
      <c r="AE28" s="98">
        <v>5</v>
      </c>
      <c r="AF28" s="99">
        <f t="shared" si="66"/>
        <v>5</v>
      </c>
      <c r="AG28" s="90"/>
      <c r="AH28" s="146">
        <f t="shared" si="67"/>
        <v>0</v>
      </c>
      <c r="AI28" s="96">
        <f t="shared" si="68"/>
        <v>0</v>
      </c>
      <c r="AJ28" s="96">
        <f t="shared" si="69"/>
        <v>0</v>
      </c>
      <c r="AK28" s="96">
        <f t="shared" si="70"/>
        <v>0</v>
      </c>
      <c r="AL28" s="96">
        <f t="shared" si="71"/>
        <v>0</v>
      </c>
      <c r="AM28" s="97" t="e">
        <f t="shared" si="13"/>
        <v>#N/A</v>
      </c>
      <c r="AN28" s="98">
        <f t="shared" si="72"/>
        <v>0</v>
      </c>
      <c r="AO28" s="97">
        <f t="shared" si="73"/>
        <v>0</v>
      </c>
      <c r="AP28" s="98">
        <f t="shared" si="74"/>
        <v>0</v>
      </c>
      <c r="AQ28" s="96">
        <v>5</v>
      </c>
      <c r="AR28" s="101">
        <f t="shared" si="75"/>
        <v>5</v>
      </c>
      <c r="AS28" s="90"/>
      <c r="AT28" s="146">
        <f t="shared" si="76"/>
        <v>0</v>
      </c>
      <c r="AU28" s="100">
        <f t="shared" si="77"/>
        <v>0</v>
      </c>
      <c r="AV28" s="100">
        <f t="shared" si="78"/>
        <v>0</v>
      </c>
      <c r="AW28" s="96">
        <f t="shared" si="79"/>
        <v>0</v>
      </c>
      <c r="AX28" s="96">
        <f t="shared" si="80"/>
        <v>0</v>
      </c>
      <c r="AY28" s="97" t="e">
        <f t="shared" si="19"/>
        <v>#N/A</v>
      </c>
      <c r="AZ28" s="98">
        <f t="shared" si="81"/>
        <v>0</v>
      </c>
      <c r="BA28" s="97">
        <f t="shared" si="82"/>
        <v>0</v>
      </c>
      <c r="BB28" s="98">
        <f t="shared" si="83"/>
        <v>0</v>
      </c>
      <c r="BC28" s="96">
        <v>5</v>
      </c>
      <c r="BD28" s="101">
        <f t="shared" si="84"/>
        <v>5</v>
      </c>
      <c r="BE28" s="90"/>
      <c r="BF28" s="96">
        <f t="shared" si="85"/>
        <v>0</v>
      </c>
      <c r="BG28" s="96">
        <f t="shared" si="86"/>
        <v>0</v>
      </c>
      <c r="BH28" s="96">
        <f t="shared" si="87"/>
        <v>0</v>
      </c>
      <c r="BI28" s="97" t="e">
        <f t="shared" si="26"/>
        <v>#N/A</v>
      </c>
      <c r="BJ28" s="98">
        <f t="shared" si="88"/>
        <v>0</v>
      </c>
      <c r="BK28" s="97">
        <v>0.1</v>
      </c>
      <c r="BL28" s="98">
        <f t="shared" si="89"/>
        <v>0</v>
      </c>
      <c r="BM28" s="96">
        <v>2</v>
      </c>
      <c r="BN28" s="101">
        <f t="shared" si="90"/>
        <v>2</v>
      </c>
      <c r="BO28" s="90"/>
      <c r="BP28" s="97">
        <f t="shared" si="91"/>
        <v>0</v>
      </c>
      <c r="BQ28" s="97">
        <f t="shared" si="92"/>
        <v>0</v>
      </c>
      <c r="BR28" s="96">
        <f t="shared" si="93"/>
        <v>0</v>
      </c>
      <c r="BS28" s="97" t="e">
        <f t="shared" si="31"/>
        <v>#N/A</v>
      </c>
      <c r="BT28" s="98">
        <f t="shared" si="94"/>
        <v>0</v>
      </c>
      <c r="BU28" s="98">
        <f t="shared" si="95"/>
        <v>0</v>
      </c>
      <c r="BV28" s="96">
        <v>5</v>
      </c>
      <c r="BW28" s="101">
        <f t="shared" si="96"/>
        <v>5</v>
      </c>
      <c r="BX28" s="90"/>
      <c r="BY28" s="96">
        <f t="shared" si="97"/>
        <v>0</v>
      </c>
      <c r="BZ28" s="96">
        <f t="shared" si="98"/>
        <v>0</v>
      </c>
      <c r="CA28" s="96">
        <f t="shared" si="99"/>
        <v>0</v>
      </c>
      <c r="CB28" s="97" t="e">
        <f t="shared" si="37"/>
        <v>#N/A</v>
      </c>
      <c r="CC28" s="98">
        <f t="shared" si="100"/>
        <v>0</v>
      </c>
      <c r="CD28" s="97">
        <v>0.05</v>
      </c>
      <c r="CE28" s="98">
        <f t="shared" si="101"/>
        <v>0</v>
      </c>
      <c r="CF28" s="96">
        <v>5</v>
      </c>
      <c r="CG28" s="101">
        <f t="shared" si="102"/>
        <v>5</v>
      </c>
      <c r="CH28" s="90"/>
      <c r="CI28" s="96">
        <f t="shared" si="103"/>
        <v>0</v>
      </c>
      <c r="CJ28" s="96">
        <f t="shared" si="104"/>
        <v>0</v>
      </c>
      <c r="CK28" s="96">
        <f t="shared" si="105"/>
        <v>0</v>
      </c>
      <c r="CL28" s="97" t="e">
        <f t="shared" si="43"/>
        <v>#N/A</v>
      </c>
      <c r="CM28" s="98">
        <f t="shared" si="106"/>
        <v>0</v>
      </c>
      <c r="CN28" s="97">
        <f t="shared" si="107"/>
        <v>0</v>
      </c>
      <c r="CO28" s="97">
        <f t="shared" si="108"/>
        <v>0</v>
      </c>
      <c r="CP28" s="97">
        <f t="shared" si="109"/>
        <v>41.578000000000003</v>
      </c>
      <c r="CQ28" s="97">
        <v>1.5</v>
      </c>
      <c r="CR28" s="98">
        <f t="shared" si="110"/>
        <v>0</v>
      </c>
      <c r="CS28" s="96">
        <v>5</v>
      </c>
      <c r="CT28" s="101">
        <f t="shared" si="111"/>
        <v>5</v>
      </c>
      <c r="CU28" s="90"/>
      <c r="CV28" s="96">
        <f t="shared" si="112"/>
        <v>0</v>
      </c>
      <c r="CW28" s="96">
        <f t="shared" si="113"/>
        <v>0</v>
      </c>
      <c r="CX28" s="97">
        <f t="shared" si="114"/>
        <v>0</v>
      </c>
      <c r="CY28" s="97" t="e">
        <f t="shared" si="49"/>
        <v>#N/A</v>
      </c>
      <c r="CZ28" s="98">
        <f t="shared" si="115"/>
        <v>0</v>
      </c>
      <c r="DA28" s="98">
        <v>300</v>
      </c>
      <c r="DB28" s="97">
        <f t="shared" si="116"/>
        <v>0</v>
      </c>
      <c r="DC28" s="97">
        <v>0.4</v>
      </c>
      <c r="DD28" s="98">
        <f t="shared" si="117"/>
        <v>0</v>
      </c>
      <c r="DE28" s="96">
        <v>5</v>
      </c>
      <c r="DF28" s="101">
        <f t="shared" si="118"/>
        <v>5</v>
      </c>
      <c r="DG28" s="90"/>
      <c r="DH28" s="96">
        <f t="shared" si="119"/>
        <v>0</v>
      </c>
      <c r="DI28" s="96">
        <f t="shared" si="120"/>
        <v>0</v>
      </c>
      <c r="DJ28" s="96">
        <v>12</v>
      </c>
      <c r="DK28" s="96">
        <v>30</v>
      </c>
      <c r="DL28" s="97">
        <v>15</v>
      </c>
      <c r="DM28" s="98">
        <f t="shared" si="121"/>
        <v>0</v>
      </c>
      <c r="DN28" s="98">
        <f t="shared" si="122"/>
        <v>15</v>
      </c>
      <c r="DO28" s="98">
        <f t="shared" si="123"/>
        <v>0</v>
      </c>
      <c r="DP28" s="96">
        <v>5</v>
      </c>
      <c r="DQ28" s="101">
        <f t="shared" si="124"/>
        <v>5</v>
      </c>
      <c r="DR28" s="90"/>
      <c r="DS28" s="147">
        <f t="shared" si="125"/>
        <v>0</v>
      </c>
      <c r="DT28" s="147">
        <f t="shared" si="126"/>
        <v>0</v>
      </c>
      <c r="DU28" s="96">
        <v>12</v>
      </c>
      <c r="DV28" s="96">
        <v>30</v>
      </c>
      <c r="DW28" s="97">
        <v>15</v>
      </c>
      <c r="DX28" s="98">
        <f t="shared" si="127"/>
        <v>0</v>
      </c>
      <c r="DY28" s="98">
        <f t="shared" si="128"/>
        <v>15</v>
      </c>
      <c r="DZ28" s="98">
        <f t="shared" si="129"/>
        <v>0</v>
      </c>
      <c r="EA28" s="96">
        <v>5</v>
      </c>
      <c r="EB28" s="101">
        <f t="shared" si="130"/>
        <v>5</v>
      </c>
      <c r="EC28" s="101"/>
      <c r="ED28" s="90"/>
      <c r="EE28" s="147">
        <f t="shared" si="131"/>
        <v>0</v>
      </c>
      <c r="EF28" s="147">
        <f t="shared" si="132"/>
        <v>0</v>
      </c>
      <c r="EG28" s="96">
        <v>30</v>
      </c>
      <c r="EH28" s="95">
        <f t="shared" si="133"/>
        <v>3.12</v>
      </c>
      <c r="EI28" s="96">
        <v>3</v>
      </c>
      <c r="EJ28" s="101">
        <f t="shared" si="134"/>
        <v>6.12</v>
      </c>
      <c r="EK28" s="101"/>
      <c r="EL28" s="67"/>
      <c r="EM28" s="67"/>
      <c r="EN28" s="67"/>
      <c r="EO28" s="67"/>
      <c r="EP28" s="67"/>
      <c r="EQ28" s="67"/>
      <c r="ER28" s="67"/>
      <c r="ES28" s="67"/>
      <c r="ET28" s="67"/>
      <c r="EV28" s="67"/>
      <c r="EW28" s="67"/>
      <c r="EX28" s="67"/>
      <c r="EY28" s="67"/>
      <c r="EZ28" s="67"/>
      <c r="FA28" s="67"/>
      <c r="FB28" s="67"/>
      <c r="FC28" s="67"/>
      <c r="FD28" s="67"/>
      <c r="FE28" s="67"/>
      <c r="FG28" s="67"/>
      <c r="FH28" s="67"/>
      <c r="FI28" s="67"/>
      <c r="FJ28" s="67"/>
      <c r="FK28" s="67"/>
      <c r="FL28" s="67"/>
      <c r="FM28" s="67"/>
      <c r="FN28" s="67"/>
      <c r="FO28" s="67"/>
      <c r="FP28" s="67"/>
      <c r="FR28" s="67"/>
      <c r="FS28" s="67"/>
      <c r="FT28" s="67"/>
      <c r="FV28" s="67"/>
      <c r="FW28" s="67"/>
      <c r="FX28" s="67"/>
      <c r="FY28" s="67"/>
      <c r="FZ28" s="67"/>
      <c r="GA28" s="67"/>
      <c r="GB28" s="67"/>
      <c r="GD28" s="67"/>
      <c r="GE28" s="67"/>
      <c r="GF28" s="67"/>
      <c r="GG28" s="67"/>
      <c r="GH28" s="67"/>
      <c r="GI28" s="67"/>
      <c r="GJ28" s="67"/>
      <c r="GK28" s="67"/>
      <c r="GL28" s="67"/>
      <c r="GM28" s="67"/>
      <c r="GO28" s="67"/>
      <c r="GP28" s="67"/>
      <c r="GQ28" s="67"/>
      <c r="GR28" s="67"/>
      <c r="GS28" s="67"/>
      <c r="GT28" s="67"/>
      <c r="GU28" s="67"/>
      <c r="GV28" s="67"/>
      <c r="GW28" s="67"/>
      <c r="GX28" s="67"/>
      <c r="GZ28" s="67"/>
      <c r="HA28" s="67"/>
      <c r="HB28" s="67"/>
      <c r="HD28" s="67"/>
      <c r="HE28" s="67"/>
      <c r="HF28" s="67"/>
      <c r="HG28" s="67"/>
      <c r="HH28" s="67"/>
      <c r="HI28" s="67"/>
      <c r="HJ28" s="67"/>
      <c r="HL28" s="67"/>
      <c r="HM28" s="67"/>
      <c r="HN28" s="67"/>
      <c r="HO28" s="67"/>
      <c r="HP28" s="67"/>
      <c r="HQ28" s="67"/>
      <c r="HR28" s="67"/>
      <c r="HS28" s="67"/>
      <c r="HT28" s="67"/>
      <c r="HU28" s="67"/>
      <c r="HW28" s="67"/>
      <c r="HX28" s="67"/>
      <c r="HY28" s="67"/>
      <c r="HZ28" s="67"/>
      <c r="IA28" s="67"/>
      <c r="IB28" s="67"/>
      <c r="IC28" s="67"/>
      <c r="ID28" s="67"/>
      <c r="IE28" s="67"/>
      <c r="IF28" s="67"/>
      <c r="IH28" s="67"/>
      <c r="II28" s="67"/>
      <c r="IJ28" s="67"/>
    </row>
    <row r="29" spans="1:251">
      <c r="B29" s="71">
        <f>B30</f>
        <v>0</v>
      </c>
      <c r="C29" s="71" t="str">
        <f>_xlfn.IFNA(VLOOKUP(B29,BOM!$D$1:$H$10000,5,0),"")</f>
        <v/>
      </c>
      <c r="D29" s="637"/>
      <c r="E29" s="4" t="s">
        <v>198</v>
      </c>
      <c r="F29" s="89">
        <v>1</v>
      </c>
      <c r="G29" s="90"/>
      <c r="H29" s="252"/>
      <c r="I29" s="89"/>
      <c r="J29" s="91"/>
      <c r="K29" s="91"/>
      <c r="L29" s="251"/>
      <c r="M29" s="91"/>
      <c r="N29" s="91"/>
      <c r="O29" s="91"/>
      <c r="P29" s="91"/>
      <c r="Q29" s="91"/>
      <c r="R29" s="91"/>
      <c r="S29" s="91"/>
      <c r="T29" s="93">
        <f t="shared" si="2"/>
        <v>0</v>
      </c>
      <c r="U29" s="94">
        <f t="shared" ref="U29" si="136">I29/3600*T29</f>
        <v>0</v>
      </c>
      <c r="V29" s="95">
        <f t="shared" ref="V29" si="137">U29*F29</f>
        <v>0</v>
      </c>
      <c r="W29" s="677"/>
      <c r="X29" s="90"/>
      <c r="Y29" s="96">
        <f t="shared" ref="Y29" si="138">K29</f>
        <v>0</v>
      </c>
      <c r="Z29" s="96">
        <f t="shared" ref="Z29" si="139">L29+Y29*0.3</f>
        <v>0</v>
      </c>
      <c r="AA29" s="97" t="e">
        <f t="shared" si="7"/>
        <v>#N/A</v>
      </c>
      <c r="AB29" s="98">
        <f t="shared" ref="AB29" si="140">MIN(IFERROR(AA29*1000/(PI()*Y29),0),5000)</f>
        <v>0</v>
      </c>
      <c r="AC29" s="97">
        <f t="shared" ref="AC29" si="141">IF(K29&lt;15,0.05,0.1)</f>
        <v>0.05</v>
      </c>
      <c r="AD29" s="98">
        <f t="shared" ref="AD29" si="142">IFERROR((Z29+3)/(AB29*AC29/60),0)</f>
        <v>0</v>
      </c>
      <c r="AE29" s="98">
        <v>5</v>
      </c>
      <c r="AF29" s="99">
        <f t="shared" ref="AF29" si="143">AD29+AE29</f>
        <v>5</v>
      </c>
      <c r="AG29" s="90"/>
      <c r="AH29" s="146">
        <f t="shared" ref="AH29" si="144">K29</f>
        <v>0</v>
      </c>
      <c r="AI29" s="96">
        <f t="shared" ref="AI29" si="145">L29</f>
        <v>0</v>
      </c>
      <c r="AJ29" s="96">
        <f t="shared" ref="AJ29" si="146">M29</f>
        <v>0</v>
      </c>
      <c r="AK29" s="96">
        <f t="shared" ref="AK29" si="147">N29</f>
        <v>0</v>
      </c>
      <c r="AL29" s="96">
        <f t="shared" ref="AL29" si="148">O29</f>
        <v>0</v>
      </c>
      <c r="AM29" s="97" t="e">
        <f t="shared" si="13"/>
        <v>#N/A</v>
      </c>
      <c r="AN29" s="98">
        <f t="shared" ref="AN29" si="149">MIN(IFERROR((AM29*1000/(PI()*AH29)),0),5000)</f>
        <v>0</v>
      </c>
      <c r="AO29" s="97">
        <f t="shared" ref="AO29" si="150">0.05*AL29</f>
        <v>0</v>
      </c>
      <c r="AP29" s="98">
        <f t="shared" ref="AP29" si="151">IFERROR(((AI29+(AH29+10)+IF(AJ29&lt;AH29,0,((CEILING(AJ29/AH29,1)-1)*AI29)+((CEILING(AJ29/AH29,1)-1)*AH29)))/(AO29*AN29/60)),0)*AK29</f>
        <v>0</v>
      </c>
      <c r="AQ29" s="96">
        <v>5</v>
      </c>
      <c r="AR29" s="101">
        <f t="shared" ref="AR29" si="152">AP29+AQ29</f>
        <v>5</v>
      </c>
      <c r="AS29" s="90"/>
      <c r="AT29" s="146">
        <f t="shared" ref="AT29" si="153">K29</f>
        <v>0</v>
      </c>
      <c r="AU29" s="100">
        <f t="shared" ref="AU29" si="154">L29</f>
        <v>0</v>
      </c>
      <c r="AV29" s="100">
        <f t="shared" ref="AV29" si="155">M29</f>
        <v>0</v>
      </c>
      <c r="AW29" s="96">
        <f t="shared" ref="AW29" si="156">N29</f>
        <v>0</v>
      </c>
      <c r="AX29" s="96">
        <f t="shared" ref="AX29" si="157">O29</f>
        <v>0</v>
      </c>
      <c r="AY29" s="97" t="e">
        <f t="shared" si="19"/>
        <v>#N/A</v>
      </c>
      <c r="AZ29" s="98">
        <f t="shared" ref="AZ29" si="158">MIN(IFERROR((AY29*1000/(PI()*AT29)),0),5000)</f>
        <v>0</v>
      </c>
      <c r="BA29" s="97">
        <f t="shared" ref="BA29" si="159">0.03*AX29</f>
        <v>0</v>
      </c>
      <c r="BB29" s="98">
        <f t="shared" ref="BB29" si="160">IFERROR(((AU29+(AT29+10)+IF(AV29&lt;AT29,0,((CEILING(AV29/AT29,1)-1)*AU29)+((CEILING(AV29/AT29,1)-1)*AT29)))/(BA29*AZ29/60)),0)*AW29</f>
        <v>0</v>
      </c>
      <c r="BC29" s="96">
        <v>5</v>
      </c>
      <c r="BD29" s="101">
        <f t="shared" ref="BD29" si="161">BB29+BC29</f>
        <v>5</v>
      </c>
      <c r="BE29" s="90"/>
      <c r="BF29" s="96">
        <f t="shared" ref="BF29" si="162">K29</f>
        <v>0</v>
      </c>
      <c r="BG29" s="96">
        <f t="shared" ref="BG29" si="163">L29</f>
        <v>0</v>
      </c>
      <c r="BH29" s="96">
        <f t="shared" ref="BH29" si="164">N29</f>
        <v>0</v>
      </c>
      <c r="BI29" s="97" t="e">
        <f t="shared" si="26"/>
        <v>#N/A</v>
      </c>
      <c r="BJ29" s="98">
        <f t="shared" ref="BJ29" si="165">MIN(IFERROR(BI29*1000/(PI()*BF29),0),5000)</f>
        <v>0</v>
      </c>
      <c r="BK29" s="97">
        <v>0.1</v>
      </c>
      <c r="BL29" s="98">
        <f t="shared" ref="BL29" si="166">IFERROR((BG29+3)/(BJ29*BK29/60),0)*BH29</f>
        <v>0</v>
      </c>
      <c r="BM29" s="96">
        <v>2</v>
      </c>
      <c r="BN29" s="101">
        <f t="shared" ref="BN29" si="167">BL29+BM29</f>
        <v>2</v>
      </c>
      <c r="BO29" s="90"/>
      <c r="BP29" s="97">
        <f t="shared" ref="BP29" si="168">K29</f>
        <v>0</v>
      </c>
      <c r="BQ29" s="97">
        <f t="shared" ref="BQ29" si="169">L29</f>
        <v>0</v>
      </c>
      <c r="BR29" s="96">
        <f t="shared" ref="BR29" si="170">P29</f>
        <v>0</v>
      </c>
      <c r="BS29" s="97" t="e">
        <f t="shared" si="31"/>
        <v>#N/A</v>
      </c>
      <c r="BT29" s="98">
        <f t="shared" ref="BT29" si="171">MIN(IFERROR(BS29*1000/(PI()*BP29),0),400)</f>
        <v>0</v>
      </c>
      <c r="BU29" s="98">
        <f t="shared" ref="BU29" si="172">IFERROR((BQ29+3)/(BT29*BR29/60),0)*2</f>
        <v>0</v>
      </c>
      <c r="BV29" s="96">
        <v>5</v>
      </c>
      <c r="BW29" s="101">
        <f t="shared" ref="BW29" si="173">BU29+BV29</f>
        <v>5</v>
      </c>
      <c r="BX29" s="90"/>
      <c r="BY29" s="96">
        <f t="shared" ref="BY29" si="174">K29</f>
        <v>0</v>
      </c>
      <c r="BZ29" s="96">
        <f t="shared" ref="BZ29" si="175">L29</f>
        <v>0</v>
      </c>
      <c r="CA29" s="96">
        <f t="shared" ref="CA29" si="176">N29</f>
        <v>0</v>
      </c>
      <c r="CB29" s="97" t="e">
        <f t="shared" si="37"/>
        <v>#N/A</v>
      </c>
      <c r="CC29" s="98">
        <f t="shared" ref="CC29" si="177">MIN(IFERROR(CB29*1000/(PI()*BY29),0),5000)</f>
        <v>0</v>
      </c>
      <c r="CD29" s="97">
        <v>0.05</v>
      </c>
      <c r="CE29" s="98">
        <f t="shared" ref="CE29" si="178">IFERROR((BZ29+3)/(CC29*CD29/60),0)*CA29</f>
        <v>0</v>
      </c>
      <c r="CF29" s="96">
        <v>5</v>
      </c>
      <c r="CG29" s="101">
        <f t="shared" ref="CG29" si="179">CE29+CF29</f>
        <v>5</v>
      </c>
      <c r="CH29" s="90"/>
      <c r="CI29" s="96">
        <f t="shared" ref="CI29" si="180">K29</f>
        <v>0</v>
      </c>
      <c r="CJ29" s="96">
        <f t="shared" ref="CJ29" si="181">L29</f>
        <v>0</v>
      </c>
      <c r="CK29" s="96">
        <f t="shared" ref="CK29" si="182">R29</f>
        <v>0</v>
      </c>
      <c r="CL29" s="97" t="e">
        <f t="shared" si="43"/>
        <v>#N/A</v>
      </c>
      <c r="CM29" s="98">
        <f t="shared" ref="CM29" si="183">MIN(IFERROR(CL29*1000/(PI()*CP29),0),5000)</f>
        <v>0</v>
      </c>
      <c r="CN29" s="97">
        <f t="shared" ref="CN29" si="184">Q29</f>
        <v>0</v>
      </c>
      <c r="CO29" s="97">
        <f t="shared" ref="CO29" si="185">S29</f>
        <v>0</v>
      </c>
      <c r="CP29" s="97">
        <f t="shared" ref="CP29" si="186">9.7903*CO29+41.578</f>
        <v>41.578000000000003</v>
      </c>
      <c r="CQ29" s="97">
        <v>1.5</v>
      </c>
      <c r="CR29" s="98">
        <f t="shared" ref="CR29" si="187">IFERROR((((SQRT((CP29*CK29-CK29^2))+CJ29+5)*CN29)/(CM29*CQ29))*60,0)</f>
        <v>0</v>
      </c>
      <c r="CS29" s="96">
        <v>5</v>
      </c>
      <c r="CT29" s="101">
        <f t="shared" ref="CT29" si="188">CR29+CS29</f>
        <v>5</v>
      </c>
      <c r="CU29" s="90"/>
      <c r="CV29" s="96">
        <f t="shared" ref="CV29" si="189">K29</f>
        <v>0</v>
      </c>
      <c r="CW29" s="96">
        <f t="shared" ref="CW29" si="190">L29</f>
        <v>0</v>
      </c>
      <c r="CX29" s="97">
        <f t="shared" ref="CX29" si="191">R29</f>
        <v>0</v>
      </c>
      <c r="CY29" s="97" t="e">
        <f t="shared" si="49"/>
        <v>#N/A</v>
      </c>
      <c r="CZ29" s="98">
        <f t="shared" ref="CZ29" si="192">MIN(IFERROR(CY29*1000/(PI()*DA29),0),5000)</f>
        <v>0</v>
      </c>
      <c r="DA29" s="98">
        <v>300</v>
      </c>
      <c r="DB29" s="97">
        <f t="shared" ref="DB29" si="193">Q29</f>
        <v>0</v>
      </c>
      <c r="DC29" s="97">
        <v>0.4</v>
      </c>
      <c r="DD29" s="98">
        <f t="shared" ref="DD29" si="194">IFERROR((((SQRT((DA29*CX29-CX29^2))+CW29+5)*DB29)/(DC29*CZ29))*60,0)</f>
        <v>0</v>
      </c>
      <c r="DE29" s="96">
        <v>5</v>
      </c>
      <c r="DF29" s="101">
        <f t="shared" ref="DF29" si="195">DD29+DE29</f>
        <v>5</v>
      </c>
      <c r="DG29" s="90"/>
      <c r="DH29" s="96">
        <f t="shared" ref="DH29" si="196">K29</f>
        <v>0</v>
      </c>
      <c r="DI29" s="96">
        <f t="shared" ref="DI29" si="197">L29</f>
        <v>0</v>
      </c>
      <c r="DJ29" s="96">
        <v>12</v>
      </c>
      <c r="DK29" s="96">
        <v>30</v>
      </c>
      <c r="DL29" s="97">
        <v>15</v>
      </c>
      <c r="DM29" s="98">
        <f t="shared" ref="DM29" si="198">MIN(IFERROR(DL29*1000/(PI()*DH29),0),5000)</f>
        <v>0</v>
      </c>
      <c r="DN29" s="98">
        <f t="shared" ref="DN29" si="199">DK29/2</f>
        <v>15</v>
      </c>
      <c r="DO29" s="98">
        <f t="shared" ref="DO29" si="200">IFERROR(((DI29+DK29)*2)/(DM29*DN29/60),0)*DJ29</f>
        <v>0</v>
      </c>
      <c r="DP29" s="96">
        <v>5</v>
      </c>
      <c r="DQ29" s="101">
        <f t="shared" ref="DQ29" si="201">DO29+DP29</f>
        <v>5</v>
      </c>
      <c r="DR29" s="90"/>
      <c r="DS29" s="147">
        <f t="shared" ref="DS29" si="202">K29</f>
        <v>0</v>
      </c>
      <c r="DT29" s="147">
        <f t="shared" ref="DT29" si="203">L29</f>
        <v>0</v>
      </c>
      <c r="DU29" s="96">
        <v>12</v>
      </c>
      <c r="DV29" s="96">
        <v>30</v>
      </c>
      <c r="DW29" s="97">
        <v>15</v>
      </c>
      <c r="DX29" s="98">
        <f t="shared" ref="DX29" si="204">MIN(IFERROR(DW29*1000/(PI()*DS29),0),5000)</f>
        <v>0</v>
      </c>
      <c r="DY29" s="98">
        <f t="shared" ref="DY29" si="205">DV29/2</f>
        <v>15</v>
      </c>
      <c r="DZ29" s="98">
        <f t="shared" ref="DZ29" si="206">IFERROR(((DT29+DV29)*2)/(DX29*DY29/60),0)*DU29</f>
        <v>0</v>
      </c>
      <c r="EA29" s="96">
        <v>5</v>
      </c>
      <c r="EB29" s="101">
        <f t="shared" ref="EB29" si="207">DZ29+EA29</f>
        <v>5</v>
      </c>
      <c r="EC29" s="101"/>
      <c r="ED29" s="90"/>
      <c r="EE29" s="147">
        <f t="shared" ref="EE29" si="208">L29</f>
        <v>0</v>
      </c>
      <c r="EF29" s="147">
        <f t="shared" ref="EF29" si="209">M29</f>
        <v>0</v>
      </c>
      <c r="EG29" s="96">
        <v>30</v>
      </c>
      <c r="EH29" s="95">
        <f t="shared" ref="EH29" si="210">(EE29+30)/500*CEILING((EF29+EG29+3)/(EG29/6),INT(EG29/6))*4+(EE29+30)/500*CEILING((EF29+EG29+3)/(EG29/10),INT(EG29/10))</f>
        <v>3.12</v>
      </c>
      <c r="EI29" s="96">
        <v>3</v>
      </c>
      <c r="EJ29" s="101">
        <f t="shared" ref="EJ29" si="211">EH29+EI29</f>
        <v>6.12</v>
      </c>
      <c r="EK29" s="101"/>
      <c r="EL29" s="67"/>
      <c r="EM29" s="67"/>
      <c r="EN29" s="67"/>
      <c r="EO29" s="67"/>
      <c r="EP29" s="67"/>
      <c r="EQ29" s="67"/>
      <c r="ER29" s="67"/>
      <c r="ES29" s="67"/>
      <c r="ET29" s="67"/>
      <c r="EV29" s="67"/>
      <c r="EW29" s="67"/>
      <c r="EX29" s="67"/>
      <c r="EY29" s="67"/>
      <c r="EZ29" s="67"/>
      <c r="FA29" s="67"/>
      <c r="FB29" s="67"/>
      <c r="FC29" s="67"/>
      <c r="FD29" s="67"/>
      <c r="FE29" s="67"/>
      <c r="FG29" s="67"/>
      <c r="FH29" s="67"/>
      <c r="FI29" s="67"/>
      <c r="FJ29" s="67"/>
      <c r="FK29" s="67"/>
      <c r="FL29" s="67"/>
      <c r="FM29" s="67"/>
      <c r="FN29" s="67"/>
      <c r="FO29" s="67"/>
      <c r="FP29" s="67"/>
      <c r="FR29" s="67"/>
      <c r="FS29" s="67"/>
      <c r="FT29" s="67"/>
      <c r="FV29" s="67"/>
      <c r="FW29" s="67"/>
      <c r="FX29" s="67"/>
      <c r="FY29" s="67"/>
      <c r="FZ29" s="67"/>
      <c r="GA29" s="67"/>
      <c r="GB29" s="67"/>
      <c r="GD29" s="67"/>
      <c r="GE29" s="67"/>
      <c r="GF29" s="67"/>
      <c r="GG29" s="67"/>
      <c r="GH29" s="67"/>
      <c r="GI29" s="67"/>
      <c r="GJ29" s="67"/>
      <c r="GK29" s="67"/>
      <c r="GL29" s="67"/>
      <c r="GM29" s="67"/>
      <c r="GO29" s="67"/>
      <c r="GP29" s="67"/>
      <c r="GQ29" s="67"/>
      <c r="GR29" s="67"/>
      <c r="GS29" s="67"/>
      <c r="GT29" s="67"/>
      <c r="GU29" s="67"/>
      <c r="GV29" s="67"/>
      <c r="GW29" s="67"/>
      <c r="GX29" s="67"/>
      <c r="GZ29" s="67"/>
      <c r="HA29" s="67"/>
      <c r="HB29" s="67"/>
      <c r="HD29" s="67"/>
      <c r="HE29" s="67"/>
      <c r="HF29" s="67"/>
      <c r="HG29" s="67"/>
      <c r="HH29" s="67"/>
      <c r="HI29" s="67"/>
      <c r="HJ29" s="67"/>
      <c r="HL29" s="67"/>
      <c r="HM29" s="67"/>
      <c r="HN29" s="67"/>
      <c r="HO29" s="67"/>
      <c r="HP29" s="67"/>
      <c r="HQ29" s="67"/>
      <c r="HR29" s="67"/>
      <c r="HS29" s="67"/>
      <c r="HT29" s="67"/>
      <c r="HU29" s="67"/>
      <c r="HW29" s="67"/>
      <c r="HX29" s="67"/>
      <c r="HY29" s="67"/>
      <c r="HZ29" s="67"/>
      <c r="IA29" s="67"/>
      <c r="IB29" s="67"/>
      <c r="IC29" s="67"/>
      <c r="ID29" s="67"/>
      <c r="IE29" s="67"/>
      <c r="IF29" s="67"/>
      <c r="IH29" s="67"/>
      <c r="II29" s="67"/>
      <c r="IJ29" s="67"/>
    </row>
    <row r="30" spans="1:251">
      <c r="B30" s="71">
        <f>B28</f>
        <v>0</v>
      </c>
      <c r="C30" s="71" t="str">
        <f>_xlfn.IFNA(VLOOKUP(B30,BOM!$D$1:$H$10000,5,0),"")</f>
        <v/>
      </c>
      <c r="D30" s="637"/>
      <c r="E30" s="209" t="s">
        <v>199</v>
      </c>
      <c r="F30" s="89"/>
      <c r="G30" s="694"/>
      <c r="H30" s="695" t="s">
        <v>200</v>
      </c>
      <c r="I30" s="97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351" t="str">
        <f>IF(F30="","Please enter finished weight in qty column",IF(F30&lt;1,1,F30*1))</f>
        <v>Please enter finished weight in qty column</v>
      </c>
      <c r="W30" s="677"/>
      <c r="X30" s="90"/>
      <c r="Y30" s="96">
        <f t="shared" ref="Y30" si="212">K30</f>
        <v>0</v>
      </c>
      <c r="Z30" s="96">
        <f t="shared" ref="Z30" si="213">L30+Y30*0.3</f>
        <v>0</v>
      </c>
      <c r="AA30" s="97" t="e">
        <f t="shared" si="7"/>
        <v>#N/A</v>
      </c>
      <c r="AB30" s="98">
        <f t="shared" ref="AB30" si="214">MIN(IFERROR(AA30*1000/(PI()*Y30),0),5000)</f>
        <v>0</v>
      </c>
      <c r="AC30" s="97">
        <f t="shared" ref="AC30" si="215">IF(K30&lt;15,0.05,0.1)</f>
        <v>0.05</v>
      </c>
      <c r="AD30" s="98">
        <f t="shared" ref="AD30" si="216">IFERROR((Z30+3)/(AB30*AC30/60),0)</f>
        <v>0</v>
      </c>
      <c r="AE30" s="98">
        <v>5</v>
      </c>
      <c r="AF30" s="99">
        <f t="shared" ref="AF30" si="217">AD30+AE30</f>
        <v>5</v>
      </c>
      <c r="AG30" s="90"/>
      <c r="AH30" s="146">
        <f t="shared" ref="AH30" si="218">K30</f>
        <v>0</v>
      </c>
      <c r="AI30" s="96">
        <f t="shared" ref="AI30" si="219">L30</f>
        <v>0</v>
      </c>
      <c r="AJ30" s="96">
        <f t="shared" ref="AJ30" si="220">M30</f>
        <v>0</v>
      </c>
      <c r="AK30" s="96">
        <f t="shared" ref="AK30" si="221">N30</f>
        <v>0</v>
      </c>
      <c r="AL30" s="96">
        <f t="shared" ref="AL30" si="222">O30</f>
        <v>0</v>
      </c>
      <c r="AM30" s="97" t="e">
        <f t="shared" si="13"/>
        <v>#N/A</v>
      </c>
      <c r="AN30" s="98">
        <f t="shared" ref="AN30" si="223">MIN(IFERROR((AM30*1000/(PI()*AH30)),0),5000)</f>
        <v>0</v>
      </c>
      <c r="AO30" s="97">
        <f t="shared" ref="AO30" si="224">0.05*AL30</f>
        <v>0</v>
      </c>
      <c r="AP30" s="98">
        <f t="shared" ref="AP30" si="225">IFERROR(((AI30+(AH30+10)+IF(AJ30&lt;AH30,0,((CEILING(AJ30/AH30,1)-1)*AI30)+((CEILING(AJ30/AH30,1)-1)*AH30)))/(AO30*AN30/60)),0)*AK30</f>
        <v>0</v>
      </c>
      <c r="AQ30" s="96">
        <v>5</v>
      </c>
      <c r="AR30" s="101">
        <f t="shared" ref="AR30" si="226">AP30+AQ30</f>
        <v>5</v>
      </c>
      <c r="AS30" s="90"/>
      <c r="AT30" s="146">
        <f t="shared" ref="AT30" si="227">K30</f>
        <v>0</v>
      </c>
      <c r="AU30" s="100">
        <f t="shared" ref="AU30" si="228">L30</f>
        <v>0</v>
      </c>
      <c r="AV30" s="100">
        <f t="shared" ref="AV30" si="229">M30</f>
        <v>0</v>
      </c>
      <c r="AW30" s="96">
        <f t="shared" ref="AW30" si="230">N30</f>
        <v>0</v>
      </c>
      <c r="AX30" s="96">
        <f t="shared" ref="AX30" si="231">O30</f>
        <v>0</v>
      </c>
      <c r="AY30" s="97" t="e">
        <f t="shared" si="19"/>
        <v>#N/A</v>
      </c>
      <c r="AZ30" s="98">
        <f t="shared" ref="AZ30" si="232">MIN(IFERROR((AY30*1000/(PI()*AT30)),0),5000)</f>
        <v>0</v>
      </c>
      <c r="BA30" s="97">
        <f t="shared" ref="BA30" si="233">0.03*AX30</f>
        <v>0</v>
      </c>
      <c r="BB30" s="98">
        <f t="shared" ref="BB30" si="234">IFERROR(((AU30+(AT30+10)+IF(AV30&lt;AT30,0,((CEILING(AV30/AT30,1)-1)*AU30)+((CEILING(AV30/AT30,1)-1)*AT30)))/(BA30*AZ30/60)),0)*AW30</f>
        <v>0</v>
      </c>
      <c r="BC30" s="96">
        <v>5</v>
      </c>
      <c r="BD30" s="101">
        <f t="shared" ref="BD30" si="235">BB30+BC30</f>
        <v>5</v>
      </c>
      <c r="BE30" s="90"/>
      <c r="BF30" s="96">
        <f t="shared" ref="BF30" si="236">K30</f>
        <v>0</v>
      </c>
      <c r="BG30" s="96">
        <f t="shared" ref="BG30" si="237">L30</f>
        <v>0</v>
      </c>
      <c r="BH30" s="96">
        <f t="shared" ref="BH30" si="238">N30</f>
        <v>0</v>
      </c>
      <c r="BI30" s="97" t="e">
        <f t="shared" si="26"/>
        <v>#N/A</v>
      </c>
      <c r="BJ30" s="98">
        <f t="shared" ref="BJ30" si="239">MIN(IFERROR(BI30*1000/(PI()*BF30),0),5000)</f>
        <v>0</v>
      </c>
      <c r="BK30" s="97">
        <v>0.1</v>
      </c>
      <c r="BL30" s="98">
        <f t="shared" ref="BL30" si="240">IFERROR((BG30+3)/(BJ30*BK30/60),0)*BH30</f>
        <v>0</v>
      </c>
      <c r="BM30" s="96">
        <v>2</v>
      </c>
      <c r="BN30" s="101">
        <f t="shared" ref="BN30" si="241">BL30+BM30</f>
        <v>2</v>
      </c>
      <c r="BO30" s="90"/>
      <c r="BP30" s="97">
        <f t="shared" ref="BP30" si="242">K30</f>
        <v>0</v>
      </c>
      <c r="BQ30" s="97">
        <f t="shared" ref="BQ30" si="243">L30</f>
        <v>0</v>
      </c>
      <c r="BR30" s="96">
        <f t="shared" ref="BR30" si="244">P30</f>
        <v>0</v>
      </c>
      <c r="BS30" s="97" t="e">
        <f t="shared" si="31"/>
        <v>#N/A</v>
      </c>
      <c r="BT30" s="98">
        <f t="shared" ref="BT30" si="245">MIN(IFERROR(BS30*1000/(PI()*BP30),0),400)</f>
        <v>0</v>
      </c>
      <c r="BU30" s="98">
        <f t="shared" ref="BU30" si="246">IFERROR((BQ30+3)/(BT30*BR30/60),0)*2</f>
        <v>0</v>
      </c>
      <c r="BV30" s="96">
        <v>5</v>
      </c>
      <c r="BW30" s="101">
        <f t="shared" ref="BW30" si="247">BU30+BV30</f>
        <v>5</v>
      </c>
      <c r="BX30" s="90"/>
      <c r="BY30" s="96">
        <f t="shared" ref="BY30" si="248">K30</f>
        <v>0</v>
      </c>
      <c r="BZ30" s="96">
        <f t="shared" ref="BZ30" si="249">L30</f>
        <v>0</v>
      </c>
      <c r="CA30" s="96">
        <f t="shared" ref="CA30" si="250">N30</f>
        <v>0</v>
      </c>
      <c r="CB30" s="97" t="e">
        <f t="shared" si="37"/>
        <v>#N/A</v>
      </c>
      <c r="CC30" s="98">
        <f t="shared" ref="CC30" si="251">MIN(IFERROR(CB30*1000/(PI()*BY30),0),5000)</f>
        <v>0</v>
      </c>
      <c r="CD30" s="97">
        <v>0.05</v>
      </c>
      <c r="CE30" s="98">
        <f t="shared" ref="CE30" si="252">IFERROR((BZ30+3)/(CC30*CD30/60),0)*CA30</f>
        <v>0</v>
      </c>
      <c r="CF30" s="96">
        <v>5</v>
      </c>
      <c r="CG30" s="101">
        <f t="shared" ref="CG30" si="253">CE30+CF30</f>
        <v>5</v>
      </c>
      <c r="CH30" s="90"/>
      <c r="CI30" s="96">
        <f t="shared" ref="CI30" si="254">K30</f>
        <v>0</v>
      </c>
      <c r="CJ30" s="96">
        <f t="shared" ref="CJ30" si="255">L30</f>
        <v>0</v>
      </c>
      <c r="CK30" s="96">
        <f t="shared" ref="CK30" si="256">R30</f>
        <v>0</v>
      </c>
      <c r="CL30" s="97" t="e">
        <f t="shared" si="43"/>
        <v>#N/A</v>
      </c>
      <c r="CM30" s="98">
        <f t="shared" ref="CM30" si="257">MIN(IFERROR(CL30*1000/(PI()*CP30),0),5000)</f>
        <v>0</v>
      </c>
      <c r="CN30" s="97">
        <f t="shared" ref="CN30" si="258">Q30</f>
        <v>0</v>
      </c>
      <c r="CO30" s="97">
        <f t="shared" ref="CO30" si="259">S30</f>
        <v>0</v>
      </c>
      <c r="CP30" s="97">
        <f t="shared" ref="CP30" si="260">9.7903*CO30+41.578</f>
        <v>41.578000000000003</v>
      </c>
      <c r="CQ30" s="97">
        <v>1.5</v>
      </c>
      <c r="CR30" s="98">
        <f t="shared" ref="CR30" si="261">IFERROR((((SQRT((CP30*CK30-CK30^2))+CJ30+5)*CN30)/(CM30*CQ30))*60,0)</f>
        <v>0</v>
      </c>
      <c r="CS30" s="96">
        <v>5</v>
      </c>
      <c r="CT30" s="101">
        <f t="shared" ref="CT30" si="262">CR30+CS30</f>
        <v>5</v>
      </c>
      <c r="CU30" s="90"/>
      <c r="CV30" s="96">
        <f t="shared" ref="CV30" si="263">K30</f>
        <v>0</v>
      </c>
      <c r="CW30" s="96">
        <f t="shared" ref="CW30" si="264">L30</f>
        <v>0</v>
      </c>
      <c r="CX30" s="97">
        <f t="shared" ref="CX30" si="265">R30</f>
        <v>0</v>
      </c>
      <c r="CY30" s="97" t="e">
        <f t="shared" si="49"/>
        <v>#N/A</v>
      </c>
      <c r="CZ30" s="98">
        <f t="shared" ref="CZ30" si="266">MIN(IFERROR(CY30*1000/(PI()*DA30),0),5000)</f>
        <v>0</v>
      </c>
      <c r="DA30" s="98">
        <v>300</v>
      </c>
      <c r="DB30" s="97">
        <f t="shared" ref="DB30" si="267">Q30</f>
        <v>0</v>
      </c>
      <c r="DC30" s="97">
        <v>0.4</v>
      </c>
      <c r="DD30" s="98">
        <f t="shared" ref="DD30" si="268">IFERROR((((SQRT((DA30*CX30-CX30^2))+CW30+5)*DB30)/(DC30*CZ30))*60,0)</f>
        <v>0</v>
      </c>
      <c r="DE30" s="96">
        <v>5</v>
      </c>
      <c r="DF30" s="101">
        <f t="shared" ref="DF30" si="269">DD30+DE30</f>
        <v>5</v>
      </c>
      <c r="DG30" s="90"/>
      <c r="DH30" s="96">
        <f t="shared" ref="DH30" si="270">K30</f>
        <v>0</v>
      </c>
      <c r="DI30" s="96">
        <f t="shared" ref="DI30" si="271">L30</f>
        <v>0</v>
      </c>
      <c r="DJ30" s="96">
        <v>12</v>
      </c>
      <c r="DK30" s="96">
        <v>30</v>
      </c>
      <c r="DL30" s="97">
        <v>15</v>
      </c>
      <c r="DM30" s="98">
        <f t="shared" ref="DM30" si="272">MIN(IFERROR(DL30*1000/(PI()*DH30),0),5000)</f>
        <v>0</v>
      </c>
      <c r="DN30" s="98">
        <f t="shared" ref="DN30" si="273">DK30/2</f>
        <v>15</v>
      </c>
      <c r="DO30" s="98">
        <f t="shared" ref="DO30" si="274">IFERROR(((DI30+DK30)*2)/(DM30*DN30/60),0)*DJ30</f>
        <v>0</v>
      </c>
      <c r="DP30" s="96">
        <v>5</v>
      </c>
      <c r="DQ30" s="101">
        <f t="shared" ref="DQ30" si="275">DO30+DP30</f>
        <v>5</v>
      </c>
      <c r="DR30" s="90"/>
      <c r="DS30" s="147">
        <f t="shared" ref="DS30" si="276">K30</f>
        <v>0</v>
      </c>
      <c r="DT30" s="147">
        <f t="shared" ref="DT30" si="277">L30</f>
        <v>0</v>
      </c>
      <c r="DU30" s="96">
        <v>12</v>
      </c>
      <c r="DV30" s="96">
        <v>30</v>
      </c>
      <c r="DW30" s="97">
        <v>15</v>
      </c>
      <c r="DX30" s="98">
        <f t="shared" ref="DX30" si="278">MIN(IFERROR(DW30*1000/(PI()*DS30),0),5000)</f>
        <v>0</v>
      </c>
      <c r="DY30" s="98">
        <f t="shared" ref="DY30" si="279">DV30/2</f>
        <v>15</v>
      </c>
      <c r="DZ30" s="98">
        <f t="shared" ref="DZ30" si="280">IFERROR(((DT30+DV30)*2)/(DX30*DY30/60),0)*DU30</f>
        <v>0</v>
      </c>
      <c r="EA30" s="96">
        <v>5</v>
      </c>
      <c r="EB30" s="101">
        <f t="shared" ref="EB30" si="281">DZ30+EA30</f>
        <v>5</v>
      </c>
      <c r="EC30" s="101"/>
      <c r="ED30" s="90"/>
      <c r="EE30" s="147">
        <f t="shared" ref="EE30" si="282">L30</f>
        <v>0</v>
      </c>
      <c r="EF30" s="147">
        <f t="shared" ref="EF30" si="283">M30</f>
        <v>0</v>
      </c>
      <c r="EG30" s="96">
        <v>30</v>
      </c>
      <c r="EH30" s="95">
        <f t="shared" ref="EH30" si="284">(EE30+30)/500*CEILING((EF30+EG30+3)/(EG30/6),INT(EG30/6))*4+(EE30+30)/500*CEILING((EF30+EG30+3)/(EG30/10),INT(EG30/10))</f>
        <v>3.12</v>
      </c>
      <c r="EI30" s="96">
        <v>3</v>
      </c>
      <c r="EJ30" s="101">
        <f t="shared" ref="EJ30" si="285">EH30+EI30</f>
        <v>6.12</v>
      </c>
      <c r="EK30" s="101"/>
      <c r="EL30" s="67"/>
      <c r="EM30" s="67"/>
      <c r="EN30" s="67"/>
      <c r="EO30" s="67"/>
      <c r="EP30" s="67"/>
      <c r="EQ30" s="67"/>
      <c r="ER30" s="67"/>
      <c r="ES30" s="67"/>
      <c r="ET30" s="67"/>
      <c r="EV30" s="67"/>
      <c r="EW30" s="67"/>
      <c r="EX30" s="67"/>
      <c r="EY30" s="67"/>
      <c r="EZ30" s="67"/>
      <c r="FA30" s="67"/>
      <c r="FB30" s="67"/>
      <c r="FC30" s="67"/>
      <c r="FD30" s="67"/>
      <c r="FE30" s="67"/>
      <c r="FG30" s="67"/>
      <c r="FH30" s="67"/>
      <c r="FI30" s="67"/>
      <c r="FJ30" s="67"/>
      <c r="FK30" s="67"/>
      <c r="FL30" s="67"/>
      <c r="FM30" s="67"/>
      <c r="FN30" s="67"/>
      <c r="FO30" s="67"/>
      <c r="FP30" s="67"/>
      <c r="FR30" s="67"/>
      <c r="FS30" s="67"/>
      <c r="FT30" s="67"/>
      <c r="FV30" s="67"/>
      <c r="FW30" s="67"/>
      <c r="FX30" s="67"/>
      <c r="FY30" s="67"/>
      <c r="FZ30" s="67"/>
      <c r="GA30" s="67"/>
      <c r="GB30" s="67"/>
      <c r="GD30" s="67"/>
      <c r="GE30" s="67"/>
      <c r="GF30" s="67"/>
      <c r="GG30" s="67"/>
      <c r="GH30" s="67"/>
      <c r="GI30" s="67"/>
      <c r="GJ30" s="67"/>
      <c r="GK30" s="67"/>
      <c r="GL30" s="67"/>
      <c r="GM30" s="67"/>
      <c r="GO30" s="67"/>
      <c r="GP30" s="67"/>
      <c r="GQ30" s="67"/>
      <c r="GR30" s="67"/>
      <c r="GS30" s="67"/>
      <c r="GT30" s="67"/>
      <c r="GU30" s="67"/>
      <c r="GV30" s="67"/>
      <c r="GW30" s="67"/>
      <c r="GX30" s="67"/>
      <c r="GZ30" s="67"/>
      <c r="HA30" s="67"/>
      <c r="HB30" s="67"/>
      <c r="HD30" s="67"/>
      <c r="HE30" s="67"/>
      <c r="HF30" s="67"/>
      <c r="HG30" s="67"/>
      <c r="HH30" s="67"/>
      <c r="HI30" s="67"/>
      <c r="HJ30" s="67"/>
      <c r="HL30" s="67"/>
      <c r="HM30" s="67"/>
      <c r="HN30" s="67"/>
      <c r="HO30" s="67"/>
      <c r="HP30" s="67"/>
      <c r="HQ30" s="67"/>
      <c r="HR30" s="67"/>
      <c r="HS30" s="67"/>
      <c r="HT30" s="67"/>
      <c r="HU30" s="67"/>
      <c r="HW30" s="67"/>
      <c r="HX30" s="67"/>
      <c r="HY30" s="67"/>
      <c r="HZ30" s="67"/>
      <c r="IA30" s="67"/>
      <c r="IB30" s="67"/>
      <c r="IC30" s="67"/>
      <c r="ID30" s="67"/>
      <c r="IE30" s="67"/>
      <c r="IF30" s="67"/>
      <c r="IH30" s="67"/>
      <c r="II30" s="67"/>
      <c r="IJ30" s="67"/>
    </row>
    <row r="31" spans="1:251">
      <c r="B31" s="71">
        <f>B29</f>
        <v>0</v>
      </c>
      <c r="C31" s="71" t="str">
        <f>_xlfn.IFNA(VLOOKUP(B31,BOM!$D$1:$H$10000,5,0),"")</f>
        <v/>
      </c>
      <c r="D31" s="637"/>
      <c r="E31" s="209" t="s">
        <v>201</v>
      </c>
      <c r="F31" s="89"/>
      <c r="G31" s="694"/>
      <c r="H31" s="695" t="s">
        <v>200</v>
      </c>
      <c r="I31" s="97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351" t="str">
        <f>IF(F31="","Please enter finished weight in qty column",IF(F31&lt;1,1,F31*1))</f>
        <v>Please enter finished weight in qty column</v>
      </c>
      <c r="W31" s="677"/>
      <c r="X31" s="90"/>
      <c r="Y31" s="96">
        <f t="shared" si="61"/>
        <v>0</v>
      </c>
      <c r="Z31" s="96">
        <f t="shared" si="62"/>
        <v>0</v>
      </c>
      <c r="AA31" s="97" t="e">
        <f t="shared" si="7"/>
        <v>#N/A</v>
      </c>
      <c r="AB31" s="98">
        <f t="shared" si="63"/>
        <v>0</v>
      </c>
      <c r="AC31" s="97">
        <f t="shared" si="64"/>
        <v>0.05</v>
      </c>
      <c r="AD31" s="98">
        <f t="shared" si="65"/>
        <v>0</v>
      </c>
      <c r="AE31" s="98">
        <v>5</v>
      </c>
      <c r="AF31" s="99">
        <f t="shared" si="66"/>
        <v>5</v>
      </c>
      <c r="AG31" s="90"/>
      <c r="AH31" s="146">
        <f t="shared" si="67"/>
        <v>0</v>
      </c>
      <c r="AI31" s="96">
        <f t="shared" si="68"/>
        <v>0</v>
      </c>
      <c r="AJ31" s="96">
        <f t="shared" si="69"/>
        <v>0</v>
      </c>
      <c r="AK31" s="96">
        <f t="shared" si="70"/>
        <v>0</v>
      </c>
      <c r="AL31" s="96">
        <f t="shared" si="71"/>
        <v>0</v>
      </c>
      <c r="AM31" s="97" t="e">
        <f t="shared" si="13"/>
        <v>#N/A</v>
      </c>
      <c r="AN31" s="98">
        <f t="shared" si="72"/>
        <v>0</v>
      </c>
      <c r="AO31" s="97">
        <f t="shared" si="73"/>
        <v>0</v>
      </c>
      <c r="AP31" s="98">
        <f t="shared" si="74"/>
        <v>0</v>
      </c>
      <c r="AQ31" s="96">
        <v>5</v>
      </c>
      <c r="AR31" s="101">
        <f t="shared" si="75"/>
        <v>5</v>
      </c>
      <c r="AS31" s="90"/>
      <c r="AT31" s="146">
        <f t="shared" si="76"/>
        <v>0</v>
      </c>
      <c r="AU31" s="100">
        <f t="shared" si="77"/>
        <v>0</v>
      </c>
      <c r="AV31" s="100">
        <f t="shared" si="78"/>
        <v>0</v>
      </c>
      <c r="AW31" s="96">
        <f t="shared" si="79"/>
        <v>0</v>
      </c>
      <c r="AX31" s="96">
        <f t="shared" si="80"/>
        <v>0</v>
      </c>
      <c r="AY31" s="97" t="e">
        <f t="shared" si="19"/>
        <v>#N/A</v>
      </c>
      <c r="AZ31" s="98">
        <f t="shared" si="81"/>
        <v>0</v>
      </c>
      <c r="BA31" s="97">
        <f t="shared" si="82"/>
        <v>0</v>
      </c>
      <c r="BB31" s="98">
        <f t="shared" si="83"/>
        <v>0</v>
      </c>
      <c r="BC31" s="96">
        <v>5</v>
      </c>
      <c r="BD31" s="101">
        <f t="shared" si="84"/>
        <v>5</v>
      </c>
      <c r="BE31" s="90"/>
      <c r="BF31" s="96">
        <f t="shared" si="85"/>
        <v>0</v>
      </c>
      <c r="BG31" s="96">
        <f t="shared" si="86"/>
        <v>0</v>
      </c>
      <c r="BH31" s="96">
        <f t="shared" si="87"/>
        <v>0</v>
      </c>
      <c r="BI31" s="97" t="e">
        <f t="shared" si="26"/>
        <v>#N/A</v>
      </c>
      <c r="BJ31" s="98">
        <f t="shared" si="88"/>
        <v>0</v>
      </c>
      <c r="BK31" s="97">
        <v>0.1</v>
      </c>
      <c r="BL31" s="98">
        <f t="shared" si="89"/>
        <v>0</v>
      </c>
      <c r="BM31" s="96">
        <v>2</v>
      </c>
      <c r="BN31" s="101">
        <f t="shared" si="90"/>
        <v>2</v>
      </c>
      <c r="BO31" s="90"/>
      <c r="BP31" s="97">
        <f t="shared" si="91"/>
        <v>0</v>
      </c>
      <c r="BQ31" s="97">
        <f t="shared" si="92"/>
        <v>0</v>
      </c>
      <c r="BR31" s="96">
        <f t="shared" si="93"/>
        <v>0</v>
      </c>
      <c r="BS31" s="97" t="e">
        <f t="shared" si="31"/>
        <v>#N/A</v>
      </c>
      <c r="BT31" s="98">
        <f t="shared" si="94"/>
        <v>0</v>
      </c>
      <c r="BU31" s="98">
        <f t="shared" si="95"/>
        <v>0</v>
      </c>
      <c r="BV31" s="96">
        <v>5</v>
      </c>
      <c r="BW31" s="101">
        <f t="shared" si="96"/>
        <v>5</v>
      </c>
      <c r="BX31" s="90"/>
      <c r="BY31" s="96">
        <f t="shared" si="97"/>
        <v>0</v>
      </c>
      <c r="BZ31" s="96">
        <f t="shared" si="98"/>
        <v>0</v>
      </c>
      <c r="CA31" s="96">
        <f t="shared" si="99"/>
        <v>0</v>
      </c>
      <c r="CB31" s="97" t="e">
        <f t="shared" si="37"/>
        <v>#N/A</v>
      </c>
      <c r="CC31" s="98">
        <f t="shared" si="100"/>
        <v>0</v>
      </c>
      <c r="CD31" s="97">
        <v>0.05</v>
      </c>
      <c r="CE31" s="98">
        <f t="shared" si="101"/>
        <v>0</v>
      </c>
      <c r="CF31" s="96">
        <v>5</v>
      </c>
      <c r="CG31" s="101">
        <f t="shared" si="102"/>
        <v>5</v>
      </c>
      <c r="CH31" s="90"/>
      <c r="CI31" s="96">
        <f t="shared" si="103"/>
        <v>0</v>
      </c>
      <c r="CJ31" s="96">
        <f t="shared" si="104"/>
        <v>0</v>
      </c>
      <c r="CK31" s="96">
        <f t="shared" si="105"/>
        <v>0</v>
      </c>
      <c r="CL31" s="97" t="e">
        <f t="shared" si="43"/>
        <v>#N/A</v>
      </c>
      <c r="CM31" s="98">
        <f t="shared" si="106"/>
        <v>0</v>
      </c>
      <c r="CN31" s="97">
        <f t="shared" si="107"/>
        <v>0</v>
      </c>
      <c r="CO31" s="97">
        <f t="shared" si="108"/>
        <v>0</v>
      </c>
      <c r="CP31" s="97">
        <f t="shared" si="109"/>
        <v>41.578000000000003</v>
      </c>
      <c r="CQ31" s="97">
        <v>1.5</v>
      </c>
      <c r="CR31" s="98">
        <f t="shared" si="110"/>
        <v>0</v>
      </c>
      <c r="CS31" s="96">
        <v>5</v>
      </c>
      <c r="CT31" s="101">
        <f t="shared" si="111"/>
        <v>5</v>
      </c>
      <c r="CU31" s="90"/>
      <c r="CV31" s="96">
        <f t="shared" si="112"/>
        <v>0</v>
      </c>
      <c r="CW31" s="96">
        <f t="shared" si="113"/>
        <v>0</v>
      </c>
      <c r="CX31" s="97">
        <f t="shared" si="114"/>
        <v>0</v>
      </c>
      <c r="CY31" s="97" t="e">
        <f t="shared" si="49"/>
        <v>#N/A</v>
      </c>
      <c r="CZ31" s="98">
        <f t="shared" si="115"/>
        <v>0</v>
      </c>
      <c r="DA31" s="98">
        <v>300</v>
      </c>
      <c r="DB31" s="97">
        <f t="shared" si="116"/>
        <v>0</v>
      </c>
      <c r="DC31" s="97">
        <v>0.4</v>
      </c>
      <c r="DD31" s="98">
        <f t="shared" si="117"/>
        <v>0</v>
      </c>
      <c r="DE31" s="96">
        <v>5</v>
      </c>
      <c r="DF31" s="101">
        <f t="shared" si="118"/>
        <v>5</v>
      </c>
      <c r="DG31" s="90"/>
      <c r="DH31" s="96">
        <f t="shared" si="119"/>
        <v>0</v>
      </c>
      <c r="DI31" s="96">
        <f t="shared" si="120"/>
        <v>0</v>
      </c>
      <c r="DJ31" s="96">
        <v>12</v>
      </c>
      <c r="DK31" s="96">
        <v>30</v>
      </c>
      <c r="DL31" s="97">
        <v>15</v>
      </c>
      <c r="DM31" s="98">
        <f t="shared" si="121"/>
        <v>0</v>
      </c>
      <c r="DN31" s="98">
        <f t="shared" si="122"/>
        <v>15</v>
      </c>
      <c r="DO31" s="98">
        <f t="shared" si="123"/>
        <v>0</v>
      </c>
      <c r="DP31" s="96">
        <v>5</v>
      </c>
      <c r="DQ31" s="101">
        <f t="shared" si="124"/>
        <v>5</v>
      </c>
      <c r="DR31" s="90"/>
      <c r="DS31" s="147">
        <f t="shared" si="125"/>
        <v>0</v>
      </c>
      <c r="DT31" s="147">
        <f t="shared" si="126"/>
        <v>0</v>
      </c>
      <c r="DU31" s="96">
        <v>12</v>
      </c>
      <c r="DV31" s="96">
        <v>30</v>
      </c>
      <c r="DW31" s="97">
        <v>15</v>
      </c>
      <c r="DX31" s="98">
        <f t="shared" si="127"/>
        <v>0</v>
      </c>
      <c r="DY31" s="98">
        <f t="shared" si="128"/>
        <v>15</v>
      </c>
      <c r="DZ31" s="98">
        <f t="shared" si="129"/>
        <v>0</v>
      </c>
      <c r="EA31" s="96">
        <v>5</v>
      </c>
      <c r="EB31" s="101">
        <f t="shared" si="130"/>
        <v>5</v>
      </c>
      <c r="EC31" s="101"/>
      <c r="ED31" s="90"/>
      <c r="EE31" s="147">
        <f t="shared" si="131"/>
        <v>0</v>
      </c>
      <c r="EF31" s="147">
        <f t="shared" si="132"/>
        <v>0</v>
      </c>
      <c r="EG31" s="96">
        <v>30</v>
      </c>
      <c r="EH31" s="95">
        <f t="shared" si="133"/>
        <v>3.12</v>
      </c>
      <c r="EI31" s="96">
        <v>3</v>
      </c>
      <c r="EJ31" s="101">
        <f t="shared" si="134"/>
        <v>6.12</v>
      </c>
      <c r="EK31" s="101"/>
      <c r="EL31" s="67"/>
      <c r="EM31" s="67"/>
      <c r="EN31" s="67"/>
      <c r="EO31" s="67"/>
      <c r="EP31" s="67"/>
      <c r="EQ31" s="67"/>
      <c r="ER31" s="67"/>
      <c r="ES31" s="67"/>
      <c r="ET31" s="67"/>
      <c r="EV31" s="67"/>
      <c r="EW31" s="67"/>
      <c r="EX31" s="67"/>
      <c r="EY31" s="67"/>
      <c r="EZ31" s="67"/>
      <c r="FA31" s="67"/>
      <c r="FB31" s="67"/>
      <c r="FC31" s="67"/>
      <c r="FD31" s="67"/>
      <c r="FE31" s="67"/>
      <c r="FG31" s="67"/>
      <c r="FH31" s="67"/>
      <c r="FI31" s="67"/>
      <c r="FJ31" s="67"/>
      <c r="FK31" s="67"/>
      <c r="FL31" s="67"/>
      <c r="FM31" s="67"/>
      <c r="FN31" s="67"/>
      <c r="FO31" s="67"/>
      <c r="FP31" s="67"/>
      <c r="FR31" s="67"/>
      <c r="FS31" s="67"/>
      <c r="FT31" s="67"/>
      <c r="FV31" s="67"/>
      <c r="FW31" s="67"/>
      <c r="FX31" s="67"/>
      <c r="FY31" s="67"/>
      <c r="FZ31" s="67"/>
      <c r="GA31" s="67"/>
      <c r="GB31" s="67"/>
      <c r="GD31" s="67"/>
      <c r="GE31" s="67"/>
      <c r="GF31" s="67"/>
      <c r="GG31" s="67"/>
      <c r="GH31" s="67"/>
      <c r="GI31" s="67"/>
      <c r="GJ31" s="67"/>
      <c r="GK31" s="67"/>
      <c r="GL31" s="67"/>
      <c r="GM31" s="67"/>
      <c r="GO31" s="67"/>
      <c r="GP31" s="67"/>
      <c r="GQ31" s="67"/>
      <c r="GR31" s="67"/>
      <c r="GS31" s="67"/>
      <c r="GT31" s="67"/>
      <c r="GU31" s="67"/>
      <c r="GV31" s="67"/>
      <c r="GW31" s="67"/>
      <c r="GX31" s="67"/>
      <c r="GZ31" s="67"/>
      <c r="HA31" s="67"/>
      <c r="HB31" s="67"/>
      <c r="HD31" s="67"/>
      <c r="HE31" s="67"/>
      <c r="HF31" s="67"/>
      <c r="HG31" s="67"/>
      <c r="HH31" s="67"/>
      <c r="HI31" s="67"/>
      <c r="HJ31" s="67"/>
      <c r="HL31" s="67"/>
      <c r="HM31" s="67"/>
      <c r="HN31" s="67"/>
      <c r="HO31" s="67"/>
      <c r="HP31" s="67"/>
      <c r="HQ31" s="67"/>
      <c r="HR31" s="67"/>
      <c r="HS31" s="67"/>
      <c r="HT31" s="67"/>
      <c r="HU31" s="67"/>
      <c r="HW31" s="67"/>
      <c r="HX31" s="67"/>
      <c r="HY31" s="67"/>
      <c r="HZ31" s="67"/>
      <c r="IA31" s="67"/>
      <c r="IB31" s="67"/>
      <c r="IC31" s="67"/>
      <c r="ID31" s="67"/>
      <c r="IE31" s="67"/>
      <c r="IF31" s="67"/>
      <c r="IH31" s="67"/>
      <c r="II31" s="67"/>
      <c r="IJ31" s="67"/>
    </row>
    <row r="33" customFormat="1"/>
    <row r="34" customFormat="1"/>
    <row r="35" customFormat="1" ht="25.5" customHeight="1"/>
    <row r="36" customFormat="1" ht="15.75" customHeigh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 ht="25.5" customHeight="1"/>
    <row r="45" customFormat="1" ht="15.75" customHeigh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 ht="25.5" customHeight="1"/>
    <row r="55" customFormat="1" ht="15.75" customHeigh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</sheetData>
  <mergeCells count="14">
    <mergeCell ref="B23:F23"/>
    <mergeCell ref="H23:J23"/>
    <mergeCell ref="BY23:CG23"/>
    <mergeCell ref="CI23:CT23"/>
    <mergeCell ref="CV23:DF23"/>
    <mergeCell ref="DH23:DQ23"/>
    <mergeCell ref="DS23:EC23"/>
    <mergeCell ref="EE23:EK23"/>
    <mergeCell ref="K23:W23"/>
    <mergeCell ref="Y23:AF23"/>
    <mergeCell ref="AH23:AR23"/>
    <mergeCell ref="AT23:BD23"/>
    <mergeCell ref="BF23:BN23"/>
    <mergeCell ref="BP23:BW23"/>
  </mergeCells>
  <conditionalFormatting sqref="M25:M29">
    <cfRule type="expression" dxfId="93" priority="112">
      <formula>AND(J25&lt;&gt;"Face Milling",J25&lt;&gt;"Pocket Milling",J25&lt;&gt;"Surface grinding")</formula>
    </cfRule>
  </conditionalFormatting>
  <conditionalFormatting sqref="O25:O29">
    <cfRule type="expression" dxfId="92" priority="111">
      <formula>AND(J25&lt;&gt;"Face Milling",J25&lt;&gt;"Pocket Milling")</formula>
    </cfRule>
  </conditionalFormatting>
  <conditionalFormatting sqref="N25:N29">
    <cfRule type="expression" dxfId="91" priority="110">
      <formula>OR(J25="",J25="Chamfering",J25="Spot facing",J25="Drilling",J25="Tapping",J25="Hobbing",J25="Gear grinding",J25="Internal Grinding",J25="External Grinding",J25="Surface grinding")</formula>
    </cfRule>
  </conditionalFormatting>
  <conditionalFormatting sqref="P25:P29">
    <cfRule type="expression" dxfId="90" priority="109">
      <formula>J25&lt;&gt;"Tapping"</formula>
    </cfRule>
  </conditionalFormatting>
  <conditionalFormatting sqref="Q25:Q29">
    <cfRule type="expression" dxfId="89" priority="108">
      <formula>AND(J25&lt;&gt;"Hobbing",J25&lt;&gt;"Gear grinding")</formula>
    </cfRule>
  </conditionalFormatting>
  <conditionalFormatting sqref="R25:R29">
    <cfRule type="expression" dxfId="88" priority="107">
      <formula>AND(J25&lt;&gt;"Hobbing",J25&lt;&gt;"Gear grinding")</formula>
    </cfRule>
  </conditionalFormatting>
  <conditionalFormatting sqref="S25:S29">
    <cfRule type="expression" dxfId="87" priority="106">
      <formula>AND(J25&lt;&gt;"Hobbing",J25&lt;&gt;"Gear grinding")</formula>
    </cfRule>
  </conditionalFormatting>
  <conditionalFormatting sqref="K25:K29">
    <cfRule type="expression" dxfId="86" priority="105">
      <formula>OR($J25="",$J25="Chamfering",$J25="Spot facing",$J25="Surface grinding")</formula>
    </cfRule>
  </conditionalFormatting>
  <conditionalFormatting sqref="L25:L29">
    <cfRule type="expression" dxfId="85" priority="104">
      <formula>OR($J25="",$J25="Chamfering",$J25="Spot facing")</formula>
    </cfRule>
  </conditionalFormatting>
  <conditionalFormatting sqref="T25:T29">
    <cfRule type="expression" dxfId="84" priority="103">
      <formula>J25=""</formula>
    </cfRule>
  </conditionalFormatting>
  <conditionalFormatting sqref="D31 D25:D29">
    <cfRule type="expression" dxfId="83" priority="102">
      <formula>$C25="Forging"</formula>
    </cfRule>
  </conditionalFormatting>
  <conditionalFormatting sqref="D30">
    <cfRule type="expression" dxfId="82" priority="2">
      <formula>$C30="Forging"</formula>
    </cfRule>
  </conditionalFormatting>
  <conditionalFormatting sqref="V30:V31">
    <cfRule type="containsText" dxfId="81" priority="1" operator="containsText" text="Please enter finished weight in qty column">
      <formula>NOT(ISERROR(SEARCH("Please enter finished weight in qty column",V30)))</formula>
    </cfRule>
  </conditionalFormatting>
  <dataValidations count="3">
    <dataValidation type="list" allowBlank="1" showInputMessage="1" showErrorMessage="1" sqref="J25:J29" xr:uid="{00000000-0002-0000-0300-000000000000}">
      <formula1>$K$5:$K$17</formula1>
    </dataValidation>
    <dataValidation type="list" allowBlank="1" showInputMessage="1" showErrorMessage="1" sqref="H22" xr:uid="{00000000-0002-0000-0300-000001000000}">
      <formula1>$L$3:$S$3</formula1>
    </dataValidation>
    <dataValidation type="list" allowBlank="1" showInputMessage="1" showErrorMessage="1" sqref="D25:D31" xr:uid="{00000000-0002-0000-0300-000002000000}">
      <formula1>"Machining-Soft, Machining-Hard"</formula1>
    </dataValidation>
  </dataValidations>
  <hyperlinks>
    <hyperlink ref="W12" r:id="rId1" xr:uid="{00000000-0004-0000-0300-000000000000}"/>
    <hyperlink ref="B18" r:id="rId2" xr:uid="{00000000-0004-0000-0300-000001000000}"/>
  </hyperlinks>
  <pageMargins left="0.7" right="0.7" top="0.75" bottom="0.75" header="0.3" footer="0.3"/>
  <pageSetup orientation="portrait"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K32"/>
  <sheetViews>
    <sheetView showGridLines="0" zoomScale="85" zoomScaleNormal="85" workbookViewId="0">
      <pane xSplit="10" ySplit="12" topLeftCell="K13" activePane="bottomRight" state="frozen"/>
      <selection pane="topRight" activeCell="J53" sqref="J53"/>
      <selection pane="bottomLeft" activeCell="J53" sqref="J53"/>
      <selection pane="bottomRight" activeCell="R33" sqref="R33"/>
    </sheetView>
  </sheetViews>
  <sheetFormatPr defaultColWidth="9.140625" defaultRowHeight="15"/>
  <cols>
    <col min="1" max="1" width="1.140625" customWidth="1"/>
    <col min="2" max="2" width="10.85546875" hidden="1" customWidth="1"/>
    <col min="3" max="3" width="5.7109375" customWidth="1"/>
    <col min="4" max="4" width="12.28515625" bestFit="1" customWidth="1"/>
    <col min="5" max="5" width="4.5703125" customWidth="1"/>
    <col min="6" max="6" width="42.140625" bestFit="1" customWidth="1"/>
    <col min="7" max="7" width="8.7109375" customWidth="1"/>
    <col min="8" max="8" width="8.5703125" bestFit="1" customWidth="1"/>
    <col min="9" max="9" width="5.7109375" bestFit="1" customWidth="1"/>
    <col min="10" max="10" width="8.5703125" customWidth="1"/>
    <col min="11" max="11" width="12.5703125" bestFit="1" customWidth="1"/>
    <col min="12" max="12" width="9.7109375" bestFit="1" customWidth="1"/>
    <col min="13" max="13" width="11.140625" bestFit="1" customWidth="1"/>
    <col min="14" max="14" width="8.5703125" bestFit="1" customWidth="1"/>
    <col min="15" max="15" width="9.7109375" bestFit="1" customWidth="1"/>
    <col min="16" max="16" width="9.140625" bestFit="1" customWidth="1"/>
    <col min="17" max="17" width="13.42578125" bestFit="1" customWidth="1"/>
    <col min="18" max="18" width="9.5703125" bestFit="1" customWidth="1"/>
    <col min="19" max="19" width="13.5703125" bestFit="1" customWidth="1"/>
    <col min="20" max="20" width="9.140625" bestFit="1" customWidth="1"/>
    <col min="21" max="22" width="9.5703125" bestFit="1" customWidth="1"/>
    <col min="23" max="24" width="9.140625" bestFit="1" customWidth="1"/>
    <col min="25" max="25" width="8.42578125" bestFit="1" customWidth="1"/>
    <col min="26" max="26" width="10.5703125" bestFit="1" customWidth="1"/>
    <col min="27" max="27" width="10.7109375" hidden="1" customWidth="1"/>
    <col min="28" max="28" width="9.140625" bestFit="1" customWidth="1"/>
    <col min="29" max="29" width="8.5703125" bestFit="1" customWidth="1"/>
    <col min="30" max="30" width="12.42578125" bestFit="1" customWidth="1"/>
    <col min="31" max="31" width="12.140625" bestFit="1" customWidth="1"/>
    <col min="32" max="32" width="10" hidden="1" customWidth="1"/>
    <col min="33" max="33" width="12" bestFit="1" customWidth="1"/>
    <col min="34" max="34" width="26.42578125" bestFit="1" customWidth="1"/>
    <col min="35" max="35" width="12.5703125" bestFit="1" customWidth="1"/>
    <col min="36" max="36" width="13.42578125" bestFit="1" customWidth="1"/>
    <col min="37" max="38" width="21.5703125" hidden="1" customWidth="1"/>
    <col min="39" max="39" width="13.5703125" hidden="1" customWidth="1"/>
    <col min="40" max="41" width="10" hidden="1" customWidth="1"/>
    <col min="42" max="42" width="9.7109375" hidden="1" customWidth="1"/>
    <col min="43" max="43" width="8.140625" hidden="1" customWidth="1"/>
    <col min="44" max="45" width="10" hidden="1" customWidth="1"/>
    <col min="46" max="46" width="19.7109375" hidden="1" customWidth="1"/>
    <col min="47" max="47" width="18.5703125" hidden="1" customWidth="1"/>
    <col min="48" max="48" width="10.140625" hidden="1" customWidth="1"/>
    <col min="49" max="49" width="10" hidden="1" customWidth="1"/>
    <col min="50" max="51" width="17.140625" hidden="1" customWidth="1"/>
    <col min="52" max="52" width="16.42578125" hidden="1" customWidth="1"/>
    <col min="53" max="55" width="16.85546875" hidden="1" customWidth="1"/>
    <col min="56" max="59" width="10" hidden="1" customWidth="1"/>
    <col min="60" max="60" width="13.42578125" hidden="1" customWidth="1"/>
    <col min="61" max="61" width="16.7109375" hidden="1" customWidth="1"/>
    <col min="62" max="62" width="13.42578125" hidden="1" customWidth="1"/>
    <col min="63" max="63" width="19.28515625" hidden="1" customWidth="1"/>
  </cols>
  <sheetData>
    <row r="1" spans="1:63" ht="15.75" hidden="1" thickBot="1">
      <c r="A1" s="691">
        <v>1</v>
      </c>
      <c r="F1" s="14"/>
      <c r="G1" s="14"/>
      <c r="I1" s="14"/>
      <c r="J1" s="14"/>
      <c r="K1" s="14"/>
      <c r="L1" s="15"/>
      <c r="M1" s="15"/>
      <c r="N1" s="16"/>
      <c r="O1" s="17"/>
      <c r="P1" s="17"/>
      <c r="Q1" s="17"/>
      <c r="R1" s="17"/>
      <c r="S1" s="16"/>
      <c r="T1" s="14"/>
      <c r="U1" s="14"/>
      <c r="V1" s="14"/>
      <c r="W1" s="14"/>
      <c r="X1" s="14"/>
      <c r="Y1" s="14"/>
      <c r="Z1" s="14"/>
      <c r="AA1" s="14"/>
      <c r="AB1" s="14"/>
      <c r="AD1" s="14"/>
      <c r="AE1" s="14"/>
    </row>
    <row r="2" spans="1:63" ht="15.75" hidden="1" thickBot="1">
      <c r="F2" s="14"/>
      <c r="G2" s="14"/>
      <c r="I2" s="14"/>
      <c r="J2" s="14"/>
      <c r="K2" s="14"/>
      <c r="L2" s="15"/>
      <c r="M2" s="15"/>
      <c r="N2" s="16"/>
      <c r="O2" s="17"/>
      <c r="P2" s="17"/>
      <c r="Q2" s="17"/>
      <c r="R2" s="17"/>
      <c r="S2" s="14"/>
      <c r="T2" s="14"/>
      <c r="U2" s="14"/>
      <c r="V2" s="14"/>
      <c r="W2" s="14"/>
      <c r="X2" s="14"/>
      <c r="Y2" s="14"/>
      <c r="Z2" s="14"/>
      <c r="AA2" s="14"/>
      <c r="AC2" s="14"/>
      <c r="AD2" s="14"/>
    </row>
    <row r="3" spans="1:63" ht="15.75" hidden="1" thickBot="1">
      <c r="F3" s="14"/>
      <c r="G3" s="14"/>
      <c r="I3" s="14"/>
      <c r="J3" s="14"/>
      <c r="K3" s="14"/>
      <c r="L3" s="15"/>
      <c r="M3" s="15"/>
      <c r="N3" s="16"/>
      <c r="O3" s="17"/>
      <c r="P3" s="17"/>
      <c r="Q3" s="17"/>
      <c r="R3" s="17"/>
      <c r="S3" s="14"/>
      <c r="T3" s="14"/>
      <c r="U3" s="14"/>
      <c r="V3" s="14"/>
      <c r="W3" s="14"/>
      <c r="X3" s="14"/>
      <c r="Y3" s="14"/>
      <c r="Z3" s="14"/>
      <c r="AA3" s="14"/>
      <c r="AC3" s="14"/>
      <c r="AD3" s="14"/>
    </row>
    <row r="4" spans="1:63" ht="15.75" hidden="1" thickBot="1">
      <c r="F4" s="14"/>
      <c r="G4" s="14"/>
      <c r="I4" s="14"/>
      <c r="J4" s="14"/>
      <c r="K4" s="14"/>
      <c r="L4" s="15"/>
      <c r="M4" s="15"/>
      <c r="N4" s="16"/>
      <c r="O4" s="17"/>
      <c r="P4" s="17"/>
      <c r="Q4" s="17"/>
      <c r="R4" s="17"/>
      <c r="S4" s="14"/>
      <c r="T4" s="14"/>
      <c r="U4" s="14"/>
      <c r="V4" s="14"/>
      <c r="W4" s="14"/>
      <c r="X4" s="14"/>
      <c r="Y4" s="14"/>
      <c r="Z4" s="14"/>
      <c r="AA4" s="14"/>
      <c r="AC4" s="14"/>
      <c r="AD4" s="14"/>
    </row>
    <row r="5" spans="1:63" ht="15.75" hidden="1" thickBot="1">
      <c r="F5" s="14"/>
      <c r="G5" s="14"/>
      <c r="I5" s="14"/>
      <c r="J5" s="14"/>
      <c r="K5" s="14"/>
      <c r="L5" s="15"/>
      <c r="M5" s="15"/>
      <c r="N5" s="16"/>
      <c r="O5" s="17"/>
      <c r="P5" s="17"/>
      <c r="Q5" s="17"/>
      <c r="R5" s="17"/>
      <c r="S5" s="14"/>
      <c r="T5" s="14"/>
      <c r="U5" s="14"/>
      <c r="V5" s="14"/>
      <c r="W5" s="14"/>
      <c r="X5" s="14"/>
      <c r="Y5" s="14"/>
      <c r="Z5" s="14"/>
      <c r="AA5" s="14"/>
      <c r="AC5" s="14"/>
      <c r="AD5" s="14"/>
    </row>
    <row r="6" spans="1:63" ht="15.75" hidden="1" thickBot="1">
      <c r="F6" s="14"/>
      <c r="G6" s="14"/>
      <c r="I6" s="14"/>
      <c r="J6" s="14"/>
      <c r="K6" s="14"/>
      <c r="L6" s="15"/>
      <c r="M6" s="15"/>
      <c r="N6" s="16"/>
      <c r="O6" s="17"/>
      <c r="P6" s="17"/>
      <c r="Q6" s="17"/>
      <c r="R6" s="17"/>
      <c r="S6" s="14"/>
      <c r="T6" s="14"/>
      <c r="U6" s="14"/>
      <c r="V6" s="14"/>
      <c r="W6" s="14"/>
      <c r="X6" s="14"/>
      <c r="Y6" s="14"/>
      <c r="Z6" s="14"/>
      <c r="AA6" s="14"/>
      <c r="AC6" s="14"/>
      <c r="AD6" s="14"/>
    </row>
    <row r="7" spans="1:63" ht="15.75" hidden="1" thickBot="1">
      <c r="F7" s="14"/>
      <c r="G7" s="14"/>
      <c r="I7" s="14"/>
      <c r="J7" s="14"/>
      <c r="K7" s="14"/>
      <c r="L7" s="15"/>
      <c r="M7" s="15"/>
      <c r="N7" s="16"/>
      <c r="O7" s="17"/>
      <c r="P7" s="17"/>
      <c r="Q7" s="17"/>
      <c r="R7" s="17"/>
      <c r="S7" s="14"/>
      <c r="T7" s="14"/>
      <c r="U7" s="14"/>
      <c r="V7" s="14"/>
      <c r="W7" s="14"/>
      <c r="X7" s="14"/>
      <c r="Y7" s="14"/>
      <c r="Z7" s="14"/>
      <c r="AA7" s="14"/>
      <c r="AC7" s="14"/>
      <c r="AD7" s="14"/>
    </row>
    <row r="8" spans="1:63" ht="15.75" hidden="1" thickBot="1">
      <c r="F8" s="14"/>
      <c r="G8" s="14"/>
      <c r="I8" s="14"/>
      <c r="J8" s="14"/>
      <c r="K8" s="14"/>
      <c r="L8" s="15"/>
      <c r="M8" s="15"/>
      <c r="N8" s="16"/>
      <c r="O8" s="17"/>
      <c r="P8" s="17"/>
      <c r="Q8" s="17"/>
      <c r="R8" s="17"/>
      <c r="S8" s="14"/>
      <c r="T8" s="14"/>
      <c r="U8" s="14"/>
      <c r="V8" s="14"/>
      <c r="W8" s="14"/>
      <c r="X8" s="14"/>
      <c r="Y8" s="14"/>
      <c r="Z8" s="14"/>
      <c r="AA8" s="14"/>
      <c r="AC8" s="14"/>
      <c r="AD8" s="14"/>
    </row>
    <row r="9" spans="1:63" ht="15" customHeight="1">
      <c r="B9" s="181"/>
      <c r="E9" s="792" t="s">
        <v>202</v>
      </c>
      <c r="F9" s="792"/>
      <c r="G9" s="792"/>
      <c r="H9" s="792"/>
      <c r="I9" s="792"/>
      <c r="J9" s="792"/>
    </row>
    <row r="10" spans="1:63" ht="19.5" customHeight="1">
      <c r="B10" s="181" t="s">
        <v>132</v>
      </c>
      <c r="C10" s="200"/>
      <c r="D10" s="200"/>
      <c r="E10" s="793" t="s">
        <v>203</v>
      </c>
      <c r="F10" s="793"/>
      <c r="G10" s="793"/>
      <c r="H10" s="793"/>
      <c r="I10" s="793"/>
      <c r="J10" s="793"/>
      <c r="K10" s="14"/>
      <c r="L10" s="15"/>
      <c r="Q10" s="17"/>
      <c r="R10" s="17"/>
      <c r="S10" s="16"/>
      <c r="T10" s="14"/>
      <c r="U10" s="14"/>
      <c r="V10" s="14"/>
      <c r="W10" s="29"/>
      <c r="X10" s="14"/>
      <c r="Y10" s="14"/>
      <c r="Z10" s="14"/>
      <c r="AA10" s="14"/>
      <c r="AB10" s="230"/>
      <c r="AC10" s="14"/>
      <c r="AD10" s="14"/>
      <c r="AE10" s="255" t="s">
        <v>204</v>
      </c>
      <c r="AG10" s="256">
        <f>SUMIF($G$12:$G$9994,$AE10,$AG$12:$AG$9994)</f>
        <v>0</v>
      </c>
    </row>
    <row r="11" spans="1:63" ht="15.75" customHeight="1">
      <c r="B11" s="181"/>
      <c r="E11" s="794" t="s">
        <v>205</v>
      </c>
      <c r="F11" s="794"/>
      <c r="G11" s="794"/>
      <c r="H11" s="794"/>
      <c r="I11" s="794"/>
      <c r="J11" s="794"/>
      <c r="K11" s="14"/>
      <c r="L11" s="15"/>
      <c r="Q11" s="17"/>
      <c r="R11" s="17"/>
      <c r="S11" s="14"/>
      <c r="T11" s="14"/>
      <c r="U11" s="14"/>
      <c r="V11" s="14"/>
      <c r="W11" s="14"/>
      <c r="X11" s="14"/>
      <c r="Y11" s="14"/>
      <c r="Z11" s="14"/>
      <c r="AA11" s="14"/>
      <c r="AC11" s="14"/>
      <c r="AD11" s="14"/>
      <c r="AE11" s="654" t="s">
        <v>206</v>
      </c>
      <c r="AG11" s="655">
        <f>SUMIF($G$12:$G$9994,$AE11,$AG$12:$AG$9994)</f>
        <v>37.5</v>
      </c>
      <c r="AH11" s="18"/>
    </row>
    <row r="12" spans="1:63" s="19" customFormat="1" ht="60.75" customHeight="1">
      <c r="A12"/>
      <c r="B12" s="152" t="s">
        <v>29</v>
      </c>
      <c r="C12" s="152" t="s">
        <v>30</v>
      </c>
      <c r="D12" s="152" t="s">
        <v>207</v>
      </c>
      <c r="E12" s="152" t="s">
        <v>32</v>
      </c>
      <c r="F12" s="151" t="s">
        <v>208</v>
      </c>
      <c r="G12" s="151" t="s">
        <v>209</v>
      </c>
      <c r="H12" s="152" t="s">
        <v>210</v>
      </c>
      <c r="I12" s="151" t="s">
        <v>34</v>
      </c>
      <c r="J12" s="151" t="s">
        <v>211</v>
      </c>
      <c r="K12" s="151" t="s">
        <v>212</v>
      </c>
      <c r="L12" s="151" t="s">
        <v>213</v>
      </c>
      <c r="M12" s="151" t="s">
        <v>214</v>
      </c>
      <c r="N12" s="253" t="s">
        <v>215</v>
      </c>
      <c r="O12" s="254" t="s">
        <v>216</v>
      </c>
      <c r="P12" s="254" t="s">
        <v>217</v>
      </c>
      <c r="Q12" s="253" t="s">
        <v>218</v>
      </c>
      <c r="R12" s="254" t="s">
        <v>219</v>
      </c>
      <c r="S12" s="254" t="s">
        <v>220</v>
      </c>
      <c r="T12" s="254" t="s">
        <v>221</v>
      </c>
      <c r="U12" s="151" t="s">
        <v>222</v>
      </c>
      <c r="V12" s="151" t="s">
        <v>223</v>
      </c>
      <c r="W12" s="151" t="s">
        <v>224</v>
      </c>
      <c r="X12" s="151" t="s">
        <v>225</v>
      </c>
      <c r="Y12" s="151" t="s">
        <v>226</v>
      </c>
      <c r="Z12" s="151" t="s">
        <v>227</v>
      </c>
      <c r="AA12" s="151" t="s">
        <v>228</v>
      </c>
      <c r="AB12" s="151" t="s">
        <v>229</v>
      </c>
      <c r="AC12" s="151" t="s">
        <v>230</v>
      </c>
      <c r="AD12" s="152" t="s">
        <v>231</v>
      </c>
      <c r="AE12" s="151" t="s">
        <v>232</v>
      </c>
      <c r="AF12" s="151" t="s">
        <v>233</v>
      </c>
      <c r="AG12" s="152" t="s">
        <v>234</v>
      </c>
      <c r="AH12" s="152" t="s">
        <v>45</v>
      </c>
      <c r="AI12" s="152" t="s">
        <v>14</v>
      </c>
      <c r="AJ12" s="152" t="s">
        <v>15</v>
      </c>
      <c r="AK12" s="152" t="s">
        <v>235</v>
      </c>
      <c r="AL12" s="152" t="s">
        <v>236</v>
      </c>
      <c r="AM12" s="152" t="s">
        <v>237</v>
      </c>
      <c r="AN12" s="152" t="s">
        <v>238</v>
      </c>
      <c r="AO12" s="152" t="s">
        <v>239</v>
      </c>
      <c r="AP12" s="152" t="s">
        <v>240</v>
      </c>
      <c r="AQ12" s="152" t="s">
        <v>241</v>
      </c>
      <c r="AR12" s="152" t="s">
        <v>242</v>
      </c>
      <c r="AS12" s="152" t="s">
        <v>243</v>
      </c>
      <c r="AT12" s="152" t="s">
        <v>244</v>
      </c>
      <c r="AU12" s="152" t="s">
        <v>245</v>
      </c>
      <c r="AV12" s="152" t="s">
        <v>246</v>
      </c>
      <c r="AW12" s="152" t="s">
        <v>247</v>
      </c>
      <c r="AX12" s="152" t="s">
        <v>248</v>
      </c>
      <c r="AY12" s="152" t="s">
        <v>249</v>
      </c>
      <c r="AZ12" s="152" t="s">
        <v>250</v>
      </c>
      <c r="BA12" s="152" t="s">
        <v>251</v>
      </c>
      <c r="BB12" s="152" t="s">
        <v>252</v>
      </c>
      <c r="BC12" s="152" t="s">
        <v>253</v>
      </c>
      <c r="BD12" s="152" t="s">
        <v>254</v>
      </c>
      <c r="BE12" s="152" t="s">
        <v>255</v>
      </c>
      <c r="BF12" s="152" t="s">
        <v>256</v>
      </c>
      <c r="BG12" s="152" t="s">
        <v>257</v>
      </c>
      <c r="BH12" s="152" t="s">
        <v>258</v>
      </c>
      <c r="BI12" s="152" t="s">
        <v>259</v>
      </c>
      <c r="BJ12" s="152" t="s">
        <v>260</v>
      </c>
      <c r="BK12" s="152" t="s">
        <v>261</v>
      </c>
    </row>
    <row r="13" spans="1:63" s="14" customFormat="1" ht="15" customHeight="1">
      <c r="A13"/>
      <c r="B13" s="74" t="str">
        <f>_xlfn.IFNA(VLOOKUP(D13,Group!$AM$1:$AO$10000,3,0),"")</f>
        <v>MB512123</v>
      </c>
      <c r="C13" s="71">
        <f>_xlfn.IFNA(VLOOKUP(D13,Group!$AM$1:$AO$10000,2,0),"")</f>
        <v>2</v>
      </c>
      <c r="D13" s="74" t="str">
        <f>Group!K2</f>
        <v>FE705510</v>
      </c>
      <c r="E13" s="71" t="str">
        <f>_xlfn.IFNA(VLOOKUP(D13,BOM!$D$1:$F$10000,2,0),"")</f>
        <v>A</v>
      </c>
      <c r="F13" s="74" t="str">
        <f>_xlfn.IFNA(VLOOKUP(D13,BOM!$D$1:$F$10000,3,0),"")</f>
        <v>SCREW - PAN PHILIPS 4.2 X 1.4 CP X 13.0 LONG</v>
      </c>
      <c r="G13" s="71" t="str">
        <f>_xlfn.IFNA(IF(OR(VLOOKUP(D13,BOM!$D$1:$I$1000,6,0)="Inhouse",VLOOKUP(D13,BOM!$D$1:$J$1000,7,0)="CSC"),"RM","BOP"),"")</f>
        <v>BOP</v>
      </c>
      <c r="H13" s="72"/>
      <c r="I13" s="71">
        <f>_xlfn.IFNA(VLOOKUP(D13,BOM!$D$1:$G$10000,4,0),"")</f>
        <v>10</v>
      </c>
      <c r="J13" s="71" t="str">
        <f>_xlfn.IFNA(IF(VLOOKUP(H13,'RM Base'!D:F,3,0)="Kg",VLOOKUP(H13,'RM Base'!D:E,2,0),IF(VLOOKUP(H13,'RM Base'!D:F,3,0)="Meter",(VLOOKUP(H13,'RM Base'!D:E,2,0)/R13),CONCATENATE("The Price is in ",VLOOKUP(H13,'RM Base'!D:F,3,0)))),"")</f>
        <v/>
      </c>
      <c r="K13" s="235"/>
      <c r="L13" s="236"/>
      <c r="M13" s="236"/>
      <c r="N13" s="236"/>
      <c r="O13" s="237" t="str">
        <f>IF(K13&lt;&gt;"",IF(OR(K13="Tube"),6000,2500),"")</f>
        <v/>
      </c>
      <c r="P13" s="237" t="str">
        <f>IF(OR(O13=6000,O13=""),"",1250)</f>
        <v/>
      </c>
      <c r="Q13" s="238"/>
      <c r="R13" s="22" t="str">
        <f>IF(K13="Sheet Metal",O13*P13*N13*7.86/10^6,IF(K13="Tube",O13*(M13^2-(M13-2*N13)^2)*3.14/4*7.86*10^-6,IF(K13="Bar Machining",O13*M13^2*3.14/4*7.86*10^-6,"")))</f>
        <v/>
      </c>
      <c r="S13" s="22" t="str">
        <f>IF(L13&lt;&gt;"",IF(K13="Tube",INT(O13/(L13+5)),IF(K13="Bar Machining",INT(O13/(L13+5)),IF(Q13="Laser Cutting",AM13,BH13))),"")</f>
        <v/>
      </c>
      <c r="T13" s="23" t="str">
        <f>IF(K13="Tube",L13*(M13^2-(M13-2*N13)^2)*3.14/4*7.86*10^-6,IF(K13="Bar Machining",L13*M13^2*3.14/4*7.86*10^-6,IF(K13="Sheet Metal",L13*M13*N13*7.86*10^-6,"")))</f>
        <v/>
      </c>
      <c r="U13" s="23" t="str">
        <f>IFERROR(R13/S13,"")</f>
        <v/>
      </c>
      <c r="V13" s="23" t="str">
        <f>IFERROR(I13*U13,"")</f>
        <v/>
      </c>
      <c r="W13" s="239"/>
      <c r="X13" s="23" t="str">
        <f>IF(W13="","",W13*I13)</f>
        <v/>
      </c>
      <c r="Y13" s="24" t="str">
        <f>IF(V13="","",W13/U13)</f>
        <v/>
      </c>
      <c r="Z13" s="23" t="str">
        <f>IF(Y13="","",IF(G13="RM",IF(K13="Sheet Metal",W13/N13/7.86*2,IF(K13="Tube",L13*PI()*M13/10^6,0))))</f>
        <v/>
      </c>
      <c r="AA13" s="23" t="str">
        <f>IF(Z13="","",Z13*I13)</f>
        <v/>
      </c>
      <c r="AB13" s="25" t="str">
        <f>IF(AA13="","",U13-W13)</f>
        <v/>
      </c>
      <c r="AC13" s="25" t="str">
        <f>_xlfn.IFNA(VLOOKUP(H13,'RM Base'!D:K,8,0),"")</f>
        <v/>
      </c>
      <c r="AD13" s="24" t="str">
        <f>IF(K13&lt;&gt;"",IF(K13="Sheet Metal",95%,80%),"")</f>
        <v/>
      </c>
      <c r="AE13" s="26">
        <v>0.71</v>
      </c>
      <c r="AF13" s="27"/>
      <c r="AG13" s="28">
        <f>IF(AE13="","",AE13*I13*(1+AF13))</f>
        <v>7.1</v>
      </c>
      <c r="AH13" s="240"/>
      <c r="AI13" s="28">
        <f>IFERROR(IF(G13="RM",(W13*J13*I13),AG13),"")</f>
        <v>7.1</v>
      </c>
      <c r="AJ13" s="28">
        <f>IFERROR(AG13-AI13,"")</f>
        <v>0</v>
      </c>
      <c r="AK13" s="186" t="b">
        <f t="shared" ref="AK13:AK18" si="0">IF(Q13="Shearing",L13,IF(Q13="Blanking",(L13+N13*1.5),IF(Q13="Laser Cutting",(L13+4))))</f>
        <v>0</v>
      </c>
      <c r="AL13" s="185" t="b">
        <f t="shared" ref="AL13:AL18" si="1">IF(Q13="Shearing",M13,IF(Q13="Blanking",(M13+N13*3),IF(Q13="Laser Cutting",(M13+4))))</f>
        <v>0</v>
      </c>
      <c r="AM13" s="187" t="e">
        <f t="shared" ref="AM13:AM18" si="2">IF((INT(O13/AK13)*INT(P13/AL13))&gt;(INT(O13/AL13)*INT(P13/AK13)),INT(O13/AK13)*INT(P13/AL13),IF((INT(O13/AK13)*INT(P13/AL13))=(INT(O13/AL13)*INT(P13/AK13)),(INT(O13/AK13)*INT(P13/AL13)),(INT(O13/AL13)*INT(P13/AK13))))</f>
        <v>#VALUE!</v>
      </c>
      <c r="AN13" s="187" t="e">
        <f t="shared" ref="AN13:AN18" si="3">IF((INT(O13/AK13)*INT(P13/AL13))&gt;(INT(O13/AL13)*INT(P13/AK13)),INT(O13/AK13),IF((INT(O13/AK13)*INT(P13/AL13))=(INT(O13/AL13)*INT(P13/AK13)),(INT(O13/AK13)),(INT(O13/AL13))))</f>
        <v>#VALUE!</v>
      </c>
      <c r="AO13" s="187" t="e">
        <f t="shared" ref="AO13:AO18" si="4">IF((INT(O13/AK13)*INT(P13/AL13))&gt;(INT(O13/AL13)*INT(P13/AK13)),INT(P13/AL13),IF((INT(O13/AK13)*INT(P13/AL13))=(INT(O13/AL13)*INT(P13/AK13)),(INT(P13/AL13)),(INT(P13/AK13))))</f>
        <v>#VALUE!</v>
      </c>
      <c r="AP13" s="187">
        <f t="shared" ref="AP13:AP18" si="5">IF(Q13="Blanking",L13+1.5*N13,L13)</f>
        <v>0</v>
      </c>
      <c r="AQ13" s="187">
        <f t="shared" ref="AQ13:AQ18" si="6">IF(Q13="Blanking",M13+1.5*2*N13,M13)</f>
        <v>0</v>
      </c>
      <c r="AR13" s="187" t="e">
        <f t="shared" ref="AR13:AR18" si="7">INT(O13/AP13)*INT(P13/AQ13)</f>
        <v>#VALUE!</v>
      </c>
      <c r="AS13" s="187" t="e">
        <f t="shared" ref="AS13:AS18" si="8">INT(P13/AP13)*INT(O13/AQ13)</f>
        <v>#VALUE!</v>
      </c>
      <c r="AT13" s="187" t="e">
        <f t="shared" ref="AT13:AT18" si="9">INT(O13/AQ13)*INT(P13/AP13)</f>
        <v>#VALUE!</v>
      </c>
      <c r="AU13" s="187" t="e">
        <f t="shared" ref="AU13:AU18" si="10">INT(P13/AQ13)*INT(O13/AP13)</f>
        <v>#VALUE!</v>
      </c>
      <c r="AV13" s="187" t="e">
        <f t="shared" ref="AV13:AV18" si="11">O13-(INT(O13/AP13)*AP13)</f>
        <v>#VALUE!</v>
      </c>
      <c r="AW13" s="187" t="e">
        <f t="shared" ref="AW13:AW18" si="12">P13-(INT(P13/AP13)*AP13)</f>
        <v>#VALUE!</v>
      </c>
      <c r="AX13" s="187" t="e">
        <f t="shared" ref="AX13:AX18" si="13">O13-(INT(O13/AQ13)*AQ13)</f>
        <v>#VALUE!</v>
      </c>
      <c r="AY13" s="187" t="e">
        <f t="shared" ref="AY13:AY18" si="14">P13-(INT(P13/AQ13)*AQ13)</f>
        <v>#VALUE!</v>
      </c>
      <c r="AZ13" s="187" t="e">
        <f t="shared" ref="AZ13:AZ18" si="15">INT(AV13/AQ13)*INT(P13/AP13)</f>
        <v>#VALUE!</v>
      </c>
      <c r="BA13" s="187" t="e">
        <f t="shared" ref="BA13:BA18" si="16">INT(AW13/AQ13)*INT(O13/AP13)</f>
        <v>#VALUE!</v>
      </c>
      <c r="BB13" s="187" t="e">
        <f t="shared" ref="BB13:BB18" si="17">INT(AX13/AP13)*INT(P13/AQ13)</f>
        <v>#VALUE!</v>
      </c>
      <c r="BC13" s="187" t="e">
        <f t="shared" ref="BC13:BC18" si="18">INT(AY13/AP13)*INT(O13/AQ13)</f>
        <v>#VALUE!</v>
      </c>
      <c r="BD13" s="187" t="e">
        <f t="shared" ref="BD13:BG18" si="19">AZ13+AR13</f>
        <v>#VALUE!</v>
      </c>
      <c r="BE13" s="187" t="e">
        <f t="shared" si="19"/>
        <v>#VALUE!</v>
      </c>
      <c r="BF13" s="187" t="e">
        <f t="shared" si="19"/>
        <v>#VALUE!</v>
      </c>
      <c r="BG13" s="187" t="e">
        <f t="shared" si="19"/>
        <v>#VALUE!</v>
      </c>
      <c r="BH13" s="187" t="e">
        <f t="shared" ref="BH13:BH18" si="20">MAX(BD13:BG13)</f>
        <v>#VALUE!</v>
      </c>
      <c r="BI13" s="187" t="e">
        <f t="shared" ref="BI13:BI18" si="21">IF(BD13=BH13,MIN(INT(O13/AP13),INT(P13/AQ13)),IF(BE13=BH13,MIN(INT(P13/AP13),INT(O13/AQ13)),IF(BF13=BH13,MIN(INT(O13/AQ13),INT(P13/AP13)),MIN(INT(P13/AQ13),INT(O13/AP13)))))</f>
        <v>#VALUE!</v>
      </c>
      <c r="BJ13" s="187" t="e">
        <f t="shared" ref="BJ13:BJ18" si="22">IF(BD13=BH13,MIN(INT(AV13/AQ13),INT(1250/AP13)),IF(BE13=BH13,MIN(INT(AW13/AQ13),INT(O13/AP13)),IF(BF13=BH13,MIN(INT(AX13/AP13),INT(P13/AQ13)),MIN(INT(AY13/AP13),INT(O13/AQ13)))))</f>
        <v>#VALUE!</v>
      </c>
      <c r="BK13" s="188" t="str">
        <f t="shared" ref="BK13:BK18" si="23">IFERROR(BI13+BJ13,"")</f>
        <v/>
      </c>
    </row>
    <row r="14" spans="1:63" s="14" customFormat="1" ht="15" customHeight="1">
      <c r="A14"/>
      <c r="B14" s="74" t="str">
        <f>_xlfn.IFNA(VLOOKUP(D14,Group!$AM$1:$AO$10000,3,0),"")</f>
        <v>MB512123</v>
      </c>
      <c r="C14" s="71">
        <f>_xlfn.IFNA(VLOOKUP(D14,Group!$AM$1:$AO$10000,2,0),"")</f>
        <v>2</v>
      </c>
      <c r="D14" s="74" t="str">
        <f>Group!K3</f>
        <v>FT901100</v>
      </c>
      <c r="E14" s="71" t="str">
        <f>_xlfn.IFNA(VLOOKUP(D14,BOM!$D$1:$F$10000,2,0),"")</f>
        <v>#4</v>
      </c>
      <c r="F14" s="74" t="str">
        <f>_xlfn.IFNA(VLOOKUP(D14,BOM!$D$1:$F$10000,3,0),"")</f>
        <v>C CLIP M4.2 LENGTH 16MM</v>
      </c>
      <c r="G14" s="71" t="str">
        <f>_xlfn.IFNA(IF(OR(VLOOKUP(D14,BOM!$D$1:$I$1000,6,0)="Inhouse",VLOOKUP(D14,BOM!$D$1:$J$1000,7,0)="CSC"),"RM","BOP"),"")</f>
        <v>BOP</v>
      </c>
      <c r="H14" s="72"/>
      <c r="I14" s="71">
        <f>_xlfn.IFNA(VLOOKUP(D14,BOM!$D$1:$G$10000,4,0),"")</f>
        <v>10</v>
      </c>
      <c r="J14" s="71" t="str">
        <f>_xlfn.IFNA(IF(VLOOKUP(H14,'RM Base'!D:F,3,0)="Kg",VLOOKUP(H14,'RM Base'!D:E,2,0),IF(VLOOKUP(H14,'RM Base'!D:F,3,0)="Meter",(VLOOKUP(H14,'RM Base'!D:E,2,0)/R14),CONCATENATE("The Price is in ",VLOOKUP(H14,'RM Base'!D:F,3,0)))),"")</f>
        <v/>
      </c>
      <c r="K14" s="235"/>
      <c r="L14" s="236"/>
      <c r="M14" s="236"/>
      <c r="N14" s="236"/>
      <c r="O14" s="237" t="str">
        <f t="shared" ref="O14:O18" si="24">IF(K14&lt;&gt;"",IF(OR(K14="Tube"),6000,2500),"")</f>
        <v/>
      </c>
      <c r="P14" s="237" t="str">
        <f t="shared" ref="P14:P18" si="25">IF(OR(O14=6000,O14=""),"",1250)</f>
        <v/>
      </c>
      <c r="Q14" s="238"/>
      <c r="R14" s="22" t="str">
        <f t="shared" ref="R14:R18" si="26">IF(K14="Sheet Metal",O14*P14*N14*7.86/10^6,IF(K14="Tube",O14*(M14^2-(M14-2*N14)^2)*3.14/4*7.86*10^-6,IF(K14="Bar Machining",O14*M14^2*3.14/4*7.86*10^-6,"")))</f>
        <v/>
      </c>
      <c r="S14" s="22" t="str">
        <f t="shared" ref="S14:S18" si="27">IF(L14&lt;&gt;"",IF(K14="Tube",INT(O14/(L14+5)),IF(K14="Bar Machining",INT(O14/(L14+5)),IF(Q14="Laser Cutting",AM14,BH14))),"")</f>
        <v/>
      </c>
      <c r="T14" s="23" t="str">
        <f t="shared" ref="T14:T18" si="28">IF(K14="Tube",L14*(M14^2-(M14-2*N14)^2)*3.14/4*7.86*10^-6,IF(K14="Bar Machining",L14*M14^2*3.14/4*7.86*10^-6,IF(K14="Sheet Metal",L14*M14*N14*7.86*10^-6,"")))</f>
        <v/>
      </c>
      <c r="U14" s="23" t="str">
        <f t="shared" ref="U14:U18" si="29">IFERROR(R14/S14,"")</f>
        <v/>
      </c>
      <c r="V14" s="23" t="str">
        <f t="shared" ref="V14:V18" si="30">IFERROR(I14*U14,"")</f>
        <v/>
      </c>
      <c r="W14" s="239"/>
      <c r="X14" s="23" t="str">
        <f t="shared" ref="X14:X18" si="31">IF(W14="","",W14*I14)</f>
        <v/>
      </c>
      <c r="Y14" s="24" t="str">
        <f t="shared" ref="Y14:Y18" si="32">IF(V14="","",W14/U14)</f>
        <v/>
      </c>
      <c r="Z14" s="23" t="str">
        <f t="shared" ref="Z14:Z18" si="33">IF(Y14="","",IF(G14="RM",IF(K14="Sheet Metal",W14/N14/7.86*2,IF(K14="Tube",L14*PI()*M14/10^6,0))))</f>
        <v/>
      </c>
      <c r="AA14" s="23" t="str">
        <f t="shared" ref="AA14:AA18" si="34">IF(Z14="","",Z14*I14)</f>
        <v/>
      </c>
      <c r="AB14" s="25" t="str">
        <f t="shared" ref="AB14:AB18" si="35">IF(AA14="","",U14-W14)</f>
        <v/>
      </c>
      <c r="AC14" s="25" t="str">
        <f>_xlfn.IFNA(VLOOKUP(H14,'RM Base'!D:K,8,0),"")</f>
        <v/>
      </c>
      <c r="AD14" s="24" t="str">
        <f t="shared" ref="AD14:AD18" si="36">IF(K14&lt;&gt;"",IF(K14="Sheet Metal",95%,80%),"")</f>
        <v/>
      </c>
      <c r="AE14" s="26">
        <v>3.04</v>
      </c>
      <c r="AF14" s="27"/>
      <c r="AG14" s="28">
        <f t="shared" ref="AG14:AG18" si="37">IF(AE14="","",AE14*I14*(1+AF14))</f>
        <v>30.4</v>
      </c>
      <c r="AH14" s="240"/>
      <c r="AI14" s="28">
        <f t="shared" ref="AI14:AI18" si="38">IFERROR(IF(G14="RM",(W14*J14*I14),AG14),"")</f>
        <v>30.4</v>
      </c>
      <c r="AJ14" s="28">
        <f t="shared" ref="AJ14:AJ18" si="39">IFERROR(AG14-AI14,"")</f>
        <v>0</v>
      </c>
      <c r="AK14" s="186" t="b">
        <f t="shared" si="0"/>
        <v>0</v>
      </c>
      <c r="AL14" s="185" t="b">
        <f t="shared" si="1"/>
        <v>0</v>
      </c>
      <c r="AM14" s="187" t="e">
        <f t="shared" si="2"/>
        <v>#VALUE!</v>
      </c>
      <c r="AN14" s="187" t="e">
        <f t="shared" si="3"/>
        <v>#VALUE!</v>
      </c>
      <c r="AO14" s="187" t="e">
        <f t="shared" si="4"/>
        <v>#VALUE!</v>
      </c>
      <c r="AP14" s="187">
        <f t="shared" si="5"/>
        <v>0</v>
      </c>
      <c r="AQ14" s="187">
        <f t="shared" si="6"/>
        <v>0</v>
      </c>
      <c r="AR14" s="187" t="e">
        <f t="shared" si="7"/>
        <v>#VALUE!</v>
      </c>
      <c r="AS14" s="187" t="e">
        <f t="shared" si="8"/>
        <v>#VALUE!</v>
      </c>
      <c r="AT14" s="187" t="e">
        <f t="shared" si="9"/>
        <v>#VALUE!</v>
      </c>
      <c r="AU14" s="187" t="e">
        <f t="shared" si="10"/>
        <v>#VALUE!</v>
      </c>
      <c r="AV14" s="187" t="e">
        <f t="shared" si="11"/>
        <v>#VALUE!</v>
      </c>
      <c r="AW14" s="187" t="e">
        <f t="shared" si="12"/>
        <v>#VALUE!</v>
      </c>
      <c r="AX14" s="187" t="e">
        <f t="shared" si="13"/>
        <v>#VALUE!</v>
      </c>
      <c r="AY14" s="187" t="e">
        <f t="shared" si="14"/>
        <v>#VALUE!</v>
      </c>
      <c r="AZ14" s="187" t="e">
        <f t="shared" si="15"/>
        <v>#VALUE!</v>
      </c>
      <c r="BA14" s="187" t="e">
        <f t="shared" si="16"/>
        <v>#VALUE!</v>
      </c>
      <c r="BB14" s="187" t="e">
        <f t="shared" si="17"/>
        <v>#VALUE!</v>
      </c>
      <c r="BC14" s="187" t="e">
        <f t="shared" si="18"/>
        <v>#VALUE!</v>
      </c>
      <c r="BD14" s="187" t="e">
        <f t="shared" si="19"/>
        <v>#VALUE!</v>
      </c>
      <c r="BE14" s="187" t="e">
        <f t="shared" si="19"/>
        <v>#VALUE!</v>
      </c>
      <c r="BF14" s="187" t="e">
        <f t="shared" si="19"/>
        <v>#VALUE!</v>
      </c>
      <c r="BG14" s="187" t="e">
        <f t="shared" si="19"/>
        <v>#VALUE!</v>
      </c>
      <c r="BH14" s="187" t="e">
        <f t="shared" si="20"/>
        <v>#VALUE!</v>
      </c>
      <c r="BI14" s="187" t="e">
        <f t="shared" si="21"/>
        <v>#VALUE!</v>
      </c>
      <c r="BJ14" s="187" t="e">
        <f t="shared" si="22"/>
        <v>#VALUE!</v>
      </c>
      <c r="BK14" s="188" t="str">
        <f t="shared" si="23"/>
        <v/>
      </c>
    </row>
    <row r="15" spans="1:63" s="14" customFormat="1" ht="15" customHeight="1">
      <c r="A15"/>
      <c r="B15" s="74" t="str">
        <f>_xlfn.IFNA(VLOOKUP(D15,Group!$AM$1:$AO$10000,3,0),"")</f>
        <v>MB512123</v>
      </c>
      <c r="C15" s="71">
        <f>_xlfn.IFNA(VLOOKUP(D15,Group!$AM$1:$AO$10000,2,0),"")</f>
        <v>0</v>
      </c>
      <c r="D15" s="74">
        <f>Group!K4</f>
        <v>0</v>
      </c>
      <c r="E15" s="71" t="str">
        <f>_xlfn.IFNA(VLOOKUP(D15,BOM!$D$1:$F$10000,2,0),"")</f>
        <v/>
      </c>
      <c r="F15" s="74" t="str">
        <f>_xlfn.IFNA(VLOOKUP(D15,BOM!$D$1:$F$10000,3,0),"")</f>
        <v/>
      </c>
      <c r="G15" s="71" t="str">
        <f>_xlfn.IFNA(IF(OR(VLOOKUP(D15,BOM!$D$1:$I$1000,6,0)="Inhouse",VLOOKUP(D15,BOM!$D$1:$J$1000,7,0)="CSC"),"RM","BOP"),"")</f>
        <v/>
      </c>
      <c r="H15" s="72"/>
      <c r="I15" s="71" t="str">
        <f>_xlfn.IFNA(VLOOKUP(D15,BOM!$D$1:$G$10000,4,0),"")</f>
        <v/>
      </c>
      <c r="J15" s="71" t="str">
        <f>_xlfn.IFNA(IF(VLOOKUP(H15,'RM Base'!D:F,3,0)="Kg",VLOOKUP(H15,'RM Base'!D:E,2,0),IF(VLOOKUP(H15,'RM Base'!D:F,3,0)="Meter",(VLOOKUP(H15,'RM Base'!D:E,2,0)/R15),CONCATENATE("The Price is in ",VLOOKUP(H15,'RM Base'!D:F,3,0)))),"")</f>
        <v/>
      </c>
      <c r="K15" s="235"/>
      <c r="L15" s="236"/>
      <c r="M15" s="236"/>
      <c r="N15" s="236"/>
      <c r="O15" s="237" t="str">
        <f t="shared" si="24"/>
        <v/>
      </c>
      <c r="P15" s="237" t="str">
        <f t="shared" si="25"/>
        <v/>
      </c>
      <c r="Q15" s="238"/>
      <c r="R15" s="22" t="str">
        <f t="shared" si="26"/>
        <v/>
      </c>
      <c r="S15" s="22" t="str">
        <f t="shared" si="27"/>
        <v/>
      </c>
      <c r="T15" s="23" t="str">
        <f t="shared" si="28"/>
        <v/>
      </c>
      <c r="U15" s="23" t="str">
        <f t="shared" si="29"/>
        <v/>
      </c>
      <c r="V15" s="23" t="str">
        <f t="shared" si="30"/>
        <v/>
      </c>
      <c r="W15" s="239"/>
      <c r="X15" s="23" t="str">
        <f t="shared" si="31"/>
        <v/>
      </c>
      <c r="Y15" s="24" t="str">
        <f t="shared" si="32"/>
        <v/>
      </c>
      <c r="Z15" s="23" t="str">
        <f t="shared" si="33"/>
        <v/>
      </c>
      <c r="AA15" s="23" t="str">
        <f t="shared" si="34"/>
        <v/>
      </c>
      <c r="AB15" s="25" t="str">
        <f t="shared" si="35"/>
        <v/>
      </c>
      <c r="AC15" s="25" t="str">
        <f>_xlfn.IFNA(VLOOKUP(H15,'RM Base'!D:K,8,0),"")</f>
        <v/>
      </c>
      <c r="AD15" s="24" t="str">
        <f t="shared" si="36"/>
        <v/>
      </c>
      <c r="AE15" s="26" t="str">
        <f t="shared" ref="AE15:AE18" si="40">IF(AD15="","",(J15*U15)-(AB15*AC15*AD15))</f>
        <v/>
      </c>
      <c r="AF15" s="27"/>
      <c r="AG15" s="28" t="str">
        <f t="shared" si="37"/>
        <v/>
      </c>
      <c r="AH15" s="240"/>
      <c r="AI15" s="28" t="str">
        <f t="shared" si="38"/>
        <v/>
      </c>
      <c r="AJ15" s="28" t="str">
        <f t="shared" si="39"/>
        <v/>
      </c>
      <c r="AK15" s="186" t="b">
        <f t="shared" si="0"/>
        <v>0</v>
      </c>
      <c r="AL15" s="185" t="b">
        <f t="shared" si="1"/>
        <v>0</v>
      </c>
      <c r="AM15" s="187" t="e">
        <f t="shared" si="2"/>
        <v>#VALUE!</v>
      </c>
      <c r="AN15" s="187" t="e">
        <f t="shared" si="3"/>
        <v>#VALUE!</v>
      </c>
      <c r="AO15" s="187" t="e">
        <f t="shared" si="4"/>
        <v>#VALUE!</v>
      </c>
      <c r="AP15" s="187">
        <f t="shared" si="5"/>
        <v>0</v>
      </c>
      <c r="AQ15" s="187">
        <f t="shared" si="6"/>
        <v>0</v>
      </c>
      <c r="AR15" s="187" t="e">
        <f t="shared" si="7"/>
        <v>#VALUE!</v>
      </c>
      <c r="AS15" s="187" t="e">
        <f t="shared" si="8"/>
        <v>#VALUE!</v>
      </c>
      <c r="AT15" s="187" t="e">
        <f t="shared" si="9"/>
        <v>#VALUE!</v>
      </c>
      <c r="AU15" s="187" t="e">
        <f t="shared" si="10"/>
        <v>#VALUE!</v>
      </c>
      <c r="AV15" s="187" t="e">
        <f t="shared" si="11"/>
        <v>#VALUE!</v>
      </c>
      <c r="AW15" s="187" t="e">
        <f t="shared" si="12"/>
        <v>#VALUE!</v>
      </c>
      <c r="AX15" s="187" t="e">
        <f t="shared" si="13"/>
        <v>#VALUE!</v>
      </c>
      <c r="AY15" s="187" t="e">
        <f t="shared" si="14"/>
        <v>#VALUE!</v>
      </c>
      <c r="AZ15" s="187" t="e">
        <f t="shared" si="15"/>
        <v>#VALUE!</v>
      </c>
      <c r="BA15" s="187" t="e">
        <f t="shared" si="16"/>
        <v>#VALUE!</v>
      </c>
      <c r="BB15" s="187" t="e">
        <f t="shared" si="17"/>
        <v>#VALUE!</v>
      </c>
      <c r="BC15" s="187" t="e">
        <f t="shared" si="18"/>
        <v>#VALUE!</v>
      </c>
      <c r="BD15" s="187" t="e">
        <f t="shared" si="19"/>
        <v>#VALUE!</v>
      </c>
      <c r="BE15" s="187" t="e">
        <f t="shared" si="19"/>
        <v>#VALUE!</v>
      </c>
      <c r="BF15" s="187" t="e">
        <f t="shared" si="19"/>
        <v>#VALUE!</v>
      </c>
      <c r="BG15" s="187" t="e">
        <f t="shared" si="19"/>
        <v>#VALUE!</v>
      </c>
      <c r="BH15" s="187" t="e">
        <f t="shared" si="20"/>
        <v>#VALUE!</v>
      </c>
      <c r="BI15" s="187" t="e">
        <f t="shared" si="21"/>
        <v>#VALUE!</v>
      </c>
      <c r="BJ15" s="187" t="e">
        <f t="shared" si="22"/>
        <v>#VALUE!</v>
      </c>
      <c r="BK15" s="188" t="str">
        <f t="shared" si="23"/>
        <v/>
      </c>
    </row>
    <row r="16" spans="1:63" s="14" customFormat="1" ht="15" customHeight="1">
      <c r="A16"/>
      <c r="B16" s="74" t="str">
        <f>_xlfn.IFNA(VLOOKUP(D16,Group!$AM$1:$AO$10000,3,0),"")</f>
        <v>MB512123</v>
      </c>
      <c r="C16" s="71">
        <f>_xlfn.IFNA(VLOOKUP(D16,Group!$AM$1:$AO$10000,2,0),"")</f>
        <v>0</v>
      </c>
      <c r="D16" s="74">
        <f>Group!K5</f>
        <v>0</v>
      </c>
      <c r="E16" s="71" t="str">
        <f>_xlfn.IFNA(VLOOKUP(D16,BOM!$D$1:$F$10000,2,0),"")</f>
        <v/>
      </c>
      <c r="F16" s="74" t="str">
        <f>_xlfn.IFNA(VLOOKUP(D16,BOM!$D$1:$F$10000,3,0),"")</f>
        <v/>
      </c>
      <c r="G16" s="71" t="str">
        <f>_xlfn.IFNA(IF(OR(VLOOKUP(D16,BOM!$D$1:$I$1000,6,0)="Inhouse",VLOOKUP(D16,BOM!$D$1:$J$1000,7,0)="CSC"),"RM","BOP"),"")</f>
        <v/>
      </c>
      <c r="H16" s="72"/>
      <c r="I16" s="71" t="str">
        <f>_xlfn.IFNA(VLOOKUP(D16,BOM!$D$1:$G$10000,4,0),"")</f>
        <v/>
      </c>
      <c r="J16" s="71" t="str">
        <f>_xlfn.IFNA(IF(VLOOKUP(H16,'RM Base'!D:F,3,0)="Kg",VLOOKUP(H16,'RM Base'!D:E,2,0),IF(VLOOKUP(H16,'RM Base'!D:F,3,0)="Meter",(VLOOKUP(H16,'RM Base'!D:E,2,0)/R16),CONCATENATE("The Price is in ",VLOOKUP(H16,'RM Base'!D:F,3,0)))),"")</f>
        <v/>
      </c>
      <c r="K16" s="235"/>
      <c r="L16" s="236"/>
      <c r="M16" s="236"/>
      <c r="N16" s="236"/>
      <c r="O16" s="237" t="str">
        <f t="shared" si="24"/>
        <v/>
      </c>
      <c r="P16" s="237" t="str">
        <f t="shared" si="25"/>
        <v/>
      </c>
      <c r="Q16" s="238"/>
      <c r="R16" s="22" t="str">
        <f t="shared" si="26"/>
        <v/>
      </c>
      <c r="S16" s="22" t="str">
        <f t="shared" si="27"/>
        <v/>
      </c>
      <c r="T16" s="23" t="str">
        <f t="shared" si="28"/>
        <v/>
      </c>
      <c r="U16" s="23" t="str">
        <f t="shared" si="29"/>
        <v/>
      </c>
      <c r="V16" s="23" t="str">
        <f t="shared" si="30"/>
        <v/>
      </c>
      <c r="W16" s="239"/>
      <c r="X16" s="23" t="str">
        <f t="shared" si="31"/>
        <v/>
      </c>
      <c r="Y16" s="24" t="str">
        <f t="shared" si="32"/>
        <v/>
      </c>
      <c r="Z16" s="23" t="str">
        <f t="shared" si="33"/>
        <v/>
      </c>
      <c r="AA16" s="23" t="str">
        <f t="shared" si="34"/>
        <v/>
      </c>
      <c r="AB16" s="25" t="str">
        <f t="shared" si="35"/>
        <v/>
      </c>
      <c r="AC16" s="25" t="str">
        <f>_xlfn.IFNA(VLOOKUP(H16,'RM Base'!D:K,8,0),"")</f>
        <v/>
      </c>
      <c r="AD16" s="24" t="str">
        <f t="shared" si="36"/>
        <v/>
      </c>
      <c r="AE16" s="26" t="str">
        <f t="shared" si="40"/>
        <v/>
      </c>
      <c r="AF16" s="27"/>
      <c r="AG16" s="28" t="str">
        <f t="shared" si="37"/>
        <v/>
      </c>
      <c r="AH16" s="240"/>
      <c r="AI16" s="28" t="str">
        <f t="shared" si="38"/>
        <v/>
      </c>
      <c r="AJ16" s="28" t="str">
        <f t="shared" si="39"/>
        <v/>
      </c>
      <c r="AK16" s="186" t="b">
        <f t="shared" si="0"/>
        <v>0</v>
      </c>
      <c r="AL16" s="185" t="b">
        <f t="shared" si="1"/>
        <v>0</v>
      </c>
      <c r="AM16" s="187" t="e">
        <f t="shared" si="2"/>
        <v>#VALUE!</v>
      </c>
      <c r="AN16" s="187" t="e">
        <f t="shared" si="3"/>
        <v>#VALUE!</v>
      </c>
      <c r="AO16" s="187" t="e">
        <f t="shared" si="4"/>
        <v>#VALUE!</v>
      </c>
      <c r="AP16" s="187">
        <f t="shared" si="5"/>
        <v>0</v>
      </c>
      <c r="AQ16" s="187">
        <f t="shared" si="6"/>
        <v>0</v>
      </c>
      <c r="AR16" s="187" t="e">
        <f t="shared" si="7"/>
        <v>#VALUE!</v>
      </c>
      <c r="AS16" s="187" t="e">
        <f t="shared" si="8"/>
        <v>#VALUE!</v>
      </c>
      <c r="AT16" s="187" t="e">
        <f t="shared" si="9"/>
        <v>#VALUE!</v>
      </c>
      <c r="AU16" s="187" t="e">
        <f t="shared" si="10"/>
        <v>#VALUE!</v>
      </c>
      <c r="AV16" s="187" t="e">
        <f t="shared" si="11"/>
        <v>#VALUE!</v>
      </c>
      <c r="AW16" s="187" t="e">
        <f t="shared" si="12"/>
        <v>#VALUE!</v>
      </c>
      <c r="AX16" s="187" t="e">
        <f t="shared" si="13"/>
        <v>#VALUE!</v>
      </c>
      <c r="AY16" s="187" t="e">
        <f t="shared" si="14"/>
        <v>#VALUE!</v>
      </c>
      <c r="AZ16" s="187" t="e">
        <f t="shared" si="15"/>
        <v>#VALUE!</v>
      </c>
      <c r="BA16" s="187" t="e">
        <f t="shared" si="16"/>
        <v>#VALUE!</v>
      </c>
      <c r="BB16" s="187" t="e">
        <f t="shared" si="17"/>
        <v>#VALUE!</v>
      </c>
      <c r="BC16" s="187" t="e">
        <f t="shared" si="18"/>
        <v>#VALUE!</v>
      </c>
      <c r="BD16" s="187" t="e">
        <f t="shared" si="19"/>
        <v>#VALUE!</v>
      </c>
      <c r="BE16" s="187" t="e">
        <f t="shared" si="19"/>
        <v>#VALUE!</v>
      </c>
      <c r="BF16" s="187" t="e">
        <f t="shared" si="19"/>
        <v>#VALUE!</v>
      </c>
      <c r="BG16" s="187" t="e">
        <f t="shared" si="19"/>
        <v>#VALUE!</v>
      </c>
      <c r="BH16" s="187" t="e">
        <f t="shared" si="20"/>
        <v>#VALUE!</v>
      </c>
      <c r="BI16" s="187" t="e">
        <f t="shared" si="21"/>
        <v>#VALUE!</v>
      </c>
      <c r="BJ16" s="187" t="e">
        <f t="shared" si="22"/>
        <v>#VALUE!</v>
      </c>
      <c r="BK16" s="188" t="str">
        <f t="shared" si="23"/>
        <v/>
      </c>
    </row>
    <row r="17" spans="1:63" s="14" customFormat="1" ht="15" customHeight="1">
      <c r="A17"/>
      <c r="B17" s="74" t="str">
        <f>_xlfn.IFNA(VLOOKUP(D17,Group!$AM$1:$AO$10000,3,0),"")</f>
        <v>MB512123</v>
      </c>
      <c r="C17" s="71">
        <f>_xlfn.IFNA(VLOOKUP(D17,Group!$AM$1:$AO$10000,2,0),"")</f>
        <v>0</v>
      </c>
      <c r="D17" s="74">
        <f>Group!K6</f>
        <v>0</v>
      </c>
      <c r="E17" s="71" t="str">
        <f>_xlfn.IFNA(VLOOKUP(D17,BOM!$D$1:$F$10000,2,0),"")</f>
        <v/>
      </c>
      <c r="F17" s="74" t="str">
        <f>_xlfn.IFNA(VLOOKUP(D17,BOM!$D$1:$F$10000,3,0),"")</f>
        <v/>
      </c>
      <c r="G17" s="71" t="str">
        <f>_xlfn.IFNA(IF(OR(VLOOKUP(D17,BOM!$D$1:$I$1000,6,0)="Inhouse",VLOOKUP(D17,BOM!$D$1:$J$1000,7,0)="CSC"),"RM","BOP"),"")</f>
        <v/>
      </c>
      <c r="H17" s="72"/>
      <c r="I17" s="71" t="str">
        <f>_xlfn.IFNA(VLOOKUP(D17,BOM!$D$1:$G$10000,4,0),"")</f>
        <v/>
      </c>
      <c r="J17" s="71" t="str">
        <f>_xlfn.IFNA(IF(VLOOKUP(H17,'RM Base'!D:F,3,0)="Kg",VLOOKUP(H17,'RM Base'!D:E,2,0),IF(VLOOKUP(H17,'RM Base'!D:F,3,0)="Meter",(VLOOKUP(H17,'RM Base'!D:E,2,0)/R17),CONCATENATE("The Price is in ",VLOOKUP(H17,'RM Base'!D:F,3,0)))),"")</f>
        <v/>
      </c>
      <c r="K17" s="235"/>
      <c r="L17" s="236"/>
      <c r="M17" s="236"/>
      <c r="N17" s="236"/>
      <c r="O17" s="237" t="str">
        <f t="shared" si="24"/>
        <v/>
      </c>
      <c r="P17" s="237" t="str">
        <f t="shared" si="25"/>
        <v/>
      </c>
      <c r="Q17" s="238"/>
      <c r="R17" s="22" t="str">
        <f t="shared" si="26"/>
        <v/>
      </c>
      <c r="S17" s="22" t="str">
        <f t="shared" si="27"/>
        <v/>
      </c>
      <c r="T17" s="23" t="str">
        <f t="shared" si="28"/>
        <v/>
      </c>
      <c r="U17" s="23" t="str">
        <f t="shared" si="29"/>
        <v/>
      </c>
      <c r="V17" s="23" t="str">
        <f t="shared" si="30"/>
        <v/>
      </c>
      <c r="W17" s="239"/>
      <c r="X17" s="23" t="str">
        <f t="shared" si="31"/>
        <v/>
      </c>
      <c r="Y17" s="24" t="str">
        <f t="shared" si="32"/>
        <v/>
      </c>
      <c r="Z17" s="23" t="str">
        <f t="shared" si="33"/>
        <v/>
      </c>
      <c r="AA17" s="23" t="str">
        <f t="shared" si="34"/>
        <v/>
      </c>
      <c r="AB17" s="25" t="str">
        <f t="shared" si="35"/>
        <v/>
      </c>
      <c r="AC17" s="25" t="str">
        <f>_xlfn.IFNA(VLOOKUP(H17,'RM Base'!D:K,8,0),"")</f>
        <v/>
      </c>
      <c r="AD17" s="24" t="str">
        <f t="shared" si="36"/>
        <v/>
      </c>
      <c r="AE17" s="26" t="str">
        <f t="shared" si="40"/>
        <v/>
      </c>
      <c r="AF17" s="27"/>
      <c r="AG17" s="28" t="str">
        <f t="shared" si="37"/>
        <v/>
      </c>
      <c r="AH17" s="240"/>
      <c r="AI17" s="28" t="str">
        <f t="shared" si="38"/>
        <v/>
      </c>
      <c r="AJ17" s="28" t="str">
        <f t="shared" si="39"/>
        <v/>
      </c>
      <c r="AK17" s="186" t="b">
        <f t="shared" si="0"/>
        <v>0</v>
      </c>
      <c r="AL17" s="185" t="b">
        <f t="shared" si="1"/>
        <v>0</v>
      </c>
      <c r="AM17" s="187" t="e">
        <f t="shared" si="2"/>
        <v>#VALUE!</v>
      </c>
      <c r="AN17" s="187" t="e">
        <f t="shared" si="3"/>
        <v>#VALUE!</v>
      </c>
      <c r="AO17" s="187" t="e">
        <f t="shared" si="4"/>
        <v>#VALUE!</v>
      </c>
      <c r="AP17" s="187">
        <f t="shared" si="5"/>
        <v>0</v>
      </c>
      <c r="AQ17" s="187">
        <f t="shared" si="6"/>
        <v>0</v>
      </c>
      <c r="AR17" s="187" t="e">
        <f t="shared" si="7"/>
        <v>#VALUE!</v>
      </c>
      <c r="AS17" s="187" t="e">
        <f t="shared" si="8"/>
        <v>#VALUE!</v>
      </c>
      <c r="AT17" s="187" t="e">
        <f t="shared" si="9"/>
        <v>#VALUE!</v>
      </c>
      <c r="AU17" s="187" t="e">
        <f t="shared" si="10"/>
        <v>#VALUE!</v>
      </c>
      <c r="AV17" s="187" t="e">
        <f t="shared" si="11"/>
        <v>#VALUE!</v>
      </c>
      <c r="AW17" s="187" t="e">
        <f t="shared" si="12"/>
        <v>#VALUE!</v>
      </c>
      <c r="AX17" s="187" t="e">
        <f t="shared" si="13"/>
        <v>#VALUE!</v>
      </c>
      <c r="AY17" s="187" t="e">
        <f t="shared" si="14"/>
        <v>#VALUE!</v>
      </c>
      <c r="AZ17" s="187" t="e">
        <f t="shared" si="15"/>
        <v>#VALUE!</v>
      </c>
      <c r="BA17" s="187" t="e">
        <f t="shared" si="16"/>
        <v>#VALUE!</v>
      </c>
      <c r="BB17" s="187" t="e">
        <f t="shared" si="17"/>
        <v>#VALUE!</v>
      </c>
      <c r="BC17" s="187" t="e">
        <f t="shared" si="18"/>
        <v>#VALUE!</v>
      </c>
      <c r="BD17" s="187" t="e">
        <f t="shared" si="19"/>
        <v>#VALUE!</v>
      </c>
      <c r="BE17" s="187" t="e">
        <f t="shared" si="19"/>
        <v>#VALUE!</v>
      </c>
      <c r="BF17" s="187" t="e">
        <f t="shared" si="19"/>
        <v>#VALUE!</v>
      </c>
      <c r="BG17" s="187" t="e">
        <f t="shared" si="19"/>
        <v>#VALUE!</v>
      </c>
      <c r="BH17" s="187" t="e">
        <f t="shared" si="20"/>
        <v>#VALUE!</v>
      </c>
      <c r="BI17" s="187" t="e">
        <f t="shared" si="21"/>
        <v>#VALUE!</v>
      </c>
      <c r="BJ17" s="187" t="e">
        <f t="shared" si="22"/>
        <v>#VALUE!</v>
      </c>
      <c r="BK17" s="188" t="str">
        <f t="shared" si="23"/>
        <v/>
      </c>
    </row>
    <row r="18" spans="1:63" s="14" customFormat="1" ht="15" customHeight="1">
      <c r="A18"/>
      <c r="B18" s="74" t="str">
        <f>_xlfn.IFNA(VLOOKUP(D18,Group!$AM$1:$AO$10000,3,0),"")</f>
        <v>MB512123</v>
      </c>
      <c r="C18" s="71">
        <f>_xlfn.IFNA(VLOOKUP(D18,Group!$AM$1:$AO$10000,2,0),"")</f>
        <v>0</v>
      </c>
      <c r="D18" s="74">
        <f>Group!K7</f>
        <v>0</v>
      </c>
      <c r="E18" s="71" t="str">
        <f>_xlfn.IFNA(VLOOKUP(D18,BOM!$D$1:$F$10000,2,0),"")</f>
        <v/>
      </c>
      <c r="F18" s="74" t="str">
        <f>_xlfn.IFNA(VLOOKUP(D18,BOM!$D$1:$F$10000,3,0),"")</f>
        <v/>
      </c>
      <c r="G18" s="71" t="str">
        <f>_xlfn.IFNA(IF(OR(VLOOKUP(D18,BOM!$D$1:$I$1000,6,0)="Inhouse",VLOOKUP(D18,BOM!$D$1:$J$1000,7,0)="CSC"),"RM","BOP"),"")</f>
        <v/>
      </c>
      <c r="H18" s="72"/>
      <c r="I18" s="71" t="str">
        <f>_xlfn.IFNA(VLOOKUP(D18,BOM!$D$1:$G$10000,4,0),"")</f>
        <v/>
      </c>
      <c r="J18" s="71" t="str">
        <f>_xlfn.IFNA(IF(VLOOKUP(H18,'RM Base'!D:F,3,0)="Kg",VLOOKUP(H18,'RM Base'!D:E,2,0),IF(VLOOKUP(H18,'RM Base'!D:F,3,0)="Meter",(VLOOKUP(H18,'RM Base'!D:E,2,0)/R18),CONCATENATE("The Price is in ",VLOOKUP(H18,'RM Base'!D:F,3,0)))),"")</f>
        <v/>
      </c>
      <c r="K18" s="235"/>
      <c r="L18" s="236"/>
      <c r="M18" s="236"/>
      <c r="N18" s="236"/>
      <c r="O18" s="237" t="str">
        <f t="shared" si="24"/>
        <v/>
      </c>
      <c r="P18" s="237" t="str">
        <f t="shared" si="25"/>
        <v/>
      </c>
      <c r="Q18" s="238"/>
      <c r="R18" s="22" t="str">
        <f t="shared" si="26"/>
        <v/>
      </c>
      <c r="S18" s="22" t="str">
        <f t="shared" si="27"/>
        <v/>
      </c>
      <c r="T18" s="23" t="str">
        <f t="shared" si="28"/>
        <v/>
      </c>
      <c r="U18" s="23" t="str">
        <f t="shared" si="29"/>
        <v/>
      </c>
      <c r="V18" s="23" t="str">
        <f t="shared" si="30"/>
        <v/>
      </c>
      <c r="W18" s="239"/>
      <c r="X18" s="23" t="str">
        <f t="shared" si="31"/>
        <v/>
      </c>
      <c r="Y18" s="24" t="str">
        <f t="shared" si="32"/>
        <v/>
      </c>
      <c r="Z18" s="23" t="str">
        <f t="shared" si="33"/>
        <v/>
      </c>
      <c r="AA18" s="23" t="str">
        <f t="shared" si="34"/>
        <v/>
      </c>
      <c r="AB18" s="25" t="str">
        <f t="shared" si="35"/>
        <v/>
      </c>
      <c r="AC18" s="25" t="str">
        <f>_xlfn.IFNA(VLOOKUP(H18,'RM Base'!D:K,8,0),"")</f>
        <v/>
      </c>
      <c r="AD18" s="24" t="str">
        <f t="shared" si="36"/>
        <v/>
      </c>
      <c r="AE18" s="26" t="str">
        <f t="shared" si="40"/>
        <v/>
      </c>
      <c r="AF18" s="27"/>
      <c r="AG18" s="28" t="str">
        <f t="shared" si="37"/>
        <v/>
      </c>
      <c r="AH18" s="240"/>
      <c r="AI18" s="28" t="str">
        <f t="shared" si="38"/>
        <v/>
      </c>
      <c r="AJ18" s="28" t="str">
        <f t="shared" si="39"/>
        <v/>
      </c>
      <c r="AK18" s="186" t="b">
        <f t="shared" si="0"/>
        <v>0</v>
      </c>
      <c r="AL18" s="185" t="b">
        <f t="shared" si="1"/>
        <v>0</v>
      </c>
      <c r="AM18" s="187" t="e">
        <f t="shared" si="2"/>
        <v>#VALUE!</v>
      </c>
      <c r="AN18" s="187" t="e">
        <f t="shared" si="3"/>
        <v>#VALUE!</v>
      </c>
      <c r="AO18" s="187" t="e">
        <f t="shared" si="4"/>
        <v>#VALUE!</v>
      </c>
      <c r="AP18" s="187">
        <f t="shared" si="5"/>
        <v>0</v>
      </c>
      <c r="AQ18" s="187">
        <f t="shared" si="6"/>
        <v>0</v>
      </c>
      <c r="AR18" s="187" t="e">
        <f t="shared" si="7"/>
        <v>#VALUE!</v>
      </c>
      <c r="AS18" s="187" t="e">
        <f t="shared" si="8"/>
        <v>#VALUE!</v>
      </c>
      <c r="AT18" s="187" t="e">
        <f t="shared" si="9"/>
        <v>#VALUE!</v>
      </c>
      <c r="AU18" s="187" t="e">
        <f t="shared" si="10"/>
        <v>#VALUE!</v>
      </c>
      <c r="AV18" s="187" t="e">
        <f t="shared" si="11"/>
        <v>#VALUE!</v>
      </c>
      <c r="AW18" s="187" t="e">
        <f t="shared" si="12"/>
        <v>#VALUE!</v>
      </c>
      <c r="AX18" s="187" t="e">
        <f t="shared" si="13"/>
        <v>#VALUE!</v>
      </c>
      <c r="AY18" s="187" t="e">
        <f t="shared" si="14"/>
        <v>#VALUE!</v>
      </c>
      <c r="AZ18" s="187" t="e">
        <f t="shared" si="15"/>
        <v>#VALUE!</v>
      </c>
      <c r="BA18" s="187" t="e">
        <f t="shared" si="16"/>
        <v>#VALUE!</v>
      </c>
      <c r="BB18" s="187" t="e">
        <f t="shared" si="17"/>
        <v>#VALUE!</v>
      </c>
      <c r="BC18" s="187" t="e">
        <f t="shared" si="18"/>
        <v>#VALUE!</v>
      </c>
      <c r="BD18" s="187" t="e">
        <f t="shared" si="19"/>
        <v>#VALUE!</v>
      </c>
      <c r="BE18" s="187" t="e">
        <f t="shared" si="19"/>
        <v>#VALUE!</v>
      </c>
      <c r="BF18" s="187" t="e">
        <f t="shared" si="19"/>
        <v>#VALUE!</v>
      </c>
      <c r="BG18" s="187" t="e">
        <f t="shared" si="19"/>
        <v>#VALUE!</v>
      </c>
      <c r="BH18" s="187" t="e">
        <f t="shared" si="20"/>
        <v>#VALUE!</v>
      </c>
      <c r="BI18" s="187" t="e">
        <f t="shared" si="21"/>
        <v>#VALUE!</v>
      </c>
      <c r="BJ18" s="187" t="e">
        <f t="shared" si="22"/>
        <v>#VALUE!</v>
      </c>
      <c r="BK18" s="188" t="str">
        <f t="shared" si="23"/>
        <v/>
      </c>
    </row>
    <row r="19" spans="1:63" ht="15" customHeight="1"/>
    <row r="20" spans="1:63" ht="15" customHeight="1"/>
    <row r="21" spans="1:63" ht="15" customHeight="1"/>
    <row r="22" spans="1:63" ht="15" customHeight="1"/>
    <row r="23" spans="1:63" ht="15" customHeight="1"/>
    <row r="24" spans="1:63" ht="15" customHeight="1"/>
    <row r="25" spans="1:63" ht="15" customHeight="1"/>
    <row r="26" spans="1:63" ht="15" customHeight="1"/>
    <row r="27" spans="1:63" ht="15" customHeight="1"/>
    <row r="28" spans="1:63" ht="15" customHeight="1"/>
    <row r="29" spans="1:63" ht="15" customHeight="1"/>
    <row r="30" spans="1:63" ht="15" customHeight="1"/>
    <row r="31" spans="1:63" ht="15" customHeight="1"/>
    <row r="32" spans="1:63" ht="15" customHeight="1"/>
  </sheetData>
  <mergeCells count="3">
    <mergeCell ref="E9:J9"/>
    <mergeCell ref="E10:J10"/>
    <mergeCell ref="E11:J11"/>
  </mergeCells>
  <conditionalFormatting sqref="Y13:Y18">
    <cfRule type="cellIs" dxfId="80" priority="96" operator="lessThan">
      <formula>0.5</formula>
    </cfRule>
  </conditionalFormatting>
  <conditionalFormatting sqref="Q13:Q18">
    <cfRule type="expression" dxfId="79" priority="95">
      <formula>OR($K13="Bar Machining",$K13="Tube",$K13="")</formula>
    </cfRule>
  </conditionalFormatting>
  <conditionalFormatting sqref="H13:H18">
    <cfRule type="expression" dxfId="78" priority="89">
      <formula>OR($G13="BOP",$G13="")</formula>
    </cfRule>
  </conditionalFormatting>
  <conditionalFormatting sqref="L13:L18">
    <cfRule type="expression" dxfId="77" priority="69">
      <formula>$G13="BOP"</formula>
    </cfRule>
  </conditionalFormatting>
  <conditionalFormatting sqref="M13:M18">
    <cfRule type="expression" dxfId="76" priority="59">
      <formula>$G13="BOP"</formula>
    </cfRule>
  </conditionalFormatting>
  <conditionalFormatting sqref="N13:N18">
    <cfRule type="expression" dxfId="75" priority="49">
      <formula>$G13="BOP"</formula>
    </cfRule>
  </conditionalFormatting>
  <conditionalFormatting sqref="AE13:AE18">
    <cfRule type="expression" dxfId="74" priority="38">
      <formula>$G13="BOP"</formula>
    </cfRule>
  </conditionalFormatting>
  <conditionalFormatting sqref="Q13:Q18">
    <cfRule type="expression" dxfId="73" priority="28">
      <formula>$G13="BOP"</formula>
    </cfRule>
  </conditionalFormatting>
  <conditionalFormatting sqref="K13:K18">
    <cfRule type="expression" dxfId="72" priority="18">
      <formula>$G13="BOP"</formula>
    </cfRule>
  </conditionalFormatting>
  <dataValidations count="2">
    <dataValidation type="list" allowBlank="1" showInputMessage="1" showErrorMessage="1" sqref="Q13:Q18" xr:uid="{00000000-0002-0000-0400-000000000000}">
      <formula1>"Shearing, Blanking,Laser Cutting"</formula1>
    </dataValidation>
    <dataValidation type="list" allowBlank="1" showInputMessage="1" showErrorMessage="1" sqref="K13:K18" xr:uid="{00000000-0002-0000-0400-000001000000}">
      <formula1>"Sheet Metal, Tube"</formula1>
    </dataValidation>
  </dataValidations>
  <pageMargins left="0.7" right="0.7" top="0.75" bottom="0.75" header="0.3" footer="0.3"/>
  <pageSetup orientation="landscape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4DD7A9-EE37-4584-94E2-C1C5744BAAA4}">
          <x14:formula1>
            <xm:f>'RM Base'!$D$3:$D$371</xm:f>
          </x14:formula1>
          <xm:sqref>H13:H18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R963"/>
  <sheetViews>
    <sheetView showGridLines="0" zoomScaleNormal="100" workbookViewId="0">
      <pane xSplit="9" ySplit="3" topLeftCell="J4" activePane="bottomRight" state="frozen"/>
      <selection pane="topRight" activeCell="J53" sqref="J53"/>
      <selection pane="bottomLeft" activeCell="J53" sqref="J53"/>
      <selection pane="bottomRight" activeCell="E5" sqref="E5"/>
    </sheetView>
  </sheetViews>
  <sheetFormatPr defaultColWidth="9.140625" defaultRowHeight="15"/>
  <cols>
    <col min="1" max="1" width="9.85546875" style="66" customWidth="1"/>
    <col min="2" max="2" width="16.5703125" style="66" bestFit="1" customWidth="1"/>
    <col min="3" max="3" width="18" style="66" bestFit="1" customWidth="1"/>
    <col min="4" max="4" width="38.28515625" style="65" customWidth="1"/>
    <col min="5" max="5" width="36" style="65" customWidth="1"/>
    <col min="6" max="6" width="9" style="65" customWidth="1"/>
    <col min="7" max="8" width="8" style="65" customWidth="1"/>
    <col min="9" max="9" width="8.42578125" style="66" bestFit="1" customWidth="1"/>
    <col min="10" max="10" width="27.5703125" style="67" customWidth="1"/>
    <col min="11" max="11" width="9.7109375" style="66" customWidth="1"/>
    <col min="12" max="12" width="8.140625" style="66" customWidth="1"/>
    <col min="13" max="13" width="12.5703125" style="66" customWidth="1"/>
    <col min="14" max="14" width="12.140625" style="66" customWidth="1"/>
    <col min="15" max="15" width="11.7109375" style="66" customWidth="1"/>
    <col min="16" max="16" width="12.7109375" style="66" customWidth="1"/>
    <col min="17" max="17" width="60.140625" style="65" bestFit="1" customWidth="1"/>
    <col min="18" max="22" width="9.140625" style="67" customWidth="1"/>
    <col min="23" max="23" width="8.140625" style="67" customWidth="1"/>
    <col min="24" max="24" width="3.85546875" style="67" customWidth="1"/>
    <col min="25" max="25" width="11.85546875" style="67" customWidth="1"/>
    <col min="26" max="26" width="5.42578125" style="67" customWidth="1"/>
    <col min="27" max="27" width="29" style="67" customWidth="1"/>
    <col min="28" max="28" width="11.7109375" style="67" customWidth="1"/>
    <col min="29" max="29" width="9.7109375" style="67" customWidth="1"/>
    <col min="30" max="30" width="3.85546875" style="67" customWidth="1"/>
    <col min="31" max="37" width="9.140625" style="67" customWidth="1"/>
    <col min="38" max="16384" width="9.140625" style="67"/>
  </cols>
  <sheetData>
    <row r="1" spans="1:18" ht="23.25">
      <c r="A1" s="64" t="s">
        <v>262</v>
      </c>
      <c r="B1" s="64"/>
      <c r="C1" s="64"/>
    </row>
    <row r="2" spans="1:18" s="69" customFormat="1">
      <c r="A2" s="13"/>
      <c r="B2" s="13"/>
      <c r="C2" s="13"/>
      <c r="D2" s="68"/>
      <c r="E2" s="68"/>
      <c r="F2" s="68"/>
      <c r="G2" s="68"/>
      <c r="H2" s="68"/>
      <c r="I2" s="13"/>
      <c r="K2" s="13"/>
      <c r="L2" s="13"/>
      <c r="M2" s="13"/>
      <c r="N2" s="66"/>
      <c r="O2" s="66"/>
      <c r="P2" s="13"/>
      <c r="Q2" s="68"/>
    </row>
    <row r="3" spans="1:18" s="70" customFormat="1" ht="45">
      <c r="A3" s="540"/>
      <c r="B3" s="145" t="s">
        <v>3</v>
      </c>
      <c r="C3" s="145" t="s">
        <v>35</v>
      </c>
      <c r="D3" s="145" t="s">
        <v>263</v>
      </c>
      <c r="E3" s="145" t="s">
        <v>82</v>
      </c>
      <c r="F3" s="145" t="s">
        <v>264</v>
      </c>
      <c r="G3" s="145" t="s">
        <v>265</v>
      </c>
      <c r="H3" s="145" t="s">
        <v>266</v>
      </c>
      <c r="I3" s="145" t="s">
        <v>142</v>
      </c>
      <c r="J3" s="152" t="s">
        <v>267</v>
      </c>
      <c r="K3" s="152" t="s">
        <v>268</v>
      </c>
      <c r="L3" s="152" t="s">
        <v>86</v>
      </c>
      <c r="M3" s="152" t="s">
        <v>87</v>
      </c>
      <c r="N3" s="152" t="s">
        <v>88</v>
      </c>
      <c r="O3" s="152" t="s">
        <v>269</v>
      </c>
      <c r="P3" s="145" t="s">
        <v>156</v>
      </c>
      <c r="Q3" s="145" t="s">
        <v>270</v>
      </c>
    </row>
    <row r="4" spans="1:18" s="15" customFormat="1">
      <c r="A4" s="614"/>
      <c r="B4" s="1"/>
      <c r="C4" s="74" t="str">
        <f>_xlfn.IFNA(IF(VLOOKUP(B4,BOM!$D$1:$I$10000,6,0)="Inhouse","Process-Inhouse",IF(VLOOKUP(B4,BOM!$D$1:$I$10000,6,0)="BOF","Process-outsourced",IF(VLOOKUP(B4,BOM!$D$1:$I$10000,6,0)="BOSF","Process-Inhouse"))),"")</f>
        <v/>
      </c>
      <c r="D4" s="74" t="str">
        <f>VLOOKUP(B4,SM_Material!$D$1:$F$9995,3,0)</f>
        <v/>
      </c>
      <c r="E4" s="72" t="str">
        <f>IF(VLOOKUP(B4,SM_Material!D:Q,14,0)&lt;&gt;"",IF(VLOOKUP(B4,SM_Material!D:Q,14,0)="Laser cutting","Laser cut","Shearing"),IF(VLOOKUP(B4,SM_Material!D:K,8,0)="Tube","Cutting",""))</f>
        <v/>
      </c>
      <c r="F4" s="247"/>
      <c r="G4" s="28" t="str">
        <f>IF(F4="","",F4*VLOOKUP(B4,SM_Material!$D$1:$N$9995,11,0)*Q4*0.75/1000*0.115*1.2)</f>
        <v/>
      </c>
      <c r="H4" s="28" t="str">
        <f>IF(F4="","",F4*VLOOKUP(B4,SM_Material!$D$1:$N$9995,11,0)*Q4/1000*0.115*1.2)</f>
        <v/>
      </c>
      <c r="I4" s="71">
        <v>1</v>
      </c>
      <c r="J4" s="616" t="str">
        <f>_xlfn.IFNA(IF(VLOOKUP(B4,SM_Material!D:K,8,0)="Tube",IF(VLOOKUP(B4,SM_Material!D:M,10,0)=0,"",IF(VLOOKUP(B4,SM_Material!D:M,10,0)&lt;=10,CONCATENATE(E4," Ø 6.35 to 10.00"),IF(VLOOKUP(B4,SM_Material!D:M,10,0)&lt;=12.7,CONCATENATE(E4," Ø 12.7"),IF(VLOOKUP(B4,SM_Material!D:M,10,0)&lt;=15.87,CONCATENATE(E4," Ø 15.87"),IF(VLOOKUP(B4,SM_Material!D:M,10,0)&lt;=19,CONCATENATE(E4," Ø 19"),IF(VLOOKUP(B4,SM_Material!D:M,10,0)&lt;=25.4,CONCATENATE(E4," Ø 25.4"),IF(VLOOKUP(B4,SM_Material!D:M,10,0)&lt;=31.75,CONCATENATE(E4," Ø 31.75"),IF(VLOOKUP(B4,SM_Material!D:M,10,0)&lt;=50.8,CONCATENATE(E4," Ø 44.45-50.80"),IF(VLOOKUP(B4,SM_Material!D:M,10,0)&lt;=57.5,CONCATENATE(E4," Ø 57.5"),IF(VLOOKUP(B4,SM_Material!D:M,10,0)&lt;=63.5,CONCATENATE(E4," Ø 63.5"),IF(VLOOKUP(B4,SM_Material!D:M,10,0)&lt;=76.2,CONCATENATE(E4," Ø 76.2"),IF(VLOOKUP(B4,SM_Material!D:M,10,0)&lt;=101,CONCATENATE(E4," Ø 101"),IF(VLOOKUP(B4,SM_Material!D:M,10,0)&lt;=101.6,CONCATENATE(E4," Ø 101"),"-"))))))))))))),""),"")</f>
        <v/>
      </c>
      <c r="K4" s="71" t="str">
        <f>IFERROR(IF(VLOOKUP(B4,SM_Material!D:K,8,0)="Tube",2,IF(VLOOKUP(B4,SM_Material!$D$1:$AM$9995,36,0)=L4,VLOOKUP(B4,SM_Material!$D$1:$AO$9995,38,0),VLOOKUP(B4,SM_Material!$D$1:$BK$9995,60,0))),"")</f>
        <v/>
      </c>
      <c r="L4" s="71" t="str">
        <f>IFERROR(IF(VLOOKUP(B4,SM_Material!D:K,8,0)="Tube",1,VLOOKUP(B4,SM_Material!$D$1:$S$9995,16,0)),"")</f>
        <v/>
      </c>
      <c r="M4" s="730" t="e">
        <f>VLOOKUP(J4,'Process Base'!D:F,3,0)</f>
        <v>#N/A</v>
      </c>
      <c r="N4" s="26" t="str">
        <f t="shared" ref="N4:N8" si="0">IFERROR((M4/L4)*K4,"")</f>
        <v/>
      </c>
      <c r="O4" s="28" t="str">
        <f>IFERROR(I4*N4,"")</f>
        <v/>
      </c>
      <c r="P4" s="615"/>
      <c r="Q4" s="74" t="str">
        <f>_xlfn.IFNA(VLOOKUP(VLOOKUP(B4,SM_Material!D:H,5,0),Calc!$Q$20:$T$35,4,0),CONCATENATE("Check is the UTS for ",VLOOKUP(B4,SM_Material!D:J,5,0)," material is available or not in Calc Sheet(Hidden)"))</f>
        <v>Check is the UTS for  material is available or not in Calc Sheet(Hidden)</v>
      </c>
    </row>
    <row r="5" spans="1:18" s="15" customFormat="1">
      <c r="A5" s="614"/>
      <c r="B5" s="74" t="str">
        <f>IF(B4="","",B4)</f>
        <v/>
      </c>
      <c r="C5" s="74" t="str">
        <f>_xlfn.IFNA(IF(VLOOKUP(B5,BOM!$D$1:$I$10000,6,0)="Inhouse","Process-Inhouse",IF(VLOOKUP(B5,BOM!$D$1:$I$10000,6,0)="BOF","Process-outsourced",IF(VLOOKUP(B5,BOM!$D$1:$I$10000,6,0)="BOSF","Process-Inhouse"))),"")</f>
        <v/>
      </c>
      <c r="D5" s="74" t="str">
        <f>_xlfn.IFNA(VLOOKUP(B5,SM_Material!$D$1:$F$9995,3,0),"-")</f>
        <v>-</v>
      </c>
      <c r="E5" s="72" t="str">
        <f>IF(VLOOKUP(B4,SM_Material!D:Q,14,0)&lt;&gt;"",IF(VLOOKUP(B5,SM_Material!D:Q,14,0)="Blanking","Blanking",IF(VLOOKUP(B5,SM_Material!D:Q,14,0)="Shearing","Second shearing","Hole spotting")),"")</f>
        <v/>
      </c>
      <c r="F5" s="247"/>
      <c r="G5" s="28" t="str">
        <f>IF(F5="","",F5*VLOOKUP(B5,SM_Material!$D$1:$N$9995,11,0)*Q5*0.75/1000*0.115*1.2)</f>
        <v/>
      </c>
      <c r="H5" s="28" t="str">
        <f>IF(F5="","",F5*VLOOKUP(B5,SM_Material!$D$1:$N$9995,11,0)*Q5/1000*0.115*1.2)</f>
        <v/>
      </c>
      <c r="I5" s="71">
        <v>1</v>
      </c>
      <c r="J5" s="616" t="str">
        <f>_xlfn.IFNA(IF(VLOOKUP(B5,SM_Material!D:K,8,0)="Tube",IF(VLOOKUP(B5,SM_Material!D:M,10,0)=0,"",IF(VLOOKUP(B5,SM_Material!D:M,10,0)&lt;=10,CONCATENATE(E5," Ø 6.35 to 10.00"),IF(VLOOKUP(B5,SM_Material!D:M,10,0)&lt;=12.7,CONCATENATE(E5," Ø 12.7"),IF(VLOOKUP(B5,SM_Material!D:M,10,0)&lt;=15.87,CONCATENATE(E5," Ø 15.87"),IF(VLOOKUP(B5,SM_Material!D:M,10,0)&lt;=19,CONCATENATE(E5," Ø 19"),IF(VLOOKUP(B5,SM_Material!D:M,10,0)&lt;=25.4,CONCATENATE(E5," Ø 25.4"),IF(VLOOKUP(B5,SM_Material!D:M,10,0)&lt;=31.75,CONCATENATE(E5," Ø 31.75"),IF(VLOOKUP(B5,SM_Material!D:M,10,0)&lt;=50.8,CONCATENATE(E5," Ø 44.45-50.80"),IF(VLOOKUP(B5,SM_Material!D:M,10,0)&lt;=57.5,CONCATENATE(E5," Ø 57.5"),IF(VLOOKUP(B5,SM_Material!D:M,10,0)&lt;=63.5,CONCATENATE(E5," Ø 63.5"),IF(VLOOKUP(B5,SM_Material!D:M,10,0)&lt;=76.2,CONCATENATE(E5," Ø 76.2"),IF(VLOOKUP(B5,SM_Material!D:M,10,0)&lt;=101,CONCATENATE(E5," Ø 101"),IF(VLOOKUP(B5,SM_Material!D:M,10,0)&lt;=101.6,CONCATENATE(E5," Ø 101"),"-"))))))))))))),""),"")</f>
        <v/>
      </c>
      <c r="K5" s="73"/>
      <c r="L5" s="73"/>
      <c r="M5" s="730" t="e">
        <f>VLOOKUP(J5,'Process Base'!D:F,3,0)</f>
        <v>#N/A</v>
      </c>
      <c r="N5" s="26" t="str">
        <f t="shared" si="0"/>
        <v/>
      </c>
      <c r="O5" s="28" t="str">
        <f t="shared" ref="O5:O8" si="1">IFERROR(I5*N5,"")</f>
        <v/>
      </c>
      <c r="P5" s="615"/>
      <c r="Q5" s="74" t="e">
        <f>_xlfn.IFNA(VLOOKUP(VLOOKUP(B5,SM_Material!D:H,5,0),Calc!$Q$20:$T$35,4,0),CONCATENATE("Check is the UTS for ",VLOOKUP(B5,SM_Material!D:J,5,0)," material is available or not in Calc Sheet(Hidden)"))</f>
        <v>#N/A</v>
      </c>
    </row>
    <row r="6" spans="1:18" s="15" customFormat="1">
      <c r="A6" s="614"/>
      <c r="B6" s="74" t="str">
        <f t="shared" ref="B6:B12" si="2">IF(B5="","",B5)</f>
        <v/>
      </c>
      <c r="C6" s="74" t="str">
        <f>_xlfn.IFNA(IF(VLOOKUP(B6,BOM!$D$1:$I$10000,6,0)="Inhouse","Process-Inhouse",IF(VLOOKUP(B6,BOM!$D$1:$I$10000,6,0)="BOF","Process-outsourced",IF(VLOOKUP(B6,BOM!$D$1:$I$10000,6,0)="BOSF","Process-Inhouse"))),"")</f>
        <v/>
      </c>
      <c r="D6" s="74" t="str">
        <f>_xlfn.IFNA(VLOOKUP(B6,SM_Material!$D$1:$F$9995,3,0),"-")</f>
        <v>-</v>
      </c>
      <c r="E6" s="72"/>
      <c r="F6" s="247"/>
      <c r="G6" s="28" t="str">
        <f>IF(F6="","",F6*VLOOKUP(B6,SM_Material!$D$1:$N$9995,11,0)*Q6*0.75/1000*0.115*1.2)</f>
        <v/>
      </c>
      <c r="H6" s="28" t="str">
        <f>IF(F6="","",F6*VLOOKUP(B6,SM_Material!$D$1:$N$9995,11,0)*Q6/1000*0.115*1.2)</f>
        <v/>
      </c>
      <c r="I6" s="71">
        <v>1</v>
      </c>
      <c r="J6" s="616" t="str">
        <f>_xlfn.IFNA(IF(VLOOKUP(B6,SM_Material!D:K,8,0)="Tube",IF(VLOOKUP(B6,SM_Material!D:M,10,0)=0,"",IF(VLOOKUP(B6,SM_Material!D:M,10,0)&lt;=10,CONCATENATE(E6," Ø 6.35 to 10.00"),IF(VLOOKUP(B6,SM_Material!D:M,10,0)&lt;=12.7,CONCATENATE(E6," Ø 12.7"),IF(VLOOKUP(B6,SM_Material!D:M,10,0)&lt;=15.87,CONCATENATE(E6," Ø 15.87"),IF(VLOOKUP(B6,SM_Material!D:M,10,0)&lt;=19,CONCATENATE(E6," Ø 19"),IF(VLOOKUP(B6,SM_Material!D:M,10,0)&lt;=25.4,CONCATENATE(E6," Ø 25.4"),IF(VLOOKUP(B6,SM_Material!D:M,10,0)&lt;=31.75,CONCATENATE(E6," Ø 31.75"),IF(VLOOKUP(B6,SM_Material!D:M,10,0)&lt;=50.8,CONCATENATE(E6," Ø 44.45-50.80"),IF(VLOOKUP(B6,SM_Material!D:M,10,0)&lt;=57.5,CONCATENATE(E6," Ø 57.5"),IF(VLOOKUP(B6,SM_Material!D:M,10,0)&lt;=63.5,CONCATENATE(E6," Ø 63.5"),IF(VLOOKUP(B6,SM_Material!D:M,10,0)&lt;=76.2,CONCATENATE(E6," Ø 76.2"),IF(VLOOKUP(B6,SM_Material!D:M,10,0)&lt;=101,CONCATENATE(E6," Ø 101"),IF(VLOOKUP(B6,SM_Material!D:M,10,0)&lt;=101.6,CONCATENATE(E6," Ø 101"),"-"))))))))))))),""),"")</f>
        <v/>
      </c>
      <c r="K6" s="73"/>
      <c r="L6" s="73"/>
      <c r="M6" s="730" t="e">
        <f>VLOOKUP(J6,'Process Base'!D:F,3,0)</f>
        <v>#N/A</v>
      </c>
      <c r="N6" s="26" t="str">
        <f t="shared" si="0"/>
        <v/>
      </c>
      <c r="O6" s="28" t="str">
        <f t="shared" si="1"/>
        <v/>
      </c>
      <c r="P6" s="615"/>
      <c r="Q6" s="74" t="e">
        <f>_xlfn.IFNA(VLOOKUP(VLOOKUP(B6,SM_Material!D:H,5,0),Calc!$Q$20:$T$35,4,0),CONCATENATE("Check is the UTS for ",VLOOKUP(B6,SM_Material!D:J,5,0)," material is available or not in Calc Sheet(Hidden)"))</f>
        <v>#N/A</v>
      </c>
    </row>
    <row r="7" spans="1:18" s="15" customFormat="1">
      <c r="A7" s="614"/>
      <c r="B7" s="74" t="str">
        <f t="shared" si="2"/>
        <v/>
      </c>
      <c r="C7" s="74" t="str">
        <f>_xlfn.IFNA(IF(VLOOKUP(B7,BOM!$D$1:$I$10000,6,0)="Inhouse","Process-Inhouse",IF(VLOOKUP(B7,BOM!$D$1:$I$10000,6,0)="BOF","Process-outsourced",IF(VLOOKUP(B7,BOM!$D$1:$I$10000,6,0)="BOSF","Process-Inhouse"))),"")</f>
        <v/>
      </c>
      <c r="D7" s="74" t="str">
        <f>_xlfn.IFNA(VLOOKUP(B7,SM_Material!$D$1:$F$9995,3,0),"-")</f>
        <v>-</v>
      </c>
      <c r="E7" s="72"/>
      <c r="F7" s="247"/>
      <c r="G7" s="28" t="str">
        <f>IF(F7="","",F7*VLOOKUP(B7,SM_Material!$D$1:$N$9995,11,0)*Q7*0.75/1000*0.115*1.2)</f>
        <v/>
      </c>
      <c r="H7" s="28" t="str">
        <f>IF(F7="","",F7*VLOOKUP(B7,SM_Material!$D$1:$N$9995,11,0)*Q7/1000*0.115*1.2)</f>
        <v/>
      </c>
      <c r="I7" s="71">
        <v>1</v>
      </c>
      <c r="J7" s="616" t="str">
        <f>_xlfn.IFNA(IF(VLOOKUP(B7,SM_Material!D:K,8,0)="Tube",IF(VLOOKUP(B7,SM_Material!D:M,10,0)=0,"",IF(VLOOKUP(B7,SM_Material!D:M,10,0)&lt;=10,CONCATENATE(E7," Ø 6.35 to 10.00"),IF(VLOOKUP(B7,SM_Material!D:M,10,0)&lt;=12.7,CONCATENATE(E7," Ø 12.7"),IF(VLOOKUP(B7,SM_Material!D:M,10,0)&lt;=15.87,CONCATENATE(E7," Ø 15.87"),IF(VLOOKUP(B7,SM_Material!D:M,10,0)&lt;=19,CONCATENATE(E7," Ø 19"),IF(VLOOKUP(B7,SM_Material!D:M,10,0)&lt;=25.4,CONCATENATE(E7," Ø 25.4"),IF(VLOOKUP(B7,SM_Material!D:M,10,0)&lt;=31.75,CONCATENATE(E7," Ø 31.75"),IF(VLOOKUP(B7,SM_Material!D:M,10,0)&lt;=50.8,CONCATENATE(E7," Ø 44.45-50.80"),IF(VLOOKUP(B7,SM_Material!D:M,10,0)&lt;=57.5,CONCATENATE(E7," Ø 57.5"),IF(VLOOKUP(B7,SM_Material!D:M,10,0)&lt;=63.5,CONCATENATE(E7," Ø 63.5"),IF(VLOOKUP(B7,SM_Material!D:M,10,0)&lt;=76.2,CONCATENATE(E7," Ø 76.2"),IF(VLOOKUP(B7,SM_Material!D:M,10,0)&lt;=101,CONCATENATE(E7," Ø 101"),IF(VLOOKUP(B7,SM_Material!D:M,10,0)&lt;=101.6,CONCATENATE(E7," Ø 101"),"-"))))))))))))),""),"")</f>
        <v/>
      </c>
      <c r="K7" s="73"/>
      <c r="L7" s="73"/>
      <c r="M7" s="730" t="e">
        <f>VLOOKUP(J7,'Process Base'!D:F,3,0)</f>
        <v>#N/A</v>
      </c>
      <c r="N7" s="26" t="str">
        <f t="shared" si="0"/>
        <v/>
      </c>
      <c r="O7" s="28" t="str">
        <f t="shared" si="1"/>
        <v/>
      </c>
      <c r="P7" s="615"/>
      <c r="Q7" s="74" t="e">
        <f>_xlfn.IFNA(VLOOKUP(VLOOKUP(B7,SM_Material!D:H,5,0),Calc!$Q$20:$T$35,4,0),CONCATENATE("Check is the UTS for ",VLOOKUP(B7,SM_Material!D:J,5,0)," material is available or not in Calc Sheet(Hidden)"))</f>
        <v>#N/A</v>
      </c>
    </row>
    <row r="8" spans="1:18" s="15" customFormat="1">
      <c r="A8" s="614"/>
      <c r="B8" s="74" t="str">
        <f t="shared" si="2"/>
        <v/>
      </c>
      <c r="C8" s="74" t="str">
        <f>_xlfn.IFNA(IF(VLOOKUP(B8,BOM!$D$1:$I$10000,6,0)="Inhouse","Process-Inhouse",IF(VLOOKUP(B8,BOM!$D$1:$I$10000,6,0)="BOF","Process-outsourced",IF(VLOOKUP(B8,BOM!$D$1:$I$10000,6,0)="BOSF","Process-Inhouse"))),"")</f>
        <v/>
      </c>
      <c r="D8" s="74" t="str">
        <f>_xlfn.IFNA(VLOOKUP(B8,SM_Material!$D$1:$F$9995,3,0),"-")</f>
        <v>-</v>
      </c>
      <c r="E8" s="72"/>
      <c r="F8" s="247"/>
      <c r="G8" s="28" t="str">
        <f>IF(F8="","",F8*VLOOKUP(B8,SM_Material!$D$1:$N$9995,11,0)*Q8*0.75/1000*0.115*1.2)</f>
        <v/>
      </c>
      <c r="H8" s="28" t="str">
        <f>IF(F8="","",F8*VLOOKUP(B8,SM_Material!$D$1:$N$9995,11,0)*Q8/1000*0.115*1.2)</f>
        <v/>
      </c>
      <c r="I8" s="71">
        <v>1</v>
      </c>
      <c r="J8" s="616" t="str">
        <f>_xlfn.IFNA(IF(VLOOKUP(B8,SM_Material!D:K,8,0)="Tube",IF(VLOOKUP(B8,SM_Material!D:M,10,0)=0,"",IF(VLOOKUP(B8,SM_Material!D:M,10,0)&lt;=10,CONCATENATE(E8," Ø 6.35 to 10.00"),IF(VLOOKUP(B8,SM_Material!D:M,10,0)&lt;=12.7,CONCATENATE(E8," Ø 12.7"),IF(VLOOKUP(B8,SM_Material!D:M,10,0)&lt;=15.87,CONCATENATE(E8," Ø 15.87"),IF(VLOOKUP(B8,SM_Material!D:M,10,0)&lt;=19,CONCATENATE(E8," Ø 19"),IF(VLOOKUP(B8,SM_Material!D:M,10,0)&lt;=25.4,CONCATENATE(E8," Ø 25.4"),IF(VLOOKUP(B8,SM_Material!D:M,10,0)&lt;=31.75,CONCATENATE(E8," Ø 31.75"),IF(VLOOKUP(B8,SM_Material!D:M,10,0)&lt;=50.8,CONCATENATE(E8," Ø 44.45-50.80"),IF(VLOOKUP(B8,SM_Material!D:M,10,0)&lt;=57.5,CONCATENATE(E8," Ø 57.5"),IF(VLOOKUP(B8,SM_Material!D:M,10,0)&lt;=63.5,CONCATENATE(E8," Ø 63.5"),IF(VLOOKUP(B8,SM_Material!D:M,10,0)&lt;=76.2,CONCATENATE(E8," Ø 76.2"),IF(VLOOKUP(B8,SM_Material!D:M,10,0)&lt;=101,CONCATENATE(E8," Ø 101"),IF(VLOOKUP(B8,SM_Material!D:M,10,0)&lt;=101.6,CONCATENATE(E8," Ø 101"),"-"))))))))))))),""),"")</f>
        <v/>
      </c>
      <c r="K8" s="73"/>
      <c r="L8" s="73"/>
      <c r="M8" s="730" t="e">
        <f>VLOOKUP(J8,'Process Base'!D:F,3,0)</f>
        <v>#N/A</v>
      </c>
      <c r="N8" s="26" t="str">
        <f t="shared" si="0"/>
        <v/>
      </c>
      <c r="O8" s="28" t="str">
        <f t="shared" si="1"/>
        <v/>
      </c>
      <c r="P8" s="615"/>
      <c r="Q8" s="74" t="e">
        <f>_xlfn.IFNA(VLOOKUP(VLOOKUP(B8,SM_Material!D:H,5,0),Calc!$Q$20:$T$35,4,0),CONCATENATE("Check is the UTS for ",VLOOKUP(B8,SM_Material!D:J,5,0)," material is available or not in Calc Sheet(Hidden)"))</f>
        <v>#N/A</v>
      </c>
    </row>
    <row r="9" spans="1:18" s="15" customFormat="1">
      <c r="A9" s="614"/>
      <c r="B9" s="74" t="str">
        <f t="shared" si="2"/>
        <v/>
      </c>
      <c r="C9" s="74" t="str">
        <f>_xlfn.IFNA(IF(VLOOKUP(B9,BOM!$D$1:$I$10000,6,0)="Inhouse","Process-Inhouse",IF(VLOOKUP(B9,BOM!$D$1:$I$10000,6,0)="BOF","Process-outsourced",IF(VLOOKUP(B9,BOM!$D$1:$I$10000,6,0)="BOSF","Process-Inhouse"))),"")</f>
        <v/>
      </c>
      <c r="D9" s="74" t="str">
        <f>_xlfn.IFNA(VLOOKUP(B9,SM_Material!$D$1:$F$9995,3,0),"-")</f>
        <v>-</v>
      </c>
      <c r="E9" s="72" t="s">
        <v>199</v>
      </c>
      <c r="F9" s="247"/>
      <c r="G9" s="28" t="str">
        <f>IF(F9="","",F9*VLOOKUP(B9,SM_Material!$D$1:$N$9995,11,0)*Q9*0.75/1000*0.115*1.2)</f>
        <v/>
      </c>
      <c r="H9" s="28" t="str">
        <f>IF(F9="","",F9*VLOOKUP(B9,SM_Material!$D$1:$N$9995,11,0)*Q9/1000*0.115*1.2)</f>
        <v/>
      </c>
      <c r="I9" s="71">
        <v>1</v>
      </c>
      <c r="J9" s="616"/>
      <c r="K9" s="617">
        <f>SUMIFS(SM_Material!$W$1:$W$9995,SM_Material!$D$1:$D$9995,SM_Process!B9)/2</f>
        <v>0</v>
      </c>
      <c r="L9" s="73">
        <v>1</v>
      </c>
      <c r="M9" s="730" t="e">
        <f>VLOOKUP(J9,'Process Base'!D:F,3,0)</f>
        <v>#N/A</v>
      </c>
      <c r="N9" s="26" t="str">
        <f t="shared" ref="N9:N12" si="3">IFERROR((M9/L9)*K9,"")</f>
        <v/>
      </c>
      <c r="O9" s="28" t="str">
        <f t="shared" ref="O9:O12" si="4">IFERROR(I9*N9,"")</f>
        <v/>
      </c>
      <c r="P9" s="615"/>
      <c r="Q9" s="74" t="e">
        <f>_xlfn.IFNA(VLOOKUP(VLOOKUP(B9,SM_Material!D:H,5,0),Calc!$Q$20:$T$35,4,0),CONCATENATE("Check is the UTS for ",VLOOKUP(B9,SM_Material!D:J,5,0)," material is available or not in Calc Sheet(Hidden)"))</f>
        <v>#N/A</v>
      </c>
    </row>
    <row r="10" spans="1:18" s="15" customFormat="1">
      <c r="A10" s="614"/>
      <c r="B10" s="74" t="str">
        <f t="shared" si="2"/>
        <v/>
      </c>
      <c r="C10" s="74" t="str">
        <f>_xlfn.IFNA(IF(VLOOKUP(B10,BOM!$D$1:$I$10000,6,0)="Inhouse","Process-Inhouse",IF(VLOOKUP(B10,BOM!$D$1:$I$10000,6,0)="BOF","Process-outsourced",IF(VLOOKUP(B10,BOM!$D$1:$I$10000,6,0)="BOSF","Process-Inhouse"))),"")</f>
        <v/>
      </c>
      <c r="D10" s="74" t="str">
        <f>_xlfn.IFNA(VLOOKUP(B10,SM_Material!$D$1:$F$9995,3,0),"-")</f>
        <v>-</v>
      </c>
      <c r="E10" s="72" t="s">
        <v>271</v>
      </c>
      <c r="F10" s="247"/>
      <c r="G10" s="28" t="str">
        <f>IF(F10="","",F10*VLOOKUP(B10,SM_Material!$D$1:$N$9995,11,0)*Q10*0.75/1000*0.115*1.2)</f>
        <v/>
      </c>
      <c r="H10" s="28" t="str">
        <f>IF(F10="","",F10*VLOOKUP(B10,SM_Material!$D$1:$N$9995,11,0)*Q10/1000*0.115*1.2)</f>
        <v/>
      </c>
      <c r="I10" s="71">
        <v>1</v>
      </c>
      <c r="J10" s="616"/>
      <c r="K10" s="617">
        <f>SUMIFS(SM_Material!$W$1:$W$9995,SM_Material!$D$1:$D$9995,SM_Process!B10)/2</f>
        <v>0</v>
      </c>
      <c r="L10" s="73">
        <v>1</v>
      </c>
      <c r="M10" s="730" t="e">
        <f>VLOOKUP(J10,'Process Base'!D:F,3,0)</f>
        <v>#N/A</v>
      </c>
      <c r="N10" s="26" t="str">
        <f t="shared" si="3"/>
        <v/>
      </c>
      <c r="O10" s="28" t="str">
        <f t="shared" si="4"/>
        <v/>
      </c>
      <c r="P10" s="615"/>
      <c r="Q10" s="74" t="e">
        <f>_xlfn.IFNA(VLOOKUP(VLOOKUP(B10,SM_Material!D:H,5,0),Calc!$Q$20:$T$35,4,0),CONCATENATE("Check is the UTS for ",VLOOKUP(B10,SM_Material!D:J,5,0)," material is available or not in Calc Sheet(Hidden)"))</f>
        <v>#N/A</v>
      </c>
    </row>
    <row r="11" spans="1:18" s="15" customFormat="1">
      <c r="A11" s="614"/>
      <c r="B11" s="74" t="str">
        <f t="shared" si="2"/>
        <v/>
      </c>
      <c r="C11" s="74" t="str">
        <f>_xlfn.IFNA(IF(VLOOKUP(B11,BOM!$D$1:$I$10000,6,0)="Inhouse","Process-Inhouse",IF(VLOOKUP(B11,BOM!$D$1:$I$10000,6,0)="BOF","Process-outsourced",IF(VLOOKUP(B11,BOM!$D$1:$I$10000,6,0)="BOSF","Process-Inhouse"))),"")</f>
        <v/>
      </c>
      <c r="D11" s="74" t="str">
        <f>_xlfn.IFNA(VLOOKUP(B11,SM_Material!$D$1:$F$9995,3,0),"-")</f>
        <v>-</v>
      </c>
      <c r="E11" s="72" t="s">
        <v>272</v>
      </c>
      <c r="F11" s="247"/>
      <c r="G11" s="28" t="str">
        <f>IF(F11="","",F11*VLOOKUP(B11,SM_Material!$D$1:$N$9995,11,0)*Q11*0.75/1000*0.115*1.2)</f>
        <v/>
      </c>
      <c r="H11" s="28" t="str">
        <f>IF(F11="","",F11*VLOOKUP(B11,SM_Material!$D$1:$N$9995,11,0)*Q11/1000*0.115*1.2)</f>
        <v/>
      </c>
      <c r="I11" s="71">
        <v>1</v>
      </c>
      <c r="J11" s="616"/>
      <c r="K11" s="617">
        <f>SUMIFS(SM_Material!$W$1:$W$9995,SM_Material!$D$1:$D$9995,SM_Process!B11)</f>
        <v>0</v>
      </c>
      <c r="L11" s="73">
        <v>1</v>
      </c>
      <c r="M11" s="730" t="e">
        <f>VLOOKUP(J11,'Process Base'!D:F,3,0)</f>
        <v>#N/A</v>
      </c>
      <c r="N11" s="26" t="str">
        <f t="shared" si="3"/>
        <v/>
      </c>
      <c r="O11" s="28" t="str">
        <f t="shared" si="4"/>
        <v/>
      </c>
      <c r="P11" s="615"/>
      <c r="Q11" s="74" t="e">
        <f>_xlfn.IFNA(VLOOKUP(VLOOKUP(B11,SM_Material!D:H,5,0),Calc!$Q$20:$T$35,4,0),CONCATENATE("Check is the UTS for ",VLOOKUP(B11,SM_Material!D:J,5,0)," material is available or not in Calc Sheet(Hidden)"))</f>
        <v>#N/A</v>
      </c>
    </row>
    <row r="12" spans="1:18">
      <c r="A12" s="614"/>
      <c r="B12" s="74" t="str">
        <f t="shared" si="2"/>
        <v/>
      </c>
      <c r="C12" s="74" t="str">
        <f>_xlfn.IFNA(IF(E12="Surface protection","Surface Protection",IF(VLOOKUP(B12,BOM!$D$1:$I$10000,6,0)="Inhouse","Process-Inhouse",IF(VLOOKUP(B12,BOM!$D$1:$I$10000,6,0)="BOF","Process-outsourced",IF(VLOOKUP(B12,BOM!$D$1:$I$10000,6,0)="BOSF","Process-Inhouse")))),"")</f>
        <v/>
      </c>
      <c r="D12" s="74" t="str">
        <f>_xlfn.IFNA(VLOOKUP(B12,SM_Material!$D$1:$F$9995,3,0),"-")</f>
        <v>-</v>
      </c>
      <c r="E12" s="72" t="str">
        <f>IF(B12="","","Surface protection")</f>
        <v/>
      </c>
      <c r="F12" s="28"/>
      <c r="G12" s="28"/>
      <c r="H12" s="28"/>
      <c r="I12" s="71">
        <v>1</v>
      </c>
      <c r="J12" s="642" t="str">
        <f>IF(E12="","",IF(K12&lt;0.5,"Powder Coating(EP)&lt;0.5 sq.mtr","Powder Coating(EP)&gt;=0.5 sq.mtr"))</f>
        <v/>
      </c>
      <c r="K12" s="617" t="str">
        <f>IF(D12="Surface protection",SUMIFS(SM_Material!Z:Z,SM_Material!D:D,SM_Process!B12),"")</f>
        <v/>
      </c>
      <c r="L12" s="73">
        <v>1</v>
      </c>
      <c r="M12" s="730" t="e">
        <f>VLOOKUP(J12,'Process Base'!D:F,3,0)</f>
        <v>#N/A</v>
      </c>
      <c r="N12" s="26" t="str">
        <f t="shared" si="3"/>
        <v/>
      </c>
      <c r="O12" s="28" t="str">
        <f t="shared" si="4"/>
        <v/>
      </c>
      <c r="P12" s="615"/>
      <c r="Q12" s="74" t="e">
        <f>_xlfn.IFNA(VLOOKUP(VLOOKUP(B12,SM_Material!D:H,5,0),Calc!$Q$20:$T$35,4,0),CONCATENATE("Check is the UTS for ",VLOOKUP(B12,SM_Material!D:J,5,0)," material is available or not in Calc Sheet(Hidden)"))</f>
        <v>#N/A</v>
      </c>
      <c r="R12" s="15"/>
    </row>
    <row r="13" spans="1:18">
      <c r="A13" s="67"/>
      <c r="B13" s="67"/>
      <c r="C13" s="67"/>
      <c r="D13" s="67"/>
      <c r="E13" s="67"/>
      <c r="F13" s="67"/>
      <c r="G13" s="67"/>
      <c r="H13" s="67"/>
      <c r="I13" s="67"/>
      <c r="K13" s="67"/>
      <c r="L13" s="67"/>
      <c r="M13" s="67"/>
      <c r="N13" s="67"/>
      <c r="O13" s="67"/>
      <c r="P13" s="67"/>
      <c r="Q13" s="67"/>
    </row>
    <row r="14" spans="1:18">
      <c r="A14" s="67"/>
      <c r="B14" s="67"/>
      <c r="C14" s="67"/>
      <c r="D14" s="67"/>
      <c r="E14" s="67"/>
      <c r="F14" s="67"/>
      <c r="G14" s="67"/>
      <c r="H14" s="67"/>
      <c r="I14" s="67"/>
      <c r="K14" s="67"/>
      <c r="L14" s="67"/>
      <c r="M14" s="67"/>
      <c r="N14" s="67"/>
      <c r="O14" s="67"/>
      <c r="P14" s="67"/>
      <c r="Q14" s="67"/>
    </row>
    <row r="15" spans="1:18">
      <c r="A15" s="67"/>
      <c r="B15" s="67"/>
      <c r="C15" s="67"/>
      <c r="D15" s="67"/>
      <c r="E15" s="67"/>
      <c r="F15" s="67"/>
      <c r="G15" s="67"/>
      <c r="H15" s="67"/>
      <c r="I15" s="67"/>
      <c r="K15" s="67"/>
      <c r="L15" s="67"/>
      <c r="M15" s="67"/>
      <c r="N15" s="67"/>
      <c r="O15" s="67"/>
      <c r="P15" s="67"/>
      <c r="Q15" s="67"/>
    </row>
    <row r="16" spans="1:18">
      <c r="A16" s="67"/>
      <c r="B16" s="67"/>
      <c r="C16" s="67"/>
      <c r="D16" s="67"/>
      <c r="E16" s="67"/>
      <c r="F16" s="67"/>
      <c r="G16" s="67"/>
      <c r="H16" s="67"/>
      <c r="I16" s="67"/>
      <c r="K16" s="67"/>
      <c r="L16" s="67"/>
      <c r="M16" s="67"/>
      <c r="N16" s="67"/>
      <c r="O16" s="67"/>
      <c r="P16" s="67"/>
      <c r="Q16" s="67"/>
    </row>
    <row r="17" s="67" customFormat="1"/>
    <row r="18" s="67" customFormat="1"/>
    <row r="19" s="67" customFormat="1"/>
    <row r="20" s="67" customFormat="1"/>
    <row r="21" s="67" customFormat="1"/>
    <row r="22" s="67" customFormat="1"/>
    <row r="23" s="67" customFormat="1"/>
    <row r="24" s="67" customFormat="1"/>
    <row r="25" s="67" customFormat="1"/>
    <row r="26" s="67" customFormat="1"/>
    <row r="27" s="67" customFormat="1"/>
    <row r="28" s="67" customFormat="1"/>
    <row r="29" s="67" customFormat="1"/>
    <row r="30" s="67" customFormat="1"/>
    <row r="31" s="67" customFormat="1"/>
    <row r="32" s="67" customFormat="1"/>
    <row r="33" s="67" customFormat="1"/>
    <row r="34" s="67" customFormat="1"/>
    <row r="35" s="67" customFormat="1"/>
    <row r="36" s="67" customFormat="1"/>
    <row r="37" s="67" customFormat="1"/>
    <row r="38" s="67" customFormat="1"/>
    <row r="39" s="67" customFormat="1"/>
    <row r="40" s="67" customFormat="1"/>
    <row r="41" s="67" customFormat="1"/>
    <row r="42" s="67" customFormat="1"/>
    <row r="43" s="67" customFormat="1"/>
    <row r="44" s="67" customFormat="1"/>
    <row r="45" s="67" customFormat="1"/>
    <row r="46" s="67" customFormat="1"/>
    <row r="47" s="67" customFormat="1"/>
    <row r="48" s="67" customFormat="1"/>
    <row r="49" s="67" customFormat="1"/>
    <row r="50" s="67" customFormat="1"/>
    <row r="51" s="67" customFormat="1"/>
    <row r="52" s="67" customFormat="1"/>
    <row r="53" s="67" customFormat="1"/>
    <row r="54" s="67" customFormat="1"/>
    <row r="55" s="67" customFormat="1"/>
    <row r="56" s="67" customFormat="1"/>
    <row r="57" s="67" customFormat="1"/>
    <row r="58" s="67" customFormat="1"/>
    <row r="59" s="67" customFormat="1"/>
    <row r="60" s="67" customFormat="1"/>
    <row r="61" s="67" customFormat="1"/>
    <row r="62" s="67" customFormat="1"/>
    <row r="63" s="67" customFormat="1"/>
    <row r="64" s="67" customFormat="1"/>
    <row r="65" s="67" customFormat="1"/>
    <row r="66" s="67" customFormat="1"/>
    <row r="67" s="67" customFormat="1"/>
    <row r="68" s="67" customFormat="1"/>
    <row r="69" s="67" customFormat="1"/>
    <row r="70" s="67" customFormat="1"/>
    <row r="71" s="67" customFormat="1"/>
    <row r="72" s="67" customFormat="1"/>
    <row r="73" s="67" customFormat="1"/>
    <row r="74" s="67" customFormat="1"/>
    <row r="75" s="67" customFormat="1"/>
    <row r="76" s="67" customFormat="1"/>
    <row r="77" s="67" customFormat="1"/>
    <row r="78" s="67" customFormat="1"/>
    <row r="79" s="67" customFormat="1"/>
    <row r="80" s="67" customFormat="1"/>
    <row r="81" s="67" customFormat="1"/>
    <row r="82" s="67" customFormat="1"/>
    <row r="83" s="67" customFormat="1"/>
    <row r="84" s="67" customFormat="1"/>
    <row r="85" s="67" customFormat="1"/>
    <row r="86" s="67" customFormat="1"/>
    <row r="87" s="67" customFormat="1"/>
    <row r="88" s="67" customFormat="1"/>
    <row r="89" s="67" customFormat="1"/>
    <row r="90" s="67" customFormat="1"/>
    <row r="91" s="67" customFormat="1"/>
    <row r="92" s="67" customFormat="1"/>
    <row r="93" s="67" customFormat="1"/>
    <row r="94" s="67" customFormat="1"/>
    <row r="95" s="67" customFormat="1"/>
    <row r="96" s="67" customFormat="1"/>
    <row r="97" s="67" customFormat="1"/>
    <row r="98" s="67" customFormat="1"/>
    <row r="99" s="67" customFormat="1"/>
    <row r="100" s="67" customFormat="1"/>
    <row r="101" s="67" customFormat="1"/>
    <row r="102" s="67" customFormat="1"/>
    <row r="103" s="67" customFormat="1"/>
    <row r="104" s="67" customFormat="1"/>
    <row r="105" s="67" customFormat="1"/>
    <row r="106" s="67" customFormat="1"/>
    <row r="107" s="67" customFormat="1"/>
    <row r="108" s="67" customFormat="1"/>
    <row r="109" s="67" customFormat="1"/>
    <row r="110" s="67" customFormat="1"/>
    <row r="111" s="67" customFormat="1"/>
    <row r="112" s="67" customFormat="1"/>
    <row r="113" s="67" customFormat="1"/>
    <row r="114" s="67" customFormat="1"/>
    <row r="115" s="67" customFormat="1"/>
    <row r="116" s="67" customFormat="1"/>
    <row r="117" s="67" customFormat="1"/>
    <row r="118" s="67" customFormat="1"/>
    <row r="119" s="67" customFormat="1"/>
    <row r="120" s="67" customFormat="1"/>
    <row r="121" s="67" customFormat="1"/>
    <row r="122" s="67" customFormat="1"/>
    <row r="123" s="67" customFormat="1"/>
    <row r="124" s="67" customFormat="1"/>
    <row r="125" s="67" customFormat="1"/>
    <row r="126" s="67" customFormat="1"/>
    <row r="127" s="67" customFormat="1"/>
    <row r="128" s="67" customFormat="1"/>
    <row r="129" s="67" customFormat="1"/>
    <row r="130" s="67" customFormat="1"/>
    <row r="131" s="67" customFormat="1"/>
    <row r="132" s="67" customFormat="1"/>
    <row r="133" s="67" customFormat="1"/>
    <row r="134" s="67" customFormat="1"/>
    <row r="135" s="67" customFormat="1"/>
    <row r="136" s="67" customFormat="1"/>
    <row r="137" s="67" customFormat="1"/>
    <row r="138" s="67" customFormat="1"/>
    <row r="139" s="67" customFormat="1"/>
    <row r="140" s="67" customFormat="1"/>
    <row r="141" s="67" customFormat="1"/>
    <row r="142" s="67" customFormat="1"/>
    <row r="143" s="67" customFormat="1"/>
    <row r="144" s="67" customFormat="1"/>
    <row r="145" s="67" customFormat="1"/>
    <row r="146" s="67" customFormat="1"/>
    <row r="147" s="67" customFormat="1"/>
    <row r="148" s="67" customFormat="1"/>
    <row r="149" s="67" customFormat="1"/>
    <row r="150" s="67" customFormat="1"/>
    <row r="151" s="67" customFormat="1"/>
    <row r="152" s="67" customFormat="1"/>
    <row r="153" s="67" customFormat="1"/>
    <row r="154" s="67" customFormat="1"/>
    <row r="155" s="67" customFormat="1"/>
    <row r="156" s="67" customFormat="1"/>
    <row r="157" s="67" customFormat="1"/>
    <row r="158" s="67" customFormat="1"/>
    <row r="159" s="67" customFormat="1"/>
    <row r="160" s="67" customFormat="1"/>
    <row r="161" s="67" customFormat="1"/>
    <row r="162" s="67" customFormat="1"/>
    <row r="163" s="67" customFormat="1"/>
    <row r="164" s="67" customFormat="1"/>
    <row r="165" s="67" customFormat="1"/>
    <row r="166" s="67" customFormat="1"/>
    <row r="167" s="67" customFormat="1"/>
    <row r="168" s="67" customFormat="1"/>
    <row r="169" s="67" customFormat="1"/>
    <row r="170" s="67" customFormat="1"/>
    <row r="171" s="67" customFormat="1"/>
    <row r="172" s="67" customFormat="1"/>
    <row r="173" s="67" customFormat="1"/>
    <row r="174" s="67" customFormat="1"/>
    <row r="175" s="67" customFormat="1"/>
    <row r="176" s="67" customFormat="1"/>
    <row r="177" s="67" customFormat="1"/>
    <row r="178" s="67" customFormat="1"/>
    <row r="179" s="67" customFormat="1"/>
    <row r="180" s="67" customFormat="1"/>
    <row r="181" s="67" customFormat="1"/>
    <row r="182" s="67" customFormat="1"/>
    <row r="183" s="67" customFormat="1"/>
    <row r="184" s="67" customFormat="1"/>
    <row r="185" s="67" customFormat="1"/>
    <row r="186" s="67" customFormat="1"/>
    <row r="187" s="67" customFormat="1"/>
    <row r="188" s="67" customFormat="1"/>
    <row r="189" s="67" customFormat="1"/>
    <row r="190" s="67" customFormat="1"/>
    <row r="191" s="67" customFormat="1"/>
    <row r="192" s="67" customFormat="1"/>
    <row r="193" s="67" customFormat="1"/>
    <row r="194" s="67" customFormat="1"/>
    <row r="195" s="67" customFormat="1"/>
    <row r="196" s="67" customFormat="1"/>
    <row r="197" s="67" customFormat="1"/>
    <row r="198" s="67" customFormat="1"/>
    <row r="199" s="67" customFormat="1"/>
    <row r="200" s="67" customFormat="1"/>
    <row r="201" s="67" customFormat="1"/>
    <row r="202" s="67" customFormat="1"/>
    <row r="203" s="67" customFormat="1"/>
    <row r="204" s="67" customFormat="1"/>
    <row r="205" s="67" customFormat="1"/>
    <row r="206" s="67" customFormat="1"/>
    <row r="207" s="67" customFormat="1"/>
    <row r="208" s="67" customFormat="1"/>
    <row r="209" s="67" customFormat="1"/>
    <row r="210" s="67" customFormat="1"/>
    <row r="211" s="67" customFormat="1"/>
    <row r="212" s="67" customFormat="1"/>
    <row r="213" s="67" customFormat="1"/>
    <row r="214" s="67" customFormat="1"/>
    <row r="215" s="67" customFormat="1"/>
    <row r="216" s="67" customFormat="1"/>
    <row r="217" s="67" customFormat="1"/>
    <row r="218" s="67" customFormat="1"/>
    <row r="219" s="67" customFormat="1"/>
    <row r="220" s="67" customFormat="1"/>
    <row r="221" s="67" customFormat="1"/>
    <row r="222" s="67" customFormat="1"/>
    <row r="223" s="67" customFormat="1"/>
    <row r="224" s="67" customFormat="1"/>
    <row r="225" s="67" customFormat="1"/>
    <row r="226" s="67" customFormat="1"/>
    <row r="227" s="67" customFormat="1"/>
    <row r="228" s="67" customFormat="1"/>
    <row r="229" s="67" customFormat="1"/>
    <row r="230" s="67" customFormat="1"/>
    <row r="231" s="67" customFormat="1"/>
    <row r="232" s="67" customFormat="1"/>
    <row r="233" s="67" customFormat="1"/>
    <row r="234" s="67" customFormat="1"/>
    <row r="235" s="67" customFormat="1"/>
    <row r="236" s="67" customFormat="1"/>
    <row r="237" s="67" customFormat="1"/>
    <row r="238" s="67" customFormat="1"/>
    <row r="239" s="67" customFormat="1"/>
    <row r="240" s="67" customFormat="1"/>
    <row r="241" s="67" customFormat="1"/>
    <row r="242" s="67" customFormat="1"/>
    <row r="243" s="67" customFormat="1"/>
    <row r="244" s="67" customFormat="1"/>
    <row r="245" s="67" customFormat="1"/>
    <row r="246" s="67" customFormat="1"/>
    <row r="247" s="67" customFormat="1"/>
    <row r="248" s="67" customFormat="1"/>
    <row r="249" s="67" customFormat="1"/>
    <row r="250" s="67" customFormat="1"/>
    <row r="251" s="67" customFormat="1"/>
    <row r="252" s="67" customFormat="1"/>
    <row r="253" s="67" customFormat="1"/>
    <row r="254" s="67" customFormat="1"/>
    <row r="255" s="67" customFormat="1"/>
    <row r="256" s="67" customFormat="1"/>
    <row r="257" s="67" customFormat="1"/>
    <row r="258" s="67" customFormat="1"/>
    <row r="259" s="67" customFormat="1"/>
    <row r="260" s="67" customFormat="1"/>
    <row r="261" s="67" customFormat="1"/>
    <row r="262" s="67" customFormat="1"/>
    <row r="263" s="67" customFormat="1"/>
    <row r="264" s="67" customFormat="1"/>
    <row r="265" s="67" customFormat="1"/>
    <row r="266" s="67" customFormat="1"/>
    <row r="267" s="67" customFormat="1"/>
    <row r="268" s="67" customFormat="1"/>
    <row r="269" s="67" customFormat="1"/>
    <row r="270" s="67" customFormat="1"/>
    <row r="271" s="67" customFormat="1"/>
    <row r="272" s="67" customFormat="1"/>
    <row r="273" s="67" customFormat="1"/>
    <row r="274" s="67" customFormat="1"/>
    <row r="275" s="67" customFormat="1"/>
    <row r="276" s="67" customFormat="1"/>
    <row r="277" s="67" customFormat="1"/>
    <row r="278" s="67" customFormat="1"/>
    <row r="279" s="67" customFormat="1"/>
    <row r="280" s="67" customFormat="1"/>
    <row r="281" s="67" customFormat="1"/>
    <row r="282" s="67" customFormat="1"/>
    <row r="283" s="67" customFormat="1"/>
    <row r="284" s="67" customFormat="1"/>
    <row r="285" s="67" customFormat="1"/>
    <row r="286" s="67" customFormat="1"/>
    <row r="287" s="67" customFormat="1"/>
    <row r="288" s="67" customFormat="1"/>
    <row r="289" s="67" customFormat="1"/>
    <row r="290" s="67" customFormat="1"/>
    <row r="291" s="67" customFormat="1"/>
    <row r="292" s="67" customFormat="1"/>
    <row r="293" s="67" customFormat="1"/>
    <row r="294" s="67" customFormat="1"/>
    <row r="295" s="67" customFormat="1"/>
    <row r="296" s="67" customFormat="1"/>
    <row r="297" s="67" customFormat="1"/>
    <row r="298" s="67" customFormat="1"/>
    <row r="299" s="67" customFormat="1"/>
    <row r="300" s="67" customFormat="1"/>
    <row r="301" s="67" customFormat="1"/>
    <row r="302" s="67" customFormat="1"/>
    <row r="303" s="67" customFormat="1"/>
    <row r="304" s="67" customFormat="1"/>
    <row r="305" s="67" customFormat="1"/>
    <row r="306" s="67" customFormat="1"/>
    <row r="307" s="67" customFormat="1"/>
    <row r="308" s="67" customFormat="1"/>
    <row r="309" s="67" customFormat="1"/>
    <row r="310" s="67" customFormat="1"/>
    <row r="311" s="67" customFormat="1"/>
    <row r="312" s="67" customFormat="1"/>
    <row r="313" s="67" customFormat="1"/>
    <row r="314" s="67" customFormat="1"/>
    <row r="315" s="67" customFormat="1"/>
    <row r="316" s="67" customFormat="1"/>
    <row r="317" s="67" customFormat="1"/>
    <row r="318" s="67" customFormat="1"/>
    <row r="319" s="67" customFormat="1"/>
    <row r="320" s="67" customFormat="1"/>
    <row r="321" s="67" customFormat="1"/>
    <row r="322" s="67" customFormat="1"/>
    <row r="323" s="67" customFormat="1"/>
    <row r="324" s="67" customFormat="1"/>
    <row r="325" s="67" customFormat="1"/>
    <row r="326" s="67" customFormat="1"/>
    <row r="327" s="67" customFormat="1"/>
    <row r="328" s="67" customFormat="1"/>
    <row r="329" s="67" customFormat="1"/>
    <row r="330" s="67" customFormat="1"/>
    <row r="331" s="67" customFormat="1"/>
    <row r="332" s="67" customFormat="1"/>
    <row r="333" s="67" customFormat="1"/>
    <row r="334" s="67" customFormat="1"/>
    <row r="335" s="67" customFormat="1"/>
    <row r="336" s="67" customFormat="1"/>
    <row r="337" s="67" customFormat="1"/>
    <row r="338" s="67" customFormat="1"/>
    <row r="339" s="67" customFormat="1"/>
    <row r="340" s="67" customFormat="1"/>
    <row r="341" s="67" customFormat="1"/>
    <row r="342" s="67" customFormat="1"/>
    <row r="343" s="67" customFormat="1"/>
    <row r="344" s="67" customFormat="1"/>
    <row r="345" s="67" customFormat="1"/>
    <row r="346" s="67" customFormat="1"/>
    <row r="347" s="67" customFormat="1"/>
    <row r="348" s="67" customFormat="1"/>
    <row r="349" s="67" customFormat="1"/>
    <row r="350" s="67" customFormat="1"/>
    <row r="351" s="67" customFormat="1"/>
    <row r="352" s="67" customFormat="1"/>
    <row r="353" s="67" customFormat="1"/>
    <row r="354" s="67" customFormat="1"/>
    <row r="355" s="67" customFormat="1"/>
    <row r="356" s="67" customFormat="1"/>
    <row r="357" s="67" customFormat="1"/>
    <row r="358" s="67" customFormat="1"/>
    <row r="359" s="67" customFormat="1"/>
    <row r="360" s="67" customFormat="1"/>
    <row r="361" s="67" customFormat="1"/>
    <row r="362" s="67" customFormat="1"/>
    <row r="363" s="67" customFormat="1"/>
    <row r="364" s="67" customFormat="1"/>
    <row r="365" s="67" customFormat="1"/>
    <row r="366" s="67" customFormat="1"/>
    <row r="367" s="67" customFormat="1"/>
    <row r="368" s="67" customFormat="1"/>
    <row r="369" s="67" customFormat="1"/>
    <row r="370" s="67" customFormat="1"/>
    <row r="371" s="67" customFormat="1"/>
    <row r="372" s="67" customFormat="1"/>
    <row r="373" s="67" customFormat="1"/>
    <row r="374" s="67" customFormat="1"/>
    <row r="375" s="67" customFormat="1"/>
    <row r="376" s="67" customFormat="1"/>
    <row r="377" s="67" customFormat="1"/>
    <row r="378" s="67" customFormat="1"/>
    <row r="379" s="67" customFormat="1"/>
    <row r="380" s="67" customFormat="1"/>
    <row r="381" s="67" customFormat="1"/>
    <row r="382" s="67" customFormat="1"/>
    <row r="383" s="67" customFormat="1"/>
    <row r="384" s="67" customFormat="1"/>
    <row r="385" s="67" customFormat="1"/>
    <row r="386" s="67" customFormat="1"/>
    <row r="387" s="67" customFormat="1"/>
    <row r="388" s="67" customFormat="1"/>
    <row r="389" s="67" customFormat="1"/>
    <row r="390" s="67" customFormat="1"/>
    <row r="391" s="67" customFormat="1"/>
    <row r="392" s="67" customFormat="1"/>
    <row r="393" s="67" customFormat="1"/>
    <row r="394" s="67" customFormat="1"/>
    <row r="395" s="67" customFormat="1"/>
    <row r="396" s="67" customFormat="1"/>
    <row r="397" s="67" customFormat="1"/>
    <row r="398" s="67" customFormat="1"/>
    <row r="399" s="67" customFormat="1"/>
    <row r="400" s="67" customFormat="1"/>
    <row r="401" s="67" customFormat="1"/>
    <row r="402" s="67" customFormat="1"/>
    <row r="403" s="67" customFormat="1"/>
    <row r="404" s="67" customFormat="1"/>
    <row r="405" s="67" customFormat="1"/>
    <row r="406" s="67" customFormat="1"/>
    <row r="407" s="67" customFormat="1"/>
    <row r="408" s="67" customFormat="1"/>
    <row r="409" s="67" customFormat="1"/>
    <row r="410" s="67" customFormat="1"/>
    <row r="411" s="67" customFormat="1"/>
    <row r="412" s="67" customFormat="1"/>
    <row r="413" s="67" customFormat="1"/>
    <row r="414" s="67" customFormat="1"/>
    <row r="415" s="67" customFormat="1"/>
    <row r="416" s="67" customFormat="1"/>
    <row r="417" s="67" customFormat="1"/>
    <row r="418" s="67" customFormat="1"/>
    <row r="419" s="67" customFormat="1"/>
    <row r="420" s="67" customFormat="1"/>
    <row r="421" s="67" customFormat="1"/>
    <row r="422" s="67" customFormat="1"/>
    <row r="423" s="67" customFormat="1"/>
    <row r="424" s="67" customFormat="1"/>
    <row r="425" s="67" customFormat="1"/>
    <row r="426" s="67" customFormat="1"/>
    <row r="427" s="67" customFormat="1"/>
    <row r="428" s="67" customFormat="1"/>
    <row r="429" s="67" customFormat="1"/>
    <row r="430" s="67" customFormat="1"/>
    <row r="431" s="67" customFormat="1"/>
    <row r="432" s="67" customFormat="1"/>
    <row r="433" s="67" customFormat="1"/>
    <row r="434" s="67" customFormat="1"/>
    <row r="435" s="67" customFormat="1"/>
    <row r="436" s="67" customFormat="1"/>
    <row r="437" s="67" customFormat="1"/>
    <row r="438" s="67" customFormat="1"/>
    <row r="439" s="67" customFormat="1"/>
    <row r="440" s="67" customFormat="1"/>
    <row r="441" s="67" customFormat="1"/>
    <row r="442" s="67" customFormat="1"/>
    <row r="443" s="67" customFormat="1"/>
    <row r="444" s="67" customFormat="1"/>
    <row r="445" s="67" customFormat="1"/>
    <row r="446" s="67" customFormat="1"/>
    <row r="447" s="67" customFormat="1"/>
    <row r="448" s="67" customFormat="1"/>
    <row r="449" s="67" customFormat="1"/>
    <row r="450" s="67" customFormat="1"/>
    <row r="451" s="67" customFormat="1"/>
    <row r="452" s="67" customFormat="1"/>
    <row r="453" s="67" customFormat="1"/>
    <row r="454" s="67" customFormat="1"/>
    <row r="455" s="67" customFormat="1"/>
    <row r="456" s="67" customFormat="1"/>
    <row r="457" s="67" customFormat="1"/>
    <row r="458" s="67" customFormat="1"/>
    <row r="459" s="67" customFormat="1"/>
    <row r="460" s="67" customFormat="1"/>
    <row r="461" s="67" customFormat="1"/>
    <row r="462" s="67" customFormat="1"/>
    <row r="463" s="67" customFormat="1"/>
    <row r="464" s="67" customFormat="1"/>
    <row r="465" s="67" customFormat="1"/>
    <row r="466" s="67" customFormat="1"/>
    <row r="467" s="67" customFormat="1"/>
    <row r="468" s="67" customFormat="1"/>
    <row r="469" s="67" customFormat="1"/>
    <row r="470" s="67" customFormat="1"/>
    <row r="471" s="67" customFormat="1"/>
    <row r="472" s="67" customFormat="1"/>
    <row r="473" s="67" customFormat="1"/>
    <row r="474" s="67" customFormat="1"/>
    <row r="475" s="67" customFormat="1"/>
    <row r="476" s="67" customFormat="1"/>
    <row r="477" s="67" customFormat="1"/>
    <row r="478" s="67" customFormat="1"/>
    <row r="479" s="67" customFormat="1"/>
    <row r="480" s="67" customFormat="1"/>
    <row r="481" s="67" customFormat="1"/>
    <row r="482" s="67" customFormat="1"/>
    <row r="483" s="67" customFormat="1"/>
    <row r="484" s="67" customFormat="1"/>
    <row r="485" s="67" customFormat="1"/>
    <row r="486" s="67" customFormat="1"/>
    <row r="487" s="67" customFormat="1"/>
    <row r="488" s="67" customFormat="1"/>
    <row r="489" s="67" customFormat="1"/>
    <row r="490" s="67" customFormat="1"/>
    <row r="491" s="67" customFormat="1"/>
    <row r="492" s="67" customFormat="1"/>
    <row r="493" s="67" customFormat="1"/>
    <row r="494" s="67" customFormat="1"/>
    <row r="495" s="67" customFormat="1"/>
    <row r="496" s="67" customFormat="1"/>
    <row r="497" s="67" customFormat="1"/>
    <row r="498" s="67" customFormat="1"/>
    <row r="499" s="67" customFormat="1"/>
    <row r="500" s="67" customFormat="1"/>
    <row r="501" s="67" customFormat="1"/>
    <row r="502" s="67" customFormat="1"/>
    <row r="503" s="67" customFormat="1"/>
    <row r="504" s="67" customFormat="1"/>
    <row r="505" s="67" customFormat="1"/>
    <row r="506" s="67" customFormat="1"/>
    <row r="507" s="67" customFormat="1"/>
    <row r="508" s="67" customFormat="1"/>
    <row r="509" s="67" customFormat="1"/>
    <row r="510" s="67" customFormat="1"/>
    <row r="511" s="67" customFormat="1"/>
    <row r="512" s="67" customFormat="1"/>
    <row r="513" s="67" customFormat="1"/>
    <row r="514" s="67" customFormat="1"/>
    <row r="515" s="67" customFormat="1"/>
    <row r="516" s="67" customFormat="1"/>
    <row r="517" s="67" customFormat="1"/>
    <row r="518" s="67" customFormat="1"/>
    <row r="519" s="67" customFormat="1"/>
    <row r="520" s="67" customFormat="1"/>
    <row r="521" s="67" customFormat="1"/>
    <row r="522" s="67" customFormat="1"/>
    <row r="523" s="67" customFormat="1"/>
    <row r="524" s="67" customFormat="1"/>
    <row r="525" s="67" customFormat="1"/>
    <row r="526" s="67" customFormat="1"/>
    <row r="527" s="67" customFormat="1"/>
    <row r="528" s="67" customFormat="1"/>
    <row r="529" s="67" customFormat="1"/>
    <row r="530" s="67" customFormat="1"/>
    <row r="531" s="67" customFormat="1"/>
    <row r="532" s="67" customFormat="1"/>
    <row r="533" s="67" customFormat="1"/>
    <row r="534" s="67" customFormat="1"/>
    <row r="535" s="67" customFormat="1"/>
    <row r="536" s="67" customFormat="1"/>
    <row r="537" s="67" customFormat="1"/>
    <row r="538" s="67" customFormat="1"/>
    <row r="539" s="67" customFormat="1"/>
    <row r="540" s="67" customFormat="1"/>
    <row r="541" s="67" customFormat="1"/>
    <row r="542" s="67" customFormat="1"/>
    <row r="543" s="67" customFormat="1"/>
    <row r="544" s="67" customFormat="1"/>
    <row r="545" s="67" customFormat="1"/>
    <row r="546" s="67" customFormat="1"/>
    <row r="547" s="67" customFormat="1"/>
    <row r="548" s="67" customFormat="1"/>
    <row r="549" s="67" customFormat="1"/>
    <row r="550" s="67" customFormat="1"/>
    <row r="551" s="67" customFormat="1"/>
    <row r="552" s="67" customFormat="1"/>
    <row r="553" s="67" customFormat="1"/>
    <row r="554" s="67" customFormat="1"/>
    <row r="555" s="67" customFormat="1"/>
    <row r="556" s="67" customFormat="1"/>
    <row r="557" s="67" customFormat="1"/>
    <row r="558" s="67" customFormat="1"/>
    <row r="559" s="67" customFormat="1"/>
    <row r="560" s="67" customFormat="1"/>
    <row r="561" s="67" customFormat="1"/>
    <row r="562" s="67" customFormat="1"/>
    <row r="563" s="67" customFormat="1"/>
    <row r="564" s="67" customFormat="1"/>
    <row r="565" s="67" customFormat="1"/>
    <row r="566" s="67" customFormat="1"/>
    <row r="567" s="67" customFormat="1"/>
    <row r="568" s="67" customFormat="1"/>
    <row r="569" s="67" customFormat="1"/>
    <row r="570" s="67" customFormat="1"/>
    <row r="571" s="67" customFormat="1"/>
    <row r="572" s="67" customFormat="1"/>
    <row r="573" s="67" customFormat="1"/>
    <row r="574" s="67" customFormat="1"/>
    <row r="575" s="67" customFormat="1"/>
    <row r="576" s="67" customFormat="1"/>
    <row r="577" s="67" customFormat="1"/>
    <row r="578" s="67" customFormat="1"/>
    <row r="579" s="67" customFormat="1"/>
    <row r="580" s="67" customFormat="1"/>
    <row r="581" s="67" customFormat="1"/>
    <row r="582" s="67" customFormat="1"/>
    <row r="583" s="67" customFormat="1"/>
    <row r="584" s="67" customFormat="1"/>
    <row r="585" s="67" customFormat="1"/>
    <row r="586" s="67" customFormat="1"/>
    <row r="587" s="67" customFormat="1"/>
    <row r="588" s="67" customFormat="1"/>
    <row r="589" s="67" customFormat="1"/>
    <row r="590" s="67" customFormat="1"/>
    <row r="591" s="67" customFormat="1"/>
    <row r="592" s="67" customFormat="1"/>
    <row r="593" s="67" customFormat="1"/>
    <row r="594" s="67" customFormat="1"/>
    <row r="595" s="67" customFormat="1"/>
    <row r="596" s="67" customFormat="1"/>
    <row r="597" s="67" customFormat="1"/>
    <row r="598" s="67" customFormat="1"/>
    <row r="599" s="67" customFormat="1"/>
    <row r="600" s="67" customFormat="1"/>
    <row r="601" s="67" customFormat="1"/>
    <row r="602" s="67" customFormat="1"/>
    <row r="603" s="67" customFormat="1"/>
    <row r="604" s="67" customFormat="1"/>
    <row r="605" s="67" customFormat="1"/>
    <row r="606" s="67" customFormat="1"/>
    <row r="607" s="67" customFormat="1"/>
    <row r="608" s="67" customFormat="1"/>
    <row r="609" s="67" customFormat="1"/>
    <row r="610" s="67" customFormat="1"/>
    <row r="611" s="67" customFormat="1"/>
    <row r="612" s="67" customFormat="1"/>
    <row r="613" s="67" customFormat="1"/>
    <row r="614" s="67" customFormat="1"/>
    <row r="615" s="67" customFormat="1"/>
    <row r="616" s="67" customFormat="1"/>
    <row r="617" s="67" customFormat="1"/>
    <row r="618" s="67" customFormat="1"/>
    <row r="619" s="67" customFormat="1"/>
    <row r="620" s="67" customFormat="1"/>
    <row r="621" s="67" customFormat="1"/>
    <row r="622" s="67" customFormat="1"/>
    <row r="623" s="67" customFormat="1"/>
    <row r="624" s="67" customFormat="1"/>
    <row r="625" s="67" customFormat="1"/>
    <row r="626" s="67" customFormat="1"/>
    <row r="627" s="67" customFormat="1"/>
    <row r="628" s="67" customFormat="1"/>
    <row r="629" s="67" customFormat="1"/>
    <row r="630" s="67" customFormat="1"/>
    <row r="631" s="67" customFormat="1"/>
    <row r="632" s="67" customFormat="1"/>
    <row r="633" s="67" customFormat="1"/>
    <row r="634" s="67" customFormat="1"/>
    <row r="635" s="67" customFormat="1"/>
    <row r="636" s="67" customFormat="1"/>
    <row r="637" s="67" customFormat="1"/>
    <row r="638" s="67" customFormat="1"/>
    <row r="639" s="67" customFormat="1"/>
    <row r="640" s="67" customFormat="1"/>
    <row r="641" s="67" customFormat="1"/>
    <row r="642" s="67" customFormat="1"/>
    <row r="643" s="67" customFormat="1"/>
    <row r="644" s="67" customFormat="1"/>
    <row r="645" s="67" customFormat="1"/>
    <row r="646" s="67" customFormat="1"/>
    <row r="647" s="67" customFormat="1"/>
    <row r="648" s="67" customFormat="1"/>
    <row r="649" s="67" customFormat="1"/>
    <row r="650" s="67" customFormat="1"/>
    <row r="651" s="67" customFormat="1"/>
    <row r="652" s="67" customFormat="1"/>
    <row r="653" s="67" customFormat="1"/>
    <row r="654" s="67" customFormat="1"/>
    <row r="655" s="67" customFormat="1"/>
    <row r="656" s="67" customFormat="1"/>
    <row r="657" s="67" customFormat="1"/>
    <row r="658" s="67" customFormat="1"/>
    <row r="659" s="67" customFormat="1"/>
    <row r="660" s="67" customFormat="1"/>
    <row r="661" s="67" customFormat="1"/>
    <row r="662" s="67" customFormat="1"/>
    <row r="663" s="67" customFormat="1"/>
    <row r="664" s="67" customFormat="1"/>
    <row r="665" s="67" customFormat="1"/>
    <row r="666" s="67" customFormat="1"/>
    <row r="667" s="67" customFormat="1"/>
    <row r="668" s="67" customFormat="1"/>
    <row r="669" s="67" customFormat="1"/>
    <row r="670" s="67" customFormat="1"/>
    <row r="671" s="67" customFormat="1"/>
    <row r="672" s="67" customFormat="1"/>
    <row r="673" s="67" customFormat="1"/>
    <row r="674" s="67" customFormat="1"/>
    <row r="675" s="67" customFormat="1"/>
    <row r="676" s="67" customFormat="1"/>
    <row r="677" s="67" customFormat="1"/>
    <row r="678" s="67" customFormat="1"/>
    <row r="679" s="67" customFormat="1"/>
    <row r="680" s="67" customFormat="1"/>
    <row r="681" s="67" customFormat="1"/>
    <row r="682" s="67" customFormat="1"/>
    <row r="683" s="67" customFormat="1"/>
    <row r="684" s="67" customFormat="1"/>
    <row r="685" s="67" customFormat="1"/>
    <row r="686" s="67" customFormat="1"/>
    <row r="687" s="67" customFormat="1"/>
    <row r="688" s="67" customFormat="1"/>
    <row r="689" s="67" customFormat="1"/>
    <row r="690" s="67" customFormat="1"/>
    <row r="691" s="67" customFormat="1"/>
    <row r="692" s="67" customFormat="1"/>
    <row r="693" s="67" customFormat="1"/>
    <row r="694" s="67" customFormat="1"/>
    <row r="695" s="67" customFormat="1"/>
    <row r="696" s="67" customFormat="1"/>
    <row r="697" s="67" customFormat="1"/>
    <row r="698" s="67" customFormat="1"/>
    <row r="699" s="67" customFormat="1"/>
    <row r="700" s="67" customFormat="1"/>
    <row r="701" s="67" customFormat="1"/>
    <row r="702" s="67" customFormat="1"/>
    <row r="703" s="67" customFormat="1"/>
    <row r="704" s="67" customFormat="1"/>
    <row r="705" s="67" customFormat="1"/>
    <row r="706" s="67" customFormat="1"/>
    <row r="707" s="67" customFormat="1"/>
    <row r="708" s="67" customFormat="1"/>
    <row r="709" s="67" customFormat="1"/>
    <row r="710" s="67" customFormat="1"/>
    <row r="711" s="67" customFormat="1"/>
    <row r="712" s="67" customFormat="1"/>
    <row r="713" s="67" customFormat="1"/>
    <row r="714" s="67" customFormat="1"/>
    <row r="715" s="67" customFormat="1"/>
    <row r="716" s="67" customFormat="1"/>
    <row r="717" s="67" customFormat="1"/>
    <row r="718" s="67" customFormat="1"/>
    <row r="719" s="67" customFormat="1"/>
    <row r="720" s="67" customFormat="1"/>
    <row r="721" s="67" customFormat="1"/>
    <row r="722" s="67" customFormat="1"/>
    <row r="723" s="67" customFormat="1"/>
    <row r="724" s="67" customFormat="1"/>
    <row r="725" s="67" customFormat="1"/>
    <row r="726" s="67" customFormat="1"/>
    <row r="727" s="67" customFormat="1"/>
    <row r="728" s="67" customFormat="1"/>
    <row r="729" s="67" customFormat="1"/>
    <row r="730" s="67" customFormat="1"/>
    <row r="731" s="67" customFormat="1"/>
    <row r="732" s="67" customFormat="1"/>
    <row r="733" s="67" customFormat="1"/>
    <row r="734" s="67" customFormat="1"/>
    <row r="735" s="67" customFormat="1"/>
    <row r="736" s="67" customFormat="1"/>
    <row r="737" s="67" customFormat="1"/>
    <row r="738" s="67" customFormat="1"/>
    <row r="739" s="67" customFormat="1"/>
    <row r="740" s="67" customFormat="1"/>
    <row r="741" s="67" customFormat="1"/>
    <row r="742" s="67" customFormat="1"/>
    <row r="743" s="67" customFormat="1"/>
    <row r="744" s="67" customFormat="1"/>
    <row r="745" s="67" customFormat="1"/>
    <row r="746" s="67" customFormat="1"/>
    <row r="747" s="67" customFormat="1"/>
    <row r="748" s="67" customFormat="1"/>
    <row r="749" s="67" customFormat="1"/>
    <row r="750" s="67" customFormat="1"/>
    <row r="751" s="67" customFormat="1"/>
    <row r="752" s="67" customFormat="1"/>
    <row r="753" s="67" customFormat="1"/>
    <row r="754" s="67" customFormat="1"/>
    <row r="755" s="67" customFormat="1"/>
    <row r="756" s="67" customFormat="1"/>
    <row r="757" s="67" customFormat="1"/>
    <row r="758" s="67" customFormat="1"/>
    <row r="759" s="67" customFormat="1"/>
    <row r="760" s="67" customFormat="1"/>
    <row r="761" s="67" customFormat="1"/>
    <row r="762" s="67" customFormat="1"/>
    <row r="763" s="67" customFormat="1"/>
    <row r="764" s="67" customFormat="1"/>
    <row r="765" s="67" customFormat="1"/>
    <row r="766" s="67" customFormat="1"/>
    <row r="767" s="67" customFormat="1"/>
    <row r="768" s="67" customFormat="1"/>
    <row r="769" s="67" customFormat="1"/>
    <row r="770" s="67" customFormat="1"/>
    <row r="771" s="67" customFormat="1"/>
    <row r="772" s="67" customFormat="1"/>
    <row r="773" s="67" customFormat="1"/>
    <row r="774" s="67" customFormat="1"/>
    <row r="775" s="67" customFormat="1"/>
    <row r="776" s="67" customFormat="1"/>
    <row r="777" s="67" customFormat="1"/>
    <row r="778" s="67" customFormat="1"/>
    <row r="779" s="67" customFormat="1"/>
    <row r="780" s="67" customFormat="1"/>
    <row r="781" s="67" customFormat="1"/>
    <row r="782" s="67" customFormat="1"/>
    <row r="783" s="67" customFormat="1"/>
    <row r="784" s="67" customFormat="1"/>
    <row r="785" s="67" customFormat="1"/>
    <row r="786" s="67" customFormat="1"/>
    <row r="787" s="67" customFormat="1"/>
    <row r="788" s="67" customFormat="1"/>
    <row r="789" s="67" customFormat="1"/>
    <row r="790" s="67" customFormat="1"/>
    <row r="791" s="67" customFormat="1"/>
    <row r="792" s="67" customFormat="1"/>
    <row r="793" s="67" customFormat="1"/>
    <row r="794" s="67" customFormat="1"/>
    <row r="795" s="67" customFormat="1"/>
    <row r="796" s="67" customFormat="1"/>
    <row r="797" s="67" customFormat="1"/>
    <row r="798" s="67" customFormat="1"/>
    <row r="799" s="67" customFormat="1"/>
    <row r="800" s="67" customFormat="1"/>
    <row r="801" s="67" customFormat="1"/>
    <row r="802" s="67" customFormat="1"/>
    <row r="803" s="67" customFormat="1"/>
    <row r="804" s="67" customFormat="1"/>
    <row r="805" s="67" customFormat="1"/>
    <row r="806" s="67" customFormat="1"/>
    <row r="807" s="67" customFormat="1"/>
    <row r="808" s="67" customFormat="1"/>
    <row r="809" s="67" customFormat="1"/>
    <row r="810" s="67" customFormat="1"/>
    <row r="811" s="67" customFormat="1"/>
    <row r="812" s="67" customFormat="1"/>
    <row r="813" s="67" customFormat="1"/>
    <row r="814" s="67" customFormat="1"/>
    <row r="815" s="67" customFormat="1"/>
    <row r="816" s="67" customFormat="1"/>
    <row r="817" s="67" customFormat="1"/>
    <row r="818" s="67" customFormat="1"/>
    <row r="819" s="67" customFormat="1"/>
    <row r="820" s="67" customFormat="1"/>
    <row r="821" s="67" customFormat="1"/>
    <row r="822" s="67" customFormat="1"/>
    <row r="823" s="67" customFormat="1"/>
    <row r="824" s="67" customFormat="1"/>
    <row r="825" s="67" customFormat="1"/>
    <row r="826" s="67" customFormat="1"/>
    <row r="827" s="67" customFormat="1"/>
    <row r="828" s="67" customFormat="1"/>
    <row r="829" s="67" customFormat="1"/>
    <row r="830" s="67" customFormat="1"/>
    <row r="831" s="67" customFormat="1"/>
    <row r="832" s="67" customFormat="1"/>
    <row r="833" s="67" customFormat="1"/>
    <row r="834" s="67" customFormat="1"/>
    <row r="835" s="67" customFormat="1"/>
    <row r="836" s="67" customFormat="1"/>
    <row r="837" s="67" customFormat="1"/>
    <row r="838" s="67" customFormat="1"/>
    <row r="839" s="67" customFormat="1"/>
    <row r="840" s="67" customFormat="1"/>
    <row r="841" s="67" customFormat="1"/>
    <row r="842" s="67" customFormat="1"/>
    <row r="843" s="67" customFormat="1"/>
    <row r="844" s="67" customFormat="1"/>
    <row r="845" s="67" customFormat="1"/>
    <row r="846" s="67" customFormat="1"/>
    <row r="847" s="67" customFormat="1"/>
    <row r="848" s="67" customFormat="1"/>
    <row r="849" s="67" customFormat="1"/>
    <row r="850" s="67" customFormat="1"/>
    <row r="851" s="67" customFormat="1"/>
    <row r="852" s="67" customFormat="1"/>
    <row r="853" s="67" customFormat="1"/>
    <row r="854" s="67" customFormat="1"/>
    <row r="855" s="67" customFormat="1"/>
    <row r="856" s="67" customFormat="1"/>
    <row r="857" s="67" customFormat="1"/>
    <row r="858" s="67" customFormat="1"/>
    <row r="859" s="67" customFormat="1"/>
    <row r="860" s="67" customFormat="1"/>
    <row r="861" s="67" customFormat="1"/>
    <row r="862" s="67" customFormat="1"/>
    <row r="863" s="67" customFormat="1"/>
    <row r="864" s="67" customFormat="1"/>
    <row r="865" s="67" customFormat="1"/>
    <row r="866" s="67" customFormat="1"/>
    <row r="867" s="67" customFormat="1"/>
    <row r="868" s="67" customFormat="1"/>
    <row r="869" s="67" customFormat="1"/>
    <row r="870" s="67" customFormat="1"/>
    <row r="871" s="67" customFormat="1"/>
    <row r="872" s="67" customFormat="1"/>
    <row r="873" s="67" customFormat="1"/>
    <row r="874" s="67" customFormat="1"/>
    <row r="875" s="67" customFormat="1"/>
    <row r="876" s="67" customFormat="1"/>
    <row r="877" s="67" customFormat="1"/>
    <row r="878" s="67" customFormat="1"/>
    <row r="879" s="67" customFormat="1"/>
    <row r="880" s="67" customFormat="1"/>
    <row r="881" s="67" customFormat="1"/>
    <row r="882" s="67" customFormat="1"/>
    <row r="883" s="67" customFormat="1"/>
    <row r="884" s="67" customFormat="1"/>
    <row r="885" s="67" customFormat="1"/>
    <row r="886" s="67" customFormat="1"/>
    <row r="887" s="67" customFormat="1"/>
    <row r="888" s="67" customFormat="1"/>
    <row r="889" s="67" customFormat="1"/>
    <row r="890" s="67" customFormat="1"/>
    <row r="891" s="67" customFormat="1"/>
    <row r="892" s="67" customFormat="1"/>
    <row r="893" s="67" customFormat="1"/>
    <row r="894" s="67" customFormat="1"/>
    <row r="895" s="67" customFormat="1"/>
    <row r="896" s="67" customFormat="1"/>
    <row r="897" s="67" customFormat="1"/>
    <row r="898" s="67" customFormat="1"/>
    <row r="899" s="67" customFormat="1"/>
    <row r="900" s="67" customFormat="1"/>
    <row r="901" s="67" customFormat="1"/>
    <row r="902" s="67" customFormat="1"/>
    <row r="903" s="67" customFormat="1"/>
    <row r="904" s="67" customFormat="1"/>
    <row r="905" s="67" customFormat="1"/>
    <row r="906" s="67" customFormat="1"/>
    <row r="907" s="67" customFormat="1"/>
    <row r="908" s="67" customFormat="1"/>
    <row r="909" s="67" customFormat="1"/>
    <row r="910" s="67" customFormat="1"/>
    <row r="911" s="67" customFormat="1"/>
    <row r="912" s="67" customFormat="1"/>
    <row r="913" s="67" customFormat="1"/>
    <row r="914" s="67" customFormat="1"/>
    <row r="915" s="67" customFormat="1"/>
    <row r="916" s="67" customFormat="1"/>
    <row r="917" s="67" customFormat="1"/>
    <row r="918" s="67" customFormat="1"/>
    <row r="919" s="67" customFormat="1"/>
    <row r="920" s="67" customFormat="1"/>
    <row r="921" s="67" customFormat="1"/>
    <row r="922" s="67" customFormat="1"/>
    <row r="923" s="67" customFormat="1"/>
    <row r="924" s="67" customFormat="1"/>
    <row r="925" s="67" customFormat="1"/>
    <row r="926" s="67" customFormat="1"/>
    <row r="927" s="67" customFormat="1"/>
    <row r="928" s="67" customFormat="1"/>
    <row r="929" s="67" customFormat="1"/>
    <row r="930" s="67" customFormat="1"/>
    <row r="931" s="67" customFormat="1"/>
    <row r="932" s="67" customFormat="1"/>
    <row r="933" s="67" customFormat="1"/>
    <row r="934" s="67" customFormat="1"/>
    <row r="935" s="67" customFormat="1"/>
    <row r="936" s="67" customFormat="1"/>
    <row r="937" s="67" customFormat="1"/>
    <row r="938" s="67" customFormat="1"/>
    <row r="939" s="67" customFormat="1"/>
    <row r="940" s="67" customFormat="1"/>
    <row r="941" s="67" customFormat="1"/>
    <row r="942" s="67" customFormat="1"/>
    <row r="943" s="67" customFormat="1"/>
    <row r="944" s="67" customFormat="1"/>
    <row r="945" s="67" customFormat="1"/>
    <row r="946" s="67" customFormat="1"/>
    <row r="947" s="67" customFormat="1"/>
    <row r="948" s="67" customFormat="1"/>
    <row r="949" s="67" customFormat="1"/>
    <row r="950" s="67" customFormat="1"/>
    <row r="951" s="67" customFormat="1"/>
    <row r="952" s="67" customFormat="1"/>
    <row r="953" s="67" customFormat="1"/>
    <row r="954" s="67" customFormat="1"/>
    <row r="955" s="67" customFormat="1"/>
    <row r="956" s="67" customFormat="1"/>
    <row r="957" s="67" customFormat="1"/>
    <row r="958" s="67" customFormat="1"/>
    <row r="959" s="67" customFormat="1"/>
    <row r="960" s="67" customFormat="1"/>
    <row r="961" s="67" customFormat="1"/>
    <row r="962" s="67" customFormat="1"/>
    <row r="963" s="67" customFormat="1"/>
  </sheetData>
  <conditionalFormatting sqref="E12">
    <cfRule type="containsErrors" dxfId="71" priority="3">
      <formula>ISERROR(E12)</formula>
    </cfRule>
  </conditionalFormatting>
  <conditionalFormatting sqref="K4:L4">
    <cfRule type="expression" dxfId="70" priority="1">
      <formula>$K$4:$L$4=""</formula>
    </cfRule>
  </conditionalFormatting>
  <pageMargins left="0.7" right="0.7" top="0.75" bottom="0.75" header="0.3" footer="0.3"/>
  <pageSetup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96A998-5FC3-4B9C-BAA3-347C3C9AECC7}">
          <x14:formula1>
            <xm:f>'Process Base'!$D$3:$D$715</xm:f>
          </x14:formula1>
          <xm:sqref>J4:J12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AC80"/>
  <sheetViews>
    <sheetView showGridLines="0" zoomScale="70" zoomScaleNormal="70" workbookViewId="0">
      <selection activeCell="G8" sqref="G8"/>
    </sheetView>
  </sheetViews>
  <sheetFormatPr defaultColWidth="9.28515625" defaultRowHeight="15"/>
  <cols>
    <col min="2" max="2" width="0" hidden="1" customWidth="1"/>
    <col min="3" max="3" width="11.28515625" bestFit="1" customWidth="1"/>
    <col min="4" max="4" width="19.140625" style="14" bestFit="1" customWidth="1"/>
    <col min="5" max="5" width="39.140625" style="14" customWidth="1"/>
    <col min="6" max="6" width="15.42578125" style="14" bestFit="1" customWidth="1"/>
    <col min="7" max="7" width="11" bestFit="1" customWidth="1"/>
    <col min="8" max="9" width="7.28515625" bestFit="1" customWidth="1"/>
    <col min="10" max="10" width="9.28515625" bestFit="1" customWidth="1"/>
    <col min="11" max="11" width="13.42578125" style="14" bestFit="1" customWidth="1"/>
    <col min="12" max="12" width="10.28515625" style="14" bestFit="1" customWidth="1"/>
    <col min="13" max="13" width="15.5703125" style="14" bestFit="1" customWidth="1"/>
    <col min="14" max="14" width="14.140625" style="14" customWidth="1"/>
    <col min="15" max="15" width="9.7109375" style="14" customWidth="1"/>
    <col min="16" max="16" width="11.7109375" style="14" customWidth="1"/>
    <col min="17" max="17" width="12.140625" style="14" bestFit="1" customWidth="1"/>
    <col min="18" max="18" width="8.85546875" style="14" bestFit="1" customWidth="1"/>
    <col min="19" max="19" width="9.140625" style="14" bestFit="1" customWidth="1"/>
    <col min="20" max="20" width="9.7109375" style="14" customWidth="1"/>
    <col min="21" max="21" width="11.7109375" style="14" customWidth="1"/>
    <col min="22" max="23" width="9.7109375" style="14" customWidth="1"/>
    <col min="24" max="24" width="15.42578125" style="14" customWidth="1"/>
    <col min="25" max="25" width="10.5703125" style="14" customWidth="1"/>
    <col min="31" max="31" width="10.5703125" customWidth="1"/>
  </cols>
  <sheetData>
    <row r="1" spans="1:29" ht="14.45" customHeight="1">
      <c r="A1" s="691">
        <v>1</v>
      </c>
      <c r="D1" s="181"/>
      <c r="E1" s="181"/>
      <c r="F1" s="181"/>
      <c r="G1" s="181"/>
      <c r="H1" s="181"/>
      <c r="I1" s="181"/>
      <c r="J1" s="181"/>
      <c r="K1" s="181"/>
    </row>
    <row r="2" spans="1:29" ht="16.5" customHeight="1">
      <c r="C2" s="148" t="s">
        <v>132</v>
      </c>
      <c r="D2" s="181"/>
      <c r="E2" s="181"/>
      <c r="Q2" s="413" t="str">
        <f>IF(F5&lt;&gt;"","Melting cost","")</f>
        <v/>
      </c>
      <c r="R2" s="413" t="str">
        <f>_xlfn.IFNA(VLOOKUP(Q2,'Process Base'!D:F,3,0),"")</f>
        <v/>
      </c>
      <c r="S2" s="413" t="str">
        <f>_xlfn.IFNA(VLOOKUP(Q2,'Process Base'!D:G,4,0),"")</f>
        <v/>
      </c>
      <c r="Z2" s="174"/>
      <c r="AA2" s="14"/>
      <c r="AB2" s="175"/>
    </row>
    <row r="3" spans="1:29">
      <c r="K3" s="14" t="s">
        <v>273</v>
      </c>
      <c r="M3" s="14" t="s">
        <v>274</v>
      </c>
      <c r="N3" s="14" t="s">
        <v>275</v>
      </c>
      <c r="P3" s="14" t="s">
        <v>276</v>
      </c>
      <c r="T3" s="14" t="s">
        <v>277</v>
      </c>
      <c r="W3" s="14" t="s">
        <v>274</v>
      </c>
      <c r="AA3" s="14"/>
      <c r="AB3" s="175"/>
      <c r="AC3" s="29"/>
    </row>
    <row r="4" spans="1:29" s="13" customFormat="1" ht="45">
      <c r="A4" s="152" t="s">
        <v>278</v>
      </c>
      <c r="B4" s="152" t="s">
        <v>29</v>
      </c>
      <c r="C4" s="152" t="s">
        <v>30</v>
      </c>
      <c r="D4" s="151" t="s">
        <v>207</v>
      </c>
      <c r="E4" s="151" t="s">
        <v>89</v>
      </c>
      <c r="F4" s="151" t="s">
        <v>279</v>
      </c>
      <c r="G4" s="152" t="s">
        <v>280</v>
      </c>
      <c r="H4" s="152" t="s">
        <v>213</v>
      </c>
      <c r="I4" s="152" t="s">
        <v>281</v>
      </c>
      <c r="J4" s="152" t="s">
        <v>282</v>
      </c>
      <c r="K4" s="151" t="s">
        <v>283</v>
      </c>
      <c r="L4" s="151" t="s">
        <v>284</v>
      </c>
      <c r="M4" s="151" t="s">
        <v>285</v>
      </c>
      <c r="N4" s="151" t="s">
        <v>286</v>
      </c>
      <c r="O4" s="151" t="s">
        <v>287</v>
      </c>
      <c r="P4" s="151" t="s">
        <v>288</v>
      </c>
      <c r="Q4" s="151" t="s">
        <v>289</v>
      </c>
      <c r="R4" s="151" t="s">
        <v>290</v>
      </c>
      <c r="S4" s="151" t="s">
        <v>291</v>
      </c>
      <c r="T4" s="151" t="s">
        <v>292</v>
      </c>
      <c r="U4" s="151" t="s">
        <v>293</v>
      </c>
      <c r="V4" s="151" t="s">
        <v>294</v>
      </c>
      <c r="W4" s="151" t="s">
        <v>295</v>
      </c>
      <c r="X4" s="151" t="s">
        <v>296</v>
      </c>
      <c r="Y4" s="151" t="s">
        <v>297</v>
      </c>
      <c r="Z4" s="151" t="s">
        <v>298</v>
      </c>
      <c r="AA4" s="14"/>
      <c r="AB4" s="176"/>
      <c r="AC4" s="177"/>
    </row>
    <row r="5" spans="1:29">
      <c r="A5" s="211">
        <v>1</v>
      </c>
      <c r="B5" s="211" t="str">
        <f>VLOOKUP(D5,Group!$AM$1:$AO$10000,3,0)</f>
        <v>MB512123</v>
      </c>
      <c r="C5" s="211">
        <f>VLOOKUP(D5,Group!$AM$1:$AO$10000,2,0)</f>
        <v>0</v>
      </c>
      <c r="D5" s="258">
        <f>Group!O2</f>
        <v>0</v>
      </c>
      <c r="E5" s="205" t="str">
        <f>_xlfn.IFNA(VLOOKUP(D5,BOM!$D$1:$F$10000,3,0),"")</f>
        <v/>
      </c>
      <c r="F5" s="213"/>
      <c r="G5" s="212" t="str">
        <f>IFERROR(VLOOKUP(F5,'RM Base'!D:E,2,0),"")</f>
        <v/>
      </c>
      <c r="H5" s="178"/>
      <c r="I5" s="178"/>
      <c r="J5" s="178"/>
      <c r="K5" s="204"/>
      <c r="L5" s="212">
        <f>SUMIFS($F$1:$F$10000,$C$1:$C$10000,D5)*1.1</f>
        <v>0</v>
      </c>
      <c r="M5" s="212">
        <f>K5+L5</f>
        <v>0</v>
      </c>
      <c r="N5" s="212">
        <f>M5*30%</f>
        <v>0</v>
      </c>
      <c r="O5" s="212">
        <f>N5+M5</f>
        <v>0</v>
      </c>
      <c r="P5" s="214">
        <v>7.0000000000000007E-2</v>
      </c>
      <c r="Q5" s="212" t="str">
        <f t="shared" ref="Q5:Q8" si="0">IFERROR(O5*P5*(G5+$R$2),"")</f>
        <v/>
      </c>
      <c r="R5" s="212" t="str">
        <f>IFERROR(M5*G5+Q5,"")</f>
        <v/>
      </c>
      <c r="S5" s="212">
        <f>M5-K5</f>
        <v>0</v>
      </c>
      <c r="T5" s="212" t="str">
        <f>_xlfn.IFNA(VLOOKUP(F5,'RM Base'!D:K,8,0),"")</f>
        <v/>
      </c>
      <c r="U5" s="214">
        <v>0.8</v>
      </c>
      <c r="V5" s="212" t="str">
        <f>IFERROR(U5*S5*T5,"")</f>
        <v/>
      </c>
      <c r="W5" s="212">
        <f>SUMIFS($J$1:$J$10000,$H$1:$H$10000,D5)</f>
        <v>0</v>
      </c>
      <c r="X5" s="727"/>
      <c r="Y5" s="212" t="str">
        <f>_xlfn.IFNA(W5*VLOOKUP(X5,'RM Base'!D:E,2,0),"")</f>
        <v/>
      </c>
      <c r="Z5" s="215" t="str">
        <f>IFERROR(R5-V5+Y5,"")</f>
        <v/>
      </c>
    </row>
    <row r="6" spans="1:29">
      <c r="A6" s="211">
        <v>2</v>
      </c>
      <c r="B6" s="211" t="str">
        <f>VLOOKUP(D6,Group!$AM$1:$AO$10000,3,0)</f>
        <v>MB512123</v>
      </c>
      <c r="C6" s="211">
        <f>VLOOKUP(D6,Group!$AM$1:$AO$10000,2,0)</f>
        <v>0</v>
      </c>
      <c r="D6" s="258">
        <f>Group!O3</f>
        <v>0</v>
      </c>
      <c r="E6" s="205" t="str">
        <f>_xlfn.IFNA(VLOOKUP(D6,BOM!$D$1:$F$10000,3,0),"")</f>
        <v/>
      </c>
      <c r="F6" s="213"/>
      <c r="G6" s="212" t="str">
        <f>IFERROR(VLOOKUP(F6,'RM Base'!D:E,2,0),"")</f>
        <v/>
      </c>
      <c r="H6" s="178"/>
      <c r="I6" s="178"/>
      <c r="J6" s="178"/>
      <c r="K6" s="204"/>
      <c r="L6" s="212">
        <f t="shared" ref="L6:L8" si="1">SUMIFS($F$1:$F$10000,$C$1:$C$10000,D6)*1.1</f>
        <v>0</v>
      </c>
      <c r="M6" s="212">
        <f t="shared" ref="M6:M8" si="2">K6+L6</f>
        <v>0</v>
      </c>
      <c r="N6" s="212">
        <f t="shared" ref="N6:N8" si="3">M6*30%</f>
        <v>0</v>
      </c>
      <c r="O6" s="212">
        <f t="shared" ref="O6:O8" si="4">N6+M6</f>
        <v>0</v>
      </c>
      <c r="P6" s="214">
        <v>7.0000000000000007E-2</v>
      </c>
      <c r="Q6" s="212" t="str">
        <f t="shared" si="0"/>
        <v/>
      </c>
      <c r="R6" s="212" t="str">
        <f t="shared" ref="R6:R8" si="5">IFERROR(M6*G6+Q6,"")</f>
        <v/>
      </c>
      <c r="S6" s="212">
        <f t="shared" ref="S6:S8" si="6">M6-K6</f>
        <v>0</v>
      </c>
      <c r="T6" s="212" t="str">
        <f>_xlfn.IFNA(VLOOKUP(F6,'RM Base'!D:K,8,0),"")</f>
        <v/>
      </c>
      <c r="U6" s="214">
        <v>0.8</v>
      </c>
      <c r="V6" s="212" t="str">
        <f t="shared" ref="V6:V8" si="7">IFERROR(U6*S6*T6,"")</f>
        <v/>
      </c>
      <c r="W6" s="212">
        <f t="shared" ref="W6:W8" si="8">SUMIFS($J$1:$J$10000,$H$1:$H$10000,D6)</f>
        <v>0</v>
      </c>
      <c r="X6" s="725"/>
      <c r="Y6" s="212" t="str">
        <f>_xlfn.IFNA(W6*VLOOKUP(X6,'RM Base'!D:E,2,0),"")</f>
        <v/>
      </c>
      <c r="Z6" s="215" t="str">
        <f t="shared" ref="Z6:Z8" si="9">IFERROR(R6-V6+Y6,"")</f>
        <v/>
      </c>
    </row>
    <row r="7" spans="1:29">
      <c r="A7" s="211">
        <v>3</v>
      </c>
      <c r="B7" s="211" t="str">
        <f>VLOOKUP(D7,Group!$AM$1:$AO$10000,3,0)</f>
        <v>MB512123</v>
      </c>
      <c r="C7" s="211">
        <f>VLOOKUP(D7,Group!$AM$1:$AO$10000,2,0)</f>
        <v>0</v>
      </c>
      <c r="D7" s="258">
        <f>Group!O4</f>
        <v>0</v>
      </c>
      <c r="E7" s="205" t="str">
        <f>_xlfn.IFNA(VLOOKUP(D7,BOM!$D$1:$F$10000,3,0),"")</f>
        <v/>
      </c>
      <c r="F7" s="213"/>
      <c r="G7" s="212" t="str">
        <f>IFERROR(VLOOKUP(F7,'RM Base'!D:E,2,0),"")</f>
        <v/>
      </c>
      <c r="H7" s="178"/>
      <c r="I7" s="178"/>
      <c r="J7" s="178"/>
      <c r="K7" s="204"/>
      <c r="L7" s="212">
        <f t="shared" si="1"/>
        <v>0</v>
      </c>
      <c r="M7" s="212">
        <f t="shared" si="2"/>
        <v>0</v>
      </c>
      <c r="N7" s="212">
        <f t="shared" si="3"/>
        <v>0</v>
      </c>
      <c r="O7" s="212">
        <f t="shared" si="4"/>
        <v>0</v>
      </c>
      <c r="P7" s="214">
        <v>7.0000000000000007E-2</v>
      </c>
      <c r="Q7" s="212" t="str">
        <f t="shared" si="0"/>
        <v/>
      </c>
      <c r="R7" s="212" t="str">
        <f t="shared" si="5"/>
        <v/>
      </c>
      <c r="S7" s="212">
        <f t="shared" si="6"/>
        <v>0</v>
      </c>
      <c r="T7" s="212" t="str">
        <f>_xlfn.IFNA(VLOOKUP(F7,'RM Base'!D:K,8,0),"")</f>
        <v/>
      </c>
      <c r="U7" s="214">
        <v>0.8</v>
      </c>
      <c r="V7" s="212" t="str">
        <f t="shared" si="7"/>
        <v/>
      </c>
      <c r="W7" s="212">
        <f t="shared" si="8"/>
        <v>0</v>
      </c>
      <c r="X7" s="725"/>
      <c r="Y7" s="212" t="str">
        <f>_xlfn.IFNA(W7*VLOOKUP(X7,'RM Base'!D:E,2,0),"")</f>
        <v/>
      </c>
      <c r="Z7" s="215" t="str">
        <f t="shared" si="9"/>
        <v/>
      </c>
    </row>
    <row r="8" spans="1:29">
      <c r="A8" s="211">
        <v>4</v>
      </c>
      <c r="B8" s="211" t="str">
        <f>VLOOKUP(D8,Group!$AM$1:$AO$10000,3,0)</f>
        <v>MB512123</v>
      </c>
      <c r="C8" s="211">
        <f>VLOOKUP(D8,Group!$AM$1:$AO$10000,2,0)</f>
        <v>0</v>
      </c>
      <c r="D8" s="258">
        <f>Group!O5</f>
        <v>0</v>
      </c>
      <c r="E8" s="205" t="str">
        <f>_xlfn.IFNA(VLOOKUP(D8,BOM!$D$1:$F$10000,3,0),"")</f>
        <v/>
      </c>
      <c r="F8" s="213"/>
      <c r="G8" s="212" t="str">
        <f>IFERROR(VLOOKUP(F8,'RM Base'!D:E,2,0),"")</f>
        <v/>
      </c>
      <c r="H8" s="178"/>
      <c r="I8" s="178"/>
      <c r="J8" s="178"/>
      <c r="K8" s="204"/>
      <c r="L8" s="212">
        <f t="shared" si="1"/>
        <v>0</v>
      </c>
      <c r="M8" s="212">
        <f t="shared" si="2"/>
        <v>0</v>
      </c>
      <c r="N8" s="212">
        <f t="shared" si="3"/>
        <v>0</v>
      </c>
      <c r="O8" s="212">
        <f t="shared" si="4"/>
        <v>0</v>
      </c>
      <c r="P8" s="214">
        <v>7.0000000000000007E-2</v>
      </c>
      <c r="Q8" s="212" t="str">
        <f t="shared" si="0"/>
        <v/>
      </c>
      <c r="R8" s="212" t="str">
        <f t="shared" si="5"/>
        <v/>
      </c>
      <c r="S8" s="212">
        <f t="shared" si="6"/>
        <v>0</v>
      </c>
      <c r="T8" s="212" t="str">
        <f>_xlfn.IFNA(VLOOKUP(F8,'RM Base'!D:K,8,0),"")</f>
        <v/>
      </c>
      <c r="U8" s="214">
        <v>0.8</v>
      </c>
      <c r="V8" s="212" t="str">
        <f t="shared" si="7"/>
        <v/>
      </c>
      <c r="W8" s="212">
        <f t="shared" si="8"/>
        <v>0</v>
      </c>
      <c r="X8" s="725"/>
      <c r="Y8" s="212" t="str">
        <f>_xlfn.IFNA(W8*VLOOKUP(X8,'RM Base'!D:E,2,0),"")</f>
        <v/>
      </c>
      <c r="Z8" s="215" t="str">
        <f t="shared" si="9"/>
        <v/>
      </c>
    </row>
    <row r="9" spans="1:29">
      <c r="D9"/>
      <c r="E9"/>
      <c r="F9"/>
      <c r="K9"/>
      <c r="L9"/>
      <c r="M9"/>
      <c r="N9"/>
      <c r="O9"/>
      <c r="P9"/>
      <c r="Q9"/>
      <c r="R9"/>
      <c r="S9"/>
      <c r="T9"/>
      <c r="U9"/>
      <c r="V9"/>
      <c r="W9"/>
      <c r="X9"/>
      <c r="Y9"/>
    </row>
    <row r="10" spans="1:29">
      <c r="D10"/>
      <c r="E10"/>
      <c r="F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</row>
    <row r="11" spans="1:29">
      <c r="D11"/>
      <c r="E11"/>
      <c r="F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29">
      <c r="D12"/>
      <c r="E12"/>
      <c r="F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29">
      <c r="D13"/>
      <c r="E13"/>
      <c r="F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29">
      <c r="D14"/>
      <c r="E14"/>
      <c r="F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29">
      <c r="D15"/>
      <c r="E15"/>
      <c r="F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9">
      <c r="D16"/>
      <c r="E16"/>
      <c r="F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3:25">
      <c r="D17"/>
      <c r="E17"/>
      <c r="F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3:25">
      <c r="D18"/>
      <c r="E18"/>
      <c r="F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</row>
    <row r="19" spans="3:25">
      <c r="D19"/>
      <c r="E19"/>
      <c r="F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</row>
    <row r="20" spans="3:25">
      <c r="D20"/>
      <c r="E20"/>
      <c r="F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</row>
    <row r="21" spans="3:25">
      <c r="D21"/>
      <c r="E21"/>
      <c r="F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</row>
    <row r="22" spans="3:25">
      <c r="D22"/>
      <c r="E22"/>
      <c r="F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3:25">
      <c r="D23"/>
      <c r="E23"/>
      <c r="F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</row>
    <row r="24" spans="3:25">
      <c r="D24"/>
      <c r="E24"/>
      <c r="F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</row>
    <row r="25" spans="3:25">
      <c r="D25"/>
      <c r="E25"/>
      <c r="F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</row>
    <row r="26" spans="3:25">
      <c r="D26"/>
      <c r="E26"/>
      <c r="F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</row>
    <row r="27" spans="3:25">
      <c r="D27"/>
      <c r="E27"/>
      <c r="F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</row>
    <row r="28" spans="3:25">
      <c r="D28"/>
      <c r="E28"/>
      <c r="F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</row>
    <row r="29" spans="3:25">
      <c r="D29"/>
      <c r="E29"/>
      <c r="F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</row>
    <row r="32" spans="3:25">
      <c r="C32" s="795" t="s">
        <v>299</v>
      </c>
      <c r="D32" s="795"/>
      <c r="E32" s="795"/>
      <c r="F32" s="795"/>
      <c r="H32" s="796" t="s">
        <v>300</v>
      </c>
      <c r="I32" s="796"/>
      <c r="J32" s="796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</row>
    <row r="33" spans="3:25" ht="30">
      <c r="C33" s="158" t="s">
        <v>31</v>
      </c>
      <c r="D33" s="158" t="s">
        <v>301</v>
      </c>
      <c r="E33" s="158" t="s">
        <v>302</v>
      </c>
      <c r="F33" s="158" t="s">
        <v>46</v>
      </c>
      <c r="H33" s="158" t="s">
        <v>31</v>
      </c>
      <c r="I33" s="1" t="s">
        <v>303</v>
      </c>
      <c r="J33" s="2" t="s">
        <v>304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3:25">
      <c r="C34" s="154"/>
      <c r="D34" s="62"/>
      <c r="E34" s="184"/>
      <c r="F34" s="159"/>
      <c r="H34" s="154"/>
      <c r="I34" s="1"/>
      <c r="J34" s="1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3:25">
      <c r="C35" s="154"/>
      <c r="D35" s="62"/>
      <c r="E35" s="184"/>
      <c r="F35" s="159"/>
      <c r="H35" s="1"/>
      <c r="I35" s="1"/>
      <c r="J35" s="1">
        <f t="shared" ref="J35:J46" si="10">I35*1.8/10^6</f>
        <v>0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  <row r="36" spans="3:25">
      <c r="C36" s="154"/>
      <c r="D36" s="62"/>
      <c r="E36" s="62"/>
      <c r="F36" s="159"/>
      <c r="H36" s="1"/>
      <c r="I36" s="1"/>
      <c r="J36" s="1">
        <f t="shared" si="10"/>
        <v>0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</row>
    <row r="37" spans="3:25">
      <c r="C37" s="154"/>
      <c r="D37" s="62"/>
      <c r="E37" s="184"/>
      <c r="F37" s="159"/>
      <c r="H37" s="1"/>
      <c r="I37" s="1"/>
      <c r="J37" s="1">
        <f t="shared" si="10"/>
        <v>0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</row>
    <row r="38" spans="3:25">
      <c r="C38" s="154"/>
      <c r="D38" s="62"/>
      <c r="E38" s="62"/>
      <c r="F38" s="159"/>
      <c r="H38" s="1"/>
      <c r="I38" s="1"/>
      <c r="J38" s="1">
        <f t="shared" si="10"/>
        <v>0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</row>
    <row r="39" spans="3:25">
      <c r="C39" s="154"/>
      <c r="D39" s="62"/>
      <c r="E39" s="62"/>
      <c r="F39" s="159"/>
      <c r="H39" s="1"/>
      <c r="I39" s="1"/>
      <c r="J39" s="1">
        <f t="shared" si="10"/>
        <v>0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</row>
    <row r="40" spans="3:25">
      <c r="C40" s="154"/>
      <c r="D40" s="62"/>
      <c r="E40" s="62"/>
      <c r="F40" s="159"/>
      <c r="H40" s="1"/>
      <c r="I40" s="1"/>
      <c r="J40" s="1">
        <f t="shared" si="10"/>
        <v>0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</row>
    <row r="41" spans="3:25">
      <c r="C41" s="154"/>
      <c r="D41" s="62"/>
      <c r="E41" s="62"/>
      <c r="F41" s="159"/>
      <c r="H41" s="1"/>
      <c r="I41" s="1"/>
      <c r="J41" s="1">
        <f t="shared" si="10"/>
        <v>0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</row>
    <row r="42" spans="3:25">
      <c r="C42" s="154"/>
      <c r="D42" s="62"/>
      <c r="E42" s="62"/>
      <c r="F42" s="159"/>
      <c r="H42" s="1"/>
      <c r="I42" s="1"/>
      <c r="J42" s="1">
        <f t="shared" si="10"/>
        <v>0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 spans="3:25">
      <c r="C43" s="154"/>
      <c r="D43" s="62"/>
      <c r="E43" s="62"/>
      <c r="F43" s="159"/>
      <c r="H43" s="1"/>
      <c r="I43" s="1"/>
      <c r="J43" s="1">
        <f t="shared" si="10"/>
        <v>0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 spans="3:25">
      <c r="C44" s="154"/>
      <c r="D44" s="62"/>
      <c r="E44" s="62"/>
      <c r="F44" s="159"/>
      <c r="H44" s="1"/>
      <c r="I44" s="1"/>
      <c r="J44" s="1">
        <f t="shared" si="10"/>
        <v>0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 spans="3:25">
      <c r="C45" s="154"/>
      <c r="D45" s="62"/>
      <c r="E45" s="62"/>
      <c r="F45" s="159"/>
      <c r="H45" s="1"/>
      <c r="I45" s="1"/>
      <c r="J45" s="1">
        <f t="shared" si="10"/>
        <v>0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</row>
    <row r="46" spans="3:25">
      <c r="C46" s="154"/>
      <c r="D46" s="62"/>
      <c r="E46" s="62"/>
      <c r="F46" s="159"/>
      <c r="H46" s="1"/>
      <c r="I46" s="1"/>
      <c r="J46" s="1">
        <f t="shared" si="10"/>
        <v>0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3:25">
      <c r="C47" s="154"/>
      <c r="D47" s="62"/>
      <c r="E47" s="62"/>
      <c r="F47" s="159"/>
      <c r="K47"/>
      <c r="L47"/>
      <c r="M47"/>
      <c r="N47"/>
      <c r="O47" s="127"/>
      <c r="P47"/>
      <c r="Q47"/>
      <c r="R47"/>
      <c r="S47"/>
      <c r="T47"/>
      <c r="U47"/>
      <c r="V47"/>
      <c r="W47"/>
      <c r="X47"/>
      <c r="Y47"/>
    </row>
    <row r="48" spans="3:25">
      <c r="C48" s="154"/>
      <c r="D48" s="62"/>
      <c r="E48" s="62"/>
      <c r="F48" s="159"/>
      <c r="K48"/>
      <c r="L48"/>
      <c r="M48"/>
      <c r="N48"/>
      <c r="O48" s="127"/>
      <c r="P48"/>
      <c r="Q48"/>
      <c r="R48"/>
      <c r="S48"/>
      <c r="T48"/>
      <c r="U48"/>
      <c r="V48"/>
      <c r="W48" s="170"/>
      <c r="X48"/>
      <c r="Y48"/>
    </row>
    <row r="49" spans="3:25">
      <c r="C49" s="154"/>
      <c r="D49" s="62"/>
      <c r="E49" s="62"/>
      <c r="F49" s="159"/>
      <c r="K49"/>
      <c r="L49"/>
      <c r="M49"/>
      <c r="N49"/>
      <c r="O49" s="127"/>
      <c r="P49"/>
      <c r="Q49"/>
      <c r="R49"/>
      <c r="S49"/>
      <c r="T49"/>
      <c r="U49"/>
      <c r="V49"/>
      <c r="W49" s="170"/>
      <c r="X49"/>
      <c r="Y49"/>
    </row>
    <row r="50" spans="3:25">
      <c r="C50" s="154"/>
      <c r="D50" s="62"/>
      <c r="E50" s="62"/>
      <c r="F50" s="159"/>
      <c r="K50"/>
      <c r="L50"/>
      <c r="M50"/>
      <c r="N50"/>
      <c r="O50" s="127"/>
      <c r="P50"/>
      <c r="Q50"/>
      <c r="R50"/>
      <c r="S50"/>
      <c r="T50"/>
      <c r="U50"/>
      <c r="V50"/>
      <c r="W50" s="170"/>
      <c r="X50"/>
      <c r="Y50"/>
    </row>
    <row r="51" spans="3:25">
      <c r="C51" s="154"/>
      <c r="D51" s="62"/>
      <c r="E51" s="62"/>
      <c r="F51" s="159"/>
      <c r="K51"/>
      <c r="L51"/>
      <c r="M51"/>
      <c r="N51"/>
      <c r="O51" s="127"/>
      <c r="P51"/>
      <c r="Q51"/>
      <c r="R51"/>
      <c r="S51"/>
      <c r="T51"/>
      <c r="U51"/>
      <c r="V51"/>
      <c r="W51"/>
      <c r="X51"/>
      <c r="Y51"/>
    </row>
    <row r="52" spans="3:25">
      <c r="C52" s="154"/>
      <c r="D52" s="62"/>
      <c r="E52" s="62"/>
      <c r="F52" s="159"/>
      <c r="K52"/>
      <c r="L52"/>
      <c r="M52"/>
      <c r="N52"/>
      <c r="O52" s="127"/>
      <c r="P52" s="170"/>
      <c r="Q52"/>
      <c r="R52"/>
      <c r="S52"/>
      <c r="T52"/>
      <c r="U52"/>
      <c r="V52"/>
      <c r="W52" s="170"/>
      <c r="X52"/>
      <c r="Y52"/>
    </row>
    <row r="53" spans="3:25">
      <c r="C53" s="154"/>
      <c r="D53" s="62"/>
      <c r="E53" s="62"/>
      <c r="F53" s="159"/>
      <c r="K53"/>
      <c r="L53"/>
      <c r="M53"/>
      <c r="N53"/>
      <c r="O53"/>
      <c r="P53"/>
      <c r="Q53"/>
      <c r="R53"/>
      <c r="S53"/>
      <c r="T53"/>
      <c r="U53"/>
      <c r="V53"/>
      <c r="W53" s="170"/>
      <c r="X53"/>
      <c r="Y53"/>
    </row>
    <row r="54" spans="3:25">
      <c r="C54" s="154"/>
      <c r="D54" s="62"/>
      <c r="E54" s="62"/>
      <c r="F54" s="159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3:25">
      <c r="C55" s="154"/>
      <c r="D55" s="62"/>
      <c r="E55" s="62"/>
      <c r="F55" s="159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 spans="3:25">
      <c r="C56" s="154"/>
      <c r="D56" s="62"/>
      <c r="E56" s="4"/>
      <c r="F56" s="89"/>
      <c r="K56"/>
      <c r="L56"/>
      <c r="M56"/>
      <c r="N56"/>
      <c r="O56"/>
      <c r="P56"/>
      <c r="Q56"/>
      <c r="R56"/>
      <c r="S56"/>
      <c r="T56"/>
      <c r="U56"/>
      <c r="V56"/>
      <c r="W56" s="170"/>
      <c r="X56"/>
      <c r="Y56"/>
    </row>
    <row r="57" spans="3:25">
      <c r="C57" s="154"/>
      <c r="D57" s="62"/>
      <c r="E57" s="4"/>
      <c r="F57" s="159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</row>
    <row r="58" spans="3:25">
      <c r="C58" s="154"/>
      <c r="D58" s="62"/>
      <c r="E58" s="62"/>
      <c r="F58" s="159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</row>
    <row r="59" spans="3:25">
      <c r="C59" s="154"/>
      <c r="D59" s="62"/>
      <c r="E59" s="62"/>
      <c r="F59" s="1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</row>
    <row r="60" spans="3:25">
      <c r="C60" s="154"/>
      <c r="D60" s="62"/>
      <c r="E60" s="62"/>
      <c r="F60" s="159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3:25">
      <c r="C61" s="154"/>
      <c r="D61" s="62"/>
      <c r="E61" s="4"/>
      <c r="F61" s="89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3:25">
      <c r="C62" s="154"/>
      <c r="D62" s="62"/>
      <c r="E62" s="4"/>
      <c r="F62" s="159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3:25">
      <c r="C63" s="154"/>
      <c r="D63" s="62"/>
      <c r="E63" s="4"/>
      <c r="F63" s="159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3:25">
      <c r="C64" s="154"/>
      <c r="D64" s="62"/>
      <c r="E64" s="4"/>
      <c r="F64" s="159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3:25">
      <c r="C65" s="154"/>
      <c r="D65" s="62"/>
      <c r="E65" s="4"/>
      <c r="F65" s="159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3:25">
      <c r="C66" s="154"/>
      <c r="D66" s="62"/>
      <c r="E66" s="62"/>
      <c r="F66" s="159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3:25">
      <c r="C67" s="154"/>
      <c r="D67" s="62"/>
      <c r="E67" s="62"/>
      <c r="F67" s="159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3:25">
      <c r="C68" s="154"/>
      <c r="D68" s="62"/>
      <c r="E68" s="4"/>
      <c r="F68" s="159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3:25">
      <c r="C69" s="154"/>
      <c r="D69" s="62"/>
      <c r="E69" s="4"/>
      <c r="F69" s="15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3:25">
      <c r="C70" s="154"/>
      <c r="D70" s="62"/>
      <c r="E70" s="4"/>
      <c r="F70" s="159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3:25">
      <c r="C71" s="154"/>
      <c r="D71" s="62"/>
      <c r="E71" s="4"/>
      <c r="F71" s="159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3:25">
      <c r="C72" s="154"/>
      <c r="D72" s="62"/>
      <c r="E72" s="62"/>
      <c r="F72" s="159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3:25">
      <c r="C73" s="154"/>
      <c r="D73" s="62"/>
      <c r="E73" s="4"/>
      <c r="F73" s="159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3:25">
      <c r="C74" s="154"/>
      <c r="D74" s="62"/>
      <c r="E74" s="4"/>
      <c r="F74" s="159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3:25">
      <c r="C75" s="154"/>
      <c r="D75" s="62"/>
      <c r="E75" s="4"/>
      <c r="F75" s="159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3:25">
      <c r="C76" s="154"/>
      <c r="D76" s="62"/>
      <c r="E76" s="4"/>
      <c r="F76" s="159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3:25">
      <c r="D77"/>
      <c r="E77"/>
      <c r="F77"/>
    </row>
    <row r="78" spans="3:25">
      <c r="D78"/>
      <c r="E78"/>
      <c r="F78"/>
    </row>
    <row r="79" spans="3:25">
      <c r="D79"/>
      <c r="E79"/>
      <c r="F79"/>
    </row>
    <row r="80" spans="3:25">
      <c r="D80"/>
      <c r="E80"/>
      <c r="F80"/>
    </row>
  </sheetData>
  <mergeCells count="2">
    <mergeCell ref="C32:F32"/>
    <mergeCell ref="H32:J32"/>
  </mergeCells>
  <conditionalFormatting sqref="H34">
    <cfRule type="duplicateValues" dxfId="69" priority="1"/>
  </conditionalFormatting>
  <dataValidations count="2">
    <dataValidation type="list" allowBlank="1" showInputMessage="1" showErrorMessage="1" sqref="F5:F8" xr:uid="{00000000-0002-0000-0600-000000000000}">
      <formula1>"AL Scrap,ADC 12,AlSi10Mg(LM 9),AlSi8Cu3(LM 24),AlSi7Mg(LM25),Virgin Aluminium,Sand core"</formula1>
    </dataValidation>
    <dataValidation type="list" allowBlank="1" showInputMessage="1" showErrorMessage="1" sqref="X5:X8" xr:uid="{00000000-0002-0000-0600-000001000000}">
      <formula1>"Shell core-intricate design, Sand core,'-"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M488"/>
  <sheetViews>
    <sheetView showGridLines="0" zoomScaleNormal="100" workbookViewId="0">
      <pane xSplit="2" ySplit="3" topLeftCell="C4" activePane="bottomRight" state="frozen"/>
      <selection pane="topRight" activeCell="V5" sqref="V5:V29"/>
      <selection pane="bottomLeft" activeCell="V5" sqref="V5:V29"/>
      <selection pane="bottomRight" activeCell="G11" sqref="G11"/>
    </sheetView>
  </sheetViews>
  <sheetFormatPr defaultColWidth="9.28515625" defaultRowHeight="0" customHeight="1" zeroHeight="1"/>
  <cols>
    <col min="1" max="1" width="9.28515625" style="67"/>
    <col min="2" max="2" width="17.85546875" style="66" customWidth="1"/>
    <col min="3" max="3" width="18.7109375" bestFit="1" customWidth="1"/>
    <col min="4" max="4" width="29.85546875" style="67" bestFit="1" customWidth="1"/>
    <col min="5" max="7" width="13" style="67" customWidth="1"/>
    <col min="8" max="8" width="12.28515625" style="78" bestFit="1" customWidth="1"/>
    <col min="9" max="9" width="9.7109375" style="78" customWidth="1"/>
    <col min="10" max="10" width="28" style="67" bestFit="1" customWidth="1"/>
    <col min="11" max="11" width="17.28515625" style="67" customWidth="1"/>
    <col min="12" max="30" width="9.28515625" style="67" customWidth="1"/>
    <col min="31" max="31" width="10.5703125" style="67" customWidth="1"/>
    <col min="32" max="16384" width="9.28515625" style="67"/>
  </cols>
  <sheetData>
    <row r="1" spans="1:13" ht="21">
      <c r="A1" s="614">
        <v>1</v>
      </c>
      <c r="B1" s="76" t="s">
        <v>262</v>
      </c>
      <c r="F1" s="78"/>
      <c r="G1" s="78"/>
    </row>
    <row r="2" spans="1:13" ht="15">
      <c r="D2" s="87"/>
      <c r="E2" s="87"/>
      <c r="F2" s="82"/>
      <c r="G2" s="82"/>
      <c r="H2" s="82"/>
    </row>
    <row r="3" spans="1:13" s="70" customFormat="1" ht="30">
      <c r="B3" s="152" t="s">
        <v>31</v>
      </c>
      <c r="C3" s="152" t="s">
        <v>39</v>
      </c>
      <c r="D3" s="152" t="s">
        <v>82</v>
      </c>
      <c r="E3" s="152" t="s">
        <v>305</v>
      </c>
      <c r="F3" s="189" t="s">
        <v>306</v>
      </c>
      <c r="G3" s="189" t="s">
        <v>84</v>
      </c>
      <c r="H3" s="189" t="s">
        <v>307</v>
      </c>
      <c r="I3" s="189" t="s">
        <v>308</v>
      </c>
      <c r="J3" s="189" t="s">
        <v>45</v>
      </c>
      <c r="K3" s="189" t="s">
        <v>309</v>
      </c>
    </row>
    <row r="4" spans="1:13" ht="15">
      <c r="B4" s="89"/>
      <c r="C4" s="97" t="str">
        <f>_xlfn.IFNA(IF(VLOOKUP(B4,BOM!$D$1:$I$10000,6,0)="Inhouse","Process-Inhouse",IF(VLOOKUP(B4,BOM!$D$1:$I$10000,6,0)="BOF","Process-outsourced",IF(VLOOKUP(B4,BOM!$D$1:$I$10000,6,0)="BOSF","Process-outsourced"))),"")</f>
        <v/>
      </c>
      <c r="D4" s="91"/>
      <c r="E4" s="91"/>
      <c r="F4" s="92" t="e">
        <f>VLOOKUP(E4,'Process Base'!D:F,3,0)</f>
        <v>#N/A</v>
      </c>
      <c r="G4" s="93" t="str">
        <f>IF(D4="GDC","per kg","per shot")</f>
        <v>per shot</v>
      </c>
      <c r="H4" s="179">
        <f>VLOOKUP(B4,GDC_PDC_Material!$D$1:$N$10000,10,0)</f>
        <v>0</v>
      </c>
      <c r="I4" s="180" t="e">
        <f>IF(D4="GDC",F4*H4,F4)</f>
        <v>#N/A</v>
      </c>
      <c r="J4" s="4" t="s">
        <v>310</v>
      </c>
      <c r="K4" s="217">
        <f>VLOOKUP(B4,GDC_PDC_Material!$D$1:$J$10000,5,0)*VLOOKUP(B4,GDC_PDC_Material!$D$1:$J$10000,6,0)*1.4*8/1000*1.2</f>
        <v>0</v>
      </c>
      <c r="L4" s="70"/>
      <c r="M4" s="70"/>
    </row>
    <row r="5" spans="1:13" ht="15">
      <c r="B5" s="97" t="str">
        <f>IF(B4="","",B4)</f>
        <v/>
      </c>
      <c r="C5" s="97" t="str">
        <f>_xlfn.IFNA(IF(VLOOKUP(B5,BOM!$D$1:$I$10000,6,0)="Inhouse","Process-Inhouse",IF(VLOOKUP(B5,BOM!$D$1:$I$10000,6,0)="BOF","Process-outsourced",IF(VLOOKUP(B5,BOM!$D$1:$I$10000,6,0)="BOSF","Process-outsourced"))),"")</f>
        <v/>
      </c>
      <c r="D5" s="216" t="str">
        <f>IF(B4="","","Shot blasting")</f>
        <v/>
      </c>
      <c r="E5" s="216"/>
      <c r="F5" s="92" t="e">
        <f>VLOOKUP(D5,'Process Base'!D:F,3,0)</f>
        <v>#N/A</v>
      </c>
      <c r="G5" s="93" t="s">
        <v>311</v>
      </c>
      <c r="H5" s="179" t="e">
        <f>VLOOKUP(B5,GDC_PDC_Material!$D$1:$M$10000,10,0)</f>
        <v>#N/A</v>
      </c>
      <c r="I5" s="180" t="e">
        <f>F5*H5</f>
        <v>#N/A</v>
      </c>
      <c r="J5" s="4" t="s">
        <v>310</v>
      </c>
      <c r="L5" s="70"/>
      <c r="M5" s="70"/>
    </row>
    <row r="6" spans="1:13" ht="15">
      <c r="B6" s="97" t="str">
        <f t="shared" ref="B6:B11" si="0">B5</f>
        <v/>
      </c>
      <c r="C6" s="97" t="str">
        <f>_xlfn.IFNA(IF(VLOOKUP(B6,BOM!$D$1:$I$10000,6,0)="Inhouse","Process-Inhouse",IF(VLOOKUP(B6,BOM!$D$1:$I$10000,6,0)="BOF","Process-outsourced",IF(VLOOKUP(B6,BOM!$D$1:$I$10000,6,0)="BOSF","Process-outsourced"))),"")</f>
        <v/>
      </c>
      <c r="D6" s="216" t="str">
        <f>IF(B4="","","Cleaning")</f>
        <v/>
      </c>
      <c r="E6" s="216"/>
      <c r="F6" s="92"/>
      <c r="G6" s="93"/>
      <c r="H6" s="729"/>
      <c r="I6" s="180">
        <v>2</v>
      </c>
      <c r="J6" s="4" t="s">
        <v>312</v>
      </c>
      <c r="L6" s="70"/>
      <c r="M6" s="70"/>
    </row>
    <row r="7" spans="1:13" ht="15">
      <c r="B7" s="97" t="str">
        <f t="shared" si="0"/>
        <v/>
      </c>
      <c r="C7" s="97" t="str">
        <f>_xlfn.IFNA(IF(VLOOKUP(B7,BOM!$D$1:$I$10000,6,0)="Inhouse","Process-Inhouse",IF(VLOOKUP(B7,BOM!$D$1:$I$10000,6,0)="BOF","Process-outsourced",IF(VLOOKUP(B7,BOM!$D$1:$I$10000,6,0)="BOSF","Process-outsourced"))),"")</f>
        <v/>
      </c>
      <c r="D7" s="216" t="str">
        <f>IF(B4="","","Machining")</f>
        <v/>
      </c>
      <c r="E7" s="216"/>
      <c r="F7" s="92"/>
      <c r="G7" s="93"/>
      <c r="H7" s="729"/>
      <c r="I7" s="180" t="e">
        <f>VLOOKUP(B7,Machining_Process!B:W,21,0)</f>
        <v>#N/A</v>
      </c>
      <c r="J7" s="4" t="s">
        <v>313</v>
      </c>
      <c r="L7" s="70"/>
      <c r="M7" s="70"/>
    </row>
    <row r="8" spans="1:13" ht="15">
      <c r="B8" s="97" t="str">
        <f t="shared" si="0"/>
        <v/>
      </c>
      <c r="C8" s="97" t="str">
        <f>_xlfn.IFNA(IF(VLOOKUP(B8,BOM!$D$1:$I$10000,6,0)="Inhouse","Process-Inhouse",IF(VLOOKUP(B8,BOM!$D$1:$I$10000,6,0)="BOF","Process-outsourced",IF(VLOOKUP(B8,BOM!$D$1:$I$10000,6,0)="BOSF","Process-outsourced"))),"")</f>
        <v/>
      </c>
      <c r="D8" s="216" t="str">
        <f>IF(B4="","","Inspection")</f>
        <v/>
      </c>
      <c r="E8" s="216"/>
      <c r="F8" s="92"/>
      <c r="G8" s="93"/>
      <c r="H8" s="729"/>
      <c r="I8" s="180">
        <v>2</v>
      </c>
      <c r="J8" s="4" t="s">
        <v>312</v>
      </c>
      <c r="L8" s="70"/>
      <c r="M8" s="70"/>
    </row>
    <row r="9" spans="1:13" ht="15">
      <c r="B9" s="97" t="str">
        <f t="shared" si="0"/>
        <v/>
      </c>
      <c r="C9" s="97" t="str">
        <f>_xlfn.IFNA(IF(VLOOKUP(B9,BOM!$D$1:$I$10000,6,0)="Inhouse","Process-Inhouse",IF(VLOOKUP(B9,BOM!$D$1:$I$10000,6,0)="BOF","Process-outsourced",IF(VLOOKUP(B9,BOM!$D$1:$I$10000,6,0)="BOSF","Process-outsourced"))),"")</f>
        <v/>
      </c>
      <c r="D9" s="728"/>
      <c r="E9" s="216"/>
      <c r="F9" s="92" t="e">
        <f>VLOOKUP(D9,'Process Base'!D:F,3,0)</f>
        <v>#N/A</v>
      </c>
      <c r="G9" s="93" t="e">
        <f>VLOOKUP(D9,'Process Base'!D:G,4,0)</f>
        <v>#N/A</v>
      </c>
      <c r="H9" s="179" t="e">
        <f>VLOOKUP(B9,GDC_PDC_Material!$D$1:$M$10000,8,0)</f>
        <v>#N/A</v>
      </c>
      <c r="I9" s="180" t="e">
        <f>F9*H9</f>
        <v>#N/A</v>
      </c>
      <c r="J9" s="4" t="s">
        <v>314</v>
      </c>
      <c r="L9" s="70"/>
      <c r="M9" s="70"/>
    </row>
    <row r="10" spans="1:13" ht="15">
      <c r="B10" s="97" t="str">
        <f t="shared" si="0"/>
        <v/>
      </c>
      <c r="C10" s="97" t="str">
        <f>_xlfn.IFNA(IF(VLOOKUP(B10,BOM!$D$1:$I$10000,6,0)="Inhouse","Process-Inhouse",IF(VLOOKUP(B10,BOM!$D$1:$I$10000,6,0)="BOF","Process-outsourced",IF(VLOOKUP(B10,BOM!$D$1:$I$10000,6,0)="BOSF","Process-outsourced"))),"")</f>
        <v/>
      </c>
      <c r="D10" s="728"/>
      <c r="E10" s="216"/>
      <c r="F10" s="92" t="e">
        <f>VLOOKUP(D10,'Process Base'!D:F,3,0)</f>
        <v>#N/A</v>
      </c>
      <c r="G10" s="93" t="e">
        <f>VLOOKUP(D10,'Process Base'!D:G,4,0)</f>
        <v>#N/A</v>
      </c>
      <c r="H10" s="179" t="e">
        <f>VLOOKUP(B10,GDC_PDC_Material!$D$1:$M$10000,8,0)</f>
        <v>#N/A</v>
      </c>
      <c r="I10" s="180" t="e">
        <f>F10*H10</f>
        <v>#N/A</v>
      </c>
      <c r="J10" s="4" t="s">
        <v>314</v>
      </c>
      <c r="L10" s="70"/>
      <c r="M10" s="70"/>
    </row>
    <row r="11" spans="1:13" ht="15">
      <c r="B11" s="97" t="str">
        <f t="shared" si="0"/>
        <v/>
      </c>
      <c r="C11" s="210" t="s">
        <v>315</v>
      </c>
      <c r="D11" s="4"/>
      <c r="E11" s="97"/>
      <c r="F11" s="92" t="e">
        <f>VLOOKUP(D11,'Process Base'!D:F,3,0)</f>
        <v>#N/A</v>
      </c>
      <c r="G11" s="93" t="e">
        <f>VLOOKUP(D11,'Process Base'!D:G,4,0)</f>
        <v>#N/A</v>
      </c>
      <c r="H11" s="179" t="e">
        <f>VLOOKUP(B11,GDC_PDC_Material!$D$1:$M$10000,8,0)</f>
        <v>#N/A</v>
      </c>
      <c r="I11" s="4" t="e">
        <f>H11*F11</f>
        <v>#N/A</v>
      </c>
      <c r="J11" s="4" t="s">
        <v>314</v>
      </c>
      <c r="L11" s="70"/>
      <c r="M11" s="70"/>
    </row>
    <row r="12" spans="1:13" ht="15">
      <c r="C12" s="66"/>
    </row>
    <row r="13" spans="1:13" ht="15">
      <c r="C13" s="66"/>
    </row>
    <row r="14" spans="1:13" ht="15">
      <c r="C14" s="66"/>
    </row>
    <row r="15" spans="1:13" ht="15">
      <c r="C15" s="66"/>
    </row>
    <row r="16" spans="1:13" ht="15">
      <c r="C16" s="66"/>
    </row>
    <row r="17" spans="3:3" ht="15">
      <c r="C17" s="66"/>
    </row>
    <row r="18" spans="3:3" ht="15">
      <c r="C18" s="66"/>
    </row>
    <row r="19" spans="3:3" ht="15">
      <c r="C19" s="66"/>
    </row>
    <row r="20" spans="3:3" ht="15">
      <c r="C20" s="66"/>
    </row>
    <row r="21" spans="3:3" ht="15">
      <c r="C21" s="66"/>
    </row>
    <row r="22" spans="3:3" ht="15">
      <c r="C22" s="66"/>
    </row>
    <row r="23" spans="3:3" ht="15">
      <c r="C23" s="66"/>
    </row>
    <row r="24" spans="3:3" ht="15">
      <c r="C24" s="66"/>
    </row>
    <row r="25" spans="3:3" ht="15">
      <c r="C25" s="66"/>
    </row>
    <row r="26" spans="3:3" ht="15">
      <c r="C26" s="66"/>
    </row>
    <row r="27" spans="3:3" ht="15">
      <c r="C27" s="66"/>
    </row>
    <row r="28" spans="3:3" ht="15">
      <c r="C28" s="66"/>
    </row>
    <row r="29" spans="3:3" ht="15">
      <c r="C29" s="66"/>
    </row>
    <row r="30" spans="3:3" ht="15">
      <c r="C30" s="66"/>
    </row>
    <row r="31" spans="3:3" ht="15">
      <c r="C31" s="66"/>
    </row>
    <row r="32" spans="3:3" ht="15">
      <c r="C32" s="66"/>
    </row>
    <row r="33" ht="15"/>
    <row r="34" ht="15"/>
    <row r="35" ht="15"/>
    <row r="36" ht="15"/>
    <row r="37" ht="15"/>
    <row r="38" ht="15"/>
    <row r="39" ht="15"/>
    <row r="40" ht="15"/>
    <row r="41" ht="15"/>
    <row r="42" ht="15"/>
    <row r="43" ht="15"/>
    <row r="44" ht="15"/>
    <row r="45" ht="15"/>
    <row r="46" ht="15"/>
    <row r="47" ht="15"/>
    <row r="48" ht="15"/>
    <row r="49" ht="15"/>
    <row r="50" ht="15"/>
    <row r="51" ht="15"/>
    <row r="52" ht="15"/>
    <row r="53" ht="15"/>
    <row r="54" ht="15"/>
    <row r="55" ht="15"/>
    <row r="56" ht="15"/>
    <row r="57" ht="15"/>
    <row r="58" ht="15"/>
    <row r="59" ht="15"/>
    <row r="60" ht="15"/>
    <row r="61" ht="15"/>
    <row r="62" ht="15"/>
    <row r="63" ht="15"/>
    <row r="64" ht="15"/>
    <row r="65" ht="15"/>
    <row r="66" ht="15"/>
    <row r="67" ht="15"/>
    <row r="68" ht="15"/>
    <row r="69" ht="15"/>
    <row r="70" ht="15"/>
    <row r="71" ht="15"/>
    <row r="72" ht="15"/>
    <row r="73" ht="15"/>
    <row r="74" ht="15"/>
    <row r="75" ht="15"/>
    <row r="76" ht="15"/>
    <row r="77" ht="15"/>
    <row r="78" ht="15"/>
    <row r="79" ht="15"/>
    <row r="80" ht="15"/>
    <row r="81" ht="15"/>
    <row r="82" ht="15"/>
    <row r="83" ht="15"/>
    <row r="84" ht="15"/>
    <row r="85" ht="15"/>
    <row r="86" ht="15"/>
    <row r="87" ht="15"/>
    <row r="88" ht="15"/>
    <row r="89" ht="15"/>
    <row r="90" ht="15"/>
    <row r="91" ht="15"/>
    <row r="92" ht="15"/>
    <row r="93" ht="15"/>
    <row r="94" ht="15"/>
    <row r="95" ht="15"/>
    <row r="96" ht="15"/>
    <row r="97" ht="15"/>
    <row r="98" ht="15"/>
    <row r="99" ht="15"/>
    <row r="100" ht="15"/>
    <row r="101" ht="15"/>
    <row r="102" ht="15"/>
    <row r="103" ht="15"/>
    <row r="104" ht="15"/>
    <row r="105" ht="15"/>
    <row r="106" ht="15"/>
    <row r="107" ht="15"/>
    <row r="108" ht="15"/>
    <row r="109" ht="15"/>
    <row r="110" ht="15"/>
    <row r="111" ht="15"/>
    <row r="112" ht="15"/>
    <row r="113" ht="15"/>
    <row r="114" ht="15"/>
    <row r="115" ht="15"/>
    <row r="116" ht="15"/>
    <row r="117" ht="15"/>
    <row r="118" ht="15"/>
    <row r="119" ht="15"/>
    <row r="120" ht="15"/>
    <row r="121" ht="15"/>
    <row r="122" ht="15"/>
    <row r="123" ht="15"/>
    <row r="124" ht="15"/>
    <row r="125" ht="15"/>
    <row r="126" ht="15"/>
    <row r="127" ht="15"/>
    <row r="128" ht="15"/>
    <row r="129" ht="15"/>
    <row r="130" ht="15"/>
    <row r="131" ht="15"/>
    <row r="132" ht="15"/>
    <row r="133" ht="15"/>
    <row r="134" ht="15"/>
    <row r="135" ht="15"/>
    <row r="136" ht="15"/>
    <row r="137" ht="15"/>
    <row r="138" ht="15"/>
    <row r="139" ht="15"/>
    <row r="140" ht="15"/>
    <row r="141" ht="15"/>
    <row r="142" ht="15"/>
    <row r="143" ht="15"/>
    <row r="144" ht="15"/>
    <row r="145" ht="15"/>
    <row r="146" ht="15"/>
    <row r="147" ht="15"/>
    <row r="148" ht="15"/>
    <row r="149" ht="15"/>
    <row r="150" ht="15"/>
    <row r="151" ht="15"/>
    <row r="152" ht="15"/>
    <row r="153" ht="15"/>
    <row r="154" ht="15"/>
    <row r="155" ht="15"/>
    <row r="156" ht="15"/>
    <row r="157" ht="15"/>
    <row r="158" ht="15"/>
    <row r="159" ht="15"/>
    <row r="160" ht="15"/>
    <row r="161" ht="15"/>
    <row r="162" ht="15"/>
    <row r="163" ht="15"/>
    <row r="164" ht="15"/>
    <row r="165" ht="15"/>
    <row r="166" ht="15"/>
    <row r="167" ht="15"/>
    <row r="168" ht="15"/>
    <row r="169" ht="15"/>
    <row r="170" ht="15"/>
    <row r="171" ht="15"/>
    <row r="172" ht="15"/>
    <row r="173" ht="15"/>
    <row r="174" ht="15"/>
    <row r="175" ht="15"/>
    <row r="176" ht="15"/>
    <row r="177" ht="15"/>
    <row r="178" ht="15"/>
    <row r="179" ht="15"/>
    <row r="180" ht="15"/>
    <row r="181" ht="15"/>
    <row r="182" ht="15"/>
    <row r="183" ht="15"/>
    <row r="184" ht="15"/>
    <row r="185" ht="15"/>
    <row r="186" ht="15"/>
    <row r="187" ht="15"/>
    <row r="188" ht="15"/>
    <row r="189" ht="15"/>
    <row r="190" ht="15"/>
    <row r="191" ht="15"/>
    <row r="192" ht="15"/>
    <row r="193" ht="15"/>
    <row r="194" ht="15"/>
    <row r="195" ht="15"/>
    <row r="196" ht="15"/>
    <row r="197" ht="15"/>
    <row r="198" ht="15"/>
    <row r="199" ht="15"/>
    <row r="200" ht="15"/>
    <row r="201" ht="15"/>
    <row r="202" ht="15"/>
    <row r="203" ht="15"/>
    <row r="204" ht="15"/>
    <row r="205" ht="15"/>
    <row r="206" ht="15"/>
    <row r="207" ht="15"/>
    <row r="208" ht="15"/>
    <row r="209" ht="15"/>
    <row r="210" ht="15"/>
    <row r="211" ht="15"/>
    <row r="212" ht="15"/>
    <row r="213" ht="15"/>
    <row r="214" ht="15"/>
    <row r="215" ht="15"/>
    <row r="216" ht="15"/>
    <row r="217" ht="15"/>
    <row r="218" ht="15"/>
    <row r="219" ht="15"/>
    <row r="220" ht="15"/>
    <row r="221" ht="15"/>
    <row r="222" ht="15"/>
    <row r="223" ht="15"/>
    <row r="224" ht="15"/>
    <row r="225" ht="15"/>
    <row r="226" ht="15"/>
    <row r="227" ht="15"/>
    <row r="228" ht="15"/>
    <row r="229" ht="15"/>
    <row r="230" ht="15"/>
    <row r="231" ht="15"/>
    <row r="232" ht="15"/>
    <row r="233" ht="15"/>
    <row r="234" ht="15"/>
    <row r="235" ht="15"/>
    <row r="236" ht="15"/>
    <row r="237" ht="15"/>
    <row r="238" ht="15"/>
    <row r="239" ht="15"/>
    <row r="240" ht="15"/>
    <row r="241" ht="15"/>
    <row r="242" ht="15"/>
    <row r="243" ht="15"/>
    <row r="244" ht="15"/>
    <row r="245" ht="15"/>
    <row r="246" ht="15"/>
    <row r="247" ht="15"/>
    <row r="248" ht="15"/>
    <row r="249" ht="15"/>
    <row r="250" ht="15"/>
    <row r="251" ht="15"/>
    <row r="252" ht="15"/>
    <row r="253" ht="15"/>
    <row r="254" ht="15"/>
    <row r="255" ht="15"/>
    <row r="256" ht="15"/>
    <row r="257" ht="15"/>
    <row r="258" ht="15"/>
    <row r="259" ht="15"/>
    <row r="260" ht="15"/>
    <row r="261" ht="15"/>
    <row r="262" ht="15"/>
    <row r="263" ht="15"/>
    <row r="264" ht="15"/>
    <row r="265" ht="15"/>
    <row r="266" ht="15"/>
    <row r="267" ht="15"/>
    <row r="268" ht="15"/>
    <row r="269" ht="15"/>
    <row r="270" ht="15"/>
    <row r="271" ht="15"/>
    <row r="272" ht="15"/>
    <row r="273" ht="15"/>
    <row r="274" ht="15"/>
    <row r="275" ht="15"/>
    <row r="276" ht="15"/>
    <row r="277" ht="15"/>
    <row r="278" ht="15"/>
    <row r="279" ht="15"/>
    <row r="280" ht="15"/>
    <row r="281" ht="15"/>
    <row r="282" ht="15"/>
    <row r="283" ht="15"/>
    <row r="284" ht="15"/>
    <row r="285" ht="15"/>
    <row r="286" ht="15"/>
    <row r="287" ht="15"/>
    <row r="288" ht="15"/>
    <row r="289" ht="15"/>
    <row r="290" ht="15"/>
    <row r="291" ht="15"/>
    <row r="292" ht="15"/>
    <row r="293" ht="15"/>
    <row r="294" ht="15"/>
    <row r="295" ht="15"/>
    <row r="296" ht="15"/>
    <row r="297" ht="15"/>
    <row r="298" ht="15"/>
    <row r="299" ht="15"/>
    <row r="300" ht="15"/>
    <row r="301" ht="15"/>
    <row r="302" ht="15"/>
    <row r="303" ht="15"/>
    <row r="304" ht="15"/>
    <row r="305" ht="15"/>
    <row r="306" ht="15"/>
    <row r="307" ht="15"/>
    <row r="308" ht="15"/>
    <row r="309" ht="15"/>
    <row r="310" ht="15"/>
    <row r="311" ht="15"/>
    <row r="312" ht="15"/>
    <row r="313" ht="15"/>
    <row r="314" ht="15"/>
    <row r="315" ht="15"/>
    <row r="316" ht="15"/>
    <row r="317" ht="15"/>
    <row r="318" ht="15"/>
    <row r="319" ht="15"/>
    <row r="320" ht="15"/>
    <row r="321" ht="15"/>
    <row r="322" ht="15"/>
    <row r="323" ht="15"/>
    <row r="324" ht="15"/>
    <row r="325" ht="15"/>
    <row r="326" ht="15"/>
    <row r="327" ht="15"/>
    <row r="328" ht="15"/>
    <row r="329" ht="15"/>
    <row r="330" ht="15"/>
    <row r="331" ht="15"/>
    <row r="332" ht="15"/>
    <row r="333" ht="15"/>
    <row r="334" ht="15"/>
    <row r="335" ht="15"/>
    <row r="336" ht="15"/>
    <row r="337" ht="15"/>
    <row r="338" ht="15"/>
    <row r="339" ht="15"/>
    <row r="340" ht="15"/>
    <row r="341" ht="15"/>
    <row r="342" ht="15"/>
    <row r="343" ht="15"/>
    <row r="344" ht="15"/>
    <row r="345" ht="15"/>
    <row r="346" ht="15"/>
    <row r="347" ht="15"/>
    <row r="348" ht="15"/>
    <row r="349" ht="15"/>
    <row r="350" ht="15"/>
    <row r="351" ht="15"/>
    <row r="352" ht="15"/>
    <row r="353" ht="15"/>
    <row r="354" ht="15"/>
    <row r="355" ht="15"/>
    <row r="356" ht="15"/>
    <row r="357" ht="15"/>
    <row r="358" ht="15"/>
    <row r="359" ht="15"/>
    <row r="360" ht="15"/>
    <row r="361" ht="15"/>
    <row r="362" ht="15"/>
    <row r="363" ht="15"/>
    <row r="364" ht="15"/>
    <row r="365" ht="15"/>
    <row r="366" ht="15"/>
    <row r="367" ht="15"/>
    <row r="368" ht="15"/>
    <row r="369" ht="15"/>
    <row r="370" ht="15"/>
    <row r="371" ht="15"/>
    <row r="372" ht="15"/>
    <row r="373" ht="15"/>
    <row r="374" ht="15"/>
    <row r="375" ht="15"/>
    <row r="376" ht="15"/>
    <row r="377" ht="15"/>
    <row r="378" ht="15"/>
    <row r="379" ht="15"/>
    <row r="380" ht="15"/>
    <row r="381" ht="15"/>
    <row r="382" ht="15"/>
    <row r="383" ht="15"/>
    <row r="384" ht="15"/>
    <row r="385" ht="15"/>
    <row r="386" ht="15"/>
    <row r="387" ht="15"/>
    <row r="388" ht="15"/>
    <row r="389" ht="15"/>
    <row r="390" ht="15"/>
    <row r="391" ht="15"/>
    <row r="392" ht="15"/>
    <row r="393" ht="15"/>
    <row r="394" ht="15"/>
    <row r="395" ht="15"/>
    <row r="396" ht="15"/>
    <row r="397" ht="15"/>
    <row r="398" ht="15"/>
    <row r="399" ht="15"/>
    <row r="400" ht="15"/>
    <row r="401" ht="15"/>
    <row r="402" ht="15"/>
    <row r="403" ht="15"/>
    <row r="404" ht="15"/>
    <row r="405" ht="15"/>
    <row r="406" ht="15"/>
    <row r="407" ht="15"/>
    <row r="408" ht="15"/>
    <row r="409" ht="15"/>
    <row r="410" ht="15"/>
    <row r="411" ht="15"/>
    <row r="412" ht="15"/>
    <row r="413" ht="15"/>
    <row r="414" ht="15"/>
    <row r="415" ht="15"/>
    <row r="416" ht="15"/>
    <row r="417" ht="15"/>
    <row r="418" ht="15"/>
    <row r="419" ht="15"/>
    <row r="420" ht="15"/>
    <row r="421" ht="15"/>
    <row r="422" ht="15"/>
    <row r="423" ht="15"/>
    <row r="424" ht="15"/>
    <row r="425" ht="15"/>
    <row r="426" ht="15"/>
    <row r="427" ht="15"/>
    <row r="428" ht="15"/>
    <row r="429" ht="15"/>
    <row r="430" ht="15"/>
    <row r="431" ht="15"/>
    <row r="432" ht="15"/>
    <row r="433" ht="15"/>
    <row r="434" ht="15"/>
    <row r="435" ht="15"/>
    <row r="436" ht="15"/>
    <row r="437" ht="15"/>
    <row r="438" ht="15"/>
    <row r="439" ht="15"/>
    <row r="440" ht="15"/>
    <row r="441" ht="15"/>
    <row r="442" ht="15"/>
    <row r="443" ht="15"/>
    <row r="444" ht="15"/>
    <row r="445" ht="15"/>
    <row r="446" ht="15"/>
    <row r="447" ht="15"/>
    <row r="448" ht="15"/>
    <row r="449" ht="15"/>
    <row r="450" ht="15"/>
    <row r="451" ht="15"/>
    <row r="452" ht="15"/>
    <row r="453" ht="15"/>
    <row r="454" ht="15"/>
    <row r="455" ht="15"/>
    <row r="456" ht="15"/>
    <row r="457" ht="15"/>
    <row r="458" ht="15"/>
    <row r="459" ht="15"/>
    <row r="460" ht="15"/>
    <row r="461" ht="15"/>
    <row r="462" ht="15"/>
    <row r="463" ht="15"/>
    <row r="464" ht="15"/>
    <row r="465" ht="15"/>
    <row r="466" ht="15"/>
    <row r="467" ht="15"/>
    <row r="468" ht="15"/>
    <row r="469" ht="15"/>
    <row r="470" ht="15"/>
    <row r="471" ht="15"/>
    <row r="472" ht="15"/>
    <row r="473" ht="15"/>
    <row r="474" ht="15"/>
    <row r="475" ht="15"/>
    <row r="476" ht="15"/>
    <row r="477" ht="15"/>
    <row r="478" ht="15"/>
    <row r="479" ht="15"/>
    <row r="480" ht="15"/>
    <row r="481" ht="15"/>
    <row r="482" ht="15"/>
    <row r="483" ht="15"/>
    <row r="484" ht="15"/>
    <row r="485" ht="15"/>
    <row r="486" ht="15"/>
    <row r="487" ht="15"/>
    <row r="488" ht="15"/>
  </sheetData>
  <conditionalFormatting sqref="B4">
    <cfRule type="duplicateValues" dxfId="68" priority="2"/>
  </conditionalFormatting>
  <dataValidations disablePrompts="1" count="4">
    <dataValidation type="list" allowBlank="1" showInputMessage="1" showErrorMessage="1" sqref="D4" xr:uid="{00000000-0002-0000-0700-000000000000}">
      <formula1>"GDC,PDC"</formula1>
    </dataValidation>
    <dataValidation type="list" allowBlank="1" showInputMessage="1" showErrorMessage="1" sqref="E4" xr:uid="{00000000-0002-0000-0700-000001000000}">
      <formula1>"GDC &lt;0.5 Kg,GDC 0.51 to 2.0 Kgs,GDC &gt; 2 Kgs,PDC 250T,PDC 400T,PDC 650T,PDC 800T,PDC 1600T,PDC 2000T"</formula1>
    </dataValidation>
    <dataValidation type="list" allowBlank="1" showInputMessage="1" showErrorMessage="1" sqref="C11" xr:uid="{00000000-0002-0000-0700-000002000000}">
      <formula1>"Process-outsourced,Process-Inhouse,Surface Protection"</formula1>
    </dataValidation>
    <dataValidation type="list" allowBlank="1" showInputMessage="1" showErrorMessage="1" sqref="D9:D10" xr:uid="{00000000-0002-0000-0700-000003000000}">
      <formula1>"T6 treatment for aluminium alloy, Impregnation"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BK37"/>
  <sheetViews>
    <sheetView showGridLines="0" zoomScale="85" zoomScaleNormal="85" workbookViewId="0">
      <pane xSplit="10" ySplit="12" topLeftCell="K13" activePane="bottomRight" state="frozen"/>
      <selection pane="topRight" activeCell="J78" sqref="J78"/>
      <selection pane="bottomLeft" activeCell="J78" sqref="J78"/>
      <selection pane="bottomRight" activeCell="T13" sqref="T13"/>
    </sheetView>
  </sheetViews>
  <sheetFormatPr defaultColWidth="9.140625" defaultRowHeight="15"/>
  <cols>
    <col min="1" max="1" width="4" customWidth="1"/>
    <col min="2" max="2" width="13.28515625" hidden="1" customWidth="1"/>
    <col min="3" max="3" width="5.7109375" customWidth="1"/>
    <col min="4" max="4" width="16.85546875" bestFit="1" customWidth="1"/>
    <col min="5" max="5" width="6.7109375" customWidth="1"/>
    <col min="6" max="6" width="35.7109375" style="14" bestFit="1" customWidth="1"/>
    <col min="7" max="7" width="8.7109375" style="14" customWidth="1"/>
    <col min="8" max="8" width="12.85546875" customWidth="1"/>
    <col min="9" max="9" width="5.7109375" style="14" bestFit="1" customWidth="1"/>
    <col min="10" max="10" width="8.5703125" style="14" customWidth="1"/>
    <col min="11" max="11" width="14.42578125" style="14" hidden="1" customWidth="1"/>
    <col min="12" max="12" width="8.85546875" style="15" customWidth="1"/>
    <col min="13" max="13" width="7.42578125" style="15" customWidth="1"/>
    <col min="14" max="14" width="6" style="16" hidden="1" customWidth="1"/>
    <col min="15" max="15" width="7.85546875" style="17" customWidth="1"/>
    <col min="16" max="16" width="7.7109375" style="17" hidden="1" customWidth="1"/>
    <col min="17" max="17" width="10.85546875" style="17" hidden="1" customWidth="1"/>
    <col min="18" max="18" width="8.42578125" style="17" bestFit="1" customWidth="1"/>
    <col min="19" max="19" width="9.5703125" style="16" customWidth="1"/>
    <col min="20" max="20" width="9.7109375" style="14" bestFit="1" customWidth="1"/>
    <col min="21" max="21" width="8" style="14" customWidth="1"/>
    <col min="22" max="22" width="8.5703125" style="14" customWidth="1"/>
    <col min="23" max="23" width="8.28515625" style="14" customWidth="1"/>
    <col min="24" max="24" width="7.7109375" style="14" customWidth="1"/>
    <col min="25" max="25" width="5.42578125" style="14" customWidth="1"/>
    <col min="26" max="26" width="7.28515625" style="14" customWidth="1"/>
    <col min="27" max="27" width="8.28515625" style="14" customWidth="1"/>
    <col min="28" max="28" width="5.7109375" style="14" customWidth="1"/>
    <col min="29" max="29" width="6.140625" customWidth="1"/>
    <col min="30" max="30" width="8.7109375" style="14" customWidth="1"/>
    <col min="31" max="31" width="10.7109375" style="14" bestFit="1" customWidth="1"/>
    <col min="32" max="32" width="10.7109375" hidden="1" customWidth="1"/>
    <col min="33" max="33" width="10.7109375" bestFit="1" customWidth="1"/>
    <col min="34" max="34" width="9.28515625" customWidth="1"/>
    <col min="35" max="35" width="8.42578125" bestFit="1" customWidth="1"/>
    <col min="36" max="36" width="10.28515625" bestFit="1" customWidth="1"/>
    <col min="37" max="38" width="13.7109375" hidden="1" customWidth="1"/>
    <col min="39" max="39" width="9.85546875" hidden="1" customWidth="1"/>
    <col min="40" max="41" width="8.42578125" hidden="1" customWidth="1"/>
    <col min="42" max="42" width="7" hidden="1" customWidth="1"/>
    <col min="43" max="43" width="6.5703125" hidden="1" customWidth="1"/>
    <col min="44" max="45" width="8.42578125" hidden="1" customWidth="1"/>
    <col min="46" max="46" width="12" hidden="1" customWidth="1"/>
    <col min="47" max="47" width="11.42578125" hidden="1" customWidth="1"/>
    <col min="48" max="48" width="8.42578125" hidden="1" customWidth="1"/>
    <col min="49" max="49" width="10.5703125" hidden="1" customWidth="1"/>
    <col min="50" max="50" width="9.7109375" hidden="1" customWidth="1"/>
    <col min="51" max="51" width="9.140625" hidden="1" customWidth="1"/>
    <col min="52" max="55" width="9.28515625" hidden="1" customWidth="1"/>
    <col min="56" max="59" width="8.42578125" hidden="1" customWidth="1"/>
    <col min="60" max="60" width="9.85546875" hidden="1" customWidth="1"/>
    <col min="61" max="61" width="9.5703125" hidden="1" customWidth="1"/>
    <col min="62" max="62" width="10" hidden="1" customWidth="1"/>
    <col min="63" max="63" width="8.5703125" hidden="1" customWidth="1"/>
  </cols>
  <sheetData>
    <row r="1" spans="1:63" hidden="1">
      <c r="A1" s="691">
        <v>1</v>
      </c>
    </row>
    <row r="2" spans="1:63" hidden="1">
      <c r="S2" s="14"/>
      <c r="AB2"/>
      <c r="AC2" s="14"/>
      <c r="AE2"/>
    </row>
    <row r="3" spans="1:63" hidden="1">
      <c r="S3" s="14"/>
      <c r="AB3"/>
      <c r="AC3" s="14"/>
      <c r="AE3"/>
    </row>
    <row r="4" spans="1:63" hidden="1">
      <c r="S4" s="14"/>
      <c r="AB4"/>
      <c r="AC4" s="14"/>
      <c r="AE4"/>
    </row>
    <row r="5" spans="1:63" hidden="1">
      <c r="S5" s="14"/>
      <c r="AB5"/>
      <c r="AC5" s="14"/>
      <c r="AE5"/>
    </row>
    <row r="6" spans="1:63" hidden="1">
      <c r="S6" s="14"/>
      <c r="AB6"/>
      <c r="AC6" s="14"/>
      <c r="AE6"/>
    </row>
    <row r="7" spans="1:63" hidden="1">
      <c r="S7" s="14"/>
      <c r="AB7"/>
      <c r="AC7" s="14"/>
      <c r="AE7"/>
    </row>
    <row r="8" spans="1:63" hidden="1">
      <c r="S8" s="14"/>
      <c r="AB8"/>
      <c r="AC8" s="14"/>
      <c r="AE8"/>
    </row>
    <row r="9" spans="1:63" ht="15.75" thickBot="1">
      <c r="A9" s="797" t="s">
        <v>132</v>
      </c>
      <c r="B9" s="797"/>
      <c r="E9" s="792" t="s">
        <v>202</v>
      </c>
      <c r="F9" s="792"/>
      <c r="G9" s="792"/>
      <c r="H9" s="792"/>
      <c r="I9" s="792"/>
      <c r="J9" s="792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D9"/>
      <c r="AE9"/>
    </row>
    <row r="10" spans="1:63" ht="19.5" customHeight="1">
      <c r="A10" s="797"/>
      <c r="B10" s="797"/>
      <c r="C10" s="200"/>
      <c r="D10" s="200"/>
      <c r="E10" s="793" t="s">
        <v>316</v>
      </c>
      <c r="F10" s="793"/>
      <c r="G10" s="793"/>
      <c r="H10" s="793"/>
      <c r="I10" s="793"/>
      <c r="J10" s="793"/>
      <c r="M10"/>
      <c r="N10"/>
      <c r="O10"/>
      <c r="P10"/>
      <c r="W10" s="29"/>
      <c r="AB10" s="230"/>
      <c r="AC10" s="14"/>
      <c r="AE10" s="231" t="s">
        <v>204</v>
      </c>
      <c r="AG10" s="232">
        <f>SUMIF($G$12:$G$9999,$AE10,$AG$12:$AG$9999)</f>
        <v>0</v>
      </c>
    </row>
    <row r="11" spans="1:63">
      <c r="A11" s="797"/>
      <c r="B11" s="797"/>
      <c r="E11" s="794" t="s">
        <v>205</v>
      </c>
      <c r="F11" s="794"/>
      <c r="G11" s="794"/>
      <c r="H11" s="794"/>
      <c r="I11" s="794"/>
      <c r="J11" s="794"/>
      <c r="M11"/>
      <c r="N11"/>
      <c r="O11"/>
      <c r="P11"/>
      <c r="S11" s="14"/>
      <c r="AB11"/>
      <c r="AC11" s="14"/>
      <c r="AE11" s="233" t="s">
        <v>206</v>
      </c>
      <c r="AG11" s="234">
        <f>SUMIF($G$12:$G$9999,$AE11,$AG$12:$AG$9999)</f>
        <v>0</v>
      </c>
      <c r="AH11" s="18"/>
    </row>
    <row r="12" spans="1:63" s="19" customFormat="1" ht="60.75" customHeight="1">
      <c r="A12" s="152" t="s">
        <v>317</v>
      </c>
      <c r="B12" s="152" t="s">
        <v>29</v>
      </c>
      <c r="C12" s="152" t="s">
        <v>30</v>
      </c>
      <c r="D12" s="152" t="s">
        <v>207</v>
      </c>
      <c r="E12" s="152" t="s">
        <v>32</v>
      </c>
      <c r="F12" s="151" t="s">
        <v>208</v>
      </c>
      <c r="G12" s="151" t="s">
        <v>209</v>
      </c>
      <c r="H12" s="152" t="s">
        <v>210</v>
      </c>
      <c r="I12" s="151" t="s">
        <v>34</v>
      </c>
      <c r="J12" s="151" t="s">
        <v>211</v>
      </c>
      <c r="K12" s="151" t="s">
        <v>212</v>
      </c>
      <c r="L12" s="151" t="s">
        <v>213</v>
      </c>
      <c r="M12" s="151" t="s">
        <v>214</v>
      </c>
      <c r="N12" s="253" t="s">
        <v>215</v>
      </c>
      <c r="O12" s="254" t="s">
        <v>216</v>
      </c>
      <c r="P12" s="254" t="s">
        <v>217</v>
      </c>
      <c r="Q12" s="253" t="s">
        <v>218</v>
      </c>
      <c r="R12" s="254" t="s">
        <v>219</v>
      </c>
      <c r="S12" s="254" t="s">
        <v>220</v>
      </c>
      <c r="T12" s="254" t="s">
        <v>221</v>
      </c>
      <c r="U12" s="151" t="s">
        <v>222</v>
      </c>
      <c r="V12" s="151" t="s">
        <v>223</v>
      </c>
      <c r="W12" s="151" t="s">
        <v>224</v>
      </c>
      <c r="X12" s="151" t="s">
        <v>225</v>
      </c>
      <c r="Y12" s="151" t="s">
        <v>226</v>
      </c>
      <c r="Z12" s="151" t="s">
        <v>227</v>
      </c>
      <c r="AA12" s="151" t="s">
        <v>228</v>
      </c>
      <c r="AB12" s="151" t="s">
        <v>229</v>
      </c>
      <c r="AC12" s="151" t="s">
        <v>230</v>
      </c>
      <c r="AD12" s="152" t="s">
        <v>231</v>
      </c>
      <c r="AE12" s="151" t="s">
        <v>232</v>
      </c>
      <c r="AF12" s="151" t="s">
        <v>233</v>
      </c>
      <c r="AG12" s="152" t="s">
        <v>234</v>
      </c>
      <c r="AH12" s="152" t="s">
        <v>45</v>
      </c>
      <c r="AI12" s="152" t="s">
        <v>14</v>
      </c>
      <c r="AJ12" s="152" t="s">
        <v>15</v>
      </c>
      <c r="AK12" s="152" t="s">
        <v>235</v>
      </c>
      <c r="AL12" s="152" t="s">
        <v>236</v>
      </c>
      <c r="AM12" s="152" t="s">
        <v>237</v>
      </c>
      <c r="AN12" s="152" t="s">
        <v>238</v>
      </c>
      <c r="AO12" s="152" t="s">
        <v>239</v>
      </c>
      <c r="AP12" s="152" t="s">
        <v>240</v>
      </c>
      <c r="AQ12" s="152" t="s">
        <v>241</v>
      </c>
      <c r="AR12" s="152" t="s">
        <v>242</v>
      </c>
      <c r="AS12" s="152" t="s">
        <v>243</v>
      </c>
      <c r="AT12" s="152" t="s">
        <v>244</v>
      </c>
      <c r="AU12" s="152" t="s">
        <v>245</v>
      </c>
      <c r="AV12" s="152" t="s">
        <v>246</v>
      </c>
      <c r="AW12" s="152" t="s">
        <v>247</v>
      </c>
      <c r="AX12" s="152" t="s">
        <v>248</v>
      </c>
      <c r="AY12" s="152" t="s">
        <v>249</v>
      </c>
      <c r="AZ12" s="152" t="s">
        <v>250</v>
      </c>
      <c r="BA12" s="152" t="s">
        <v>251</v>
      </c>
      <c r="BB12" s="152" t="s">
        <v>252</v>
      </c>
      <c r="BC12" s="152" t="s">
        <v>253</v>
      </c>
      <c r="BD12" s="152" t="s">
        <v>254</v>
      </c>
      <c r="BE12" s="152" t="s">
        <v>255</v>
      </c>
      <c r="BF12" s="152" t="s">
        <v>256</v>
      </c>
      <c r="BG12" s="152" t="s">
        <v>257</v>
      </c>
      <c r="BH12" s="152" t="s">
        <v>258</v>
      </c>
      <c r="BI12" s="152" t="s">
        <v>259</v>
      </c>
      <c r="BJ12" s="152" t="s">
        <v>260</v>
      </c>
      <c r="BK12" s="152" t="s">
        <v>261</v>
      </c>
    </row>
    <row r="13" spans="1:63" s="14" customFormat="1" ht="15" customHeight="1">
      <c r="A13" s="71">
        <v>1</v>
      </c>
      <c r="B13" s="74" t="str">
        <f>_xlfn.IFNA(VLOOKUP(D13,Group!$AM$1:$AO$10000,3,0),"")</f>
        <v>MB512123</v>
      </c>
      <c r="C13" s="71">
        <f>_xlfn.IFNA(VLOOKUP(D13,Group!$AM$1:$AO$10000,2,0),"")</f>
        <v>0</v>
      </c>
      <c r="D13" s="74">
        <f>Group!P2</f>
        <v>0</v>
      </c>
      <c r="E13" s="71" t="str">
        <f>_xlfn.IFNA(VLOOKUP(D13,BOM!$D$1:$F$10000,2,0),"")</f>
        <v/>
      </c>
      <c r="F13" s="74" t="str">
        <f>_xlfn.IFNA(VLOOKUP(D13,BOM!$D$1:$F$10000,3,0),"")</f>
        <v/>
      </c>
      <c r="G13" s="71" t="str">
        <f>_xlfn.IFNA(IF(OR(VLOOKUP(D13,BOM!$D$1:$I$1000,6,0)="Inhouse",VLOOKUP(D13,BOM!$D$1:$J$1000,7,0)="CSC"),"RM","BOP"),"")</f>
        <v/>
      </c>
      <c r="H13" s="72"/>
      <c r="I13" s="71" t="str">
        <f>_xlfn.IFNA(VLOOKUP(D13,BOM!$D$1:$G$10000,4,0),"")</f>
        <v/>
      </c>
      <c r="J13" s="71" t="str">
        <f>_xlfn.IFNA(VLOOKUP(H13,'RM Base'!D:E,2,0),"")</f>
        <v/>
      </c>
      <c r="K13" s="235" t="s">
        <v>318</v>
      </c>
      <c r="L13" s="236"/>
      <c r="M13" s="236"/>
      <c r="N13" s="236"/>
      <c r="O13" s="237" t="str">
        <f>IF(J13="","",6000)</f>
        <v/>
      </c>
      <c r="P13" s="237" t="str">
        <f>IF(OR(O13=6000,O13=""),"",1250)</f>
        <v/>
      </c>
      <c r="Q13" s="238"/>
      <c r="R13" s="22" t="str">
        <f>IF(J13="","",O13*M13^2*3.14/4*7.86*10^-6)</f>
        <v/>
      </c>
      <c r="S13" s="22" t="str">
        <f>IF(L13&lt;&gt;"",IF(K13="Bar Machining",INT(O13/(L13+5)),""),"")</f>
        <v/>
      </c>
      <c r="T13" s="23">
        <f>IF(K13="Tube",L13*(M13^2-(M13-2*N13)^2)*3.14/4*7.86*10^-6,IF(K13="Bar Machining",L13*M13^2*3.14/4*7.86*10^-6,IF(K13="Sheet Metal",L13*M13*N13*7.86*10^-6,"")))</f>
        <v>0</v>
      </c>
      <c r="U13" s="23" t="str">
        <f>IFERROR(R13/S13,"")</f>
        <v/>
      </c>
      <c r="V13" s="23" t="str">
        <f>IFERROR(I13*U13,"")</f>
        <v/>
      </c>
      <c r="W13" s="239"/>
      <c r="X13" s="23" t="str">
        <f>IF(W13="","",W13*I13)</f>
        <v/>
      </c>
      <c r="Y13" s="24" t="str">
        <f>IF(X13="","",W13/U13)</f>
        <v/>
      </c>
      <c r="Z13" s="239"/>
      <c r="AA13" s="23" t="str">
        <f>IF(Z13="","",Z13*I13)</f>
        <v/>
      </c>
      <c r="AB13" s="25" t="str">
        <f>IF(AA13="","",U13-W13)</f>
        <v/>
      </c>
      <c r="AC13" s="25" t="str">
        <f>_xlfn.IFNA(VLOOKUP(H13,'RM Base'!D:K,8,0),"")</f>
        <v/>
      </c>
      <c r="AD13" s="24" t="str">
        <f>IF(AC13="","",0.8)</f>
        <v/>
      </c>
      <c r="AE13" s="26" t="str">
        <f t="shared" ref="AE13:AE17" si="0">IF(AD13="","",(J13*U13)-(AB13*AC13*AD13))</f>
        <v/>
      </c>
      <c r="AF13" s="27"/>
      <c r="AG13" s="28" t="str">
        <f>IF(AE13="","",AE13*I13*(1+AF13))</f>
        <v/>
      </c>
      <c r="AH13" s="240"/>
      <c r="AI13" s="28" t="str">
        <f>IFERROR(IF(G13="RM",(W13*J13*I13),AG13),"")</f>
        <v/>
      </c>
      <c r="AJ13" s="28" t="str">
        <f>IFERROR(AG13-AI13,"")</f>
        <v/>
      </c>
      <c r="AK13" s="28" t="b">
        <f t="shared" ref="AK13:AK17" si="1">IF(Q13="Shearing",L13,IF(Q13="Blanking",(L13+N13*1.5),IF(Q13="Laser Cutting",(L13+4))))</f>
        <v>0</v>
      </c>
      <c r="AL13" s="28" t="b">
        <f t="shared" ref="AL13:AL17" si="2">IF(Q13="Shearing",M13,IF(Q13="Blanking",(M13+N13*3),IF(Q13="Laser Cutting",(M13+4))))</f>
        <v>0</v>
      </c>
      <c r="AM13" s="75" t="e">
        <f t="shared" ref="AM13:AM17" si="3">IF((INT(O13/AK13)*INT(P13/AL13))&gt;(INT(O13/AL13)*INT(P13/AK13)),INT(O13/AK13)*INT(P13/AL13),IF((INT(O13/AK13)*INT(P13/AL13))=(INT(O13/AL13)*INT(P13/AK13)),(INT(O13/AK13)*INT(P13/AL13)),(INT(O13/AL13)*INT(P13/AK13))))</f>
        <v>#VALUE!</v>
      </c>
      <c r="AN13" s="75" t="e">
        <f t="shared" ref="AN13:AN17" si="4">IF((INT(O13/AK13)*INT(P13/AL13))&gt;(INT(O13/AL13)*INT(P13/AK13)),INT(O13/AK13),IF((INT(O13/AK13)*INT(P13/AL13))=(INT(O13/AL13)*INT(P13/AK13)),(INT(O13/AK13)),(INT(O13/AL13))))</f>
        <v>#VALUE!</v>
      </c>
      <c r="AO13" s="75" t="e">
        <f t="shared" ref="AO13:AO17" si="5">IF((INT(O13/AK13)*INT(P13/AL13))&gt;(INT(O13/AL13)*INT(P13/AK13)),INT(P13/AL13),IF((INT(O13/AK13)*INT(P13/AL13))=(INT(O13/AL13)*INT(P13/AK13)),(INT(P13/AL13)),(INT(P13/AK13))))</f>
        <v>#VALUE!</v>
      </c>
      <c r="AP13" s="75">
        <f t="shared" ref="AP13:AP17" si="6">IF(Q13="Blanking",L13+1.5*N13,L13)</f>
        <v>0</v>
      </c>
      <c r="AQ13" s="75">
        <f t="shared" ref="AQ13:AQ17" si="7">IF(Q13="Blanking",M13+1.5*2*N13,M13)</f>
        <v>0</v>
      </c>
      <c r="AR13" s="75" t="e">
        <f t="shared" ref="AR13:AR17" si="8">INT(O13/AP13)*INT(P13/AQ13)</f>
        <v>#VALUE!</v>
      </c>
      <c r="AS13" s="75" t="e">
        <f t="shared" ref="AS13:AS17" si="9">INT(P13/AP13)*INT(O13/AQ13)</f>
        <v>#VALUE!</v>
      </c>
      <c r="AT13" s="75" t="e">
        <f t="shared" ref="AT13:AT17" si="10">INT(O13/AQ13)*INT(P13/AP13)</f>
        <v>#VALUE!</v>
      </c>
      <c r="AU13" s="75" t="e">
        <f t="shared" ref="AU13:AU17" si="11">INT(P13/AQ13)*INT(O13/AP13)</f>
        <v>#VALUE!</v>
      </c>
      <c r="AV13" s="75" t="e">
        <f t="shared" ref="AV13:AV17" si="12">O13-(INT(O13/AP13)*AP13)</f>
        <v>#VALUE!</v>
      </c>
      <c r="AW13" s="75" t="e">
        <f t="shared" ref="AW13:AW17" si="13">P13-(INT(P13/AP13)*AP13)</f>
        <v>#VALUE!</v>
      </c>
      <c r="AX13" s="75" t="e">
        <f t="shared" ref="AX13:AX17" si="14">O13-(INT(O13/AQ13)*AQ13)</f>
        <v>#VALUE!</v>
      </c>
      <c r="AY13" s="75" t="e">
        <f t="shared" ref="AY13:AY17" si="15">P13-(INT(P13/AQ13)*AQ13)</f>
        <v>#VALUE!</v>
      </c>
      <c r="AZ13" s="75" t="e">
        <f t="shared" ref="AZ13:AZ17" si="16">INT(AV13/AQ13)*INT(P13/AP13)</f>
        <v>#VALUE!</v>
      </c>
      <c r="BA13" s="75" t="e">
        <f t="shared" ref="BA13:BA17" si="17">INT(AW13/AQ13)*INT(O13/AP13)</f>
        <v>#VALUE!</v>
      </c>
      <c r="BB13" s="75" t="e">
        <f t="shared" ref="BB13:BB17" si="18">INT(AX13/AP13)*INT(P13/AQ13)</f>
        <v>#VALUE!</v>
      </c>
      <c r="BC13" s="75" t="e">
        <f t="shared" ref="BC13:BC17" si="19">INT(AY13/AP13)*INT(O13/AQ13)</f>
        <v>#VALUE!</v>
      </c>
      <c r="BD13" s="75" t="e">
        <f t="shared" ref="BD13:BG17" si="20">AZ13+AR13</f>
        <v>#VALUE!</v>
      </c>
      <c r="BE13" s="75" t="e">
        <f t="shared" si="20"/>
        <v>#VALUE!</v>
      </c>
      <c r="BF13" s="75" t="e">
        <f t="shared" si="20"/>
        <v>#VALUE!</v>
      </c>
      <c r="BG13" s="75" t="e">
        <f t="shared" si="20"/>
        <v>#VALUE!</v>
      </c>
      <c r="BH13" s="75" t="e">
        <f t="shared" ref="BH13:BH17" si="21">MAX(BD13:BG13)</f>
        <v>#VALUE!</v>
      </c>
      <c r="BI13" s="75" t="e">
        <f t="shared" ref="BI13:BI17" si="22">IF(BD13=BH13,MIN(INT(O13/AP13),INT(P13/AQ13)),IF(BE13=BH13,MIN(INT(P13/AP13),INT(O13/AQ13)),IF(BF13=BH13,MIN(INT(O13/AQ13),INT(P13/AP13)),MIN(INT(P13/AQ13),INT(O13/AP13)))))</f>
        <v>#VALUE!</v>
      </c>
      <c r="BJ13" s="75" t="e">
        <f t="shared" ref="BJ13:BJ17" si="23">IF(BD13=BH13,MIN(INT(AV13/AQ13),INT(1250/AP13)),IF(BE13=BH13,MIN(INT(AW13/AQ13),INT(O13/AP13)),IF(BF13=BH13,MIN(INT(AX13/AP13),INT(P13/AQ13)),MIN(INT(AY13/AP13),INT(O13/AQ13)))))</f>
        <v>#VALUE!</v>
      </c>
      <c r="BK13" s="75" t="str">
        <f t="shared" ref="BK13:BK17" si="24">IFERROR(BI13+BJ13,"")</f>
        <v/>
      </c>
    </row>
    <row r="14" spans="1:63" s="14" customFormat="1" ht="15" customHeight="1">
      <c r="A14" s="71">
        <v>2</v>
      </c>
      <c r="B14" s="74" t="str">
        <f>_xlfn.IFNA(VLOOKUP(D14,Group!$AM$1:$AO$10000,3,0),"")</f>
        <v>MB512123</v>
      </c>
      <c r="C14" s="71">
        <f>_xlfn.IFNA(VLOOKUP(D14,Group!$AM$1:$AO$10000,2,0),"")</f>
        <v>0</v>
      </c>
      <c r="D14" s="74">
        <f>Group!P3</f>
        <v>0</v>
      </c>
      <c r="E14" s="71" t="str">
        <f>_xlfn.IFNA(VLOOKUP(D14,BOM!$D$1:$F$10000,2,0),"")</f>
        <v/>
      </c>
      <c r="F14" s="74" t="str">
        <f>_xlfn.IFNA(VLOOKUP(D14,BOM!$D$1:$F$10000,3,0),"")</f>
        <v/>
      </c>
      <c r="G14" s="71" t="str">
        <f>_xlfn.IFNA(IF(OR(VLOOKUP(D14,BOM!$D$1:$I$1000,6,0)="Inhouse",VLOOKUP(D14,BOM!$D$1:$J$1000,7,0)="CSC"),"RM","BOP"),"")</f>
        <v/>
      </c>
      <c r="H14" s="72"/>
      <c r="I14" s="71" t="str">
        <f>_xlfn.IFNA(VLOOKUP(D14,BOM!$D$1:$G$10000,4,0),"")</f>
        <v/>
      </c>
      <c r="J14" s="71" t="str">
        <f>_xlfn.IFNA(VLOOKUP(H14,'RM Base'!D:E,2,0),"")</f>
        <v/>
      </c>
      <c r="K14" s="235" t="s">
        <v>318</v>
      </c>
      <c r="L14" s="236"/>
      <c r="M14" s="236"/>
      <c r="N14" s="236"/>
      <c r="O14" s="237" t="str">
        <f t="shared" ref="O14:O17" si="25">IF(J14="","",6000)</f>
        <v/>
      </c>
      <c r="P14" s="237" t="str">
        <f t="shared" ref="P14:P17" si="26">IF(OR(O14=6000,O14=""),"",1250)</f>
        <v/>
      </c>
      <c r="Q14" s="238"/>
      <c r="R14" s="22" t="str">
        <f t="shared" ref="R14:R17" si="27">IF(J14="","",O14*M14^2*3.14/4*7.86*10^-6)</f>
        <v/>
      </c>
      <c r="S14" s="22" t="str">
        <f t="shared" ref="S14:S17" si="28">IF(L14&lt;&gt;"",IF(K14="Bar Machining",INT(O14/(L14+5)),""),"")</f>
        <v/>
      </c>
      <c r="T14" s="23">
        <f>IF(K14="Tube",L14*(M14^2-(M14-2*N14)^2)*3.14/4*7.86*10^-6,IF(K14="Bar Machining",L14*M14^2*3.14/4*7.86*10^-6,IF(K14="Sheet Metal",L14*M14*N14*7.86*10^-6,"")))</f>
        <v>0</v>
      </c>
      <c r="U14" s="23" t="str">
        <f t="shared" ref="U14:U17" si="29">IFERROR(R14/S14,"")</f>
        <v/>
      </c>
      <c r="V14" s="23" t="str">
        <f t="shared" ref="V14:V17" si="30">IFERROR(I14*U14,"")</f>
        <v/>
      </c>
      <c r="W14" s="239"/>
      <c r="X14" s="23" t="str">
        <f t="shared" ref="X14:X17" si="31">IF(W14="","",W14*I14)</f>
        <v/>
      </c>
      <c r="Y14" s="23"/>
      <c r="Z14" s="239"/>
      <c r="AA14" s="23" t="str">
        <f t="shared" ref="AA14:AA17" si="32">IF(Z14="","",Z14*I14)</f>
        <v/>
      </c>
      <c r="AB14" s="25" t="str">
        <f t="shared" ref="AB14:AB17" si="33">IF(AA14="","",U14-W14)</f>
        <v/>
      </c>
      <c r="AC14" s="25" t="str">
        <f>_xlfn.IFNA(VLOOKUP(H14,'RM Base'!D:K,8,0),"")</f>
        <v/>
      </c>
      <c r="AD14" s="24" t="str">
        <f t="shared" ref="AD14:AD17" si="34">IF(AC14="","",0.8)</f>
        <v/>
      </c>
      <c r="AE14" s="26" t="str">
        <f t="shared" si="0"/>
        <v/>
      </c>
      <c r="AF14" s="27"/>
      <c r="AG14" s="28" t="str">
        <f t="shared" ref="AG14:AG17" si="35">IF(AE14="","",AE14*I14*(1+AF14))</f>
        <v/>
      </c>
      <c r="AH14" s="240"/>
      <c r="AI14" s="28" t="str">
        <f t="shared" ref="AI14:AI17" si="36">IFERROR(IF(G14="RM",(W14*J14*I14),AG14),"")</f>
        <v/>
      </c>
      <c r="AJ14" s="28" t="str">
        <f t="shared" ref="AJ14:AJ17" si="37">IFERROR(AG14-AI14,"")</f>
        <v/>
      </c>
      <c r="AK14" s="28" t="b">
        <f t="shared" si="1"/>
        <v>0</v>
      </c>
      <c r="AL14" s="28" t="b">
        <f t="shared" si="2"/>
        <v>0</v>
      </c>
      <c r="AM14" s="75" t="e">
        <f t="shared" si="3"/>
        <v>#VALUE!</v>
      </c>
      <c r="AN14" s="75" t="e">
        <f t="shared" si="4"/>
        <v>#VALUE!</v>
      </c>
      <c r="AO14" s="75" t="e">
        <f t="shared" si="5"/>
        <v>#VALUE!</v>
      </c>
      <c r="AP14" s="75">
        <f t="shared" si="6"/>
        <v>0</v>
      </c>
      <c r="AQ14" s="75">
        <f t="shared" si="7"/>
        <v>0</v>
      </c>
      <c r="AR14" s="75" t="e">
        <f t="shared" si="8"/>
        <v>#VALUE!</v>
      </c>
      <c r="AS14" s="75" t="e">
        <f t="shared" si="9"/>
        <v>#VALUE!</v>
      </c>
      <c r="AT14" s="75" t="e">
        <f t="shared" si="10"/>
        <v>#VALUE!</v>
      </c>
      <c r="AU14" s="75" t="e">
        <f t="shared" si="11"/>
        <v>#VALUE!</v>
      </c>
      <c r="AV14" s="75" t="e">
        <f t="shared" si="12"/>
        <v>#VALUE!</v>
      </c>
      <c r="AW14" s="75" t="e">
        <f t="shared" si="13"/>
        <v>#VALUE!</v>
      </c>
      <c r="AX14" s="75" t="e">
        <f t="shared" si="14"/>
        <v>#VALUE!</v>
      </c>
      <c r="AY14" s="75" t="e">
        <f t="shared" si="15"/>
        <v>#VALUE!</v>
      </c>
      <c r="AZ14" s="75" t="e">
        <f t="shared" si="16"/>
        <v>#VALUE!</v>
      </c>
      <c r="BA14" s="75" t="e">
        <f t="shared" si="17"/>
        <v>#VALUE!</v>
      </c>
      <c r="BB14" s="75" t="e">
        <f t="shared" si="18"/>
        <v>#VALUE!</v>
      </c>
      <c r="BC14" s="75" t="e">
        <f t="shared" si="19"/>
        <v>#VALUE!</v>
      </c>
      <c r="BD14" s="75" t="e">
        <f t="shared" si="20"/>
        <v>#VALUE!</v>
      </c>
      <c r="BE14" s="75" t="e">
        <f t="shared" si="20"/>
        <v>#VALUE!</v>
      </c>
      <c r="BF14" s="75" t="e">
        <f t="shared" si="20"/>
        <v>#VALUE!</v>
      </c>
      <c r="BG14" s="75" t="e">
        <f t="shared" si="20"/>
        <v>#VALUE!</v>
      </c>
      <c r="BH14" s="75" t="e">
        <f t="shared" si="21"/>
        <v>#VALUE!</v>
      </c>
      <c r="BI14" s="75" t="e">
        <f t="shared" si="22"/>
        <v>#VALUE!</v>
      </c>
      <c r="BJ14" s="75" t="e">
        <f t="shared" si="23"/>
        <v>#VALUE!</v>
      </c>
      <c r="BK14" s="75" t="str">
        <f t="shared" si="24"/>
        <v/>
      </c>
    </row>
    <row r="15" spans="1:63" s="14" customFormat="1" ht="15" customHeight="1">
      <c r="A15" s="71">
        <v>3</v>
      </c>
      <c r="B15" s="74" t="str">
        <f>_xlfn.IFNA(VLOOKUP(D15,Group!$AM$1:$AO$10000,3,0),"")</f>
        <v>MB512123</v>
      </c>
      <c r="C15" s="71">
        <f>_xlfn.IFNA(VLOOKUP(D15,Group!$AM$1:$AO$10000,2,0),"")</f>
        <v>0</v>
      </c>
      <c r="D15" s="74">
        <f>Group!P4</f>
        <v>0</v>
      </c>
      <c r="E15" s="71" t="str">
        <f>_xlfn.IFNA(VLOOKUP(D15,BOM!$D$1:$F$10000,2,0),"")</f>
        <v/>
      </c>
      <c r="F15" s="74" t="str">
        <f>_xlfn.IFNA(VLOOKUP(D15,BOM!$D$1:$F$10000,3,0),"")</f>
        <v/>
      </c>
      <c r="G15" s="71" t="str">
        <f>_xlfn.IFNA(IF(OR(VLOOKUP(D15,BOM!$D$1:$I$1000,6,0)="Inhouse",VLOOKUP(D15,BOM!$D$1:$J$1000,7,0)="CSC"),"RM","BOP"),"")</f>
        <v/>
      </c>
      <c r="H15" s="72"/>
      <c r="I15" s="71" t="str">
        <f>_xlfn.IFNA(VLOOKUP(D15,BOM!$D$1:$G$10000,4,0),"")</f>
        <v/>
      </c>
      <c r="J15" s="71" t="str">
        <f>_xlfn.IFNA(VLOOKUP(H15,'RM Base'!D:E,2,0),"")</f>
        <v/>
      </c>
      <c r="K15" s="235" t="s">
        <v>318</v>
      </c>
      <c r="L15" s="236"/>
      <c r="M15" s="236"/>
      <c r="N15" s="236"/>
      <c r="O15" s="237" t="str">
        <f t="shared" si="25"/>
        <v/>
      </c>
      <c r="P15" s="237" t="str">
        <f t="shared" si="26"/>
        <v/>
      </c>
      <c r="Q15" s="238"/>
      <c r="R15" s="22" t="str">
        <f t="shared" si="27"/>
        <v/>
      </c>
      <c r="S15" s="22" t="str">
        <f t="shared" si="28"/>
        <v/>
      </c>
      <c r="T15" s="23">
        <f>IF(K15="Tube",L15*(M15^2-(M15-2*N15)^2)*3.14/4*7.86*10^-6,IF(K15="Bar Machining",L15*M15^2*3.14/4*7.86*10^-6,IF(K15="Sheet Metal",L15*M15*N15*7.86*10^-6,"")))</f>
        <v>0</v>
      </c>
      <c r="U15" s="23" t="str">
        <f t="shared" si="29"/>
        <v/>
      </c>
      <c r="V15" s="23" t="str">
        <f t="shared" si="30"/>
        <v/>
      </c>
      <c r="W15" s="239"/>
      <c r="X15" s="23" t="str">
        <f t="shared" si="31"/>
        <v/>
      </c>
      <c r="Y15" s="24" t="str">
        <f t="shared" ref="Y15:Y17" si="38">IF(X15="","",W15/U15)</f>
        <v/>
      </c>
      <c r="Z15" s="239"/>
      <c r="AA15" s="23" t="str">
        <f t="shared" si="32"/>
        <v/>
      </c>
      <c r="AB15" s="25" t="str">
        <f t="shared" si="33"/>
        <v/>
      </c>
      <c r="AC15" s="25" t="str">
        <f>_xlfn.IFNA(VLOOKUP(H15,'RM Base'!D:K,8,0),"")</f>
        <v/>
      </c>
      <c r="AD15" s="24" t="str">
        <f t="shared" si="34"/>
        <v/>
      </c>
      <c r="AE15" s="26" t="str">
        <f t="shared" si="0"/>
        <v/>
      </c>
      <c r="AF15" s="27"/>
      <c r="AG15" s="28" t="str">
        <f t="shared" si="35"/>
        <v/>
      </c>
      <c r="AH15" s="240"/>
      <c r="AI15" s="28" t="str">
        <f t="shared" si="36"/>
        <v/>
      </c>
      <c r="AJ15" s="28" t="str">
        <f t="shared" si="37"/>
        <v/>
      </c>
      <c r="AK15" s="28" t="b">
        <f t="shared" si="1"/>
        <v>0</v>
      </c>
      <c r="AL15" s="28" t="b">
        <f t="shared" si="2"/>
        <v>0</v>
      </c>
      <c r="AM15" s="75" t="e">
        <f t="shared" si="3"/>
        <v>#VALUE!</v>
      </c>
      <c r="AN15" s="75" t="e">
        <f t="shared" si="4"/>
        <v>#VALUE!</v>
      </c>
      <c r="AO15" s="75" t="e">
        <f t="shared" si="5"/>
        <v>#VALUE!</v>
      </c>
      <c r="AP15" s="75">
        <f t="shared" si="6"/>
        <v>0</v>
      </c>
      <c r="AQ15" s="75">
        <f t="shared" si="7"/>
        <v>0</v>
      </c>
      <c r="AR15" s="75" t="e">
        <f t="shared" si="8"/>
        <v>#VALUE!</v>
      </c>
      <c r="AS15" s="75" t="e">
        <f t="shared" si="9"/>
        <v>#VALUE!</v>
      </c>
      <c r="AT15" s="75" t="e">
        <f t="shared" si="10"/>
        <v>#VALUE!</v>
      </c>
      <c r="AU15" s="75" t="e">
        <f t="shared" si="11"/>
        <v>#VALUE!</v>
      </c>
      <c r="AV15" s="75" t="e">
        <f t="shared" si="12"/>
        <v>#VALUE!</v>
      </c>
      <c r="AW15" s="75" t="e">
        <f t="shared" si="13"/>
        <v>#VALUE!</v>
      </c>
      <c r="AX15" s="75" t="e">
        <f t="shared" si="14"/>
        <v>#VALUE!</v>
      </c>
      <c r="AY15" s="75" t="e">
        <f t="shared" si="15"/>
        <v>#VALUE!</v>
      </c>
      <c r="AZ15" s="75" t="e">
        <f t="shared" si="16"/>
        <v>#VALUE!</v>
      </c>
      <c r="BA15" s="75" t="e">
        <f t="shared" si="17"/>
        <v>#VALUE!</v>
      </c>
      <c r="BB15" s="75" t="e">
        <f t="shared" si="18"/>
        <v>#VALUE!</v>
      </c>
      <c r="BC15" s="75" t="e">
        <f t="shared" si="19"/>
        <v>#VALUE!</v>
      </c>
      <c r="BD15" s="75" t="e">
        <f t="shared" si="20"/>
        <v>#VALUE!</v>
      </c>
      <c r="BE15" s="75" t="e">
        <f t="shared" si="20"/>
        <v>#VALUE!</v>
      </c>
      <c r="BF15" s="75" t="e">
        <f t="shared" si="20"/>
        <v>#VALUE!</v>
      </c>
      <c r="BG15" s="75" t="e">
        <f t="shared" si="20"/>
        <v>#VALUE!</v>
      </c>
      <c r="BH15" s="75" t="e">
        <f t="shared" si="21"/>
        <v>#VALUE!</v>
      </c>
      <c r="BI15" s="75" t="e">
        <f t="shared" si="22"/>
        <v>#VALUE!</v>
      </c>
      <c r="BJ15" s="75" t="e">
        <f t="shared" si="23"/>
        <v>#VALUE!</v>
      </c>
      <c r="BK15" s="75" t="str">
        <f t="shared" si="24"/>
        <v/>
      </c>
    </row>
    <row r="16" spans="1:63" ht="15" customHeight="1">
      <c r="A16" s="71">
        <v>4</v>
      </c>
      <c r="B16" s="74" t="str">
        <f>_xlfn.IFNA(VLOOKUP(D16,Group!$AM$1:$AO$10000,3,0),"")</f>
        <v>MB512123</v>
      </c>
      <c r="C16" s="71">
        <f>_xlfn.IFNA(VLOOKUP(D16,Group!$AM$1:$AO$10000,2,0),"")</f>
        <v>0</v>
      </c>
      <c r="D16" s="74">
        <f>Group!P5</f>
        <v>0</v>
      </c>
      <c r="E16" s="71" t="str">
        <f>_xlfn.IFNA(VLOOKUP(D16,BOM!$D$1:$F$10000,2,0),"")</f>
        <v/>
      </c>
      <c r="F16" s="74" t="str">
        <f>_xlfn.IFNA(VLOOKUP(D16,BOM!$D$1:$F$10000,3,0),"")</f>
        <v/>
      </c>
      <c r="G16" s="71" t="str">
        <f>_xlfn.IFNA(IF(OR(VLOOKUP(D16,BOM!$D$1:$I$1000,6,0)="Inhouse",VLOOKUP(D16,BOM!$D$1:$J$1000,7,0)="CSC"),"RM","BOP"),"")</f>
        <v/>
      </c>
      <c r="H16" s="72"/>
      <c r="I16" s="71" t="str">
        <f>_xlfn.IFNA(VLOOKUP(D16,BOM!$D$1:$G$10000,4,0),"")</f>
        <v/>
      </c>
      <c r="J16" s="71" t="str">
        <f>_xlfn.IFNA(VLOOKUP(H16,'RM Base'!D:E,2,0),"")</f>
        <v/>
      </c>
      <c r="K16" s="235" t="s">
        <v>318</v>
      </c>
      <c r="L16" s="236"/>
      <c r="M16" s="236"/>
      <c r="N16" s="236"/>
      <c r="O16" s="237" t="str">
        <f t="shared" si="25"/>
        <v/>
      </c>
      <c r="P16" s="237" t="str">
        <f t="shared" si="26"/>
        <v/>
      </c>
      <c r="Q16" s="238"/>
      <c r="R16" s="22" t="str">
        <f t="shared" si="27"/>
        <v/>
      </c>
      <c r="S16" s="22" t="str">
        <f t="shared" si="28"/>
        <v/>
      </c>
      <c r="T16" s="23">
        <f t="shared" ref="T16:T17" si="39">IF(K16="Tube",L16*(M16^2-(M16-2*N16)^2)*3.14/4*7.86*10^-6,IF(K16="Bar Machining",L16*M16^2*3.14/4*7.86*10^-6,IF(K16="Sheet Metal",L16*M16*N16*7.86*10^-6,"")))</f>
        <v>0</v>
      </c>
      <c r="U16" s="23" t="str">
        <f t="shared" si="29"/>
        <v/>
      </c>
      <c r="V16" s="23" t="str">
        <f t="shared" si="30"/>
        <v/>
      </c>
      <c r="W16" s="239"/>
      <c r="X16" s="23" t="str">
        <f t="shared" si="31"/>
        <v/>
      </c>
      <c r="Y16" s="24" t="str">
        <f t="shared" si="38"/>
        <v/>
      </c>
      <c r="Z16" s="239"/>
      <c r="AA16" s="23" t="str">
        <f t="shared" si="32"/>
        <v/>
      </c>
      <c r="AB16" s="25" t="str">
        <f t="shared" si="33"/>
        <v/>
      </c>
      <c r="AC16" s="25" t="str">
        <f>_xlfn.IFNA(VLOOKUP(H16,'RM Base'!D:K,8,0),"")</f>
        <v/>
      </c>
      <c r="AD16" s="24" t="str">
        <f t="shared" si="34"/>
        <v/>
      </c>
      <c r="AE16" s="26" t="str">
        <f t="shared" si="0"/>
        <v/>
      </c>
      <c r="AF16" s="27"/>
      <c r="AG16" s="28" t="str">
        <f t="shared" si="35"/>
        <v/>
      </c>
      <c r="AH16" s="240"/>
      <c r="AI16" s="28" t="str">
        <f t="shared" si="36"/>
        <v/>
      </c>
      <c r="AJ16" s="28" t="str">
        <f t="shared" si="37"/>
        <v/>
      </c>
      <c r="AK16" s="28" t="b">
        <f t="shared" si="1"/>
        <v>0</v>
      </c>
      <c r="AL16" s="28" t="b">
        <f t="shared" si="2"/>
        <v>0</v>
      </c>
      <c r="AM16" s="75" t="e">
        <f t="shared" si="3"/>
        <v>#VALUE!</v>
      </c>
      <c r="AN16" s="75" t="e">
        <f t="shared" si="4"/>
        <v>#VALUE!</v>
      </c>
      <c r="AO16" s="75" t="e">
        <f t="shared" si="5"/>
        <v>#VALUE!</v>
      </c>
      <c r="AP16" s="75">
        <f t="shared" si="6"/>
        <v>0</v>
      </c>
      <c r="AQ16" s="75">
        <f t="shared" si="7"/>
        <v>0</v>
      </c>
      <c r="AR16" s="75" t="e">
        <f t="shared" si="8"/>
        <v>#VALUE!</v>
      </c>
      <c r="AS16" s="75" t="e">
        <f t="shared" si="9"/>
        <v>#VALUE!</v>
      </c>
      <c r="AT16" s="75" t="e">
        <f t="shared" si="10"/>
        <v>#VALUE!</v>
      </c>
      <c r="AU16" s="75" t="e">
        <f t="shared" si="11"/>
        <v>#VALUE!</v>
      </c>
      <c r="AV16" s="75" t="e">
        <f t="shared" si="12"/>
        <v>#VALUE!</v>
      </c>
      <c r="AW16" s="75" t="e">
        <f t="shared" si="13"/>
        <v>#VALUE!</v>
      </c>
      <c r="AX16" s="75" t="e">
        <f t="shared" si="14"/>
        <v>#VALUE!</v>
      </c>
      <c r="AY16" s="75" t="e">
        <f t="shared" si="15"/>
        <v>#VALUE!</v>
      </c>
      <c r="AZ16" s="75" t="e">
        <f t="shared" si="16"/>
        <v>#VALUE!</v>
      </c>
      <c r="BA16" s="75" t="e">
        <f t="shared" si="17"/>
        <v>#VALUE!</v>
      </c>
      <c r="BB16" s="75" t="e">
        <f t="shared" si="18"/>
        <v>#VALUE!</v>
      </c>
      <c r="BC16" s="75" t="e">
        <f t="shared" si="19"/>
        <v>#VALUE!</v>
      </c>
      <c r="BD16" s="75" t="e">
        <f t="shared" si="20"/>
        <v>#VALUE!</v>
      </c>
      <c r="BE16" s="75" t="e">
        <f t="shared" si="20"/>
        <v>#VALUE!</v>
      </c>
      <c r="BF16" s="75" t="e">
        <f t="shared" si="20"/>
        <v>#VALUE!</v>
      </c>
      <c r="BG16" s="75" t="e">
        <f t="shared" si="20"/>
        <v>#VALUE!</v>
      </c>
      <c r="BH16" s="75" t="e">
        <f t="shared" si="21"/>
        <v>#VALUE!</v>
      </c>
      <c r="BI16" s="75" t="e">
        <f t="shared" si="22"/>
        <v>#VALUE!</v>
      </c>
      <c r="BJ16" s="75" t="e">
        <f t="shared" si="23"/>
        <v>#VALUE!</v>
      </c>
      <c r="BK16" s="75" t="str">
        <f t="shared" si="24"/>
        <v/>
      </c>
    </row>
    <row r="17" spans="1:63">
      <c r="A17" s="71">
        <v>5</v>
      </c>
      <c r="B17" s="74" t="str">
        <f>_xlfn.IFNA(VLOOKUP(D17,Group!$AM$1:$AO$10000,3,0),"")</f>
        <v>MB512123</v>
      </c>
      <c r="C17" s="71">
        <f>_xlfn.IFNA(VLOOKUP(D17,Group!$AM$1:$AO$10000,2,0),"")</f>
        <v>0</v>
      </c>
      <c r="D17" s="74">
        <f>Group!P6</f>
        <v>0</v>
      </c>
      <c r="E17" s="71" t="str">
        <f>_xlfn.IFNA(VLOOKUP(D17,BOM!$D$1:$F$10000,2,0),"")</f>
        <v/>
      </c>
      <c r="F17" s="74" t="str">
        <f>_xlfn.IFNA(VLOOKUP(D17,BOM!$D$1:$F$10000,3,0),"")</f>
        <v/>
      </c>
      <c r="G17" s="71" t="str">
        <f>_xlfn.IFNA(IF(OR(VLOOKUP(D17,BOM!$D$1:$I$1000,6,0)="Inhouse",VLOOKUP(D17,BOM!$D$1:$J$1000,7,0)="CSC"),"RM","BOP"),"")</f>
        <v/>
      </c>
      <c r="H17" s="72"/>
      <c r="I17" s="71" t="str">
        <f>_xlfn.IFNA(VLOOKUP(D17,BOM!$D$1:$G$10000,4,0),"")</f>
        <v/>
      </c>
      <c r="J17" s="71" t="str">
        <f>_xlfn.IFNA(VLOOKUP(H17,'RM Base'!D:E,2,0),"")</f>
        <v/>
      </c>
      <c r="K17" s="235" t="s">
        <v>318</v>
      </c>
      <c r="L17" s="236"/>
      <c r="M17" s="236"/>
      <c r="N17" s="236"/>
      <c r="O17" s="237" t="str">
        <f t="shared" si="25"/>
        <v/>
      </c>
      <c r="P17" s="237" t="str">
        <f t="shared" si="26"/>
        <v/>
      </c>
      <c r="Q17" s="238"/>
      <c r="R17" s="22" t="str">
        <f t="shared" si="27"/>
        <v/>
      </c>
      <c r="S17" s="22" t="str">
        <f t="shared" si="28"/>
        <v/>
      </c>
      <c r="T17" s="23">
        <f t="shared" si="39"/>
        <v>0</v>
      </c>
      <c r="U17" s="23" t="str">
        <f t="shared" si="29"/>
        <v/>
      </c>
      <c r="V17" s="23" t="str">
        <f t="shared" si="30"/>
        <v/>
      </c>
      <c r="W17" s="239"/>
      <c r="X17" s="23" t="str">
        <f t="shared" si="31"/>
        <v/>
      </c>
      <c r="Y17" s="24" t="str">
        <f t="shared" si="38"/>
        <v/>
      </c>
      <c r="Z17" s="239"/>
      <c r="AA17" s="23" t="str">
        <f t="shared" si="32"/>
        <v/>
      </c>
      <c r="AB17" s="25" t="str">
        <f t="shared" si="33"/>
        <v/>
      </c>
      <c r="AC17" s="25" t="str">
        <f>_xlfn.IFNA(VLOOKUP(H17,'RM Base'!D:K,8,0),"")</f>
        <v/>
      </c>
      <c r="AD17" s="24" t="str">
        <f t="shared" si="34"/>
        <v/>
      </c>
      <c r="AE17" s="26" t="str">
        <f t="shared" si="0"/>
        <v/>
      </c>
      <c r="AF17" s="27"/>
      <c r="AG17" s="28" t="str">
        <f t="shared" si="35"/>
        <v/>
      </c>
      <c r="AH17" s="240"/>
      <c r="AI17" s="28" t="str">
        <f t="shared" si="36"/>
        <v/>
      </c>
      <c r="AJ17" s="28" t="str">
        <f t="shared" si="37"/>
        <v/>
      </c>
      <c r="AK17" s="28" t="b">
        <f t="shared" si="1"/>
        <v>0</v>
      </c>
      <c r="AL17" s="28" t="b">
        <f t="shared" si="2"/>
        <v>0</v>
      </c>
      <c r="AM17" s="75" t="e">
        <f t="shared" si="3"/>
        <v>#VALUE!</v>
      </c>
      <c r="AN17" s="75" t="e">
        <f t="shared" si="4"/>
        <v>#VALUE!</v>
      </c>
      <c r="AO17" s="75" t="e">
        <f t="shared" si="5"/>
        <v>#VALUE!</v>
      </c>
      <c r="AP17" s="75">
        <f t="shared" si="6"/>
        <v>0</v>
      </c>
      <c r="AQ17" s="75">
        <f t="shared" si="7"/>
        <v>0</v>
      </c>
      <c r="AR17" s="75" t="e">
        <f t="shared" si="8"/>
        <v>#VALUE!</v>
      </c>
      <c r="AS17" s="75" t="e">
        <f t="shared" si="9"/>
        <v>#VALUE!</v>
      </c>
      <c r="AT17" s="75" t="e">
        <f t="shared" si="10"/>
        <v>#VALUE!</v>
      </c>
      <c r="AU17" s="75" t="e">
        <f t="shared" si="11"/>
        <v>#VALUE!</v>
      </c>
      <c r="AV17" s="75" t="e">
        <f t="shared" si="12"/>
        <v>#VALUE!</v>
      </c>
      <c r="AW17" s="75" t="e">
        <f t="shared" si="13"/>
        <v>#VALUE!</v>
      </c>
      <c r="AX17" s="75" t="e">
        <f t="shared" si="14"/>
        <v>#VALUE!</v>
      </c>
      <c r="AY17" s="75" t="e">
        <f t="shared" si="15"/>
        <v>#VALUE!</v>
      </c>
      <c r="AZ17" s="75" t="e">
        <f t="shared" si="16"/>
        <v>#VALUE!</v>
      </c>
      <c r="BA17" s="75" t="e">
        <f t="shared" si="17"/>
        <v>#VALUE!</v>
      </c>
      <c r="BB17" s="75" t="e">
        <f t="shared" si="18"/>
        <v>#VALUE!</v>
      </c>
      <c r="BC17" s="75" t="e">
        <f t="shared" si="19"/>
        <v>#VALUE!</v>
      </c>
      <c r="BD17" s="75" t="e">
        <f t="shared" si="20"/>
        <v>#VALUE!</v>
      </c>
      <c r="BE17" s="75" t="e">
        <f t="shared" si="20"/>
        <v>#VALUE!</v>
      </c>
      <c r="BF17" s="75" t="e">
        <f t="shared" si="20"/>
        <v>#VALUE!</v>
      </c>
      <c r="BG17" s="75" t="e">
        <f t="shared" si="20"/>
        <v>#VALUE!</v>
      </c>
      <c r="BH17" s="75" t="e">
        <f t="shared" si="21"/>
        <v>#VALUE!</v>
      </c>
      <c r="BI17" s="75" t="e">
        <f t="shared" si="22"/>
        <v>#VALUE!</v>
      </c>
      <c r="BJ17" s="75" t="e">
        <f t="shared" si="23"/>
        <v>#VALUE!</v>
      </c>
      <c r="BK17" s="75" t="str">
        <f t="shared" si="24"/>
        <v/>
      </c>
    </row>
    <row r="18" spans="1:63">
      <c r="F18"/>
      <c r="G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D18"/>
      <c r="AE18"/>
    </row>
    <row r="19" spans="1:63">
      <c r="F19"/>
      <c r="G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D19"/>
      <c r="AE19"/>
    </row>
    <row r="20" spans="1:63">
      <c r="F20"/>
      <c r="G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D20"/>
      <c r="AE20"/>
    </row>
    <row r="21" spans="1:63">
      <c r="F21"/>
      <c r="G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D21"/>
      <c r="AE21"/>
    </row>
    <row r="22" spans="1:63">
      <c r="F22"/>
      <c r="G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D22"/>
      <c r="AE22"/>
    </row>
    <row r="23" spans="1:63">
      <c r="F23"/>
      <c r="G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D23"/>
      <c r="AE23"/>
    </row>
    <row r="24" spans="1:63">
      <c r="F24"/>
      <c r="G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D24"/>
      <c r="AE24"/>
    </row>
    <row r="25" spans="1:63">
      <c r="F25"/>
      <c r="G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D25"/>
      <c r="AE25"/>
    </row>
    <row r="26" spans="1:63">
      <c r="F26"/>
      <c r="G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D26"/>
      <c r="AE26"/>
    </row>
    <row r="27" spans="1:63">
      <c r="F27"/>
      <c r="G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D27"/>
      <c r="AE27"/>
    </row>
    <row r="28" spans="1:63">
      <c r="F28"/>
      <c r="G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D28"/>
      <c r="AE28"/>
    </row>
    <row r="29" spans="1:63">
      <c r="F29"/>
      <c r="G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D29"/>
      <c r="AE29"/>
    </row>
    <row r="30" spans="1:63">
      <c r="F30"/>
      <c r="G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D30"/>
      <c r="AE30"/>
    </row>
    <row r="31" spans="1:63">
      <c r="F31"/>
      <c r="G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D31"/>
      <c r="AE31"/>
    </row>
    <row r="32" spans="1:63">
      <c r="F32"/>
      <c r="G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D32"/>
      <c r="AE32"/>
    </row>
    <row r="33" customFormat="1"/>
    <row r="34" customFormat="1"/>
    <row r="35" customFormat="1"/>
    <row r="36" customFormat="1"/>
    <row r="37" customFormat="1"/>
  </sheetData>
  <mergeCells count="4">
    <mergeCell ref="A9:B11"/>
    <mergeCell ref="E9:J9"/>
    <mergeCell ref="E10:J10"/>
    <mergeCell ref="E11:J11"/>
  </mergeCells>
  <conditionalFormatting sqref="Y13 Y15:Y17">
    <cfRule type="cellIs" dxfId="67" priority="42" operator="lessThan">
      <formula>0.5</formula>
    </cfRule>
  </conditionalFormatting>
  <conditionalFormatting sqref="Q13:Q17">
    <cfRule type="expression" dxfId="66" priority="41">
      <formula>OR($K13="Bar Machining",$K13="Tube",$K13="")</formula>
    </cfRule>
  </conditionalFormatting>
  <conditionalFormatting sqref="H13">
    <cfRule type="expression" dxfId="65" priority="40">
      <formula>OR($G13="BOP",$G13="")</formula>
    </cfRule>
  </conditionalFormatting>
  <conditionalFormatting sqref="K14:K16">
    <cfRule type="expression" dxfId="64" priority="39">
      <formula>$G14="BOP"</formula>
    </cfRule>
  </conditionalFormatting>
  <conditionalFormatting sqref="K17">
    <cfRule type="expression" dxfId="63" priority="38">
      <formula>$G17="BOP"</formula>
    </cfRule>
  </conditionalFormatting>
  <conditionalFormatting sqref="L13">
    <cfRule type="expression" dxfId="62" priority="33">
      <formula>$G13="BOP"</formula>
    </cfRule>
  </conditionalFormatting>
  <conditionalFormatting sqref="L14:L16">
    <cfRule type="expression" dxfId="61" priority="32">
      <formula>$G14="BOP"</formula>
    </cfRule>
  </conditionalFormatting>
  <conditionalFormatting sqref="L17">
    <cfRule type="expression" dxfId="60" priority="31">
      <formula>$G17="BOP"</formula>
    </cfRule>
  </conditionalFormatting>
  <conditionalFormatting sqref="M13">
    <cfRule type="expression" dxfId="59" priority="27">
      <formula>$G13="BOP"</formula>
    </cfRule>
  </conditionalFormatting>
  <conditionalFormatting sqref="M14:M16">
    <cfRule type="expression" dxfId="58" priority="26">
      <formula>$G14="BOP"</formula>
    </cfRule>
  </conditionalFormatting>
  <conditionalFormatting sqref="M17">
    <cfRule type="expression" dxfId="57" priority="25">
      <formula>$G17="BOP"</formula>
    </cfRule>
  </conditionalFormatting>
  <conditionalFormatting sqref="N13">
    <cfRule type="expression" dxfId="56" priority="21">
      <formula>$G13="BOP"</formula>
    </cfRule>
  </conditionalFormatting>
  <conditionalFormatting sqref="N14:N16">
    <cfRule type="expression" dxfId="55" priority="20">
      <formula>$G14="BOP"</formula>
    </cfRule>
  </conditionalFormatting>
  <conditionalFormatting sqref="N17">
    <cfRule type="expression" dxfId="54" priority="19">
      <formula>$G17="BOP"</formula>
    </cfRule>
  </conditionalFormatting>
  <conditionalFormatting sqref="AE13:AE17">
    <cfRule type="expression" dxfId="53" priority="15">
      <formula>$G13="BOP"</formula>
    </cfRule>
  </conditionalFormatting>
  <conditionalFormatting sqref="Q13">
    <cfRule type="expression" dxfId="52" priority="14">
      <formula>$G13="BOP"</formula>
    </cfRule>
  </conditionalFormatting>
  <conditionalFormatting sqref="Q14:Q16">
    <cfRule type="expression" dxfId="51" priority="13">
      <formula>$G14="BOP"</formula>
    </cfRule>
  </conditionalFormatting>
  <conditionalFormatting sqref="Q17">
    <cfRule type="expression" dxfId="50" priority="12">
      <formula>$G17="BOP"</formula>
    </cfRule>
  </conditionalFormatting>
  <conditionalFormatting sqref="K13">
    <cfRule type="expression" dxfId="49" priority="8">
      <formula>$G13="BOP"</formula>
    </cfRule>
  </conditionalFormatting>
  <conditionalFormatting sqref="H14:H16">
    <cfRule type="expression" dxfId="48" priority="7">
      <formula>OR($G14="BOP",$G14="")</formula>
    </cfRule>
  </conditionalFormatting>
  <conditionalFormatting sqref="H17">
    <cfRule type="expression" dxfId="47" priority="6">
      <formula>OR($G17="BOP",$G17="")</formula>
    </cfRule>
  </conditionalFormatting>
  <dataValidations count="2">
    <dataValidation type="list" allowBlank="1" showInputMessage="1" showErrorMessage="1" sqref="Q13:Q17" xr:uid="{00000000-0002-0000-0800-000000000000}">
      <formula1>"Shearing, Blanking,Laser Cutting"</formula1>
    </dataValidation>
    <dataValidation type="list" allowBlank="1" showInputMessage="1" showErrorMessage="1" sqref="K13:K17" xr:uid="{00000000-0002-0000-0800-000001000000}">
      <formula1>"Bar Machining"</formula1>
    </dataValidation>
  </dataValidations>
  <pageMargins left="0.7" right="0.7" top="0.75" bottom="0.75" header="0.3" footer="0.3"/>
  <pageSetup orientation="landscape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795F6A-E1F2-4F4C-8218-A13FA4D72146}">
          <x14:formula1>
            <xm:f>'RM Base'!$D$3:$D$371</xm:f>
          </x14:formula1>
          <xm:sqref>H13:H17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4"/>
  <dimension ref="A1:HE591"/>
  <sheetViews>
    <sheetView zoomScale="115" zoomScaleNormal="115" workbookViewId="0">
      <selection activeCell="J4" sqref="J4"/>
    </sheetView>
  </sheetViews>
  <sheetFormatPr defaultRowHeight="15"/>
  <cols>
    <col min="2" max="2" width="14.7109375" bestFit="1" customWidth="1"/>
    <col min="3" max="3" width="18.7109375" bestFit="1" customWidth="1"/>
    <col min="4" max="4" width="28.7109375" bestFit="1" customWidth="1"/>
    <col min="6" max="6" width="7.42578125" bestFit="1" customWidth="1"/>
    <col min="7" max="7" width="9.42578125" customWidth="1"/>
    <col min="8" max="8" width="9" bestFit="1" customWidth="1"/>
    <col min="9" max="9" width="12.42578125" bestFit="1" customWidth="1"/>
    <col min="13" max="13" width="23" bestFit="1" customWidth="1"/>
  </cols>
  <sheetData>
    <row r="1" spans="1:213">
      <c r="A1" s="691">
        <v>1</v>
      </c>
    </row>
    <row r="2" spans="1:213" s="67" customFormat="1" ht="30.75" customHeight="1">
      <c r="B2" s="162" t="s">
        <v>31</v>
      </c>
      <c r="C2" s="152" t="s">
        <v>39</v>
      </c>
      <c r="D2" s="152" t="s">
        <v>82</v>
      </c>
      <c r="E2" s="163" t="s">
        <v>306</v>
      </c>
      <c r="F2" s="163" t="s">
        <v>84</v>
      </c>
      <c r="G2" s="163" t="s">
        <v>307</v>
      </c>
      <c r="H2" s="163" t="s">
        <v>308</v>
      </c>
      <c r="I2" s="162" t="s">
        <v>156</v>
      </c>
    </row>
    <row r="3" spans="1:213" s="67" customFormat="1">
      <c r="B3" s="21"/>
      <c r="C3" s="201" t="str">
        <f>_xlfn.IFNA(IF(VLOOKUP(B3,BOM!$D$1:$I$10000,6,0)="Inhouse","Process-Inhouse",IF(VLOOKUP(B3,BOM!$D$1:$I$10000,6,0)="BOF","Process-outsourced",IF(VLOOKUP(B3,BOM!$D$1:$I$10000,6,0)="BOSF","Process-Inhouse"))),"")</f>
        <v/>
      </c>
      <c r="D3" s="201" t="str">
        <f>IF(B3="","","Machining")</f>
        <v/>
      </c>
      <c r="E3" s="209"/>
      <c r="F3" s="209"/>
      <c r="G3" s="209"/>
      <c r="H3" s="94">
        <f>VLOOKUP(B3,Machining_Process!B:W,21,0)</f>
        <v>0</v>
      </c>
      <c r="I3" s="4"/>
      <c r="N3" s="78"/>
      <c r="O3" s="66"/>
      <c r="P3" s="66"/>
      <c r="Q3" s="85"/>
      <c r="R3" s="78"/>
      <c r="S3" s="78"/>
      <c r="T3" s="78"/>
      <c r="U3" s="78"/>
      <c r="V3" s="78"/>
      <c r="W3" s="79"/>
      <c r="X3" s="65"/>
      <c r="Y3" s="66"/>
      <c r="Z3" s="66"/>
      <c r="AA3" s="78"/>
      <c r="AB3" s="78"/>
      <c r="AC3" s="78"/>
      <c r="AD3" s="78"/>
      <c r="AE3" s="78"/>
      <c r="AF3" s="78"/>
      <c r="AG3" s="78"/>
      <c r="AH3" s="78"/>
      <c r="AI3" s="79"/>
      <c r="AJ3" s="65"/>
      <c r="AK3" s="66"/>
      <c r="AL3" s="66"/>
      <c r="AM3" s="78"/>
      <c r="AN3" s="78"/>
      <c r="AO3" s="78"/>
      <c r="AP3" s="78"/>
      <c r="AQ3" s="78"/>
      <c r="AR3" s="78"/>
      <c r="AS3" s="78"/>
      <c r="AT3" s="78"/>
      <c r="AU3" s="79"/>
      <c r="AV3" s="65"/>
      <c r="AW3" s="66"/>
      <c r="AX3" s="85"/>
      <c r="AY3" s="78"/>
      <c r="AZ3" s="78"/>
      <c r="BA3" s="78"/>
      <c r="BB3" s="78"/>
      <c r="BC3" s="78"/>
      <c r="BD3" s="78"/>
      <c r="BE3" s="79"/>
      <c r="BF3" s="65"/>
      <c r="BG3" s="66"/>
      <c r="BH3" s="85"/>
      <c r="BI3" s="78"/>
      <c r="BJ3" s="78"/>
      <c r="BK3" s="78"/>
      <c r="BL3" s="78"/>
      <c r="BM3" s="78"/>
      <c r="BN3" s="79"/>
      <c r="BO3" s="65"/>
      <c r="BP3" s="66"/>
      <c r="BQ3" s="85"/>
      <c r="BR3" s="78"/>
      <c r="BS3" s="78"/>
      <c r="BT3" s="78"/>
      <c r="BU3" s="78"/>
      <c r="BV3" s="78"/>
      <c r="BW3" s="78"/>
      <c r="BX3" s="79"/>
      <c r="BY3" s="65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</row>
    <row r="4" spans="1:213" s="66" customFormat="1">
      <c r="B4" s="201" t="str">
        <f>IF(B3="","",B3)</f>
        <v/>
      </c>
      <c r="C4" s="201" t="str">
        <f>IF(B4="","","Surface Protection")</f>
        <v/>
      </c>
      <c r="D4" s="201" t="str">
        <f>IF(B4="","","ADFT Black paint with TOP coat")</f>
        <v/>
      </c>
      <c r="E4" s="209" t="str">
        <f>_xlfn.IFNA(VLOOKUP(D4,'Process Base'!D:F,3,0),"")</f>
        <v/>
      </c>
      <c r="F4" s="92" t="str">
        <f>_xlfn.IFNA(VLOOKUP(D4,'Process Base'!D:H,4,0),"")</f>
        <v/>
      </c>
      <c r="G4" s="4"/>
      <c r="H4" s="209" t="str">
        <f>IFERROR(G4*E4,"")</f>
        <v/>
      </c>
      <c r="I4" s="4"/>
      <c r="J4" s="67"/>
      <c r="K4" s="67"/>
      <c r="L4" s="67"/>
      <c r="M4" s="67"/>
      <c r="N4" s="78"/>
      <c r="Q4" s="85"/>
      <c r="R4" s="78"/>
      <c r="S4" s="78"/>
      <c r="T4" s="78"/>
      <c r="U4" s="78"/>
      <c r="V4" s="78"/>
      <c r="W4" s="79"/>
      <c r="X4" s="65"/>
      <c r="AA4" s="78"/>
      <c r="AB4" s="78"/>
      <c r="AC4" s="78"/>
      <c r="AD4" s="78"/>
      <c r="AE4" s="78"/>
      <c r="AF4" s="78"/>
      <c r="AG4" s="78"/>
      <c r="AH4" s="78"/>
      <c r="AI4" s="79"/>
      <c r="AJ4" s="65"/>
      <c r="AM4" s="78"/>
      <c r="AN4" s="78"/>
      <c r="AO4" s="78"/>
      <c r="AP4" s="78"/>
      <c r="AQ4" s="78"/>
      <c r="AR4" s="78"/>
      <c r="AS4" s="78"/>
      <c r="AT4" s="78"/>
      <c r="AU4" s="79"/>
      <c r="AV4" s="65"/>
      <c r="AX4" s="85"/>
      <c r="AY4" s="78"/>
      <c r="AZ4" s="78"/>
      <c r="BA4" s="78"/>
      <c r="BB4" s="78"/>
      <c r="BC4" s="78"/>
      <c r="BD4" s="78"/>
      <c r="BE4" s="79"/>
      <c r="BF4" s="65"/>
      <c r="BH4" s="85"/>
      <c r="BI4" s="78"/>
      <c r="BJ4" s="78"/>
      <c r="BK4" s="78"/>
      <c r="BL4" s="78"/>
      <c r="BM4" s="78"/>
      <c r="BN4" s="79"/>
      <c r="BO4" s="65"/>
      <c r="BQ4" s="85"/>
      <c r="BR4" s="78"/>
      <c r="BS4" s="78"/>
      <c r="BT4" s="78"/>
      <c r="BU4" s="78"/>
      <c r="BV4" s="78"/>
      <c r="BW4" s="78"/>
      <c r="BX4" s="79"/>
      <c r="BY4" s="65"/>
      <c r="DI4" s="67"/>
      <c r="EQ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</row>
    <row r="5" spans="1:213" s="66" customFormat="1">
      <c r="D5" s="67"/>
      <c r="E5"/>
      <c r="F5"/>
      <c r="G5"/>
      <c r="H5"/>
      <c r="I5"/>
      <c r="J5"/>
      <c r="K5"/>
      <c r="L5"/>
      <c r="M5" s="67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 s="65"/>
      <c r="AM5" s="78"/>
      <c r="AN5" s="78"/>
      <c r="AO5" s="78"/>
      <c r="AP5" s="78"/>
      <c r="AQ5" s="78"/>
      <c r="AR5" s="78"/>
      <c r="AS5" s="78"/>
      <c r="AT5" s="78"/>
      <c r="AU5" s="79"/>
      <c r="AV5" s="65"/>
      <c r="AX5" s="161"/>
      <c r="AY5" s="78"/>
      <c r="AZ5" s="78"/>
      <c r="BA5" s="78"/>
      <c r="BB5" s="78"/>
      <c r="BC5" s="78"/>
      <c r="BD5" s="78"/>
      <c r="BE5" s="79"/>
      <c r="BF5" s="65"/>
      <c r="BH5" s="161"/>
      <c r="BI5" s="78"/>
      <c r="BJ5" s="78"/>
      <c r="BK5" s="78"/>
      <c r="BL5" s="78"/>
      <c r="BM5" s="78"/>
      <c r="BN5" s="79"/>
      <c r="BO5" s="65"/>
      <c r="BQ5" s="161"/>
      <c r="BR5" s="78"/>
      <c r="BS5" s="78"/>
      <c r="BT5" s="78"/>
      <c r="BU5" s="78"/>
      <c r="BV5" s="78"/>
      <c r="BW5" s="78"/>
      <c r="BX5" s="79"/>
      <c r="BY5" s="65"/>
      <c r="DI5" s="67"/>
      <c r="EQ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</row>
    <row r="6" spans="1:213" s="66" customFormat="1">
      <c r="D6" s="67"/>
      <c r="E6" s="67"/>
      <c r="F6" s="67"/>
      <c r="G6" s="67"/>
      <c r="H6" s="67"/>
      <c r="I6" s="67"/>
      <c r="J6" s="67"/>
      <c r="K6" s="67"/>
      <c r="L6" s="67"/>
      <c r="M6" s="67"/>
      <c r="N6" s="78"/>
      <c r="Q6" s="161"/>
      <c r="R6" s="78"/>
      <c r="S6" s="78"/>
      <c r="T6" s="78"/>
      <c r="U6" s="78"/>
      <c r="V6" s="78"/>
      <c r="W6" s="79"/>
      <c r="X6" s="65"/>
      <c r="AA6" s="78"/>
      <c r="AB6" s="78"/>
      <c r="AC6" s="78"/>
      <c r="AD6" s="78"/>
      <c r="AE6" s="78"/>
      <c r="AF6" s="78"/>
      <c r="AG6" s="78"/>
      <c r="AH6" s="78"/>
      <c r="AI6" s="79"/>
      <c r="AJ6" s="65"/>
      <c r="AM6" s="78"/>
      <c r="AN6" s="78"/>
      <c r="AO6" s="78"/>
      <c r="AP6" s="78"/>
      <c r="AQ6" s="78"/>
      <c r="AR6" s="78"/>
      <c r="AS6" s="78"/>
      <c r="AT6" s="78"/>
      <c r="AU6" s="79"/>
      <c r="AV6" s="65"/>
      <c r="AX6" s="161"/>
      <c r="AY6" s="78"/>
      <c r="AZ6" s="78"/>
      <c r="BA6" s="78"/>
      <c r="BB6" s="78"/>
      <c r="BC6" s="78"/>
      <c r="BD6" s="78"/>
      <c r="BE6" s="79"/>
      <c r="BF6" s="65"/>
      <c r="BH6" s="161"/>
      <c r="BI6" s="78"/>
      <c r="BJ6" s="78"/>
      <c r="BK6" s="78"/>
      <c r="BL6" s="78"/>
      <c r="BM6" s="78"/>
      <c r="BN6" s="79"/>
      <c r="BO6" s="65"/>
      <c r="BQ6" s="161"/>
      <c r="BR6" s="78"/>
      <c r="BS6" s="78"/>
      <c r="BT6" s="78"/>
      <c r="BU6" s="78"/>
      <c r="BV6" s="78"/>
      <c r="BW6" s="78"/>
      <c r="BX6" s="79"/>
      <c r="BY6" s="65"/>
      <c r="DI6" s="67"/>
      <c r="EQ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</row>
    <row r="7" spans="1:213" s="66" customFormat="1">
      <c r="D7" s="67"/>
      <c r="E7" s="67"/>
      <c r="F7" s="67"/>
      <c r="G7" s="67"/>
      <c r="H7" s="67"/>
      <c r="I7" s="67"/>
      <c r="J7" s="67"/>
      <c r="K7" s="67"/>
      <c r="L7" s="67"/>
      <c r="M7" s="67"/>
      <c r="N7" s="78"/>
      <c r="Q7" s="161"/>
      <c r="R7" s="78"/>
      <c r="S7" s="78"/>
      <c r="T7" s="78"/>
      <c r="U7" s="78"/>
      <c r="V7" s="78"/>
      <c r="W7" s="79"/>
      <c r="X7" s="65"/>
      <c r="AA7" s="78"/>
      <c r="AB7" s="78"/>
      <c r="AC7" s="78"/>
      <c r="AD7" s="78"/>
      <c r="AE7" s="78"/>
      <c r="AF7" s="78"/>
      <c r="AG7" s="78"/>
      <c r="AH7" s="78"/>
      <c r="AI7" s="79"/>
      <c r="AJ7" s="65"/>
      <c r="AM7" s="78"/>
      <c r="AN7" s="78"/>
      <c r="AO7" s="78"/>
      <c r="AP7" s="78"/>
      <c r="AQ7" s="78"/>
      <c r="AR7" s="78"/>
      <c r="AS7" s="78"/>
      <c r="AT7" s="78"/>
      <c r="AU7" s="79"/>
      <c r="AV7" s="65"/>
      <c r="AX7" s="161"/>
      <c r="AY7" s="78"/>
      <c r="AZ7" s="78"/>
      <c r="BA7" s="78"/>
      <c r="BB7" s="78"/>
      <c r="BC7" s="78"/>
      <c r="BD7" s="78"/>
      <c r="BE7" s="79"/>
      <c r="BF7" s="65"/>
      <c r="BH7" s="161"/>
      <c r="BI7" s="78"/>
      <c r="BJ7" s="78"/>
      <c r="BK7" s="78"/>
      <c r="BL7" s="78"/>
      <c r="BM7" s="78"/>
      <c r="BN7" s="79"/>
      <c r="BO7" s="65"/>
      <c r="BQ7" s="161"/>
      <c r="BR7" s="78"/>
      <c r="BS7" s="78"/>
      <c r="BT7" s="78"/>
      <c r="BU7" s="78"/>
      <c r="BV7" s="78"/>
      <c r="BW7" s="78"/>
      <c r="BX7" s="79"/>
      <c r="BY7" s="65"/>
      <c r="DI7" s="67"/>
      <c r="EQ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</row>
    <row r="8" spans="1:213" s="66" customFormat="1">
      <c r="D8" s="67"/>
      <c r="E8" s="67"/>
      <c r="F8" s="67"/>
      <c r="G8" s="67"/>
      <c r="H8" s="67"/>
      <c r="I8" s="67"/>
      <c r="J8" s="67"/>
      <c r="K8" s="67"/>
      <c r="L8" s="67"/>
      <c r="M8" s="67"/>
      <c r="N8" s="78"/>
      <c r="Q8" s="161"/>
      <c r="R8" s="78"/>
      <c r="S8" s="78"/>
      <c r="T8" s="78"/>
      <c r="U8" s="78"/>
      <c r="V8" s="78"/>
      <c r="W8" s="79"/>
      <c r="X8" s="65"/>
      <c r="AA8" s="78"/>
      <c r="AB8" s="78"/>
      <c r="AC8" s="78"/>
      <c r="AD8" s="78"/>
      <c r="AE8" s="78"/>
      <c r="AF8" s="78"/>
      <c r="AG8" s="78"/>
      <c r="AH8" s="78"/>
      <c r="AI8" s="79"/>
      <c r="AJ8" s="65"/>
      <c r="AM8" s="78"/>
      <c r="AN8" s="78"/>
      <c r="AO8" s="78"/>
      <c r="AP8" s="78"/>
      <c r="AQ8" s="78"/>
      <c r="AR8" s="78"/>
      <c r="AS8" s="78"/>
      <c r="AT8" s="78"/>
      <c r="AU8" s="79"/>
      <c r="AV8" s="65"/>
      <c r="AX8" s="161"/>
      <c r="AY8" s="78"/>
      <c r="AZ8" s="78"/>
      <c r="BA8" s="78"/>
      <c r="BB8" s="78"/>
      <c r="BC8" s="78"/>
      <c r="BD8" s="78"/>
      <c r="BE8" s="79"/>
      <c r="BF8" s="65"/>
      <c r="BH8" s="161"/>
      <c r="BI8" s="78"/>
      <c r="BJ8" s="78"/>
      <c r="BK8" s="78"/>
      <c r="BL8" s="78"/>
      <c r="BM8" s="78"/>
      <c r="BN8" s="79"/>
      <c r="BO8" s="65"/>
      <c r="BQ8" s="161"/>
      <c r="BR8" s="78"/>
      <c r="BS8" s="78"/>
      <c r="BT8" s="78"/>
      <c r="BU8" s="78"/>
      <c r="BV8" s="78"/>
      <c r="BW8" s="78"/>
      <c r="BX8" s="79"/>
      <c r="BY8" s="65"/>
      <c r="DI8" s="67"/>
      <c r="EQ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</row>
    <row r="9" spans="1:213" s="66" customFormat="1">
      <c r="D9" s="67"/>
      <c r="E9" s="67"/>
      <c r="F9" s="67"/>
      <c r="G9" s="67"/>
      <c r="H9" s="67"/>
      <c r="I9" s="67"/>
      <c r="J9" s="67"/>
      <c r="K9" s="67"/>
      <c r="L9" s="67"/>
      <c r="M9" s="67"/>
      <c r="N9" s="78"/>
      <c r="Q9" s="161"/>
      <c r="R9" s="78"/>
      <c r="S9" s="78"/>
      <c r="T9" s="78"/>
      <c r="U9" s="78"/>
      <c r="V9" s="78"/>
      <c r="W9" s="79"/>
      <c r="X9" s="65"/>
      <c r="AA9" s="78"/>
      <c r="AB9" s="78"/>
      <c r="AC9" s="78"/>
      <c r="AD9" s="78"/>
      <c r="AE9" s="78"/>
      <c r="AF9" s="78"/>
      <c r="AG9" s="78"/>
      <c r="AH9" s="78"/>
      <c r="AI9" s="79"/>
      <c r="AJ9" s="65"/>
      <c r="AM9" s="78"/>
      <c r="AN9" s="78"/>
      <c r="AO9" s="78"/>
      <c r="AP9" s="78"/>
      <c r="AQ9" s="78"/>
      <c r="AR9" s="78"/>
      <c r="AS9" s="78"/>
      <c r="AT9" s="78"/>
      <c r="AU9" s="79"/>
      <c r="AV9" s="65"/>
      <c r="AX9" s="161"/>
      <c r="AY9" s="78"/>
      <c r="AZ9" s="78"/>
      <c r="BA9" s="78"/>
      <c r="BB9" s="78"/>
      <c r="BC9" s="78"/>
      <c r="BD9" s="78"/>
      <c r="BE9" s="79"/>
      <c r="BF9" s="65"/>
      <c r="BH9" s="161"/>
      <c r="BI9" s="78"/>
      <c r="BJ9" s="78"/>
      <c r="BK9" s="78"/>
      <c r="BL9" s="78"/>
      <c r="BM9" s="78"/>
      <c r="BN9" s="79"/>
      <c r="BO9" s="65"/>
      <c r="BQ9" s="161"/>
      <c r="BR9" s="78"/>
      <c r="BS9" s="78"/>
      <c r="BT9" s="78"/>
      <c r="BU9" s="78"/>
      <c r="BV9" s="78"/>
      <c r="BW9" s="78"/>
      <c r="BX9" s="79"/>
      <c r="BY9" s="65"/>
      <c r="DI9" s="67"/>
      <c r="EQ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</row>
    <row r="10" spans="1:213" s="66" customFormat="1">
      <c r="E10"/>
      <c r="F10" s="67"/>
      <c r="G10" s="67"/>
      <c r="H10" s="67"/>
      <c r="I10" s="67"/>
      <c r="J10" s="67"/>
      <c r="K10" s="67"/>
      <c r="L10" s="67"/>
      <c r="M10" s="67"/>
      <c r="N10" s="78"/>
      <c r="O10" s="78"/>
      <c r="R10" s="161"/>
      <c r="S10" s="78"/>
      <c r="T10" s="78"/>
      <c r="U10" s="78"/>
      <c r="V10" s="78"/>
      <c r="W10" s="78"/>
      <c r="X10" s="79"/>
      <c r="Y10" s="65"/>
      <c r="AB10" s="78"/>
      <c r="AC10" s="78"/>
      <c r="AD10" s="78"/>
      <c r="AE10" s="78"/>
      <c r="AF10" s="78"/>
      <c r="AG10" s="78"/>
      <c r="AH10" s="78"/>
      <c r="AI10" s="78"/>
      <c r="AJ10" s="79"/>
      <c r="AK10" s="65"/>
      <c r="AN10" s="78"/>
      <c r="AO10" s="78"/>
      <c r="AP10" s="78"/>
      <c r="AQ10" s="78"/>
      <c r="AR10" s="78"/>
      <c r="AS10" s="78"/>
      <c r="AT10" s="78"/>
      <c r="AU10" s="78"/>
      <c r="AV10" s="79"/>
      <c r="AW10" s="65"/>
      <c r="AY10" s="161"/>
      <c r="AZ10" s="78"/>
      <c r="BA10" s="78"/>
      <c r="BB10" s="78"/>
      <c r="BC10" s="78"/>
      <c r="BD10" s="78"/>
      <c r="BE10" s="78"/>
      <c r="BF10" s="79"/>
      <c r="BG10" s="65"/>
      <c r="BI10" s="161"/>
      <c r="BJ10" s="78"/>
      <c r="BK10" s="78"/>
      <c r="BL10" s="78"/>
      <c r="BM10" s="78"/>
      <c r="BN10" s="78"/>
      <c r="BO10" s="79"/>
      <c r="BP10" s="65"/>
      <c r="BR10" s="161"/>
      <c r="BS10" s="78"/>
      <c r="BT10" s="78"/>
      <c r="BU10" s="78"/>
      <c r="BV10" s="78"/>
      <c r="BW10" s="78"/>
      <c r="BX10" s="78"/>
      <c r="BY10" s="79"/>
      <c r="BZ10" s="65"/>
      <c r="DJ10" s="67"/>
      <c r="ER10" s="67"/>
      <c r="FZ10" s="67"/>
      <c r="GA10" s="67"/>
      <c r="GB10" s="67"/>
      <c r="GC10" s="67"/>
      <c r="GD10" s="67"/>
      <c r="GE10" s="67"/>
      <c r="GF10" s="67"/>
      <c r="GG10" s="67"/>
      <c r="GH10" s="67"/>
      <c r="GI10" s="67"/>
      <c r="GJ10" s="67"/>
      <c r="GK10" s="67"/>
      <c r="GL10" s="67"/>
      <c r="GM10" s="67"/>
      <c r="GN10" s="67"/>
      <c r="GO10" s="67"/>
      <c r="GP10" s="67"/>
      <c r="GQ10" s="67"/>
      <c r="GR10" s="67"/>
      <c r="GS10" s="67"/>
      <c r="GT10" s="67"/>
      <c r="GU10" s="67"/>
      <c r="GV10" s="67"/>
      <c r="GW10" s="67"/>
      <c r="GX10" s="67"/>
      <c r="GY10" s="67"/>
      <c r="GZ10" s="67"/>
      <c r="HA10" s="67"/>
      <c r="HB10" s="67"/>
      <c r="HC10" s="67"/>
      <c r="HD10" s="67"/>
      <c r="HE10" s="67"/>
    </row>
    <row r="11" spans="1:213" s="66" customFormat="1">
      <c r="E11"/>
      <c r="F11" s="67"/>
      <c r="G11" s="67"/>
      <c r="H11" s="67"/>
      <c r="I11" s="67"/>
      <c r="J11" s="67"/>
      <c r="K11" s="67"/>
      <c r="L11" s="67"/>
      <c r="M11" s="67"/>
      <c r="N11" s="78"/>
      <c r="O11" s="78"/>
      <c r="R11" s="161"/>
      <c r="S11" s="78"/>
      <c r="T11" s="78"/>
      <c r="U11" s="78"/>
      <c r="V11" s="78"/>
      <c r="W11" s="78"/>
      <c r="X11" s="79"/>
      <c r="Y11" s="65"/>
      <c r="AB11" s="78"/>
      <c r="AC11" s="78"/>
      <c r="AD11" s="78"/>
      <c r="AE11" s="78"/>
      <c r="AF11" s="78"/>
      <c r="AG11" s="78"/>
      <c r="AH11" s="78"/>
      <c r="AI11" s="78"/>
      <c r="AJ11" s="79"/>
      <c r="AK11" s="65"/>
      <c r="AN11" s="78"/>
      <c r="AO11" s="78"/>
      <c r="AP11" s="78"/>
      <c r="AQ11" s="78"/>
      <c r="AR11" s="78"/>
      <c r="AS11" s="78"/>
      <c r="AT11" s="78"/>
      <c r="AU11" s="78"/>
      <c r="AV11" s="79"/>
      <c r="AW11" s="65"/>
      <c r="AY11" s="161"/>
      <c r="AZ11" s="78"/>
      <c r="BA11" s="78"/>
      <c r="BB11" s="78"/>
      <c r="BC11" s="78"/>
      <c r="BD11" s="78"/>
      <c r="BE11" s="78"/>
      <c r="BF11" s="79"/>
      <c r="BG11" s="65"/>
      <c r="BI11" s="161"/>
      <c r="BJ11" s="78"/>
      <c r="BK11" s="78"/>
      <c r="BL11" s="78"/>
      <c r="BM11" s="78"/>
      <c r="BN11" s="78"/>
      <c r="BO11" s="79"/>
      <c r="BP11" s="65"/>
      <c r="BR11" s="161"/>
      <c r="BS11" s="78"/>
      <c r="BT11" s="78"/>
      <c r="BU11" s="78"/>
      <c r="BV11" s="78"/>
      <c r="BW11" s="78"/>
      <c r="BX11" s="78"/>
      <c r="BY11" s="79"/>
      <c r="BZ11" s="65"/>
      <c r="DJ11" s="67"/>
      <c r="ER11" s="67"/>
      <c r="FZ11" s="67"/>
      <c r="GA11" s="67"/>
      <c r="GB11" s="67"/>
      <c r="GC11" s="67"/>
      <c r="GD11" s="67"/>
      <c r="GE11" s="67"/>
      <c r="GF11" s="67"/>
      <c r="GG11" s="67"/>
      <c r="GH11" s="67"/>
      <c r="GI11" s="67"/>
      <c r="GJ11" s="67"/>
      <c r="GK11" s="67"/>
      <c r="GL11" s="67"/>
      <c r="GM11" s="67"/>
      <c r="GN11" s="67"/>
      <c r="GO11" s="67"/>
      <c r="GP11" s="67"/>
      <c r="GQ11" s="67"/>
      <c r="GR11" s="67"/>
      <c r="GS11" s="67"/>
      <c r="GT11" s="67"/>
      <c r="GU11" s="67"/>
      <c r="GV11" s="67"/>
      <c r="GW11" s="67"/>
      <c r="GX11" s="67"/>
      <c r="GY11" s="67"/>
      <c r="GZ11" s="67"/>
      <c r="HA11" s="67"/>
      <c r="HB11" s="67"/>
      <c r="HC11" s="67"/>
      <c r="HD11" s="67"/>
      <c r="HE11" s="67"/>
    </row>
    <row r="12" spans="1:213" s="66" customFormat="1">
      <c r="E12"/>
      <c r="F12" s="67"/>
      <c r="G12" s="67"/>
      <c r="H12" s="67"/>
      <c r="I12" s="67"/>
      <c r="J12" s="67"/>
      <c r="K12" s="67"/>
      <c r="L12" s="67"/>
      <c r="M12" s="67"/>
      <c r="N12" s="78"/>
      <c r="O12" s="78"/>
      <c r="R12" s="161"/>
      <c r="S12" s="78"/>
      <c r="T12" s="78"/>
      <c r="U12" s="78"/>
      <c r="V12" s="78"/>
      <c r="W12" s="78"/>
      <c r="X12" s="79"/>
      <c r="Y12" s="65"/>
      <c r="AB12" s="78"/>
      <c r="AC12" s="78"/>
      <c r="AD12" s="78"/>
      <c r="AE12" s="78"/>
      <c r="AF12" s="78"/>
      <c r="AG12" s="78"/>
      <c r="AH12" s="78"/>
      <c r="AI12" s="78"/>
      <c r="AJ12" s="79"/>
      <c r="AK12" s="65"/>
      <c r="AN12" s="78"/>
      <c r="AO12" s="78"/>
      <c r="AP12" s="78"/>
      <c r="AQ12" s="78"/>
      <c r="AR12" s="78"/>
      <c r="AS12" s="78"/>
      <c r="AT12" s="78"/>
      <c r="AU12" s="78"/>
      <c r="AV12" s="79"/>
      <c r="AW12" s="65"/>
      <c r="AY12" s="161"/>
      <c r="AZ12" s="78"/>
      <c r="BA12" s="78"/>
      <c r="BB12" s="78"/>
      <c r="BC12" s="78"/>
      <c r="BD12" s="78"/>
      <c r="BE12" s="78"/>
      <c r="BF12" s="79"/>
      <c r="BG12" s="65"/>
      <c r="BI12" s="161"/>
      <c r="BJ12" s="78"/>
      <c r="BK12" s="78"/>
      <c r="BL12" s="78"/>
      <c r="BM12" s="78"/>
      <c r="BN12" s="78"/>
      <c r="BO12" s="79"/>
      <c r="BP12" s="65"/>
      <c r="BR12" s="161"/>
      <c r="BS12" s="78"/>
      <c r="BT12" s="78"/>
      <c r="BU12" s="78"/>
      <c r="BV12" s="78"/>
      <c r="BW12" s="78"/>
      <c r="BX12" s="78"/>
      <c r="BY12" s="79"/>
      <c r="BZ12" s="65"/>
      <c r="DJ12" s="67"/>
      <c r="ER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/>
      <c r="GZ12" s="67"/>
      <c r="HA12" s="67"/>
      <c r="HB12" s="67"/>
      <c r="HC12" s="67"/>
      <c r="HD12" s="67"/>
      <c r="HE12" s="67"/>
    </row>
    <row r="13" spans="1:213" s="66" customFormat="1">
      <c r="E13"/>
      <c r="F13" s="67"/>
      <c r="G13" s="67"/>
      <c r="H13" s="67"/>
      <c r="I13" s="67"/>
      <c r="J13" s="67"/>
      <c r="K13" s="67"/>
      <c r="L13" s="67"/>
      <c r="M13" s="67"/>
      <c r="N13" s="78"/>
      <c r="O13" s="78"/>
      <c r="R13" s="161"/>
      <c r="S13" s="78"/>
      <c r="T13" s="78"/>
      <c r="U13" s="78"/>
      <c r="V13" s="78"/>
      <c r="W13" s="78"/>
      <c r="X13" s="79"/>
      <c r="Y13" s="65"/>
      <c r="AB13" s="78"/>
      <c r="AC13" s="78"/>
      <c r="AD13" s="78"/>
      <c r="AE13" s="78"/>
      <c r="AF13" s="78"/>
      <c r="AG13" s="78"/>
      <c r="AH13" s="78"/>
      <c r="AI13" s="78"/>
      <c r="AJ13" s="79"/>
      <c r="AK13" s="65"/>
      <c r="AN13" s="78"/>
      <c r="AO13" s="78"/>
      <c r="AP13" s="78"/>
      <c r="AQ13" s="78"/>
      <c r="AR13" s="78"/>
      <c r="AS13" s="78"/>
      <c r="AT13" s="78"/>
      <c r="AU13" s="78"/>
      <c r="AV13" s="79"/>
      <c r="AW13" s="65"/>
      <c r="AY13" s="161"/>
      <c r="AZ13" s="78"/>
      <c r="BA13" s="78"/>
      <c r="BB13" s="78"/>
      <c r="BC13" s="78"/>
      <c r="BD13" s="78"/>
      <c r="BE13" s="78"/>
      <c r="BF13" s="79"/>
      <c r="BG13" s="65"/>
      <c r="BI13" s="161"/>
      <c r="BJ13" s="78"/>
      <c r="BK13" s="78"/>
      <c r="BL13" s="78"/>
      <c r="BM13" s="78"/>
      <c r="BN13" s="78"/>
      <c r="BO13" s="79"/>
      <c r="BP13" s="65"/>
      <c r="BR13" s="161"/>
      <c r="BS13" s="78"/>
      <c r="BT13" s="78"/>
      <c r="BU13" s="78"/>
      <c r="BV13" s="78"/>
      <c r="BW13" s="78"/>
      <c r="BX13" s="78"/>
      <c r="BY13" s="79"/>
      <c r="BZ13" s="65"/>
      <c r="DJ13" s="67"/>
      <c r="ER13" s="67"/>
      <c r="FZ13" s="67"/>
      <c r="GA13" s="67"/>
      <c r="GB13" s="67"/>
      <c r="GC13" s="67"/>
      <c r="GD13" s="67"/>
      <c r="GE13" s="67"/>
      <c r="GF13" s="67"/>
      <c r="GG13" s="67"/>
      <c r="GH13" s="67"/>
      <c r="GI13" s="67"/>
      <c r="GJ13" s="67"/>
      <c r="GK13" s="67"/>
      <c r="GL13" s="67"/>
      <c r="GM13" s="67"/>
      <c r="GN13" s="67"/>
      <c r="GO13" s="67"/>
      <c r="GP13" s="67"/>
      <c r="GQ13" s="67"/>
      <c r="GR13" s="67"/>
      <c r="GS13" s="67"/>
      <c r="GT13" s="67"/>
      <c r="GU13" s="67"/>
      <c r="GV13" s="67"/>
      <c r="GW13" s="67"/>
      <c r="GX13" s="67"/>
      <c r="GY13" s="67"/>
      <c r="GZ13" s="67"/>
      <c r="HA13" s="67"/>
      <c r="HB13" s="67"/>
      <c r="HC13" s="67"/>
      <c r="HD13" s="67"/>
      <c r="HE13" s="67"/>
    </row>
    <row r="14" spans="1:213" s="66" customFormat="1">
      <c r="E14"/>
      <c r="F14" s="67"/>
      <c r="G14" s="67"/>
      <c r="H14" s="67"/>
      <c r="I14" s="67"/>
      <c r="J14" s="67"/>
      <c r="K14" s="67"/>
      <c r="L14" s="67"/>
      <c r="M14" s="67"/>
      <c r="N14" s="78"/>
      <c r="O14" s="78"/>
      <c r="R14" s="161"/>
      <c r="S14" s="78"/>
      <c r="T14" s="78"/>
      <c r="U14" s="78"/>
      <c r="V14" s="78"/>
      <c r="W14" s="78"/>
      <c r="X14" s="79"/>
      <c r="Y14" s="65"/>
      <c r="AB14" s="78"/>
      <c r="AC14" s="78"/>
      <c r="AD14" s="78"/>
      <c r="AE14" s="78"/>
      <c r="AF14" s="78"/>
      <c r="AG14" s="78"/>
      <c r="AH14" s="78"/>
      <c r="AI14" s="78"/>
      <c r="AJ14" s="79"/>
      <c r="AK14" s="65"/>
      <c r="AN14" s="78"/>
      <c r="AO14" s="78"/>
      <c r="AP14" s="78"/>
      <c r="AQ14" s="78"/>
      <c r="AR14" s="78"/>
      <c r="AS14" s="78"/>
      <c r="AT14" s="78"/>
      <c r="AU14" s="78"/>
      <c r="AV14" s="79"/>
      <c r="AW14" s="65"/>
      <c r="AY14" s="161"/>
      <c r="AZ14" s="78"/>
      <c r="BA14" s="78"/>
      <c r="BB14" s="78"/>
      <c r="BC14" s="78"/>
      <c r="BD14" s="78"/>
      <c r="BE14" s="78"/>
      <c r="BF14" s="79"/>
      <c r="BG14" s="65"/>
      <c r="BI14" s="161"/>
      <c r="BJ14" s="78"/>
      <c r="BK14" s="78"/>
      <c r="BL14" s="78"/>
      <c r="BM14" s="78"/>
      <c r="BN14" s="78"/>
      <c r="BO14" s="79"/>
      <c r="BP14" s="65"/>
      <c r="BR14" s="161"/>
      <c r="BS14" s="78"/>
      <c r="BT14" s="78"/>
      <c r="BU14" s="78"/>
      <c r="BV14" s="78"/>
      <c r="BW14" s="78"/>
      <c r="BX14" s="78"/>
      <c r="BY14" s="79"/>
      <c r="BZ14" s="65"/>
      <c r="DJ14" s="67"/>
      <c r="ER14" s="67"/>
      <c r="FZ14" s="67"/>
      <c r="GA14" s="67"/>
      <c r="GB14" s="67"/>
      <c r="GC14" s="67"/>
      <c r="GD14" s="67"/>
      <c r="GE14" s="67"/>
      <c r="GF14" s="67"/>
      <c r="GG14" s="67"/>
      <c r="GH14" s="67"/>
      <c r="GI14" s="67"/>
      <c r="GJ14" s="67"/>
      <c r="GK14" s="67"/>
      <c r="GL14" s="67"/>
      <c r="GM14" s="67"/>
      <c r="GN14" s="67"/>
      <c r="GO14" s="67"/>
      <c r="GP14" s="67"/>
      <c r="GQ14" s="67"/>
      <c r="GR14" s="67"/>
      <c r="GS14" s="67"/>
      <c r="GT14" s="67"/>
      <c r="GU14" s="67"/>
      <c r="GV14" s="67"/>
      <c r="GW14" s="67"/>
      <c r="GX14" s="67"/>
      <c r="GY14" s="67"/>
      <c r="GZ14" s="67"/>
      <c r="HA14" s="67"/>
      <c r="HB14" s="67"/>
      <c r="HC14" s="67"/>
      <c r="HD14" s="67"/>
      <c r="HE14" s="67"/>
    </row>
    <row r="15" spans="1:213" s="66" customFormat="1">
      <c r="E15"/>
      <c r="F15" s="67"/>
      <c r="G15" s="67"/>
      <c r="H15" s="67"/>
      <c r="I15" s="67"/>
      <c r="J15" s="67"/>
      <c r="K15" s="67"/>
      <c r="L15" s="67"/>
      <c r="M15" s="67"/>
      <c r="N15" s="78"/>
      <c r="O15" s="78"/>
      <c r="R15" s="161"/>
      <c r="S15" s="78"/>
      <c r="T15" s="78"/>
      <c r="U15" s="78"/>
      <c r="V15" s="78"/>
      <c r="W15" s="78"/>
      <c r="X15" s="79"/>
      <c r="Y15" s="65"/>
      <c r="AB15" s="78"/>
      <c r="AC15" s="78"/>
      <c r="AD15" s="78"/>
      <c r="AE15" s="78"/>
      <c r="AF15" s="78"/>
      <c r="AG15" s="78"/>
      <c r="AH15" s="78"/>
      <c r="AI15" s="78"/>
      <c r="AJ15" s="79"/>
      <c r="AK15" s="65"/>
      <c r="AN15" s="78"/>
      <c r="AO15" s="78"/>
      <c r="AP15" s="78"/>
      <c r="AQ15" s="78"/>
      <c r="AR15" s="78"/>
      <c r="AS15" s="78"/>
      <c r="AT15" s="78"/>
      <c r="AU15" s="78"/>
      <c r="AV15" s="79"/>
      <c r="AW15" s="65"/>
      <c r="AY15" s="161"/>
      <c r="AZ15" s="78"/>
      <c r="BA15" s="78"/>
      <c r="BB15" s="78"/>
      <c r="BC15" s="78"/>
      <c r="BD15" s="78"/>
      <c r="BE15" s="78"/>
      <c r="BF15" s="79"/>
      <c r="BG15" s="65"/>
      <c r="BI15" s="161"/>
      <c r="BJ15" s="78"/>
      <c r="BK15" s="78"/>
      <c r="BL15" s="78"/>
      <c r="BM15" s="78"/>
      <c r="BN15" s="78"/>
      <c r="BO15" s="79"/>
      <c r="BP15" s="65"/>
      <c r="BR15" s="161"/>
      <c r="BS15" s="78"/>
      <c r="BT15" s="78"/>
      <c r="BU15" s="78"/>
      <c r="BV15" s="78"/>
      <c r="BW15" s="78"/>
      <c r="BX15" s="78"/>
      <c r="BY15" s="79"/>
      <c r="BZ15" s="65"/>
      <c r="DJ15" s="67"/>
      <c r="ER15" s="67"/>
      <c r="FZ15" s="67"/>
      <c r="GA15" s="67"/>
      <c r="GB15" s="67"/>
      <c r="GC15" s="67"/>
      <c r="GD15" s="67"/>
      <c r="GE15" s="67"/>
      <c r="GF15" s="67"/>
      <c r="GG15" s="67"/>
      <c r="GH15" s="67"/>
      <c r="GI15" s="67"/>
      <c r="GJ15" s="67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</row>
    <row r="16" spans="1:213" s="66" customFormat="1">
      <c r="E16"/>
      <c r="F16" s="67"/>
      <c r="G16" s="67"/>
      <c r="H16" s="67"/>
      <c r="I16" s="67"/>
      <c r="J16" s="67"/>
      <c r="K16" s="67"/>
      <c r="L16" s="67"/>
      <c r="M16" s="67"/>
      <c r="N16" s="78"/>
      <c r="O16" s="78"/>
      <c r="R16" s="161"/>
      <c r="S16" s="78"/>
      <c r="T16" s="78"/>
      <c r="U16" s="78"/>
      <c r="V16" s="78"/>
      <c r="W16" s="78"/>
      <c r="X16" s="79"/>
      <c r="Y16" s="65"/>
      <c r="AB16" s="78"/>
      <c r="AC16" s="78"/>
      <c r="AD16" s="78"/>
      <c r="AE16" s="78"/>
      <c r="AF16" s="78"/>
      <c r="AG16" s="78"/>
      <c r="AH16" s="78"/>
      <c r="AI16" s="78"/>
      <c r="AJ16" s="79"/>
      <c r="AK16" s="65"/>
      <c r="AN16" s="78"/>
      <c r="AO16" s="78"/>
      <c r="AP16" s="78"/>
      <c r="AQ16" s="78"/>
      <c r="AR16" s="78"/>
      <c r="AS16" s="78"/>
      <c r="AT16" s="78"/>
      <c r="AU16" s="78"/>
      <c r="AV16" s="79"/>
      <c r="AW16" s="65"/>
      <c r="AY16" s="161"/>
      <c r="AZ16" s="78"/>
      <c r="BA16" s="78"/>
      <c r="BB16" s="78"/>
      <c r="BC16" s="78"/>
      <c r="BD16" s="78"/>
      <c r="BE16" s="78"/>
      <c r="BF16" s="79"/>
      <c r="BG16" s="65"/>
      <c r="BI16" s="161"/>
      <c r="BJ16" s="78"/>
      <c r="BK16" s="78"/>
      <c r="BL16" s="78"/>
      <c r="BM16" s="78"/>
      <c r="BN16" s="78"/>
      <c r="BO16" s="79"/>
      <c r="BP16" s="65"/>
      <c r="BR16" s="161"/>
      <c r="BS16" s="78"/>
      <c r="BT16" s="78"/>
      <c r="BU16" s="78"/>
      <c r="BV16" s="78"/>
      <c r="BW16" s="78"/>
      <c r="BX16" s="78"/>
      <c r="BY16" s="79"/>
      <c r="BZ16" s="65"/>
      <c r="DJ16" s="67"/>
      <c r="ER16" s="67"/>
      <c r="FZ16" s="67"/>
      <c r="GA16" s="67"/>
      <c r="GB16" s="67"/>
      <c r="GC16" s="67"/>
      <c r="GD16" s="67"/>
      <c r="GE16" s="67"/>
      <c r="GF16" s="67"/>
      <c r="GG16" s="67"/>
      <c r="GH16" s="67"/>
      <c r="GI16" s="67"/>
      <c r="GJ16" s="67"/>
      <c r="GK16" s="67"/>
      <c r="GL16" s="67"/>
      <c r="GM16" s="67"/>
      <c r="GN16" s="67"/>
      <c r="GO16" s="67"/>
      <c r="GP16" s="67"/>
      <c r="GQ16" s="67"/>
      <c r="GR16" s="67"/>
      <c r="GS16" s="67"/>
      <c r="GT16" s="67"/>
      <c r="GU16" s="67"/>
      <c r="GV16" s="67"/>
      <c r="GW16" s="67"/>
      <c r="GX16" s="67"/>
      <c r="GY16" s="67"/>
      <c r="GZ16" s="67"/>
      <c r="HA16" s="67"/>
      <c r="HB16" s="67"/>
      <c r="HC16" s="67"/>
      <c r="HD16" s="67"/>
      <c r="HE16" s="67"/>
    </row>
    <row r="17" spans="5:213" s="66" customFormat="1">
      <c r="E17"/>
      <c r="F17" s="67"/>
      <c r="G17" s="67"/>
      <c r="H17" s="67"/>
      <c r="I17" s="67"/>
      <c r="J17" s="67"/>
      <c r="K17" s="67"/>
      <c r="L17" s="67"/>
      <c r="M17" s="67"/>
      <c r="N17" s="78"/>
      <c r="O17" s="78"/>
      <c r="R17" s="161"/>
      <c r="S17" s="78"/>
      <c r="T17" s="78"/>
      <c r="U17" s="78"/>
      <c r="V17" s="78"/>
      <c r="W17" s="78"/>
      <c r="X17" s="79"/>
      <c r="Y17" s="65"/>
      <c r="AB17" s="78"/>
      <c r="AC17" s="78"/>
      <c r="AD17" s="78"/>
      <c r="AE17" s="78"/>
      <c r="AF17" s="78"/>
      <c r="AG17" s="78"/>
      <c r="AH17" s="78"/>
      <c r="AI17" s="78"/>
      <c r="AJ17" s="79"/>
      <c r="AK17" s="65"/>
      <c r="AN17" s="78"/>
      <c r="AO17" s="78"/>
      <c r="AP17" s="78"/>
      <c r="AQ17" s="78"/>
      <c r="AR17" s="78"/>
      <c r="AS17" s="78"/>
      <c r="AT17" s="78"/>
      <c r="AU17" s="78"/>
      <c r="AV17" s="79"/>
      <c r="AW17" s="65"/>
      <c r="AY17" s="161"/>
      <c r="AZ17" s="78"/>
      <c r="BA17" s="78"/>
      <c r="BB17" s="78"/>
      <c r="BC17" s="78"/>
      <c r="BD17" s="78"/>
      <c r="BE17" s="78"/>
      <c r="BF17" s="79"/>
      <c r="BG17" s="65"/>
      <c r="BI17" s="161"/>
      <c r="BJ17" s="78"/>
      <c r="BK17" s="78"/>
      <c r="BL17" s="78"/>
      <c r="BM17" s="78"/>
      <c r="BN17" s="78"/>
      <c r="BO17" s="79"/>
      <c r="BP17" s="65"/>
      <c r="BR17" s="161"/>
      <c r="BS17" s="78"/>
      <c r="BT17" s="78"/>
      <c r="BU17" s="78"/>
      <c r="BV17" s="78"/>
      <c r="BW17" s="78"/>
      <c r="BX17" s="78"/>
      <c r="BY17" s="79"/>
      <c r="BZ17" s="65"/>
      <c r="DJ17" s="67"/>
      <c r="ER17" s="67"/>
      <c r="FZ17" s="67"/>
      <c r="GA17" s="67"/>
      <c r="GB17" s="67"/>
      <c r="GC17" s="67"/>
      <c r="GD17" s="67"/>
      <c r="GE17" s="67"/>
      <c r="GF17" s="67"/>
      <c r="GG17" s="67"/>
      <c r="GH17" s="67"/>
      <c r="GI17" s="67"/>
      <c r="GJ17" s="67"/>
      <c r="GK17" s="67"/>
      <c r="GL17" s="67"/>
      <c r="GM17" s="67"/>
      <c r="GN17" s="67"/>
      <c r="GO17" s="67"/>
      <c r="GP17" s="67"/>
      <c r="GQ17" s="67"/>
      <c r="GR17" s="67"/>
      <c r="GS17" s="67"/>
      <c r="GT17" s="67"/>
      <c r="GU17" s="67"/>
      <c r="GV17" s="67"/>
      <c r="GW17" s="67"/>
      <c r="GX17" s="67"/>
      <c r="GY17" s="67"/>
      <c r="GZ17" s="67"/>
      <c r="HA17" s="67"/>
      <c r="HB17" s="67"/>
      <c r="HC17" s="67"/>
      <c r="HD17" s="67"/>
      <c r="HE17" s="67"/>
    </row>
    <row r="18" spans="5:213" s="66" customFormat="1">
      <c r="E18"/>
      <c r="F18" s="67"/>
      <c r="G18" s="67"/>
      <c r="H18" s="67"/>
      <c r="I18" s="67"/>
      <c r="J18" s="67"/>
      <c r="K18" s="67"/>
      <c r="L18" s="67"/>
      <c r="M18" s="67"/>
      <c r="N18" s="78"/>
      <c r="O18" s="78"/>
      <c r="R18" s="161"/>
      <c r="S18" s="78"/>
      <c r="T18" s="78"/>
      <c r="U18" s="78"/>
      <c r="V18" s="78"/>
      <c r="W18" s="78"/>
      <c r="X18" s="79"/>
      <c r="Y18" s="65"/>
      <c r="AB18" s="78"/>
      <c r="AC18" s="78"/>
      <c r="AD18" s="78"/>
      <c r="AE18" s="78"/>
      <c r="AF18" s="78"/>
      <c r="AG18" s="78"/>
      <c r="AH18" s="78"/>
      <c r="AI18" s="78"/>
      <c r="AJ18" s="79"/>
      <c r="AK18" s="65"/>
      <c r="AN18" s="78"/>
      <c r="AO18" s="78"/>
      <c r="AP18" s="78"/>
      <c r="AQ18" s="78"/>
      <c r="AR18" s="78"/>
      <c r="AS18" s="78"/>
      <c r="AT18" s="78"/>
      <c r="AU18" s="78"/>
      <c r="AV18" s="79"/>
      <c r="AW18" s="65"/>
      <c r="AY18" s="161"/>
      <c r="AZ18" s="78"/>
      <c r="BA18" s="78"/>
      <c r="BB18" s="78"/>
      <c r="BC18" s="78"/>
      <c r="BD18" s="78"/>
      <c r="BE18" s="78"/>
      <c r="BF18" s="79"/>
      <c r="BG18" s="65"/>
      <c r="BI18" s="161"/>
      <c r="BJ18" s="78"/>
      <c r="BK18" s="78"/>
      <c r="BL18" s="78"/>
      <c r="BM18" s="78"/>
      <c r="BN18" s="78"/>
      <c r="BO18" s="79"/>
      <c r="BP18" s="65"/>
      <c r="BR18" s="161"/>
      <c r="BS18" s="78"/>
      <c r="BT18" s="78"/>
      <c r="BU18" s="78"/>
      <c r="BV18" s="78"/>
      <c r="BW18" s="78"/>
      <c r="BX18" s="78"/>
      <c r="BY18" s="79"/>
      <c r="BZ18" s="65"/>
      <c r="DJ18" s="67"/>
      <c r="ER18" s="67"/>
      <c r="FZ18" s="67"/>
      <c r="GA18" s="67"/>
      <c r="GB18" s="67"/>
      <c r="GC18" s="67"/>
      <c r="GD18" s="67"/>
      <c r="GE18" s="67"/>
      <c r="GF18" s="67"/>
      <c r="GG18" s="67"/>
      <c r="GH18" s="67"/>
      <c r="GI18" s="67"/>
      <c r="GJ18" s="67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</row>
    <row r="19" spans="5:213" s="66" customFormat="1">
      <c r="E19"/>
      <c r="F19" s="67"/>
      <c r="G19" s="67"/>
      <c r="H19" s="67"/>
      <c r="I19" s="67"/>
      <c r="J19" s="67"/>
      <c r="K19" s="67"/>
      <c r="L19" s="67"/>
      <c r="M19" s="67"/>
      <c r="N19" s="78"/>
      <c r="O19" s="78"/>
      <c r="R19" s="161"/>
      <c r="S19" s="78"/>
      <c r="T19" s="78"/>
      <c r="U19" s="78"/>
      <c r="V19" s="78"/>
      <c r="W19" s="78"/>
      <c r="X19" s="79"/>
      <c r="Y19" s="65"/>
      <c r="AB19" s="78"/>
      <c r="AC19" s="78"/>
      <c r="AD19" s="78"/>
      <c r="AE19" s="78"/>
      <c r="AF19" s="78"/>
      <c r="AG19" s="78"/>
      <c r="AH19" s="78"/>
      <c r="AI19" s="78"/>
      <c r="AJ19" s="79"/>
      <c r="AK19" s="65"/>
      <c r="AN19" s="78"/>
      <c r="AO19" s="78"/>
      <c r="AP19" s="78"/>
      <c r="AQ19" s="78"/>
      <c r="AR19" s="78"/>
      <c r="AS19" s="78"/>
      <c r="AT19" s="78"/>
      <c r="AU19" s="78"/>
      <c r="AV19" s="79"/>
      <c r="AW19" s="65"/>
      <c r="AY19" s="161"/>
      <c r="AZ19" s="78"/>
      <c r="BA19" s="78"/>
      <c r="BB19" s="78"/>
      <c r="BC19" s="78"/>
      <c r="BD19" s="78"/>
      <c r="BE19" s="78"/>
      <c r="BF19" s="79"/>
      <c r="BG19" s="65"/>
      <c r="BI19" s="161"/>
      <c r="BJ19" s="78"/>
      <c r="BK19" s="78"/>
      <c r="BL19" s="78"/>
      <c r="BM19" s="78"/>
      <c r="BN19" s="78"/>
      <c r="BO19" s="79"/>
      <c r="BP19" s="65"/>
      <c r="BR19" s="161"/>
      <c r="BS19" s="78"/>
      <c r="BT19" s="78"/>
      <c r="BU19" s="78"/>
      <c r="BV19" s="78"/>
      <c r="BW19" s="78"/>
      <c r="BX19" s="78"/>
      <c r="BY19" s="79"/>
      <c r="BZ19" s="65"/>
      <c r="DJ19" s="67"/>
      <c r="ER19" s="67"/>
      <c r="FZ19" s="67"/>
      <c r="GA19" s="67"/>
      <c r="GB19" s="67"/>
      <c r="GC19" s="67"/>
      <c r="GD19" s="67"/>
      <c r="GE19" s="67"/>
      <c r="GF19" s="67"/>
      <c r="GG19" s="67"/>
      <c r="GH19" s="67"/>
      <c r="GI19" s="67"/>
      <c r="GJ19" s="67"/>
      <c r="GK19" s="67"/>
      <c r="GL19" s="67"/>
      <c r="GM19" s="67"/>
      <c r="GN19" s="67"/>
      <c r="GO19" s="67"/>
      <c r="GP19" s="67"/>
      <c r="GQ19" s="67"/>
      <c r="GR19" s="67"/>
      <c r="GS19" s="67"/>
      <c r="GT19" s="67"/>
      <c r="GU19" s="67"/>
      <c r="GV19" s="67"/>
      <c r="GW19" s="67"/>
      <c r="GX19" s="67"/>
      <c r="GY19" s="67"/>
      <c r="GZ19" s="67"/>
      <c r="HA19" s="67"/>
      <c r="HB19" s="67"/>
      <c r="HC19" s="67"/>
      <c r="HD19" s="67"/>
      <c r="HE19" s="67"/>
    </row>
    <row r="20" spans="5:213" s="66" customFormat="1">
      <c r="E20"/>
      <c r="F20" s="67"/>
      <c r="G20" s="67"/>
      <c r="H20" s="67"/>
      <c r="I20" s="67"/>
      <c r="J20" s="67"/>
      <c r="K20" s="67"/>
      <c r="L20" s="67"/>
      <c r="M20" s="67"/>
      <c r="N20" s="78"/>
      <c r="O20" s="78"/>
      <c r="R20" s="161"/>
      <c r="S20" s="78"/>
      <c r="T20" s="78"/>
      <c r="U20" s="78"/>
      <c r="V20" s="78"/>
      <c r="W20" s="78"/>
      <c r="X20" s="79"/>
      <c r="Y20" s="65"/>
      <c r="AB20" s="78"/>
      <c r="AC20" s="78"/>
      <c r="AD20" s="78"/>
      <c r="AE20" s="78"/>
      <c r="AF20" s="78"/>
      <c r="AG20" s="78"/>
      <c r="AH20" s="78"/>
      <c r="AI20" s="78"/>
      <c r="AJ20" s="79"/>
      <c r="AK20" s="65"/>
      <c r="AN20" s="78"/>
      <c r="AO20" s="78"/>
      <c r="AP20" s="78"/>
      <c r="AQ20" s="78"/>
      <c r="AR20" s="78"/>
      <c r="AS20" s="78"/>
      <c r="AT20" s="78"/>
      <c r="AU20" s="78"/>
      <c r="AV20" s="79"/>
      <c r="AW20" s="65"/>
      <c r="AY20" s="161"/>
      <c r="AZ20" s="78"/>
      <c r="BA20" s="78"/>
      <c r="BB20" s="78"/>
      <c r="BC20" s="78"/>
      <c r="BD20" s="78"/>
      <c r="BE20" s="78"/>
      <c r="BF20" s="79"/>
      <c r="BG20" s="65"/>
      <c r="BI20" s="161"/>
      <c r="BJ20" s="78"/>
      <c r="BK20" s="78"/>
      <c r="BL20" s="78"/>
      <c r="BM20" s="78"/>
      <c r="BN20" s="78"/>
      <c r="BO20" s="79"/>
      <c r="BP20" s="65"/>
      <c r="BR20" s="161"/>
      <c r="BS20" s="78"/>
      <c r="BT20" s="78"/>
      <c r="BU20" s="78"/>
      <c r="BV20" s="78"/>
      <c r="BW20" s="78"/>
      <c r="BX20" s="78"/>
      <c r="BY20" s="79"/>
      <c r="BZ20" s="65"/>
      <c r="DJ20" s="67"/>
      <c r="ER20" s="67"/>
      <c r="FZ20" s="67"/>
      <c r="GA20" s="67"/>
      <c r="GB20" s="67"/>
      <c r="GC20" s="67"/>
      <c r="GD20" s="67"/>
      <c r="GE20" s="67"/>
      <c r="GF20" s="67"/>
      <c r="GG20" s="67"/>
      <c r="GH20" s="67"/>
      <c r="GI20" s="67"/>
      <c r="GJ20" s="67"/>
      <c r="GK20" s="67"/>
      <c r="GL20" s="67"/>
      <c r="GM20" s="67"/>
      <c r="GN20" s="67"/>
      <c r="GO20" s="67"/>
      <c r="GP20" s="67"/>
      <c r="GQ20" s="67"/>
      <c r="GR20" s="67"/>
      <c r="GS20" s="67"/>
      <c r="GT20" s="67"/>
      <c r="GU20" s="67"/>
      <c r="GV20" s="67"/>
      <c r="GW20" s="67"/>
      <c r="GX20" s="67"/>
      <c r="GY20" s="67"/>
      <c r="GZ20" s="67"/>
      <c r="HA20" s="67"/>
      <c r="HB20" s="67"/>
      <c r="HC20" s="67"/>
      <c r="HD20" s="67"/>
      <c r="HE20" s="67"/>
    </row>
    <row r="21" spans="5:213" s="66" customFormat="1">
      <c r="E21"/>
      <c r="F21" s="67"/>
      <c r="G21" s="67"/>
      <c r="H21" s="67"/>
      <c r="I21" s="67"/>
      <c r="J21" s="67"/>
      <c r="K21" s="67"/>
      <c r="L21" s="67"/>
      <c r="M21" s="67"/>
      <c r="N21" s="78"/>
      <c r="O21" s="78"/>
      <c r="R21" s="161"/>
      <c r="S21" s="78"/>
      <c r="T21" s="78"/>
      <c r="U21" s="78"/>
      <c r="V21" s="78"/>
      <c r="W21" s="78"/>
      <c r="X21" s="79"/>
      <c r="Y21" s="65"/>
      <c r="AB21" s="78"/>
      <c r="AC21" s="78"/>
      <c r="AD21" s="78"/>
      <c r="AE21" s="78"/>
      <c r="AF21" s="78"/>
      <c r="AG21" s="78"/>
      <c r="AH21" s="78"/>
      <c r="AI21" s="78"/>
      <c r="AJ21" s="79"/>
      <c r="AK21" s="65"/>
      <c r="AN21" s="78"/>
      <c r="AO21" s="78"/>
      <c r="AP21" s="78"/>
      <c r="AQ21" s="78"/>
      <c r="AR21" s="78"/>
      <c r="AS21" s="78"/>
      <c r="AT21" s="78"/>
      <c r="AU21" s="78"/>
      <c r="AV21" s="79"/>
      <c r="AW21" s="65"/>
      <c r="AY21" s="161"/>
      <c r="AZ21" s="78"/>
      <c r="BA21" s="78"/>
      <c r="BB21" s="78"/>
      <c r="BC21" s="78"/>
      <c r="BD21" s="78"/>
      <c r="BE21" s="78"/>
      <c r="BF21" s="79"/>
      <c r="BG21" s="65"/>
      <c r="BI21" s="161"/>
      <c r="BJ21" s="78"/>
      <c r="BK21" s="78"/>
      <c r="BL21" s="78"/>
      <c r="BM21" s="78"/>
      <c r="BN21" s="78"/>
      <c r="BO21" s="79"/>
      <c r="BP21" s="65"/>
      <c r="BR21" s="161"/>
      <c r="BS21" s="78"/>
      <c r="BT21" s="78"/>
      <c r="BU21" s="78"/>
      <c r="BV21" s="78"/>
      <c r="BW21" s="78"/>
      <c r="BX21" s="78"/>
      <c r="BY21" s="79"/>
      <c r="BZ21" s="65"/>
      <c r="DJ21" s="67"/>
      <c r="ER21" s="67"/>
      <c r="FZ21" s="67"/>
      <c r="GA21" s="67"/>
      <c r="GB21" s="67"/>
      <c r="GC21" s="67"/>
      <c r="GD21" s="67"/>
      <c r="GE21" s="67"/>
      <c r="GF21" s="67"/>
      <c r="GG21" s="67"/>
      <c r="GH21" s="67"/>
      <c r="GI21" s="67"/>
      <c r="GJ21" s="67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</row>
    <row r="22" spans="5:213" s="66" customFormat="1">
      <c r="E22"/>
      <c r="F22" s="67"/>
      <c r="G22" s="67"/>
      <c r="H22" s="67"/>
      <c r="I22" s="67"/>
      <c r="J22" s="67"/>
      <c r="K22" s="67"/>
      <c r="L22" s="67"/>
      <c r="M22" s="67"/>
      <c r="N22" s="78"/>
      <c r="O22" s="78"/>
      <c r="R22" s="161"/>
      <c r="S22" s="78"/>
      <c r="T22" s="78"/>
      <c r="U22" s="78"/>
      <c r="V22" s="78"/>
      <c r="W22" s="78"/>
      <c r="X22" s="79"/>
      <c r="Y22" s="65"/>
      <c r="AB22" s="78"/>
      <c r="AC22" s="78"/>
      <c r="AD22" s="78"/>
      <c r="AE22" s="78"/>
      <c r="AF22" s="78"/>
      <c r="AG22" s="78"/>
      <c r="AH22" s="78"/>
      <c r="AI22" s="78"/>
      <c r="AJ22" s="79"/>
      <c r="AK22" s="65"/>
      <c r="AN22" s="78"/>
      <c r="AO22" s="78"/>
      <c r="AP22" s="78"/>
      <c r="AQ22" s="78"/>
      <c r="AR22" s="78"/>
      <c r="AS22" s="78"/>
      <c r="AT22" s="78"/>
      <c r="AU22" s="78"/>
      <c r="AV22" s="79"/>
      <c r="AW22" s="65"/>
      <c r="AY22" s="161"/>
      <c r="AZ22" s="78"/>
      <c r="BA22" s="78"/>
      <c r="BB22" s="78"/>
      <c r="BC22" s="78"/>
      <c r="BD22" s="78"/>
      <c r="BE22" s="78"/>
      <c r="BF22" s="79"/>
      <c r="BG22" s="65"/>
      <c r="BI22" s="161"/>
      <c r="BJ22" s="78"/>
      <c r="BK22" s="78"/>
      <c r="BL22" s="78"/>
      <c r="BM22" s="78"/>
      <c r="BN22" s="78"/>
      <c r="BO22" s="79"/>
      <c r="BP22" s="65"/>
      <c r="BR22" s="161"/>
      <c r="BS22" s="78"/>
      <c r="BT22" s="78"/>
      <c r="BU22" s="78"/>
      <c r="BV22" s="78"/>
      <c r="BW22" s="78"/>
      <c r="BX22" s="78"/>
      <c r="BY22" s="79"/>
      <c r="BZ22" s="65"/>
      <c r="DJ22" s="67"/>
      <c r="ER22" s="67"/>
      <c r="FZ22" s="67"/>
      <c r="GA22" s="67"/>
      <c r="GB22" s="67"/>
      <c r="GC22" s="67"/>
      <c r="GD22" s="67"/>
      <c r="GE22" s="67"/>
      <c r="GF22" s="67"/>
      <c r="GG22" s="67"/>
      <c r="GH22" s="67"/>
      <c r="GI22" s="67"/>
      <c r="GJ22" s="67"/>
      <c r="GK22" s="67"/>
      <c r="GL22" s="67"/>
      <c r="GM22" s="67"/>
      <c r="GN22" s="67"/>
      <c r="GO22" s="67"/>
      <c r="GP22" s="67"/>
      <c r="GQ22" s="67"/>
      <c r="GR22" s="67"/>
      <c r="GS22" s="67"/>
      <c r="GT22" s="67"/>
      <c r="GU22" s="67"/>
      <c r="GV22" s="67"/>
      <c r="GW22" s="67"/>
      <c r="GX22" s="67"/>
      <c r="GY22" s="67"/>
      <c r="GZ22" s="67"/>
      <c r="HA22" s="67"/>
      <c r="HB22" s="67"/>
      <c r="HC22" s="67"/>
      <c r="HD22" s="67"/>
      <c r="HE22" s="67"/>
    </row>
    <row r="23" spans="5:213" s="66" customFormat="1">
      <c r="E23"/>
      <c r="F23" s="67"/>
      <c r="G23" s="67"/>
      <c r="H23" s="67"/>
      <c r="I23" s="67"/>
      <c r="J23" s="67"/>
      <c r="K23" s="67"/>
      <c r="L23" s="67"/>
      <c r="M23" s="67"/>
      <c r="N23" s="78"/>
      <c r="O23" s="78"/>
      <c r="R23" s="161"/>
      <c r="S23" s="78"/>
      <c r="T23" s="78"/>
      <c r="U23" s="78"/>
      <c r="V23" s="78"/>
      <c r="W23" s="78"/>
      <c r="X23" s="79"/>
      <c r="Y23" s="65"/>
      <c r="AB23" s="78"/>
      <c r="AC23" s="78"/>
      <c r="AD23" s="78"/>
      <c r="AE23" s="78"/>
      <c r="AF23" s="78"/>
      <c r="AG23" s="78"/>
      <c r="AH23" s="78"/>
      <c r="AI23" s="78"/>
      <c r="AJ23" s="79"/>
      <c r="AK23" s="65"/>
      <c r="AN23" s="78"/>
      <c r="AO23" s="78"/>
      <c r="AP23" s="78"/>
      <c r="AQ23" s="78"/>
      <c r="AR23" s="78"/>
      <c r="AS23" s="78"/>
      <c r="AT23" s="78"/>
      <c r="AU23" s="78"/>
      <c r="AV23" s="79"/>
      <c r="AW23" s="65"/>
      <c r="AY23" s="161"/>
      <c r="AZ23" s="78"/>
      <c r="BA23" s="78"/>
      <c r="BB23" s="78"/>
      <c r="BC23" s="78"/>
      <c r="BD23" s="78"/>
      <c r="BE23" s="78"/>
      <c r="BF23" s="79"/>
      <c r="BG23" s="65"/>
      <c r="BI23" s="161"/>
      <c r="BJ23" s="78"/>
      <c r="BK23" s="78"/>
      <c r="BL23" s="78"/>
      <c r="BM23" s="78"/>
      <c r="BN23" s="78"/>
      <c r="BO23" s="79"/>
      <c r="BP23" s="65"/>
      <c r="BR23" s="161"/>
      <c r="BS23" s="78"/>
      <c r="BT23" s="78"/>
      <c r="BU23" s="78"/>
      <c r="BV23" s="78"/>
      <c r="BW23" s="78"/>
      <c r="BX23" s="78"/>
      <c r="BY23" s="79"/>
      <c r="BZ23" s="65"/>
      <c r="DJ23" s="67"/>
      <c r="ER23" s="67"/>
      <c r="FZ23" s="67"/>
      <c r="GA23" s="67"/>
      <c r="GB23" s="67"/>
      <c r="GC23" s="67"/>
      <c r="GD23" s="67"/>
      <c r="GE23" s="67"/>
      <c r="GF23" s="67"/>
      <c r="GG23" s="67"/>
      <c r="GH23" s="67"/>
      <c r="GI23" s="67"/>
      <c r="GJ23" s="67"/>
      <c r="GK23" s="67"/>
      <c r="GL23" s="67"/>
      <c r="GM23" s="67"/>
      <c r="GN23" s="67"/>
      <c r="GO23" s="67"/>
      <c r="GP23" s="67"/>
      <c r="GQ23" s="67"/>
      <c r="GR23" s="67"/>
      <c r="GS23" s="67"/>
      <c r="GT23" s="67"/>
      <c r="GU23" s="67"/>
      <c r="GV23" s="67"/>
      <c r="GW23" s="67"/>
      <c r="GX23" s="67"/>
      <c r="GY23" s="67"/>
      <c r="GZ23" s="67"/>
      <c r="HA23" s="67"/>
      <c r="HB23" s="67"/>
      <c r="HC23" s="67"/>
      <c r="HD23" s="67"/>
      <c r="HE23" s="67"/>
    </row>
    <row r="24" spans="5:213" s="66" customFormat="1">
      <c r="E24"/>
      <c r="F24" s="67"/>
      <c r="G24" s="67"/>
      <c r="H24" s="67"/>
      <c r="I24" s="67"/>
      <c r="J24" s="67"/>
      <c r="K24" s="67"/>
      <c r="L24" s="67"/>
      <c r="M24" s="67"/>
      <c r="N24" s="78"/>
      <c r="O24" s="78"/>
      <c r="R24" s="161"/>
      <c r="S24" s="78"/>
      <c r="T24" s="78"/>
      <c r="U24" s="78"/>
      <c r="V24" s="78"/>
      <c r="W24" s="78"/>
      <c r="X24" s="79"/>
      <c r="Y24" s="65"/>
      <c r="AB24" s="78"/>
      <c r="AC24" s="78"/>
      <c r="AD24" s="78"/>
      <c r="AE24" s="78"/>
      <c r="AF24" s="78"/>
      <c r="AG24" s="78"/>
      <c r="AH24" s="78"/>
      <c r="AI24" s="78"/>
      <c r="AJ24" s="79"/>
      <c r="AK24" s="65"/>
      <c r="AN24" s="78"/>
      <c r="AO24" s="78"/>
      <c r="AP24" s="78"/>
      <c r="AQ24" s="78"/>
      <c r="AR24" s="78"/>
      <c r="AS24" s="78"/>
      <c r="AT24" s="78"/>
      <c r="AU24" s="78"/>
      <c r="AV24" s="79"/>
      <c r="AW24" s="65"/>
      <c r="AY24" s="161"/>
      <c r="AZ24" s="78"/>
      <c r="BA24" s="78"/>
      <c r="BB24" s="78"/>
      <c r="BC24" s="78"/>
      <c r="BD24" s="78"/>
      <c r="BE24" s="78"/>
      <c r="BF24" s="79"/>
      <c r="BG24" s="65"/>
      <c r="BI24" s="161"/>
      <c r="BJ24" s="78"/>
      <c r="BK24" s="78"/>
      <c r="BL24" s="78"/>
      <c r="BM24" s="78"/>
      <c r="BN24" s="78"/>
      <c r="BO24" s="79"/>
      <c r="BP24" s="65"/>
      <c r="BR24" s="161"/>
      <c r="BS24" s="78"/>
      <c r="BT24" s="78"/>
      <c r="BU24" s="78"/>
      <c r="BV24" s="78"/>
      <c r="BW24" s="78"/>
      <c r="BX24" s="78"/>
      <c r="BY24" s="79"/>
      <c r="BZ24" s="65"/>
      <c r="DJ24" s="67"/>
      <c r="ER24" s="67"/>
      <c r="FZ24" s="67"/>
      <c r="GA24" s="67"/>
      <c r="GB24" s="67"/>
      <c r="GC24" s="67"/>
      <c r="GD24" s="67"/>
      <c r="GE24" s="67"/>
      <c r="GF24" s="67"/>
      <c r="GG24" s="67"/>
      <c r="GH24" s="67"/>
      <c r="GI24" s="67"/>
      <c r="GJ24" s="67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</row>
    <row r="25" spans="5:213" s="66" customFormat="1">
      <c r="E25"/>
      <c r="F25" s="67"/>
      <c r="G25" s="67"/>
      <c r="H25" s="67"/>
      <c r="I25" s="67"/>
      <c r="J25" s="67"/>
      <c r="K25" s="67"/>
      <c r="L25" s="67"/>
      <c r="M25" s="67"/>
      <c r="N25" s="78"/>
      <c r="O25" s="78"/>
      <c r="R25" s="161"/>
      <c r="S25" s="78"/>
      <c r="T25" s="78"/>
      <c r="U25" s="78"/>
      <c r="V25" s="78"/>
      <c r="W25" s="78"/>
      <c r="X25" s="79"/>
      <c r="Y25" s="65"/>
      <c r="AB25" s="78"/>
      <c r="AC25" s="78"/>
      <c r="AD25" s="78"/>
      <c r="AE25" s="78"/>
      <c r="AF25" s="78"/>
      <c r="AG25" s="78"/>
      <c r="AH25" s="78"/>
      <c r="AI25" s="78"/>
      <c r="AJ25" s="79"/>
      <c r="AK25" s="65"/>
      <c r="AN25" s="78"/>
      <c r="AO25" s="78"/>
      <c r="AP25" s="78"/>
      <c r="AQ25" s="78"/>
      <c r="AR25" s="78"/>
      <c r="AS25" s="78"/>
      <c r="AT25" s="78"/>
      <c r="AU25" s="78"/>
      <c r="AV25" s="79"/>
      <c r="AW25" s="65"/>
      <c r="AY25" s="161"/>
      <c r="AZ25" s="78"/>
      <c r="BA25" s="78"/>
      <c r="BB25" s="78"/>
      <c r="BC25" s="78"/>
      <c r="BD25" s="78"/>
      <c r="BE25" s="78"/>
      <c r="BF25" s="79"/>
      <c r="BG25" s="65"/>
      <c r="BI25" s="161"/>
      <c r="BJ25" s="78"/>
      <c r="BK25" s="78"/>
      <c r="BL25" s="78"/>
      <c r="BM25" s="78"/>
      <c r="BN25" s="78"/>
      <c r="BO25" s="79"/>
      <c r="BP25" s="65"/>
      <c r="BR25" s="161"/>
      <c r="BS25" s="78"/>
      <c r="BT25" s="78"/>
      <c r="BU25" s="78"/>
      <c r="BV25" s="78"/>
      <c r="BW25" s="78"/>
      <c r="BX25" s="78"/>
      <c r="BY25" s="79"/>
      <c r="BZ25" s="65"/>
      <c r="DJ25" s="67"/>
      <c r="ER25" s="67"/>
      <c r="FZ25" s="67"/>
      <c r="GA25" s="67"/>
      <c r="GB25" s="67"/>
      <c r="GC25" s="67"/>
      <c r="GD25" s="67"/>
      <c r="GE25" s="67"/>
      <c r="GF25" s="67"/>
      <c r="GG25" s="67"/>
      <c r="GH25" s="67"/>
      <c r="GI25" s="67"/>
      <c r="GJ25" s="67"/>
      <c r="GK25" s="67"/>
      <c r="GL25" s="67"/>
      <c r="GM25" s="67"/>
      <c r="GN25" s="67"/>
      <c r="GO25" s="67"/>
      <c r="GP25" s="67"/>
      <c r="GQ25" s="67"/>
      <c r="GR25" s="67"/>
      <c r="GS25" s="67"/>
      <c r="GT25" s="67"/>
      <c r="GU25" s="67"/>
      <c r="GV25" s="67"/>
      <c r="GW25" s="67"/>
      <c r="GX25" s="67"/>
      <c r="GY25" s="67"/>
      <c r="GZ25" s="67"/>
      <c r="HA25" s="67"/>
      <c r="HB25" s="67"/>
      <c r="HC25" s="67"/>
      <c r="HD25" s="67"/>
      <c r="HE25" s="67"/>
    </row>
    <row r="26" spans="5:213">
      <c r="M26" s="67"/>
    </row>
    <row r="27" spans="5:213">
      <c r="M27" s="67"/>
    </row>
    <row r="28" spans="5:213">
      <c r="M28" s="67"/>
    </row>
    <row r="29" spans="5:213">
      <c r="M29" s="67"/>
    </row>
    <row r="30" spans="5:213">
      <c r="M30" s="67"/>
    </row>
    <row r="31" spans="5:213">
      <c r="M31" s="67"/>
    </row>
    <row r="32" spans="5:213">
      <c r="M32" s="67"/>
    </row>
    <row r="33" spans="13:13">
      <c r="M33" s="67"/>
    </row>
    <row r="34" spans="13:13">
      <c r="M34" s="67"/>
    </row>
    <row r="35" spans="13:13">
      <c r="M35" s="67"/>
    </row>
    <row r="36" spans="13:13">
      <c r="M36" s="67"/>
    </row>
    <row r="37" spans="13:13">
      <c r="M37" s="67"/>
    </row>
    <row r="38" spans="13:13">
      <c r="M38" s="67"/>
    </row>
    <row r="39" spans="13:13">
      <c r="M39" s="67"/>
    </row>
    <row r="40" spans="13:13">
      <c r="M40" s="67"/>
    </row>
    <row r="41" spans="13:13">
      <c r="M41" s="67"/>
    </row>
    <row r="42" spans="13:13">
      <c r="M42" s="67"/>
    </row>
    <row r="43" spans="13:13">
      <c r="M43" s="67"/>
    </row>
    <row r="44" spans="13:13">
      <c r="M44" s="67"/>
    </row>
    <row r="45" spans="13:13">
      <c r="M45" s="67"/>
    </row>
    <row r="46" spans="13:13">
      <c r="M46" s="67"/>
    </row>
    <row r="47" spans="13:13">
      <c r="M47" s="67"/>
    </row>
    <row r="48" spans="13:13">
      <c r="M48" s="67"/>
    </row>
    <row r="49" spans="13:13">
      <c r="M49" s="67"/>
    </row>
    <row r="50" spans="13:13">
      <c r="M50" s="67"/>
    </row>
    <row r="51" spans="13:13">
      <c r="M51" s="67"/>
    </row>
    <row r="52" spans="13:13">
      <c r="M52" s="67"/>
    </row>
    <row r="53" spans="13:13">
      <c r="M53" s="67"/>
    </row>
    <row r="54" spans="13:13">
      <c r="M54" s="67"/>
    </row>
    <row r="55" spans="13:13">
      <c r="M55" s="67"/>
    </row>
    <row r="56" spans="13:13">
      <c r="M56" s="67"/>
    </row>
    <row r="57" spans="13:13">
      <c r="M57" s="67"/>
    </row>
    <row r="58" spans="13:13">
      <c r="M58" s="67"/>
    </row>
    <row r="59" spans="13:13">
      <c r="M59" s="67"/>
    </row>
    <row r="60" spans="13:13">
      <c r="M60" s="67"/>
    </row>
    <row r="61" spans="13:13">
      <c r="M61" s="67"/>
    </row>
    <row r="62" spans="13:13">
      <c r="M62" s="67"/>
    </row>
    <row r="63" spans="13:13">
      <c r="M63" s="67"/>
    </row>
    <row r="64" spans="13:13">
      <c r="M64" s="67"/>
    </row>
    <row r="65" spans="13:13">
      <c r="M65" s="67"/>
    </row>
    <row r="66" spans="13:13">
      <c r="M66" s="67"/>
    </row>
    <row r="67" spans="13:13">
      <c r="M67" s="67"/>
    </row>
    <row r="68" spans="13:13">
      <c r="M68" s="67"/>
    </row>
    <row r="69" spans="13:13">
      <c r="M69" s="67"/>
    </row>
    <row r="70" spans="13:13">
      <c r="M70" s="67"/>
    </row>
    <row r="71" spans="13:13">
      <c r="M71" s="67"/>
    </row>
    <row r="72" spans="13:13">
      <c r="M72" s="67"/>
    </row>
    <row r="73" spans="13:13">
      <c r="M73" s="67"/>
    </row>
    <row r="74" spans="13:13">
      <c r="M74" s="67"/>
    </row>
    <row r="75" spans="13:13">
      <c r="M75" s="67"/>
    </row>
    <row r="76" spans="13:13">
      <c r="M76" s="67"/>
    </row>
    <row r="77" spans="13:13">
      <c r="M77" s="67"/>
    </row>
    <row r="78" spans="13:13">
      <c r="M78" s="67"/>
    </row>
    <row r="79" spans="13:13">
      <c r="M79" s="67"/>
    </row>
    <row r="80" spans="13:13">
      <c r="M80" s="67"/>
    </row>
    <row r="81" spans="13:13">
      <c r="M81" s="67"/>
    </row>
    <row r="82" spans="13:13">
      <c r="M82" s="67"/>
    </row>
    <row r="83" spans="13:13">
      <c r="M83" s="67"/>
    </row>
    <row r="84" spans="13:13">
      <c r="M84" s="67"/>
    </row>
    <row r="85" spans="13:13">
      <c r="M85" s="67"/>
    </row>
    <row r="86" spans="13:13">
      <c r="M86" s="67"/>
    </row>
    <row r="87" spans="13:13">
      <c r="M87" s="67"/>
    </row>
    <row r="88" spans="13:13">
      <c r="M88" s="67"/>
    </row>
    <row r="89" spans="13:13">
      <c r="M89" s="67"/>
    </row>
    <row r="90" spans="13:13">
      <c r="M90" s="67"/>
    </row>
    <row r="91" spans="13:13">
      <c r="M91" s="67"/>
    </row>
    <row r="92" spans="13:13">
      <c r="M92" s="67"/>
    </row>
    <row r="93" spans="13:13">
      <c r="M93" s="67"/>
    </row>
    <row r="94" spans="13:13">
      <c r="M94" s="67"/>
    </row>
    <row r="95" spans="13:13">
      <c r="M95" s="67"/>
    </row>
    <row r="96" spans="13:13">
      <c r="M96" s="67"/>
    </row>
    <row r="97" spans="13:13">
      <c r="M97" s="67"/>
    </row>
    <row r="98" spans="13:13">
      <c r="M98" s="67"/>
    </row>
    <row r="99" spans="13:13">
      <c r="M99" s="67"/>
    </row>
    <row r="100" spans="13:13">
      <c r="M100" s="67"/>
    </row>
    <row r="101" spans="13:13">
      <c r="M101" s="67"/>
    </row>
    <row r="102" spans="13:13">
      <c r="M102" s="67"/>
    </row>
    <row r="103" spans="13:13">
      <c r="M103" s="67"/>
    </row>
    <row r="104" spans="13:13">
      <c r="M104" s="67"/>
    </row>
    <row r="105" spans="13:13">
      <c r="M105" s="67"/>
    </row>
    <row r="106" spans="13:13">
      <c r="M106" s="67"/>
    </row>
    <row r="107" spans="13:13">
      <c r="M107" s="67"/>
    </row>
    <row r="108" spans="13:13">
      <c r="M108" s="67"/>
    </row>
    <row r="109" spans="13:13">
      <c r="M109" s="67"/>
    </row>
    <row r="110" spans="13:13">
      <c r="M110" s="67"/>
    </row>
    <row r="111" spans="13:13">
      <c r="M111" s="67"/>
    </row>
    <row r="112" spans="13:13">
      <c r="M112" s="67"/>
    </row>
    <row r="113" spans="13:13">
      <c r="M113" s="67"/>
    </row>
    <row r="114" spans="13:13">
      <c r="M114" s="67"/>
    </row>
    <row r="115" spans="13:13">
      <c r="M115" s="67"/>
    </row>
    <row r="116" spans="13:13">
      <c r="M116" s="67"/>
    </row>
    <row r="117" spans="13:13">
      <c r="M117" s="67"/>
    </row>
    <row r="118" spans="13:13">
      <c r="M118" s="67"/>
    </row>
    <row r="119" spans="13:13">
      <c r="M119" s="67"/>
    </row>
    <row r="120" spans="13:13">
      <c r="M120" s="67"/>
    </row>
    <row r="121" spans="13:13">
      <c r="M121" s="67"/>
    </row>
    <row r="122" spans="13:13">
      <c r="M122" s="67"/>
    </row>
    <row r="123" spans="13:13">
      <c r="M123" s="67"/>
    </row>
    <row r="124" spans="13:13">
      <c r="M124" s="67"/>
    </row>
    <row r="125" spans="13:13">
      <c r="M125" s="67"/>
    </row>
    <row r="126" spans="13:13">
      <c r="M126" s="67"/>
    </row>
    <row r="127" spans="13:13">
      <c r="M127" s="67"/>
    </row>
    <row r="128" spans="13:13">
      <c r="M128" s="67"/>
    </row>
    <row r="129" spans="13:13">
      <c r="M129" s="67"/>
    </row>
    <row r="130" spans="13:13">
      <c r="M130" s="67"/>
    </row>
    <row r="131" spans="13:13">
      <c r="M131" s="67"/>
    </row>
    <row r="132" spans="13:13">
      <c r="M132" s="67"/>
    </row>
    <row r="133" spans="13:13">
      <c r="M133" s="67"/>
    </row>
    <row r="134" spans="13:13">
      <c r="M134" s="67"/>
    </row>
    <row r="135" spans="13:13">
      <c r="M135" s="67"/>
    </row>
    <row r="136" spans="13:13">
      <c r="M136" s="67"/>
    </row>
    <row r="137" spans="13:13">
      <c r="M137" s="67"/>
    </row>
    <row r="138" spans="13:13">
      <c r="M138" s="67"/>
    </row>
    <row r="139" spans="13:13">
      <c r="M139" s="67"/>
    </row>
    <row r="140" spans="13:13">
      <c r="M140" s="67"/>
    </row>
    <row r="141" spans="13:13">
      <c r="M141" s="67"/>
    </row>
    <row r="142" spans="13:13">
      <c r="M142" s="67"/>
    </row>
    <row r="143" spans="13:13">
      <c r="M143" s="67"/>
    </row>
    <row r="144" spans="13:13">
      <c r="M144" s="67"/>
    </row>
    <row r="145" spans="13:13">
      <c r="M145" s="67"/>
    </row>
    <row r="146" spans="13:13">
      <c r="M146" s="67"/>
    </row>
    <row r="147" spans="13:13">
      <c r="M147" s="67"/>
    </row>
    <row r="148" spans="13:13">
      <c r="M148" s="67"/>
    </row>
    <row r="149" spans="13:13">
      <c r="M149" s="67"/>
    </row>
    <row r="150" spans="13:13">
      <c r="M150" s="67"/>
    </row>
    <row r="151" spans="13:13">
      <c r="M151" s="67"/>
    </row>
    <row r="152" spans="13:13">
      <c r="M152" s="67"/>
    </row>
    <row r="153" spans="13:13">
      <c r="M153" s="67"/>
    </row>
    <row r="154" spans="13:13">
      <c r="M154" s="67"/>
    </row>
    <row r="155" spans="13:13">
      <c r="M155" s="67"/>
    </row>
    <row r="156" spans="13:13">
      <c r="M156" s="67"/>
    </row>
    <row r="157" spans="13:13">
      <c r="M157" s="67"/>
    </row>
    <row r="158" spans="13:13">
      <c r="M158" s="67"/>
    </row>
    <row r="159" spans="13:13">
      <c r="M159" s="67"/>
    </row>
    <row r="160" spans="13:13">
      <c r="M160" s="67"/>
    </row>
    <row r="161" spans="13:13">
      <c r="M161" s="67"/>
    </row>
    <row r="162" spans="13:13">
      <c r="M162" s="67"/>
    </row>
    <row r="163" spans="13:13">
      <c r="M163" s="67"/>
    </row>
    <row r="164" spans="13:13">
      <c r="M164" s="67"/>
    </row>
    <row r="165" spans="13:13">
      <c r="M165" s="67"/>
    </row>
    <row r="166" spans="13:13">
      <c r="M166" s="67"/>
    </row>
    <row r="167" spans="13:13">
      <c r="M167" s="67"/>
    </row>
    <row r="168" spans="13:13">
      <c r="M168" s="67"/>
    </row>
    <row r="169" spans="13:13">
      <c r="M169" s="67"/>
    </row>
    <row r="170" spans="13:13">
      <c r="M170" s="67"/>
    </row>
    <row r="171" spans="13:13">
      <c r="M171" s="67"/>
    </row>
    <row r="172" spans="13:13">
      <c r="M172" s="67"/>
    </row>
    <row r="173" spans="13:13">
      <c r="M173" s="67"/>
    </row>
    <row r="174" spans="13:13">
      <c r="M174" s="67"/>
    </row>
    <row r="175" spans="13:13">
      <c r="M175" s="67"/>
    </row>
    <row r="176" spans="13:13">
      <c r="M176" s="67"/>
    </row>
    <row r="177" spans="13:13">
      <c r="M177" s="67"/>
    </row>
    <row r="178" spans="13:13">
      <c r="M178" s="67"/>
    </row>
    <row r="179" spans="13:13">
      <c r="M179" s="67"/>
    </row>
    <row r="180" spans="13:13">
      <c r="M180" s="67"/>
    </row>
    <row r="181" spans="13:13">
      <c r="M181" s="67"/>
    </row>
    <row r="182" spans="13:13">
      <c r="M182" s="67"/>
    </row>
    <row r="183" spans="13:13">
      <c r="M183" s="67"/>
    </row>
    <row r="184" spans="13:13">
      <c r="M184" s="67"/>
    </row>
    <row r="185" spans="13:13">
      <c r="M185" s="67"/>
    </row>
    <row r="186" spans="13:13">
      <c r="M186" s="67"/>
    </row>
    <row r="187" spans="13:13">
      <c r="M187" s="67"/>
    </row>
    <row r="188" spans="13:13">
      <c r="M188" s="67"/>
    </row>
    <row r="189" spans="13:13">
      <c r="M189" s="67"/>
    </row>
    <row r="190" spans="13:13">
      <c r="M190" s="67"/>
    </row>
    <row r="191" spans="13:13">
      <c r="M191" s="67"/>
    </row>
    <row r="192" spans="13:13">
      <c r="M192" s="67"/>
    </row>
    <row r="193" spans="13:13">
      <c r="M193" s="67"/>
    </row>
    <row r="194" spans="13:13">
      <c r="M194" s="67"/>
    </row>
    <row r="195" spans="13:13">
      <c r="M195" s="67"/>
    </row>
    <row r="196" spans="13:13">
      <c r="M196" s="67"/>
    </row>
    <row r="197" spans="13:13">
      <c r="M197" s="67"/>
    </row>
    <row r="198" spans="13:13">
      <c r="M198" s="67"/>
    </row>
    <row r="199" spans="13:13">
      <c r="M199" s="67"/>
    </row>
    <row r="200" spans="13:13">
      <c r="M200" s="67"/>
    </row>
    <row r="201" spans="13:13">
      <c r="M201" s="67"/>
    </row>
    <row r="202" spans="13:13">
      <c r="M202" s="67"/>
    </row>
    <row r="203" spans="13:13">
      <c r="M203" s="67"/>
    </row>
    <row r="204" spans="13:13">
      <c r="M204" s="67"/>
    </row>
    <row r="205" spans="13:13">
      <c r="M205" s="67"/>
    </row>
    <row r="206" spans="13:13">
      <c r="M206" s="67"/>
    </row>
    <row r="207" spans="13:13">
      <c r="M207" s="67"/>
    </row>
    <row r="208" spans="13:13">
      <c r="M208" s="67"/>
    </row>
    <row r="209" spans="13:13">
      <c r="M209" s="67"/>
    </row>
    <row r="210" spans="13:13">
      <c r="M210" s="67"/>
    </row>
    <row r="211" spans="13:13">
      <c r="M211" s="67"/>
    </row>
    <row r="212" spans="13:13">
      <c r="M212" s="67"/>
    </row>
    <row r="213" spans="13:13">
      <c r="M213" s="67"/>
    </row>
    <row r="214" spans="13:13">
      <c r="M214" s="67"/>
    </row>
    <row r="215" spans="13:13">
      <c r="M215" s="67"/>
    </row>
    <row r="216" spans="13:13">
      <c r="M216" s="67"/>
    </row>
    <row r="217" spans="13:13">
      <c r="M217" s="67"/>
    </row>
    <row r="218" spans="13:13">
      <c r="M218" s="67"/>
    </row>
    <row r="219" spans="13:13">
      <c r="M219" s="67"/>
    </row>
    <row r="220" spans="13:13">
      <c r="M220" s="67"/>
    </row>
    <row r="221" spans="13:13">
      <c r="M221" s="67"/>
    </row>
    <row r="222" spans="13:13">
      <c r="M222" s="67"/>
    </row>
    <row r="223" spans="13:13">
      <c r="M223" s="67"/>
    </row>
    <row r="224" spans="13:13">
      <c r="M224" s="67"/>
    </row>
    <row r="225" spans="13:13">
      <c r="M225" s="67"/>
    </row>
    <row r="226" spans="13:13">
      <c r="M226" s="67"/>
    </row>
    <row r="227" spans="13:13">
      <c r="M227" s="67"/>
    </row>
    <row r="228" spans="13:13">
      <c r="M228" s="67"/>
    </row>
    <row r="229" spans="13:13">
      <c r="M229" s="67"/>
    </row>
    <row r="230" spans="13:13">
      <c r="M230" s="67"/>
    </row>
    <row r="231" spans="13:13">
      <c r="M231" s="67"/>
    </row>
    <row r="232" spans="13:13">
      <c r="M232" s="67"/>
    </row>
    <row r="233" spans="13:13">
      <c r="M233" s="67"/>
    </row>
    <row r="234" spans="13:13">
      <c r="M234" s="67"/>
    </row>
    <row r="235" spans="13:13">
      <c r="M235" s="67"/>
    </row>
    <row r="236" spans="13:13">
      <c r="M236" s="67"/>
    </row>
    <row r="237" spans="13:13">
      <c r="M237" s="67"/>
    </row>
    <row r="238" spans="13:13">
      <c r="M238" s="67"/>
    </row>
    <row r="239" spans="13:13">
      <c r="M239" s="67"/>
    </row>
    <row r="240" spans="13:13">
      <c r="M240" s="67"/>
    </row>
    <row r="241" spans="13:13">
      <c r="M241" s="67"/>
    </row>
    <row r="242" spans="13:13">
      <c r="M242" s="67"/>
    </row>
    <row r="243" spans="13:13">
      <c r="M243" s="67"/>
    </row>
    <row r="244" spans="13:13">
      <c r="M244" s="67"/>
    </row>
    <row r="245" spans="13:13">
      <c r="M245" s="67"/>
    </row>
    <row r="246" spans="13:13">
      <c r="M246" s="67"/>
    </row>
    <row r="247" spans="13:13">
      <c r="M247" s="67"/>
    </row>
    <row r="248" spans="13:13">
      <c r="M248" s="67"/>
    </row>
    <row r="249" spans="13:13">
      <c r="M249" s="67"/>
    </row>
    <row r="250" spans="13:13">
      <c r="M250" s="67"/>
    </row>
    <row r="251" spans="13:13">
      <c r="M251" s="67"/>
    </row>
    <row r="252" spans="13:13">
      <c r="M252" s="67"/>
    </row>
    <row r="253" spans="13:13">
      <c r="M253" s="67"/>
    </row>
    <row r="254" spans="13:13">
      <c r="M254" s="67"/>
    </row>
    <row r="255" spans="13:13">
      <c r="M255" s="67"/>
    </row>
    <row r="256" spans="13:13">
      <c r="M256" s="67"/>
    </row>
    <row r="257" spans="13:13">
      <c r="M257" s="67"/>
    </row>
    <row r="258" spans="13:13">
      <c r="M258" s="67"/>
    </row>
    <row r="259" spans="13:13">
      <c r="M259" s="67"/>
    </row>
    <row r="260" spans="13:13">
      <c r="M260" s="67"/>
    </row>
    <row r="261" spans="13:13">
      <c r="M261" s="67"/>
    </row>
    <row r="262" spans="13:13">
      <c r="M262" s="67"/>
    </row>
    <row r="263" spans="13:13">
      <c r="M263" s="67"/>
    </row>
    <row r="264" spans="13:13">
      <c r="M264" s="67"/>
    </row>
    <row r="265" spans="13:13">
      <c r="M265" s="67"/>
    </row>
    <row r="266" spans="13:13">
      <c r="M266" s="67"/>
    </row>
    <row r="267" spans="13:13">
      <c r="M267" s="67"/>
    </row>
    <row r="268" spans="13:13">
      <c r="M268" s="67"/>
    </row>
    <row r="269" spans="13:13">
      <c r="M269" s="67"/>
    </row>
    <row r="270" spans="13:13">
      <c r="M270" s="67"/>
    </row>
    <row r="271" spans="13:13">
      <c r="M271" s="67"/>
    </row>
    <row r="272" spans="13:13">
      <c r="M272" s="67"/>
    </row>
    <row r="273" spans="13:13">
      <c r="M273" s="67"/>
    </row>
    <row r="274" spans="13:13">
      <c r="M274" s="67"/>
    </row>
    <row r="275" spans="13:13">
      <c r="M275" s="67"/>
    </row>
    <row r="276" spans="13:13">
      <c r="M276" s="67"/>
    </row>
    <row r="277" spans="13:13">
      <c r="M277" s="67"/>
    </row>
    <row r="278" spans="13:13">
      <c r="M278" s="67"/>
    </row>
    <row r="279" spans="13:13">
      <c r="M279" s="67"/>
    </row>
    <row r="280" spans="13:13">
      <c r="M280" s="67"/>
    </row>
    <row r="281" spans="13:13">
      <c r="M281" s="67"/>
    </row>
    <row r="282" spans="13:13">
      <c r="M282" s="67"/>
    </row>
    <row r="283" spans="13:13">
      <c r="M283" s="67"/>
    </row>
    <row r="284" spans="13:13">
      <c r="M284" s="67"/>
    </row>
    <row r="285" spans="13:13">
      <c r="M285" s="67"/>
    </row>
    <row r="286" spans="13:13">
      <c r="M286" s="67"/>
    </row>
    <row r="287" spans="13:13">
      <c r="M287" s="67"/>
    </row>
    <row r="288" spans="13:13">
      <c r="M288" s="67"/>
    </row>
    <row r="289" spans="13:13">
      <c r="M289" s="67"/>
    </row>
    <row r="290" spans="13:13">
      <c r="M290" s="67"/>
    </row>
    <row r="291" spans="13:13">
      <c r="M291" s="67"/>
    </row>
    <row r="292" spans="13:13">
      <c r="M292" s="67"/>
    </row>
    <row r="293" spans="13:13">
      <c r="M293" s="67"/>
    </row>
    <row r="294" spans="13:13">
      <c r="M294" s="67"/>
    </row>
    <row r="295" spans="13:13">
      <c r="M295" s="67"/>
    </row>
    <row r="296" spans="13:13">
      <c r="M296" s="67"/>
    </row>
    <row r="297" spans="13:13">
      <c r="M297" s="67"/>
    </row>
    <row r="298" spans="13:13">
      <c r="M298" s="67"/>
    </row>
    <row r="299" spans="13:13">
      <c r="M299" s="67"/>
    </row>
    <row r="300" spans="13:13">
      <c r="M300" s="67"/>
    </row>
    <row r="301" spans="13:13">
      <c r="M301" s="67"/>
    </row>
    <row r="302" spans="13:13">
      <c r="M302" s="67"/>
    </row>
    <row r="303" spans="13:13">
      <c r="M303" s="67"/>
    </row>
    <row r="304" spans="13:13">
      <c r="M304" s="67"/>
    </row>
    <row r="305" spans="13:13">
      <c r="M305" s="67"/>
    </row>
    <row r="306" spans="13:13">
      <c r="M306" s="67"/>
    </row>
    <row r="307" spans="13:13">
      <c r="M307" s="67"/>
    </row>
    <row r="308" spans="13:13">
      <c r="M308" s="67"/>
    </row>
    <row r="309" spans="13:13">
      <c r="M309" s="67"/>
    </row>
    <row r="310" spans="13:13">
      <c r="M310" s="67"/>
    </row>
    <row r="311" spans="13:13">
      <c r="M311" s="67"/>
    </row>
    <row r="312" spans="13:13">
      <c r="M312" s="67"/>
    </row>
    <row r="313" spans="13:13">
      <c r="M313" s="67"/>
    </row>
    <row r="314" spans="13:13">
      <c r="M314" s="67"/>
    </row>
    <row r="315" spans="13:13">
      <c r="M315" s="67"/>
    </row>
    <row r="316" spans="13:13">
      <c r="M316" s="67"/>
    </row>
    <row r="317" spans="13:13">
      <c r="M317" s="67"/>
    </row>
    <row r="318" spans="13:13">
      <c r="M318" s="67"/>
    </row>
    <row r="319" spans="13:13">
      <c r="M319" s="67"/>
    </row>
    <row r="320" spans="13:13">
      <c r="M320" s="67"/>
    </row>
    <row r="321" spans="13:13">
      <c r="M321" s="67"/>
    </row>
    <row r="322" spans="13:13">
      <c r="M322" s="67"/>
    </row>
    <row r="323" spans="13:13">
      <c r="M323" s="67"/>
    </row>
    <row r="324" spans="13:13">
      <c r="M324" s="67"/>
    </row>
    <row r="325" spans="13:13">
      <c r="M325" s="67"/>
    </row>
    <row r="326" spans="13:13">
      <c r="M326" s="67"/>
    </row>
    <row r="327" spans="13:13">
      <c r="M327" s="67"/>
    </row>
    <row r="328" spans="13:13">
      <c r="M328" s="67"/>
    </row>
    <row r="329" spans="13:13">
      <c r="M329" s="67"/>
    </row>
    <row r="330" spans="13:13">
      <c r="M330" s="67"/>
    </row>
    <row r="331" spans="13:13">
      <c r="M331" s="67"/>
    </row>
    <row r="332" spans="13:13">
      <c r="M332" s="67"/>
    </row>
    <row r="333" spans="13:13">
      <c r="M333" s="67"/>
    </row>
    <row r="334" spans="13:13">
      <c r="M334" s="67"/>
    </row>
    <row r="335" spans="13:13">
      <c r="M335" s="67"/>
    </row>
    <row r="336" spans="13:13">
      <c r="M336" s="67"/>
    </row>
    <row r="337" spans="13:13">
      <c r="M337" s="67"/>
    </row>
    <row r="338" spans="13:13">
      <c r="M338" s="67"/>
    </row>
    <row r="339" spans="13:13">
      <c r="M339" s="67"/>
    </row>
    <row r="340" spans="13:13">
      <c r="M340" s="67"/>
    </row>
    <row r="341" spans="13:13">
      <c r="M341" s="67"/>
    </row>
    <row r="342" spans="13:13">
      <c r="M342" s="67"/>
    </row>
    <row r="343" spans="13:13">
      <c r="M343" s="67"/>
    </row>
    <row r="344" spans="13:13">
      <c r="M344" s="67"/>
    </row>
    <row r="345" spans="13:13">
      <c r="M345" s="67"/>
    </row>
    <row r="346" spans="13:13">
      <c r="M346" s="67"/>
    </row>
    <row r="347" spans="13:13">
      <c r="M347" s="67"/>
    </row>
    <row r="348" spans="13:13">
      <c r="M348" s="67"/>
    </row>
    <row r="349" spans="13:13">
      <c r="M349" s="67"/>
    </row>
    <row r="350" spans="13:13">
      <c r="M350" s="67"/>
    </row>
    <row r="351" spans="13:13">
      <c r="M351" s="67"/>
    </row>
    <row r="352" spans="13:13">
      <c r="M352" s="67"/>
    </row>
    <row r="353" spans="13:13">
      <c r="M353" s="67"/>
    </row>
    <row r="354" spans="13:13">
      <c r="M354" s="67"/>
    </row>
    <row r="355" spans="13:13">
      <c r="M355" s="67"/>
    </row>
    <row r="356" spans="13:13">
      <c r="M356" s="67"/>
    </row>
    <row r="357" spans="13:13">
      <c r="M357" s="67"/>
    </row>
    <row r="358" spans="13:13">
      <c r="M358" s="67"/>
    </row>
    <row r="359" spans="13:13">
      <c r="M359" s="67"/>
    </row>
    <row r="360" spans="13:13">
      <c r="M360" s="67"/>
    </row>
    <row r="361" spans="13:13">
      <c r="M361" s="67"/>
    </row>
    <row r="362" spans="13:13">
      <c r="M362" s="67"/>
    </row>
    <row r="363" spans="13:13">
      <c r="M363" s="67"/>
    </row>
    <row r="364" spans="13:13">
      <c r="M364" s="67"/>
    </row>
    <row r="365" spans="13:13">
      <c r="M365" s="67"/>
    </row>
    <row r="366" spans="13:13">
      <c r="M366" s="67"/>
    </row>
    <row r="367" spans="13:13">
      <c r="M367" s="67"/>
    </row>
    <row r="368" spans="13:13">
      <c r="M368" s="67"/>
    </row>
    <row r="369" spans="13:13">
      <c r="M369" s="67"/>
    </row>
    <row r="370" spans="13:13">
      <c r="M370" s="67"/>
    </row>
    <row r="371" spans="13:13">
      <c r="M371" s="67"/>
    </row>
    <row r="372" spans="13:13">
      <c r="M372" s="67"/>
    </row>
    <row r="373" spans="13:13">
      <c r="M373" s="67"/>
    </row>
    <row r="374" spans="13:13">
      <c r="M374" s="67"/>
    </row>
    <row r="375" spans="13:13">
      <c r="M375" s="67"/>
    </row>
    <row r="376" spans="13:13">
      <c r="M376" s="67"/>
    </row>
    <row r="377" spans="13:13">
      <c r="M377" s="67"/>
    </row>
    <row r="378" spans="13:13">
      <c r="M378" s="67"/>
    </row>
    <row r="379" spans="13:13">
      <c r="M379" s="67"/>
    </row>
    <row r="380" spans="13:13">
      <c r="M380" s="67"/>
    </row>
    <row r="381" spans="13:13">
      <c r="M381" s="67"/>
    </row>
    <row r="382" spans="13:13">
      <c r="M382" s="67"/>
    </row>
    <row r="383" spans="13:13">
      <c r="M383" s="67"/>
    </row>
    <row r="384" spans="13:13">
      <c r="M384" s="67"/>
    </row>
    <row r="385" spans="13:13">
      <c r="M385" s="67"/>
    </row>
    <row r="386" spans="13:13">
      <c r="M386" s="67"/>
    </row>
    <row r="387" spans="13:13">
      <c r="M387" s="67"/>
    </row>
    <row r="388" spans="13:13">
      <c r="M388" s="67"/>
    </row>
    <row r="389" spans="13:13">
      <c r="M389" s="67"/>
    </row>
    <row r="390" spans="13:13">
      <c r="M390" s="67"/>
    </row>
    <row r="391" spans="13:13">
      <c r="M391" s="67"/>
    </row>
    <row r="392" spans="13:13">
      <c r="M392" s="67"/>
    </row>
    <row r="393" spans="13:13">
      <c r="M393" s="67"/>
    </row>
    <row r="394" spans="13:13">
      <c r="M394" s="67"/>
    </row>
    <row r="395" spans="13:13">
      <c r="M395" s="67"/>
    </row>
    <row r="396" spans="13:13">
      <c r="M396" s="67"/>
    </row>
    <row r="397" spans="13:13">
      <c r="M397" s="67"/>
    </row>
    <row r="398" spans="13:13">
      <c r="M398" s="67"/>
    </row>
    <row r="399" spans="13:13">
      <c r="M399" s="67"/>
    </row>
    <row r="400" spans="13:13">
      <c r="M400" s="67"/>
    </row>
    <row r="401" spans="13:13">
      <c r="M401" s="67"/>
    </row>
    <row r="402" spans="13:13">
      <c r="M402" s="67"/>
    </row>
    <row r="403" spans="13:13">
      <c r="M403" s="67"/>
    </row>
    <row r="404" spans="13:13">
      <c r="M404" s="67"/>
    </row>
    <row r="405" spans="13:13">
      <c r="M405" s="67"/>
    </row>
    <row r="406" spans="13:13">
      <c r="M406" s="67"/>
    </row>
    <row r="407" spans="13:13">
      <c r="M407" s="67"/>
    </row>
    <row r="408" spans="13:13">
      <c r="M408" s="67"/>
    </row>
    <row r="409" spans="13:13">
      <c r="M409" s="67"/>
    </row>
    <row r="410" spans="13:13">
      <c r="M410" s="67"/>
    </row>
    <row r="411" spans="13:13">
      <c r="M411" s="67"/>
    </row>
    <row r="412" spans="13:13">
      <c r="M412" s="67"/>
    </row>
    <row r="413" spans="13:13">
      <c r="M413" s="67"/>
    </row>
    <row r="414" spans="13:13">
      <c r="M414" s="67"/>
    </row>
    <row r="415" spans="13:13">
      <c r="M415" s="67"/>
    </row>
    <row r="416" spans="13:13">
      <c r="M416" s="67"/>
    </row>
    <row r="417" spans="13:13">
      <c r="M417" s="67"/>
    </row>
    <row r="418" spans="13:13">
      <c r="M418" s="67"/>
    </row>
    <row r="419" spans="13:13">
      <c r="M419" s="67"/>
    </row>
    <row r="420" spans="13:13">
      <c r="M420" s="67"/>
    </row>
    <row r="421" spans="13:13">
      <c r="M421" s="67"/>
    </row>
    <row r="422" spans="13:13">
      <c r="M422" s="67"/>
    </row>
    <row r="423" spans="13:13">
      <c r="M423" s="67"/>
    </row>
    <row r="424" spans="13:13">
      <c r="M424" s="67"/>
    </row>
    <row r="425" spans="13:13">
      <c r="M425" s="67"/>
    </row>
    <row r="426" spans="13:13">
      <c r="M426" s="67"/>
    </row>
    <row r="427" spans="13:13">
      <c r="M427" s="67"/>
    </row>
    <row r="428" spans="13:13">
      <c r="M428" s="67"/>
    </row>
    <row r="429" spans="13:13">
      <c r="M429" s="67"/>
    </row>
    <row r="430" spans="13:13">
      <c r="M430" s="67"/>
    </row>
    <row r="431" spans="13:13">
      <c r="M431" s="67"/>
    </row>
    <row r="432" spans="13:13">
      <c r="M432" s="67"/>
    </row>
    <row r="433" spans="13:13">
      <c r="M433" s="67"/>
    </row>
    <row r="434" spans="13:13">
      <c r="M434" s="67"/>
    </row>
    <row r="435" spans="13:13">
      <c r="M435" s="67"/>
    </row>
    <row r="436" spans="13:13">
      <c r="M436" s="67"/>
    </row>
    <row r="437" spans="13:13">
      <c r="M437" s="67"/>
    </row>
    <row r="438" spans="13:13">
      <c r="M438" s="67"/>
    </row>
    <row r="439" spans="13:13">
      <c r="M439" s="67"/>
    </row>
    <row r="440" spans="13:13">
      <c r="M440" s="67"/>
    </row>
    <row r="441" spans="13:13">
      <c r="M441" s="67"/>
    </row>
    <row r="442" spans="13:13">
      <c r="M442" s="67"/>
    </row>
    <row r="443" spans="13:13">
      <c r="M443" s="67"/>
    </row>
    <row r="444" spans="13:13">
      <c r="M444" s="67"/>
    </row>
    <row r="445" spans="13:13">
      <c r="M445" s="67"/>
    </row>
    <row r="446" spans="13:13">
      <c r="M446" s="67"/>
    </row>
    <row r="447" spans="13:13">
      <c r="M447" s="67"/>
    </row>
    <row r="448" spans="13:13">
      <c r="M448" s="67"/>
    </row>
    <row r="449" spans="13:13">
      <c r="M449" s="67"/>
    </row>
    <row r="450" spans="13:13">
      <c r="M450" s="67"/>
    </row>
    <row r="451" spans="13:13">
      <c r="M451" s="67"/>
    </row>
    <row r="452" spans="13:13">
      <c r="M452" s="67"/>
    </row>
    <row r="453" spans="13:13">
      <c r="M453" s="67"/>
    </row>
    <row r="454" spans="13:13">
      <c r="M454" s="67"/>
    </row>
    <row r="455" spans="13:13">
      <c r="M455" s="67"/>
    </row>
    <row r="456" spans="13:13">
      <c r="M456" s="67"/>
    </row>
    <row r="457" spans="13:13">
      <c r="M457" s="67"/>
    </row>
    <row r="458" spans="13:13">
      <c r="M458" s="67"/>
    </row>
    <row r="459" spans="13:13">
      <c r="M459" s="67"/>
    </row>
    <row r="460" spans="13:13">
      <c r="M460" s="67"/>
    </row>
    <row r="461" spans="13:13">
      <c r="M461" s="67"/>
    </row>
    <row r="462" spans="13:13">
      <c r="M462" s="67"/>
    </row>
    <row r="463" spans="13:13">
      <c r="M463" s="67"/>
    </row>
    <row r="464" spans="13:13">
      <c r="M464" s="67"/>
    </row>
    <row r="465" spans="13:13">
      <c r="M465" s="67"/>
    </row>
    <row r="466" spans="13:13">
      <c r="M466" s="67"/>
    </row>
    <row r="467" spans="13:13">
      <c r="M467" s="67"/>
    </row>
    <row r="468" spans="13:13">
      <c r="M468" s="67"/>
    </row>
    <row r="469" spans="13:13">
      <c r="M469" s="67"/>
    </row>
    <row r="470" spans="13:13">
      <c r="M470" s="67"/>
    </row>
    <row r="471" spans="13:13">
      <c r="M471" s="67"/>
    </row>
    <row r="472" spans="13:13">
      <c r="M472" s="67"/>
    </row>
    <row r="473" spans="13:13">
      <c r="M473" s="67"/>
    </row>
    <row r="474" spans="13:13">
      <c r="M474" s="67"/>
    </row>
    <row r="475" spans="13:13">
      <c r="M475" s="67"/>
    </row>
    <row r="476" spans="13:13">
      <c r="M476" s="67"/>
    </row>
    <row r="477" spans="13:13">
      <c r="M477" s="67"/>
    </row>
    <row r="478" spans="13:13">
      <c r="M478" s="67"/>
    </row>
    <row r="479" spans="13:13">
      <c r="M479" s="67"/>
    </row>
    <row r="480" spans="13:13">
      <c r="M480" s="67"/>
    </row>
    <row r="481" spans="13:13">
      <c r="M481" s="67"/>
    </row>
    <row r="482" spans="13:13">
      <c r="M482" s="67"/>
    </row>
    <row r="483" spans="13:13">
      <c r="M483" s="67"/>
    </row>
    <row r="484" spans="13:13">
      <c r="M484" s="67"/>
    </row>
    <row r="485" spans="13:13">
      <c r="M485" s="67"/>
    </row>
    <row r="486" spans="13:13">
      <c r="M486" s="67"/>
    </row>
    <row r="487" spans="13:13">
      <c r="M487" s="67"/>
    </row>
    <row r="488" spans="13:13">
      <c r="M488" s="67"/>
    </row>
    <row r="489" spans="13:13">
      <c r="M489" s="67"/>
    </row>
    <row r="490" spans="13:13">
      <c r="M490" s="67"/>
    </row>
    <row r="491" spans="13:13">
      <c r="M491" s="67"/>
    </row>
    <row r="492" spans="13:13">
      <c r="M492" s="67"/>
    </row>
    <row r="493" spans="13:13">
      <c r="M493" s="67"/>
    </row>
    <row r="494" spans="13:13">
      <c r="M494" s="67"/>
    </row>
    <row r="495" spans="13:13">
      <c r="M495" s="67"/>
    </row>
    <row r="496" spans="13:13">
      <c r="M496" s="67"/>
    </row>
    <row r="497" spans="13:13">
      <c r="M497" s="67"/>
    </row>
    <row r="498" spans="13:13">
      <c r="M498" s="67"/>
    </row>
    <row r="499" spans="13:13">
      <c r="M499" s="67"/>
    </row>
    <row r="500" spans="13:13">
      <c r="M500" s="67"/>
    </row>
    <row r="501" spans="13:13">
      <c r="M501" s="67"/>
    </row>
    <row r="502" spans="13:13">
      <c r="M502" s="67"/>
    </row>
    <row r="503" spans="13:13">
      <c r="M503" s="67"/>
    </row>
    <row r="504" spans="13:13">
      <c r="M504" s="67"/>
    </row>
    <row r="505" spans="13:13">
      <c r="M505" s="67"/>
    </row>
    <row r="506" spans="13:13">
      <c r="M506" s="67"/>
    </row>
    <row r="507" spans="13:13">
      <c r="M507" s="67"/>
    </row>
    <row r="508" spans="13:13">
      <c r="M508" s="67"/>
    </row>
    <row r="509" spans="13:13">
      <c r="M509" s="67"/>
    </row>
    <row r="510" spans="13:13">
      <c r="M510" s="67"/>
    </row>
    <row r="511" spans="13:13">
      <c r="M511" s="67"/>
    </row>
    <row r="512" spans="13:13">
      <c r="M512" s="67"/>
    </row>
    <row r="513" spans="13:13">
      <c r="M513" s="67"/>
    </row>
    <row r="514" spans="13:13">
      <c r="M514" s="67"/>
    </row>
    <row r="515" spans="13:13">
      <c r="M515" s="67"/>
    </row>
    <row r="516" spans="13:13">
      <c r="M516" s="67"/>
    </row>
    <row r="517" spans="13:13">
      <c r="M517" s="67"/>
    </row>
    <row r="518" spans="13:13">
      <c r="M518" s="67"/>
    </row>
    <row r="519" spans="13:13">
      <c r="M519" s="67"/>
    </row>
    <row r="520" spans="13:13">
      <c r="M520" s="67"/>
    </row>
    <row r="521" spans="13:13">
      <c r="M521" s="67"/>
    </row>
    <row r="522" spans="13:13">
      <c r="M522" s="67"/>
    </row>
    <row r="523" spans="13:13">
      <c r="M523" s="67"/>
    </row>
    <row r="524" spans="13:13">
      <c r="M524" s="67"/>
    </row>
    <row r="525" spans="13:13">
      <c r="M525" s="67"/>
    </row>
    <row r="526" spans="13:13">
      <c r="M526" s="67"/>
    </row>
    <row r="527" spans="13:13">
      <c r="M527" s="67"/>
    </row>
    <row r="528" spans="13:13">
      <c r="M528" s="67"/>
    </row>
    <row r="529" spans="13:13">
      <c r="M529" s="67"/>
    </row>
    <row r="530" spans="13:13">
      <c r="M530" s="67"/>
    </row>
    <row r="531" spans="13:13">
      <c r="M531" s="67"/>
    </row>
    <row r="532" spans="13:13">
      <c r="M532" s="67"/>
    </row>
    <row r="533" spans="13:13">
      <c r="M533" s="67"/>
    </row>
    <row r="534" spans="13:13">
      <c r="M534" s="67"/>
    </row>
    <row r="535" spans="13:13">
      <c r="M535" s="67"/>
    </row>
    <row r="536" spans="13:13">
      <c r="M536" s="67"/>
    </row>
    <row r="537" spans="13:13">
      <c r="M537" s="67"/>
    </row>
    <row r="538" spans="13:13">
      <c r="M538" s="67"/>
    </row>
    <row r="539" spans="13:13">
      <c r="M539" s="67"/>
    </row>
    <row r="540" spans="13:13">
      <c r="M540" s="67"/>
    </row>
    <row r="541" spans="13:13">
      <c r="M541" s="67"/>
    </row>
    <row r="542" spans="13:13">
      <c r="M542" s="67"/>
    </row>
    <row r="543" spans="13:13">
      <c r="M543" s="67"/>
    </row>
    <row r="544" spans="13:13">
      <c r="M544" s="67"/>
    </row>
    <row r="545" spans="13:13">
      <c r="M545" s="67"/>
    </row>
    <row r="546" spans="13:13">
      <c r="M546" s="67"/>
    </row>
    <row r="547" spans="13:13">
      <c r="M547" s="67"/>
    </row>
    <row r="548" spans="13:13">
      <c r="M548" s="67"/>
    </row>
    <row r="549" spans="13:13">
      <c r="M549" s="67"/>
    </row>
    <row r="550" spans="13:13">
      <c r="M550" s="67"/>
    </row>
    <row r="551" spans="13:13">
      <c r="M551" s="67"/>
    </row>
    <row r="552" spans="13:13">
      <c r="M552" s="67"/>
    </row>
    <row r="553" spans="13:13">
      <c r="M553" s="67"/>
    </row>
    <row r="554" spans="13:13">
      <c r="M554" s="67"/>
    </row>
    <row r="555" spans="13:13">
      <c r="M555" s="67"/>
    </row>
    <row r="556" spans="13:13">
      <c r="M556" s="67"/>
    </row>
    <row r="557" spans="13:13">
      <c r="M557" s="67"/>
    </row>
    <row r="558" spans="13:13">
      <c r="M558" s="67"/>
    </row>
    <row r="559" spans="13:13">
      <c r="M559" s="67"/>
    </row>
    <row r="560" spans="13:13">
      <c r="M560" s="67"/>
    </row>
    <row r="561" spans="13:13">
      <c r="M561" s="67"/>
    </row>
    <row r="562" spans="13:13">
      <c r="M562" s="67"/>
    </row>
    <row r="563" spans="13:13">
      <c r="M563" s="67"/>
    </row>
    <row r="564" spans="13:13">
      <c r="M564" s="67"/>
    </row>
    <row r="565" spans="13:13">
      <c r="M565" s="67"/>
    </row>
    <row r="566" spans="13:13">
      <c r="M566" s="67"/>
    </row>
    <row r="567" spans="13:13">
      <c r="M567" s="67"/>
    </row>
    <row r="568" spans="13:13">
      <c r="M568" s="67"/>
    </row>
    <row r="569" spans="13:13">
      <c r="M569" s="67"/>
    </row>
    <row r="570" spans="13:13">
      <c r="M570" s="67"/>
    </row>
    <row r="571" spans="13:13">
      <c r="M571" s="67"/>
    </row>
    <row r="572" spans="13:13">
      <c r="M572" s="67"/>
    </row>
    <row r="573" spans="13:13">
      <c r="M573" s="67"/>
    </row>
    <row r="574" spans="13:13">
      <c r="M574" s="67"/>
    </row>
    <row r="575" spans="13:13">
      <c r="M575" s="67"/>
    </row>
    <row r="576" spans="13:13">
      <c r="M576" s="67"/>
    </row>
    <row r="577" spans="13:13">
      <c r="M577" s="67"/>
    </row>
    <row r="578" spans="13:13">
      <c r="M578" s="67"/>
    </row>
    <row r="579" spans="13:13">
      <c r="M579" s="67"/>
    </row>
    <row r="580" spans="13:13">
      <c r="M580" s="67"/>
    </row>
    <row r="581" spans="13:13">
      <c r="M581" s="67"/>
    </row>
    <row r="582" spans="13:13">
      <c r="M582" s="67"/>
    </row>
    <row r="583" spans="13:13">
      <c r="M583" s="67"/>
    </row>
    <row r="584" spans="13:13">
      <c r="M584" s="67"/>
    </row>
    <row r="585" spans="13:13">
      <c r="M585" s="67"/>
    </row>
    <row r="586" spans="13:13">
      <c r="M586" s="67"/>
    </row>
    <row r="587" spans="13:13">
      <c r="M587" s="67"/>
    </row>
    <row r="588" spans="13:13">
      <c r="M588" s="67"/>
    </row>
    <row r="589" spans="13:13">
      <c r="M589" s="67"/>
    </row>
    <row r="590" spans="13:13">
      <c r="M590" s="67"/>
    </row>
    <row r="591" spans="13:13">
      <c r="M591" s="67"/>
    </row>
  </sheetData>
  <dataValidations count="1">
    <dataValidation type="list" allowBlank="1" showInputMessage="1" showErrorMessage="1" sqref="C4" xr:uid="{00000000-0002-0000-0900-000000000000}">
      <formula1>"Process-outsourced,Process-Inhouse,Surface Protection"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BA120"/>
  <sheetViews>
    <sheetView showGridLines="0" topLeftCell="A10" zoomScale="70" zoomScaleNormal="70" workbookViewId="0">
      <selection activeCell="W12" sqref="W12"/>
    </sheetView>
  </sheetViews>
  <sheetFormatPr defaultColWidth="9.140625" defaultRowHeight="15"/>
  <cols>
    <col min="1" max="1" width="7.7109375" style="264" bestFit="1" customWidth="1"/>
    <col min="2" max="2" width="9.7109375" style="264" hidden="1" customWidth="1"/>
    <col min="3" max="3" width="7.7109375" style="264" customWidth="1"/>
    <col min="4" max="4" width="12.7109375" style="264" bestFit="1" customWidth="1"/>
    <col min="5" max="5" width="7.7109375" style="264" customWidth="1"/>
    <col min="6" max="6" width="14.28515625" style="265" bestFit="1" customWidth="1"/>
    <col min="7" max="7" width="10.28515625" style="265" bestFit="1" customWidth="1"/>
    <col min="8" max="8" width="25.7109375" style="264" bestFit="1" customWidth="1"/>
    <col min="9" max="9" width="12.7109375" style="265" bestFit="1" customWidth="1"/>
    <col min="10" max="10" width="16.28515625" style="265" bestFit="1" customWidth="1"/>
    <col min="11" max="11" width="11" style="266" bestFit="1" customWidth="1"/>
    <col min="12" max="12" width="13.28515625" style="266" bestFit="1" customWidth="1"/>
    <col min="13" max="13" width="19" style="267" bestFit="1" customWidth="1"/>
    <col min="14" max="14" width="17.85546875" style="268" bestFit="1" customWidth="1"/>
    <col min="15" max="15" width="16" style="268" bestFit="1" customWidth="1"/>
    <col min="16" max="16" width="25.5703125" style="268" bestFit="1" customWidth="1"/>
    <col min="17" max="17" width="29" style="268" bestFit="1" customWidth="1"/>
    <col min="18" max="18" width="15" style="267" bestFit="1" customWidth="1"/>
    <col min="19" max="19" width="19.42578125" style="267" bestFit="1" customWidth="1"/>
    <col min="20" max="20" width="16.85546875" style="265" bestFit="1" customWidth="1"/>
    <col min="21" max="21" width="24.28515625" style="265" bestFit="1" customWidth="1"/>
    <col min="22" max="22" width="16.28515625" style="265" bestFit="1" customWidth="1"/>
    <col min="23" max="23" width="13.7109375" style="265" bestFit="1" customWidth="1"/>
    <col min="24" max="24" width="15" style="264" bestFit="1" customWidth="1"/>
    <col min="25" max="25" width="15.5703125" style="265" bestFit="1" customWidth="1"/>
    <col min="26" max="26" width="20.5703125" style="265" bestFit="1" customWidth="1"/>
    <col min="27" max="27" width="20" style="264" bestFit="1" customWidth="1"/>
    <col min="28" max="28" width="18.28515625" style="264" bestFit="1" customWidth="1"/>
    <col min="29" max="29" width="20.140625" style="264" hidden="1" customWidth="1"/>
    <col min="30" max="30" width="11.42578125" style="264" hidden="1" customWidth="1"/>
    <col min="31" max="31" width="11.7109375" style="264" hidden="1" customWidth="1"/>
    <col min="32" max="32" width="12.42578125" style="264" hidden="1" customWidth="1"/>
    <col min="33" max="33" width="14.42578125" style="264" hidden="1" customWidth="1"/>
    <col min="34" max="34" width="13.42578125" style="264" hidden="1" customWidth="1"/>
    <col min="35" max="35" width="12.85546875" style="264" hidden="1" customWidth="1"/>
    <col min="36" max="36" width="13.28515625" style="264" bestFit="1" customWidth="1"/>
    <col min="37" max="37" width="18.28515625" style="264" bestFit="1" customWidth="1"/>
    <col min="38" max="38" width="22.85546875" style="264" bestFit="1" customWidth="1"/>
    <col min="39" max="39" width="17.7109375" style="264" bestFit="1" customWidth="1"/>
    <col min="40" max="40" width="20.140625" style="264" bestFit="1" customWidth="1"/>
    <col min="41" max="41" width="31.5703125" style="264" bestFit="1" customWidth="1"/>
    <col min="42" max="42" width="16.28515625" style="264" bestFit="1" customWidth="1"/>
    <col min="43" max="43" width="4.5703125" style="264" bestFit="1" customWidth="1"/>
    <col min="44" max="44" width="7" style="264" bestFit="1" customWidth="1"/>
    <col min="45" max="45" width="4.7109375" style="264" bestFit="1" customWidth="1"/>
    <col min="46" max="46" width="9.28515625" style="264" bestFit="1" customWidth="1"/>
  </cols>
  <sheetData>
    <row r="1" spans="1:46" hidden="1">
      <c r="A1" s="692">
        <v>1</v>
      </c>
      <c r="I1" s="657"/>
    </row>
    <row r="2" spans="1:46" hidden="1">
      <c r="I2" s="657"/>
    </row>
    <row r="3" spans="1:46" hidden="1">
      <c r="I3" s="657"/>
    </row>
    <row r="4" spans="1:46" hidden="1">
      <c r="I4" s="657"/>
    </row>
    <row r="5" spans="1:46" hidden="1">
      <c r="I5" s="657"/>
    </row>
    <row r="6" spans="1:46" hidden="1">
      <c r="I6" s="657"/>
    </row>
    <row r="7" spans="1:46" hidden="1">
      <c r="I7" s="657"/>
    </row>
    <row r="8" spans="1:46" hidden="1">
      <c r="I8" s="657"/>
    </row>
    <row r="9" spans="1:46" hidden="1">
      <c r="I9" s="657"/>
    </row>
    <row r="10" spans="1:46">
      <c r="I10" s="658"/>
      <c r="J10" s="265" t="s">
        <v>319</v>
      </c>
    </row>
    <row r="11" spans="1:46">
      <c r="AD11" s="316">
        <v>2.2499999999999999E-2</v>
      </c>
      <c r="AE11" s="317">
        <v>0.05</v>
      </c>
      <c r="AF11" s="317">
        <v>7.0000000000000007E-2</v>
      </c>
      <c r="AG11" s="317">
        <v>7.0000000000000007E-2</v>
      </c>
      <c r="AH11" s="317">
        <v>0.02</v>
      </c>
    </row>
    <row r="12" spans="1:46" s="631" customFormat="1" ht="31.5">
      <c r="A12" s="629" t="s">
        <v>317</v>
      </c>
      <c r="B12" s="629" t="s">
        <v>29</v>
      </c>
      <c r="C12" s="629" t="s">
        <v>30</v>
      </c>
      <c r="D12" s="629" t="s">
        <v>207</v>
      </c>
      <c r="E12" s="629" t="s">
        <v>32</v>
      </c>
      <c r="F12" s="630" t="s">
        <v>208</v>
      </c>
      <c r="G12" s="629" t="s">
        <v>320</v>
      </c>
      <c r="H12" s="629" t="s">
        <v>132</v>
      </c>
      <c r="I12" s="629" t="s">
        <v>321</v>
      </c>
      <c r="J12" s="629" t="s">
        <v>322</v>
      </c>
      <c r="K12" s="629" t="s">
        <v>323</v>
      </c>
      <c r="L12" s="630" t="s">
        <v>324</v>
      </c>
      <c r="M12" s="629" t="s">
        <v>325</v>
      </c>
      <c r="N12" s="629" t="s">
        <v>326</v>
      </c>
      <c r="O12" s="629" t="s">
        <v>327</v>
      </c>
      <c r="P12" s="629" t="s">
        <v>328</v>
      </c>
      <c r="Q12" s="629" t="s">
        <v>329</v>
      </c>
      <c r="R12" s="630" t="s">
        <v>330</v>
      </c>
      <c r="S12" s="629" t="s">
        <v>331</v>
      </c>
      <c r="T12" s="629" t="s">
        <v>332</v>
      </c>
      <c r="U12" s="629" t="s">
        <v>333</v>
      </c>
      <c r="V12" s="629" t="s">
        <v>334</v>
      </c>
      <c r="W12" s="629" t="str">
        <f>IF(E13="","","Yarn")</f>
        <v/>
      </c>
      <c r="X12" s="630" t="s">
        <v>335</v>
      </c>
      <c r="Y12" s="629" t="s">
        <v>336</v>
      </c>
      <c r="Z12" s="629" t="s">
        <v>337</v>
      </c>
      <c r="AA12" s="629" t="s">
        <v>14</v>
      </c>
      <c r="AB12" s="629" t="s">
        <v>338</v>
      </c>
      <c r="AC12" s="629" t="s">
        <v>18</v>
      </c>
      <c r="AD12" s="630" t="s">
        <v>51</v>
      </c>
      <c r="AE12" s="629" t="s">
        <v>65</v>
      </c>
      <c r="AF12" s="629" t="s">
        <v>67</v>
      </c>
      <c r="AG12" s="629" t="s">
        <v>68</v>
      </c>
      <c r="AH12" s="629" t="s">
        <v>69</v>
      </c>
      <c r="AI12" s="629" t="s">
        <v>339</v>
      </c>
    </row>
    <row r="13" spans="1:46" s="628" customFormat="1" ht="15.75">
      <c r="A13" s="618">
        <v>1</v>
      </c>
      <c r="B13" s="619" t="str">
        <f>_xlfn.IFNA(VLOOKUP(D13,Group!$AM$1:$AO$10000,3,0),"")</f>
        <v>MB512123</v>
      </c>
      <c r="C13" s="618">
        <f>_xlfn.IFNA(VLOOKUP(D13,Group!$AM$1:$AO$10000,2,0),"")</f>
        <v>0</v>
      </c>
      <c r="D13" s="619">
        <f>Group!Q2</f>
        <v>0</v>
      </c>
      <c r="E13" s="618" t="str">
        <f>_xlfn.IFNA(VLOOKUP(D13,BOM!$D$1:$F$10000,2,0),"")</f>
        <v/>
      </c>
      <c r="F13" s="619" t="str">
        <f>_xlfn.IFNA(VLOOKUP(D13,BOM!$D$1:$F$10000,3,0),"")</f>
        <v/>
      </c>
      <c r="G13" s="656"/>
      <c r="H13" s="620"/>
      <c r="I13" s="621"/>
      <c r="J13" s="621"/>
      <c r="K13" s="622">
        <f>I13+(2*J13)</f>
        <v>0</v>
      </c>
      <c r="L13" s="621"/>
      <c r="M13" s="622">
        <f>IF(G13="BH",60,10)</f>
        <v>10</v>
      </c>
      <c r="N13" s="622">
        <f>SUM(L13:M13)</f>
        <v>10</v>
      </c>
      <c r="O13" s="623">
        <f>(PI()*N13*(((K13/2)^2)-((I13/2)^2)))/1000</f>
        <v>0</v>
      </c>
      <c r="P13" s="622">
        <v>1.25</v>
      </c>
      <c r="Q13" s="622">
        <v>1.2</v>
      </c>
      <c r="R13" s="624"/>
      <c r="S13" s="625">
        <f>(O13*P13)/1000</f>
        <v>0</v>
      </c>
      <c r="T13" s="626">
        <f>(2*PI()*(((I13/2)+((K13-I13)/4))*N13*0.8*0.7*R13*Q13))/10^6</f>
        <v>0</v>
      </c>
      <c r="U13" s="626">
        <f>S13-T13</f>
        <v>0</v>
      </c>
      <c r="V13" s="627" t="e">
        <f>VLOOKUP($H13,'RM Base'!D:E,2,0)</f>
        <v>#N/A</v>
      </c>
      <c r="W13" s="627" t="e">
        <f>VLOOKUP($W$12,'RM Base'!D:E,2,0)</f>
        <v>#N/A</v>
      </c>
      <c r="X13" s="622" t="e">
        <f>U13*V13</f>
        <v>#N/A</v>
      </c>
      <c r="Y13" s="622" t="e">
        <f>T13*W13</f>
        <v>#N/A</v>
      </c>
      <c r="Z13" s="622" t="e">
        <f>SUM(X13+Y13)</f>
        <v>#N/A</v>
      </c>
      <c r="AA13" s="622" t="e">
        <f>Z13*(L13/(L13+M13))</f>
        <v>#N/A</v>
      </c>
      <c r="AB13" s="622" t="e">
        <f>Z13-AA13</f>
        <v>#N/A</v>
      </c>
      <c r="AC13" s="622">
        <f>VLOOKUP(D13,Hose_Process!A:J,10,0)</f>
        <v>6.2077777777777774</v>
      </c>
      <c r="AD13" s="622"/>
      <c r="AE13" s="622">
        <f>AC13*$AE$11</f>
        <v>0.31038888888888888</v>
      </c>
      <c r="AF13" s="622" t="e">
        <f>Z13*$AF$11</f>
        <v>#N/A</v>
      </c>
      <c r="AG13" s="622">
        <f>AC13*$AG$11</f>
        <v>0.43454444444444446</v>
      </c>
      <c r="AH13" s="622"/>
      <c r="AI13" s="622" t="e">
        <f>SUM(AA13:AH13)</f>
        <v>#N/A</v>
      </c>
    </row>
    <row r="14" spans="1:46" s="628" customFormat="1" ht="15.75">
      <c r="A14" s="618">
        <v>2</v>
      </c>
      <c r="B14" s="619" t="str">
        <f>_xlfn.IFNA(VLOOKUP(D14,Group!$AM$1:$AO$10000,3,0),"")</f>
        <v>MB512123</v>
      </c>
      <c r="C14" s="618">
        <f>_xlfn.IFNA(VLOOKUP(D14,Group!$AM$1:$AO$10000,2,0),"")</f>
        <v>0</v>
      </c>
      <c r="D14" s="619">
        <f>Group!Q3</f>
        <v>0</v>
      </c>
      <c r="E14" s="618" t="str">
        <f>_xlfn.IFNA(VLOOKUP(D14,BOM!$D$1:$F$10000,2,0),"")</f>
        <v/>
      </c>
      <c r="F14" s="619" t="str">
        <f>_xlfn.IFNA(VLOOKUP(D14,BOM!$D$1:$F$10000,3,0),"")</f>
        <v/>
      </c>
      <c r="G14" s="656"/>
      <c r="H14" s="620"/>
      <c r="I14" s="621"/>
      <c r="J14" s="621"/>
      <c r="K14" s="622">
        <f>I14+(2*J14)</f>
        <v>0</v>
      </c>
      <c r="L14" s="621"/>
      <c r="M14" s="622">
        <f>IF(G14="BH",60,10)</f>
        <v>10</v>
      </c>
      <c r="N14" s="622">
        <f>SUM(L14:M14)</f>
        <v>10</v>
      </c>
      <c r="O14" s="623">
        <f>(PI()*N14*(((K14/2)^2)-((I14/2)^2)))/1000</f>
        <v>0</v>
      </c>
      <c r="P14" s="622">
        <v>1.25</v>
      </c>
      <c r="Q14" s="622">
        <v>1.2</v>
      </c>
      <c r="R14" s="624"/>
      <c r="S14" s="625">
        <f>(O14*P14)/1000</f>
        <v>0</v>
      </c>
      <c r="T14" s="626">
        <f>(2*PI()*(((I14/2)+((K14-I14)/4))*N14*0.8*0.7*R14*Q14))/10^6</f>
        <v>0</v>
      </c>
      <c r="U14" s="626">
        <f>S14-T14</f>
        <v>0</v>
      </c>
      <c r="V14" s="627" t="e">
        <f>VLOOKUP($H14,'RM Base'!D:E,2,0)</f>
        <v>#N/A</v>
      </c>
      <c r="W14" s="627" t="e">
        <f>VLOOKUP($W$12,'RM Base'!D:E,2,0)</f>
        <v>#N/A</v>
      </c>
      <c r="X14" s="622" t="e">
        <f>U14*V14</f>
        <v>#N/A</v>
      </c>
      <c r="Y14" s="622" t="e">
        <f>T14*W14</f>
        <v>#N/A</v>
      </c>
      <c r="Z14" s="622" t="e">
        <f>SUM(X14+Y14)</f>
        <v>#N/A</v>
      </c>
      <c r="AA14" s="622" t="e">
        <f>Z14*(L14/(L14+M14))</f>
        <v>#N/A</v>
      </c>
      <c r="AB14" s="622" t="e">
        <f>Z14-AA14</f>
        <v>#N/A</v>
      </c>
      <c r="AC14" s="622">
        <f>VLOOKUP(D14,Hose_Process!A:J,10,0)</f>
        <v>6.2077777777777774</v>
      </c>
      <c r="AD14" s="622"/>
      <c r="AE14" s="622">
        <f>AC14*$AE$11</f>
        <v>0.31038888888888888</v>
      </c>
      <c r="AF14" s="622" t="e">
        <f>Z14*$AF$11</f>
        <v>#N/A</v>
      </c>
      <c r="AG14" s="622">
        <f>AC14*$AG$11</f>
        <v>0.43454444444444446</v>
      </c>
      <c r="AH14" s="622"/>
      <c r="AI14" s="622" t="e">
        <f>SUM(AA14:AH14)</f>
        <v>#N/A</v>
      </c>
    </row>
    <row r="15" spans="1:46" s="14" customFormat="1">
      <c r="A15" s="265"/>
      <c r="B15" s="265"/>
      <c r="C15" s="265"/>
      <c r="D15" s="265"/>
      <c r="E15" s="265"/>
      <c r="F15" s="265"/>
      <c r="G15" s="265"/>
      <c r="H15" s="265"/>
      <c r="I15" s="265"/>
      <c r="J15" s="269"/>
      <c r="K15" s="270"/>
      <c r="L15" s="270"/>
      <c r="M15" s="271"/>
      <c r="N15" s="272"/>
      <c r="O15" s="272"/>
      <c r="P15" s="272"/>
      <c r="Q15" s="272"/>
      <c r="R15" s="271"/>
      <c r="S15" s="271"/>
      <c r="T15" s="265"/>
      <c r="U15" s="265"/>
      <c r="V15" s="273"/>
      <c r="W15" s="273"/>
      <c r="X15" s="274"/>
      <c r="Y15" s="275"/>
      <c r="Z15" s="275"/>
      <c r="AA15" s="276"/>
      <c r="AB15" s="277"/>
      <c r="AC15" s="265"/>
      <c r="AD15" s="265"/>
      <c r="AE15" s="278"/>
      <c r="AF15" s="265"/>
      <c r="AG15" s="265"/>
      <c r="AH15" s="279"/>
      <c r="AI15" s="280"/>
      <c r="AJ15" s="281"/>
      <c r="AK15" s="281"/>
      <c r="AL15" s="265"/>
      <c r="AM15" s="265"/>
      <c r="AN15" s="265"/>
      <c r="AO15" s="265"/>
      <c r="AP15" s="265"/>
      <c r="AQ15" s="265"/>
      <c r="AR15" s="265"/>
      <c r="AS15" s="265"/>
      <c r="AT15" s="265"/>
    </row>
    <row r="16" spans="1:46" s="14" customFormat="1">
      <c r="A16" s="265"/>
      <c r="B16" s="265"/>
      <c r="C16" s="265"/>
      <c r="D16" s="265"/>
      <c r="E16" s="265"/>
      <c r="F16" s="265"/>
      <c r="G16" s="265"/>
      <c r="H16" s="265"/>
      <c r="I16" s="265"/>
      <c r="J16" s="269"/>
      <c r="K16" s="270"/>
      <c r="L16" s="270"/>
      <c r="M16" s="271"/>
      <c r="N16" s="272"/>
      <c r="O16" s="272"/>
      <c r="P16" s="272"/>
      <c r="Q16" s="272"/>
      <c r="R16" s="271"/>
      <c r="S16" s="271"/>
      <c r="T16" s="265"/>
      <c r="U16" s="265"/>
      <c r="V16" s="273"/>
      <c r="W16" s="273"/>
      <c r="X16" s="274"/>
      <c r="Y16" s="275"/>
      <c r="Z16" s="275"/>
      <c r="AA16" s="276"/>
      <c r="AB16" s="277"/>
      <c r="AC16" s="265"/>
      <c r="AD16" s="265"/>
      <c r="AE16" s="278"/>
      <c r="AF16" s="265"/>
      <c r="AG16" s="265"/>
      <c r="AH16" s="279"/>
      <c r="AI16" s="280"/>
      <c r="AJ16" s="265"/>
      <c r="AK16" s="265"/>
      <c r="AL16" s="265"/>
      <c r="AM16" s="265"/>
      <c r="AN16" s="265"/>
      <c r="AO16" s="265"/>
      <c r="AP16" s="265"/>
      <c r="AQ16" s="265"/>
      <c r="AR16" s="265"/>
      <c r="AS16" s="265"/>
      <c r="AT16" s="265"/>
    </row>
    <row r="17" spans="1:53" s="14" customFormat="1">
      <c r="A17" s="265"/>
      <c r="B17" s="265"/>
      <c r="C17" s="265"/>
      <c r="D17" s="265"/>
      <c r="E17" s="265"/>
      <c r="F17" s="265"/>
      <c r="G17" s="265"/>
      <c r="H17" s="265"/>
      <c r="I17" s="265"/>
      <c r="J17" s="269"/>
      <c r="K17" s="270"/>
      <c r="L17" s="270"/>
      <c r="M17" s="271"/>
      <c r="N17" s="272"/>
      <c r="O17" s="272"/>
      <c r="P17" s="272"/>
      <c r="Q17" s="272"/>
      <c r="R17" s="271"/>
      <c r="S17" s="271"/>
      <c r="T17" s="265"/>
      <c r="U17" s="265"/>
      <c r="V17" s="265"/>
      <c r="W17" s="265"/>
      <c r="X17" s="274"/>
      <c r="Y17" s="275"/>
      <c r="Z17" s="275"/>
      <c r="AA17" s="276"/>
      <c r="AB17" s="277"/>
      <c r="AC17" s="265"/>
      <c r="AD17" s="265"/>
      <c r="AE17" s="278"/>
      <c r="AF17" s="265"/>
      <c r="AG17" s="265"/>
      <c r="AH17" s="279"/>
      <c r="AI17" s="280"/>
      <c r="AJ17" s="265"/>
      <c r="AK17" s="265"/>
      <c r="AL17" s="265"/>
      <c r="AM17" s="265"/>
      <c r="AN17" s="265"/>
      <c r="AO17" s="265"/>
      <c r="AP17" s="265"/>
      <c r="AQ17" s="265"/>
      <c r="AR17" s="265"/>
      <c r="AS17" s="265"/>
      <c r="AT17" s="265"/>
    </row>
    <row r="18" spans="1:53" s="14" customFormat="1">
      <c r="A18" s="265"/>
      <c r="B18" s="265"/>
      <c r="C18" s="265"/>
      <c r="D18" s="265"/>
      <c r="E18" s="265"/>
      <c r="F18" s="265"/>
      <c r="G18" s="265"/>
      <c r="H18" s="265"/>
      <c r="I18" s="265"/>
      <c r="J18" s="269"/>
      <c r="K18" s="270"/>
      <c r="L18" s="270"/>
      <c r="M18" s="271"/>
      <c r="N18" s="272"/>
      <c r="O18" s="272"/>
      <c r="P18" s="272"/>
      <c r="Q18" s="272"/>
      <c r="R18" s="271"/>
      <c r="S18" s="271"/>
      <c r="T18" s="265"/>
      <c r="U18" s="265"/>
      <c r="V18" s="265"/>
      <c r="W18" s="265"/>
      <c r="X18" s="274"/>
      <c r="Y18" s="275"/>
      <c r="Z18" s="275"/>
      <c r="AA18" s="276"/>
      <c r="AB18" s="277"/>
      <c r="AC18" s="265"/>
      <c r="AD18" s="265"/>
      <c r="AE18" s="278"/>
      <c r="AF18" s="265"/>
      <c r="AG18" s="265"/>
      <c r="AH18" s="282"/>
      <c r="AI18" s="280"/>
      <c r="AJ18" s="265"/>
      <c r="AK18" s="265"/>
      <c r="AL18" s="265"/>
      <c r="AM18" s="265"/>
      <c r="AN18" s="265"/>
      <c r="AO18" s="265"/>
      <c r="AP18" s="265"/>
      <c r="AQ18" s="265"/>
      <c r="AR18" s="265"/>
      <c r="AS18" s="265"/>
      <c r="AT18" s="265"/>
    </row>
    <row r="19" spans="1:53" s="14" customFormat="1">
      <c r="A19" s="265"/>
      <c r="B19" s="265"/>
      <c r="C19" s="265"/>
      <c r="D19" s="265"/>
      <c r="E19" s="265"/>
      <c r="F19" s="265"/>
      <c r="G19" s="265"/>
      <c r="H19" s="265"/>
      <c r="I19" s="265"/>
      <c r="J19" s="269"/>
      <c r="K19" s="270"/>
      <c r="L19" s="270"/>
      <c r="M19" s="271"/>
      <c r="N19" s="272"/>
      <c r="O19" s="272"/>
      <c r="P19" s="272"/>
      <c r="Q19" s="272"/>
      <c r="R19" s="271"/>
      <c r="S19" s="271"/>
      <c r="T19" s="265"/>
      <c r="U19" s="265"/>
      <c r="V19" s="273"/>
      <c r="W19" s="273"/>
      <c r="X19" s="274"/>
      <c r="Y19" s="275"/>
      <c r="Z19" s="275"/>
      <c r="AA19" s="276"/>
      <c r="AB19" s="277"/>
      <c r="AC19" s="265"/>
      <c r="AD19" s="265"/>
      <c r="AE19" s="278"/>
      <c r="AF19" s="265"/>
      <c r="AG19" s="265"/>
      <c r="AH19" s="279"/>
      <c r="AI19" s="280"/>
      <c r="AJ19" s="265"/>
      <c r="AK19" s="265"/>
      <c r="AL19" s="265"/>
      <c r="AM19" s="265"/>
      <c r="AN19" s="265"/>
      <c r="AO19" s="265"/>
      <c r="AP19" s="265"/>
      <c r="AQ19" s="265"/>
      <c r="AR19" s="265"/>
      <c r="AS19" s="265"/>
      <c r="AT19" s="265"/>
    </row>
    <row r="20" spans="1:53" s="14" customFormat="1">
      <c r="A20" s="265"/>
      <c r="B20" s="265"/>
      <c r="C20" s="265"/>
      <c r="D20" s="265"/>
      <c r="E20" s="265"/>
      <c r="F20" s="265"/>
      <c r="G20" s="265"/>
      <c r="H20" s="265"/>
      <c r="I20" s="265"/>
      <c r="J20" s="269"/>
      <c r="K20" s="270"/>
      <c r="L20" s="270"/>
      <c r="M20" s="271"/>
      <c r="N20" s="272"/>
      <c r="O20" s="272"/>
      <c r="P20" s="272"/>
      <c r="Q20" s="272"/>
      <c r="R20" s="271"/>
      <c r="S20" s="271"/>
      <c r="T20" s="265"/>
      <c r="U20" s="265"/>
      <c r="V20" s="265"/>
      <c r="W20" s="265"/>
      <c r="X20" s="274"/>
      <c r="Y20" s="275"/>
      <c r="Z20" s="275"/>
      <c r="AA20" s="276"/>
      <c r="AB20" s="277"/>
      <c r="AC20" s="265"/>
      <c r="AD20" s="265"/>
      <c r="AE20" s="278"/>
      <c r="AF20" s="265"/>
      <c r="AG20" s="265"/>
      <c r="AH20" s="279"/>
      <c r="AI20" s="280"/>
      <c r="AJ20" s="265"/>
      <c r="AK20" s="265"/>
      <c r="AL20" s="265"/>
      <c r="AM20" s="265"/>
      <c r="AN20" s="265"/>
      <c r="AO20" s="265"/>
      <c r="AP20" s="265"/>
      <c r="AQ20" s="265"/>
      <c r="AR20" s="265"/>
      <c r="AS20" s="265"/>
      <c r="AT20" s="265"/>
    </row>
    <row r="21" spans="1:53" s="14" customFormat="1">
      <c r="A21" s="265"/>
      <c r="B21" s="265"/>
      <c r="C21" s="265"/>
      <c r="D21" s="265"/>
      <c r="E21" s="265"/>
      <c r="F21" s="265"/>
      <c r="G21" s="265"/>
      <c r="H21" s="265"/>
      <c r="I21" s="265"/>
      <c r="J21" s="269"/>
      <c r="K21" s="270"/>
      <c r="L21" s="270"/>
      <c r="M21" s="271"/>
      <c r="N21" s="272"/>
      <c r="O21" s="272"/>
      <c r="P21" s="272"/>
      <c r="Q21" s="272"/>
      <c r="R21" s="271"/>
      <c r="S21" s="271"/>
      <c r="T21" s="265"/>
      <c r="U21" s="265"/>
      <c r="V21" s="265"/>
      <c r="W21" s="265"/>
      <c r="X21" s="274"/>
      <c r="Y21" s="275"/>
      <c r="Z21" s="275"/>
      <c r="AA21" s="276"/>
      <c r="AB21" s="277"/>
      <c r="AC21" s="265"/>
      <c r="AD21" s="265"/>
      <c r="AE21" s="278"/>
      <c r="AF21" s="265"/>
      <c r="AG21" s="265"/>
      <c r="AH21" s="279"/>
      <c r="AI21" s="280"/>
      <c r="AJ21" s="265"/>
      <c r="AK21" s="265"/>
      <c r="AL21" s="265"/>
      <c r="AM21" s="265"/>
      <c r="AN21" s="265"/>
      <c r="AO21" s="265"/>
      <c r="AP21" s="265"/>
      <c r="AQ21" s="265"/>
      <c r="AR21" s="265"/>
      <c r="AS21" s="265"/>
      <c r="AT21" s="265"/>
    </row>
    <row r="22" spans="1:53" s="14" customFormat="1">
      <c r="A22" s="265"/>
      <c r="B22" s="265"/>
      <c r="C22" s="265"/>
      <c r="D22" s="265"/>
      <c r="E22" s="265"/>
      <c r="F22" s="265"/>
      <c r="G22" s="265"/>
      <c r="H22" s="265"/>
      <c r="I22" s="265"/>
      <c r="J22" s="269"/>
      <c r="K22" s="270"/>
      <c r="L22" s="270"/>
      <c r="M22" s="271"/>
      <c r="N22" s="272"/>
      <c r="O22" s="272"/>
      <c r="P22" s="272"/>
      <c r="Q22" s="272"/>
      <c r="R22" s="271"/>
      <c r="S22" s="271"/>
      <c r="T22" s="265"/>
      <c r="U22" s="265"/>
      <c r="V22" s="265"/>
      <c r="W22" s="265"/>
      <c r="X22" s="274"/>
      <c r="Y22" s="275"/>
      <c r="Z22" s="275"/>
      <c r="AA22" s="276"/>
      <c r="AB22" s="277"/>
      <c r="AC22" s="265"/>
      <c r="AD22" s="265"/>
      <c r="AE22" s="278"/>
      <c r="AF22" s="265"/>
      <c r="AG22" s="265"/>
      <c r="AH22" s="279"/>
      <c r="AI22" s="280"/>
      <c r="AJ22" s="265"/>
      <c r="AK22" s="265"/>
      <c r="AL22" s="265"/>
      <c r="AM22" s="265"/>
      <c r="AN22" s="265"/>
      <c r="AO22" s="265"/>
      <c r="AP22" s="265"/>
      <c r="AQ22" s="265"/>
      <c r="AR22" s="265"/>
      <c r="AS22" s="265"/>
      <c r="AT22" s="265"/>
    </row>
    <row r="23" spans="1:53" s="14" customFormat="1">
      <c r="A23" s="265"/>
      <c r="B23" s="265"/>
      <c r="C23" s="265"/>
      <c r="D23" s="265"/>
      <c r="E23" s="265"/>
      <c r="F23" s="265"/>
      <c r="G23" s="265"/>
      <c r="H23" s="265"/>
      <c r="I23" s="265"/>
      <c r="J23" s="269"/>
      <c r="K23" s="270"/>
      <c r="L23" s="270"/>
      <c r="M23" s="271"/>
      <c r="N23" s="272"/>
      <c r="O23" s="272"/>
      <c r="P23" s="272"/>
      <c r="Q23" s="272"/>
      <c r="R23" s="271"/>
      <c r="S23" s="271"/>
      <c r="T23" s="265"/>
      <c r="U23" s="265"/>
      <c r="V23" s="265"/>
      <c r="W23" s="265"/>
      <c r="X23" s="274"/>
      <c r="Y23" s="275"/>
      <c r="Z23" s="275"/>
      <c r="AA23" s="276"/>
      <c r="AB23" s="277"/>
      <c r="AC23" s="265"/>
      <c r="AD23" s="265"/>
      <c r="AL23" s="318"/>
      <c r="AM23" s="318"/>
      <c r="AN23" s="318"/>
      <c r="AO23" s="318"/>
      <c r="AP23" s="318"/>
      <c r="AQ23" s="318"/>
      <c r="AR23" s="318"/>
      <c r="AS23" s="318"/>
      <c r="AT23" s="318"/>
      <c r="AZ23" s="319"/>
      <c r="BA23" s="319"/>
    </row>
    <row r="24" spans="1:53" s="14" customFormat="1">
      <c r="A24" s="265"/>
      <c r="B24" s="265"/>
      <c r="C24" s="265"/>
      <c r="D24" s="265"/>
      <c r="E24" s="265"/>
      <c r="F24" s="265"/>
      <c r="G24" s="265"/>
      <c r="H24" s="265"/>
      <c r="I24" s="265"/>
      <c r="J24" s="269"/>
      <c r="K24" s="270"/>
      <c r="L24" s="270"/>
      <c r="M24" s="271"/>
      <c r="N24" s="272"/>
      <c r="O24" s="272"/>
      <c r="P24" s="272"/>
      <c r="Q24" s="272"/>
      <c r="R24" s="271"/>
      <c r="S24" s="271"/>
      <c r="T24" s="265"/>
      <c r="U24" s="265"/>
      <c r="V24" s="265"/>
      <c r="W24" s="265"/>
      <c r="X24" s="274"/>
      <c r="Y24" s="275"/>
      <c r="Z24" s="275"/>
      <c r="AA24" s="276"/>
      <c r="AB24" s="277"/>
      <c r="AC24" s="265"/>
      <c r="AD24" s="265"/>
      <c r="AL24" s="318"/>
      <c r="AM24" s="318"/>
      <c r="AN24" s="318"/>
      <c r="AO24" s="318"/>
      <c r="AP24" s="318"/>
      <c r="AQ24" s="318"/>
      <c r="AR24" s="318"/>
      <c r="AS24" s="318"/>
      <c r="AT24" s="318"/>
      <c r="AZ24" s="319"/>
      <c r="BA24" s="319"/>
    </row>
    <row r="25" spans="1:53" s="14" customFormat="1">
      <c r="A25" s="265"/>
      <c r="B25" s="265"/>
      <c r="C25" s="265"/>
      <c r="D25" s="265"/>
      <c r="E25" s="265"/>
      <c r="F25" s="265"/>
      <c r="G25" s="265"/>
      <c r="H25" s="265"/>
      <c r="I25" s="265"/>
      <c r="J25" s="269"/>
      <c r="K25" s="270"/>
      <c r="L25" s="270"/>
      <c r="M25" s="271"/>
      <c r="N25" s="272"/>
      <c r="O25" s="272"/>
      <c r="P25" s="272"/>
      <c r="Q25" s="272"/>
      <c r="R25" s="271"/>
      <c r="S25" s="271"/>
      <c r="T25" s="265"/>
      <c r="U25" s="265"/>
      <c r="V25" s="273"/>
      <c r="W25" s="273"/>
      <c r="X25" s="274"/>
      <c r="Y25" s="275"/>
      <c r="Z25" s="275"/>
      <c r="AA25" s="276"/>
      <c r="AB25" s="277"/>
      <c r="AC25" s="265"/>
      <c r="AD25" s="265"/>
      <c r="AE25" s="278"/>
      <c r="AF25" s="265"/>
      <c r="AG25" s="265"/>
      <c r="AH25" s="279"/>
      <c r="AI25" s="280"/>
      <c r="AJ25" s="265"/>
      <c r="AK25" s="265"/>
      <c r="AL25" s="265"/>
      <c r="AM25" s="265"/>
      <c r="AN25" s="265"/>
      <c r="AO25" s="265"/>
      <c r="AP25" s="265"/>
      <c r="AQ25" s="265"/>
      <c r="AR25" s="265"/>
      <c r="AS25" s="265"/>
      <c r="AT25" s="265"/>
    </row>
    <row r="26" spans="1:53" s="14" customFormat="1">
      <c r="A26" s="265"/>
      <c r="B26" s="265"/>
      <c r="C26" s="265"/>
      <c r="D26" s="265"/>
      <c r="E26" s="265"/>
      <c r="F26" s="265"/>
      <c r="G26" s="265"/>
      <c r="H26" s="265"/>
      <c r="I26" s="265"/>
      <c r="J26" s="269"/>
      <c r="K26" s="270"/>
      <c r="L26" s="270"/>
      <c r="M26" s="271"/>
      <c r="N26" s="272"/>
      <c r="O26" s="272"/>
      <c r="P26" s="272"/>
      <c r="Q26" s="272"/>
      <c r="R26" s="271"/>
      <c r="S26" s="271"/>
      <c r="T26" s="265"/>
      <c r="U26" s="265"/>
      <c r="V26" s="273"/>
      <c r="W26" s="273"/>
      <c r="X26" s="274"/>
      <c r="Y26" s="275"/>
      <c r="Z26" s="275"/>
      <c r="AA26" s="276"/>
      <c r="AB26" s="277"/>
      <c r="AC26" s="265"/>
      <c r="AD26" s="265"/>
      <c r="AE26" s="278"/>
      <c r="AF26" s="265"/>
      <c r="AG26" s="265"/>
      <c r="AH26" s="279"/>
      <c r="AI26" s="280"/>
      <c r="AJ26" s="265"/>
      <c r="AK26" s="265"/>
      <c r="AL26" s="265"/>
      <c r="AM26" s="265"/>
      <c r="AN26" s="265"/>
      <c r="AO26" s="265"/>
      <c r="AP26" s="265"/>
      <c r="AQ26" s="265"/>
      <c r="AR26" s="265"/>
      <c r="AS26" s="265"/>
      <c r="AT26" s="265"/>
    </row>
    <row r="27" spans="1:53" s="14" customFormat="1">
      <c r="A27" s="265"/>
      <c r="B27" s="265"/>
      <c r="C27" s="265"/>
      <c r="D27" s="265"/>
      <c r="E27" s="265"/>
      <c r="F27" s="265"/>
      <c r="G27" s="265"/>
      <c r="H27" s="265"/>
      <c r="I27" s="265"/>
      <c r="J27" s="269"/>
      <c r="K27" s="270"/>
      <c r="L27" s="270"/>
      <c r="M27" s="271"/>
      <c r="N27" s="272"/>
      <c r="O27" s="272"/>
      <c r="P27" s="272"/>
      <c r="Q27" s="272"/>
      <c r="R27" s="271"/>
      <c r="S27" s="271"/>
      <c r="T27" s="265"/>
      <c r="U27" s="265"/>
      <c r="V27" s="273"/>
      <c r="W27" s="273"/>
      <c r="X27" s="274"/>
      <c r="Y27" s="275"/>
      <c r="Z27" s="275"/>
      <c r="AA27" s="276"/>
      <c r="AB27" s="277"/>
      <c r="AC27" s="265"/>
      <c r="AD27" s="265"/>
      <c r="AE27" s="278"/>
      <c r="AF27" s="265"/>
      <c r="AG27" s="265"/>
      <c r="AH27" s="279"/>
      <c r="AI27" s="280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</row>
    <row r="28" spans="1:53" s="14" customFormat="1">
      <c r="A28" s="265"/>
      <c r="B28" s="265"/>
      <c r="C28" s="265"/>
      <c r="D28" s="265"/>
      <c r="E28" s="265"/>
      <c r="F28" s="265"/>
      <c r="G28" s="265"/>
      <c r="H28" s="265"/>
      <c r="I28" s="265"/>
      <c r="J28" s="269"/>
      <c r="K28" s="270"/>
      <c r="L28" s="270"/>
      <c r="M28" s="271"/>
      <c r="N28" s="272"/>
      <c r="O28" s="272"/>
      <c r="P28" s="272"/>
      <c r="Q28" s="272"/>
      <c r="R28" s="271"/>
      <c r="S28" s="271"/>
      <c r="T28" s="265"/>
      <c r="U28" s="265"/>
      <c r="V28" s="273"/>
      <c r="W28" s="273"/>
      <c r="X28" s="274"/>
      <c r="Y28" s="275"/>
      <c r="Z28" s="275"/>
      <c r="AA28" s="276"/>
      <c r="AB28" s="277"/>
      <c r="AC28" s="265"/>
      <c r="AD28" s="265"/>
      <c r="AE28" s="278"/>
      <c r="AF28" s="265"/>
      <c r="AG28" s="265"/>
      <c r="AH28" s="279"/>
      <c r="AI28" s="280"/>
      <c r="AJ28" s="265"/>
      <c r="AK28" s="265"/>
      <c r="AL28" s="265"/>
      <c r="AM28" s="265"/>
      <c r="AN28" s="265"/>
      <c r="AO28" s="265"/>
      <c r="AP28" s="265"/>
      <c r="AQ28" s="265"/>
      <c r="AR28" s="265"/>
      <c r="AS28" s="265"/>
      <c r="AT28" s="265"/>
    </row>
    <row r="29" spans="1:53" s="14" customFormat="1">
      <c r="A29" s="265"/>
      <c r="B29" s="265"/>
      <c r="C29" s="265"/>
      <c r="D29" s="265"/>
      <c r="E29" s="265"/>
      <c r="F29" s="265"/>
      <c r="G29" s="265"/>
      <c r="H29" s="265"/>
      <c r="I29" s="265"/>
      <c r="J29" s="269"/>
      <c r="K29" s="270"/>
      <c r="L29" s="270"/>
      <c r="M29" s="271"/>
      <c r="N29" s="272"/>
      <c r="O29" s="272"/>
      <c r="P29" s="272"/>
      <c r="Q29" s="272"/>
      <c r="R29" s="271"/>
      <c r="S29" s="271"/>
      <c r="T29" s="265"/>
      <c r="U29" s="265"/>
      <c r="V29" s="273"/>
      <c r="W29" s="273"/>
      <c r="X29" s="274"/>
      <c r="Y29" s="275"/>
      <c r="Z29" s="275"/>
      <c r="AA29" s="276"/>
      <c r="AB29" s="277"/>
      <c r="AC29" s="265"/>
      <c r="AD29" s="265"/>
      <c r="AE29" s="278"/>
      <c r="AF29" s="265"/>
      <c r="AG29" s="265"/>
      <c r="AH29" s="279"/>
      <c r="AI29" s="280"/>
      <c r="AJ29" s="265"/>
      <c r="AK29" s="265"/>
      <c r="AL29" s="265"/>
      <c r="AM29" s="265"/>
      <c r="AN29" s="265"/>
      <c r="AO29" s="265"/>
      <c r="AP29" s="265"/>
      <c r="AQ29" s="265"/>
      <c r="AR29" s="265"/>
      <c r="AS29" s="265"/>
      <c r="AT29" s="265"/>
    </row>
    <row r="30" spans="1:53" s="14" customFormat="1" ht="14.25" customHeight="1">
      <c r="A30" s="265"/>
      <c r="B30" s="265"/>
      <c r="C30" s="265"/>
      <c r="D30" s="265"/>
      <c r="E30" s="265"/>
      <c r="F30" s="265"/>
      <c r="G30" s="265"/>
      <c r="H30" s="265"/>
      <c r="I30" s="265"/>
      <c r="J30" s="269"/>
      <c r="K30" s="270"/>
      <c r="L30" s="270"/>
      <c r="M30" s="271"/>
      <c r="N30" s="272"/>
      <c r="O30" s="272"/>
      <c r="P30" s="272"/>
      <c r="Q30" s="272"/>
      <c r="R30" s="271"/>
      <c r="S30" s="271"/>
      <c r="T30" s="265"/>
      <c r="U30" s="265"/>
      <c r="V30" s="273"/>
      <c r="W30" s="273"/>
      <c r="X30" s="274"/>
      <c r="Y30" s="275"/>
      <c r="Z30" s="275"/>
      <c r="AA30" s="276"/>
      <c r="AB30" s="277"/>
      <c r="AC30" s="265"/>
      <c r="AD30" s="265"/>
      <c r="AE30" s="278"/>
      <c r="AF30" s="265"/>
      <c r="AG30" s="265"/>
      <c r="AH30" s="279"/>
      <c r="AI30" s="280"/>
      <c r="AJ30" s="265"/>
      <c r="AK30" s="265"/>
      <c r="AL30" s="265"/>
      <c r="AM30" s="265"/>
      <c r="AN30" s="265"/>
      <c r="AO30" s="265"/>
      <c r="AP30" s="265"/>
      <c r="AQ30" s="265"/>
      <c r="AR30" s="265"/>
      <c r="AS30" s="265"/>
      <c r="AT30" s="265"/>
    </row>
    <row r="31" spans="1:53" s="14" customFormat="1">
      <c r="A31" s="265"/>
      <c r="B31" s="265"/>
      <c r="C31" s="265"/>
      <c r="D31" s="265"/>
      <c r="E31" s="265"/>
      <c r="F31" s="265"/>
      <c r="G31" s="265"/>
      <c r="H31" s="265"/>
      <c r="I31" s="265"/>
      <c r="J31" s="269"/>
      <c r="K31" s="270"/>
      <c r="L31" s="270"/>
      <c r="M31" s="271"/>
      <c r="N31" s="272"/>
      <c r="O31" s="272"/>
      <c r="P31" s="272"/>
      <c r="Q31" s="272"/>
      <c r="R31" s="271"/>
      <c r="S31" s="271"/>
      <c r="T31" s="265"/>
      <c r="U31" s="265"/>
      <c r="V31" s="273"/>
      <c r="W31" s="273"/>
      <c r="X31" s="274"/>
      <c r="Y31" s="275"/>
      <c r="Z31" s="275"/>
      <c r="AA31" s="276"/>
      <c r="AB31" s="277"/>
      <c r="AC31" s="265"/>
      <c r="AD31" s="265"/>
      <c r="AE31" s="278"/>
      <c r="AF31" s="265"/>
      <c r="AG31" s="265"/>
      <c r="AH31" s="279"/>
      <c r="AI31" s="280"/>
      <c r="AJ31" s="265"/>
      <c r="AK31" s="265"/>
      <c r="AL31" s="265"/>
      <c r="AM31" s="265"/>
      <c r="AN31" s="265"/>
      <c r="AO31" s="265"/>
      <c r="AP31" s="265"/>
      <c r="AQ31" s="265"/>
      <c r="AR31" s="265"/>
      <c r="AS31" s="265"/>
      <c r="AT31" s="265"/>
    </row>
    <row r="32" spans="1:53" s="14" customFormat="1">
      <c r="A32" s="265"/>
      <c r="B32" s="265"/>
      <c r="C32" s="265"/>
      <c r="D32" s="265"/>
      <c r="E32" s="265"/>
      <c r="F32" s="265"/>
      <c r="G32" s="265"/>
      <c r="H32" s="265"/>
      <c r="I32" s="265"/>
      <c r="J32" s="269"/>
      <c r="K32" s="270"/>
      <c r="L32" s="270"/>
      <c r="M32" s="271"/>
      <c r="N32" s="272"/>
      <c r="O32" s="272"/>
      <c r="P32" s="272"/>
      <c r="Q32" s="272"/>
      <c r="R32" s="271"/>
      <c r="S32" s="271"/>
      <c r="T32" s="265"/>
      <c r="U32" s="265"/>
      <c r="V32" s="273"/>
      <c r="W32" s="273"/>
      <c r="X32" s="274"/>
      <c r="Y32" s="275"/>
      <c r="Z32" s="275"/>
      <c r="AA32" s="276"/>
      <c r="AB32" s="277"/>
      <c r="AC32" s="275"/>
      <c r="AD32" s="265"/>
      <c r="AE32" s="278"/>
      <c r="AF32" s="265"/>
      <c r="AG32" s="265"/>
      <c r="AH32" s="279"/>
      <c r="AI32" s="280"/>
      <c r="AJ32" s="265"/>
      <c r="AK32" s="265"/>
      <c r="AL32" s="265"/>
      <c r="AM32" s="265"/>
      <c r="AN32" s="265"/>
      <c r="AO32" s="265"/>
      <c r="AP32" s="265"/>
      <c r="AQ32" s="265"/>
      <c r="AR32" s="265"/>
      <c r="AS32" s="265"/>
      <c r="AT32" s="265"/>
    </row>
    <row r="33" spans="1:46" s="14" customFormat="1">
      <c r="A33" s="265"/>
      <c r="B33" s="265"/>
      <c r="C33" s="265"/>
      <c r="D33" s="265"/>
      <c r="E33" s="265"/>
      <c r="F33" s="265"/>
      <c r="G33" s="265"/>
      <c r="H33" s="265"/>
      <c r="I33" s="265"/>
      <c r="J33" s="269"/>
      <c r="K33" s="270"/>
      <c r="L33" s="270"/>
      <c r="M33" s="271"/>
      <c r="N33" s="272"/>
      <c r="O33" s="272"/>
      <c r="P33" s="272"/>
      <c r="Q33" s="272"/>
      <c r="R33" s="271"/>
      <c r="S33" s="271"/>
      <c r="T33" s="265"/>
      <c r="U33" s="265"/>
      <c r="V33" s="273"/>
      <c r="W33" s="273"/>
      <c r="X33" s="274"/>
      <c r="Y33" s="275"/>
      <c r="Z33" s="275"/>
      <c r="AA33" s="276"/>
      <c r="AB33" s="277"/>
      <c r="AC33" s="265"/>
      <c r="AD33" s="265"/>
      <c r="AE33" s="278"/>
      <c r="AF33" s="265"/>
      <c r="AG33" s="265"/>
      <c r="AH33" s="279"/>
      <c r="AI33" s="280"/>
      <c r="AJ33" s="265"/>
      <c r="AK33" s="265"/>
      <c r="AL33" s="265"/>
      <c r="AM33" s="265"/>
      <c r="AN33" s="265"/>
      <c r="AO33" s="265"/>
      <c r="AP33" s="265"/>
      <c r="AQ33" s="265"/>
      <c r="AR33" s="265"/>
      <c r="AS33" s="265"/>
      <c r="AT33" s="265"/>
    </row>
    <row r="34" spans="1:46" s="14" customFormat="1">
      <c r="A34" s="265"/>
      <c r="B34" s="265"/>
      <c r="C34" s="265"/>
      <c r="D34" s="265"/>
      <c r="E34" s="265"/>
      <c r="F34" s="265"/>
      <c r="G34" s="265"/>
      <c r="H34" s="265"/>
      <c r="I34" s="265"/>
      <c r="J34" s="269"/>
      <c r="K34" s="270"/>
      <c r="L34" s="270"/>
      <c r="M34" s="271"/>
      <c r="N34" s="272"/>
      <c r="O34" s="272"/>
      <c r="P34" s="272"/>
      <c r="Q34" s="272"/>
      <c r="R34" s="271"/>
      <c r="S34" s="271"/>
      <c r="T34" s="265"/>
      <c r="U34" s="265"/>
      <c r="V34" s="273"/>
      <c r="W34" s="273"/>
      <c r="X34" s="274"/>
      <c r="Y34" s="275"/>
      <c r="Z34" s="275"/>
      <c r="AA34" s="276"/>
      <c r="AB34" s="277"/>
      <c r="AC34" s="265"/>
      <c r="AD34" s="265"/>
      <c r="AE34" s="278"/>
      <c r="AF34" s="265"/>
      <c r="AG34" s="265"/>
      <c r="AH34" s="279"/>
      <c r="AI34" s="280"/>
      <c r="AJ34" s="265"/>
      <c r="AK34" s="265"/>
      <c r="AL34" s="265"/>
      <c r="AM34" s="265"/>
      <c r="AN34" s="265"/>
      <c r="AO34" s="265"/>
      <c r="AP34" s="265"/>
      <c r="AQ34" s="265"/>
      <c r="AR34" s="265"/>
      <c r="AS34" s="265"/>
      <c r="AT34" s="265"/>
    </row>
    <row r="35" spans="1:46" s="14" customFormat="1">
      <c r="A35" s="265"/>
      <c r="B35" s="265"/>
      <c r="C35" s="265"/>
      <c r="D35" s="265"/>
      <c r="E35" s="265"/>
      <c r="F35" s="265"/>
      <c r="G35" s="265"/>
      <c r="H35" s="265"/>
      <c r="I35" s="265"/>
      <c r="J35" s="269"/>
      <c r="K35" s="270"/>
      <c r="L35" s="270"/>
      <c r="M35" s="271"/>
      <c r="N35" s="272"/>
      <c r="O35" s="272"/>
      <c r="P35" s="272"/>
      <c r="Q35" s="272"/>
      <c r="R35" s="271"/>
      <c r="S35" s="271"/>
      <c r="T35" s="265"/>
      <c r="U35" s="265"/>
      <c r="V35" s="265"/>
      <c r="W35" s="265"/>
      <c r="X35" s="274"/>
      <c r="Y35" s="275"/>
      <c r="Z35" s="275"/>
      <c r="AA35" s="276"/>
      <c r="AB35" s="277"/>
      <c r="AC35" s="265"/>
      <c r="AD35" s="265"/>
      <c r="AE35" s="278"/>
      <c r="AF35" s="265"/>
      <c r="AG35" s="265"/>
      <c r="AH35" s="282"/>
      <c r="AI35" s="280"/>
      <c r="AJ35" s="265"/>
      <c r="AK35" s="265"/>
      <c r="AL35" s="265"/>
      <c r="AM35" s="265"/>
      <c r="AN35" s="265"/>
      <c r="AO35" s="265"/>
      <c r="AP35" s="265"/>
      <c r="AQ35" s="265"/>
      <c r="AR35" s="265"/>
      <c r="AS35" s="265"/>
      <c r="AT35" s="265"/>
    </row>
    <row r="36" spans="1:46" s="14" customFormat="1">
      <c r="A36" s="265"/>
      <c r="B36" s="265"/>
      <c r="C36" s="265"/>
      <c r="D36" s="265"/>
      <c r="E36" s="265"/>
      <c r="F36" s="265"/>
      <c r="G36" s="265"/>
      <c r="H36" s="265"/>
      <c r="I36" s="265"/>
      <c r="J36" s="269"/>
      <c r="K36" s="270"/>
      <c r="L36" s="270"/>
      <c r="M36" s="271"/>
      <c r="N36" s="272"/>
      <c r="O36" s="272"/>
      <c r="P36" s="272"/>
      <c r="Q36" s="272"/>
      <c r="R36" s="271"/>
      <c r="S36" s="271"/>
      <c r="T36" s="265"/>
      <c r="U36" s="265"/>
      <c r="V36" s="265"/>
      <c r="W36" s="265"/>
      <c r="X36" s="274"/>
      <c r="Y36" s="275"/>
      <c r="Z36" s="275"/>
      <c r="AA36" s="276"/>
      <c r="AB36" s="277"/>
      <c r="AC36" s="265"/>
      <c r="AD36" s="265"/>
      <c r="AE36" s="278"/>
      <c r="AF36" s="265"/>
      <c r="AG36" s="265"/>
      <c r="AH36" s="279"/>
      <c r="AI36" s="280"/>
      <c r="AJ36" s="265"/>
      <c r="AK36" s="265"/>
      <c r="AL36" s="265"/>
      <c r="AM36" s="265"/>
      <c r="AN36" s="265"/>
      <c r="AO36" s="265"/>
      <c r="AP36" s="265"/>
      <c r="AQ36" s="265"/>
      <c r="AR36" s="265"/>
      <c r="AS36" s="265"/>
      <c r="AT36" s="265"/>
    </row>
    <row r="37" spans="1:46" s="14" customFormat="1">
      <c r="A37" s="265"/>
      <c r="B37" s="265"/>
      <c r="C37" s="265"/>
      <c r="D37" s="265"/>
      <c r="E37" s="265"/>
      <c r="F37" s="265"/>
      <c r="G37" s="265"/>
      <c r="H37" s="265"/>
      <c r="I37" s="265"/>
      <c r="J37" s="269"/>
      <c r="K37" s="270"/>
      <c r="L37" s="270"/>
      <c r="M37" s="271"/>
      <c r="N37" s="272"/>
      <c r="O37" s="272"/>
      <c r="P37" s="272"/>
      <c r="Q37" s="272"/>
      <c r="R37" s="271"/>
      <c r="S37" s="271"/>
      <c r="T37" s="265"/>
      <c r="U37" s="265"/>
      <c r="V37" s="265"/>
      <c r="W37" s="265"/>
      <c r="X37" s="274"/>
      <c r="Y37" s="275"/>
      <c r="Z37" s="275"/>
      <c r="AA37" s="265"/>
      <c r="AB37" s="265"/>
      <c r="AC37" s="265"/>
      <c r="AD37" s="265"/>
      <c r="AE37" s="278"/>
      <c r="AF37" s="265"/>
      <c r="AG37" s="265"/>
      <c r="AH37" s="279"/>
      <c r="AI37" s="280"/>
      <c r="AJ37" s="265"/>
      <c r="AK37" s="265"/>
      <c r="AL37" s="265"/>
      <c r="AM37" s="265"/>
      <c r="AN37" s="265"/>
      <c r="AO37" s="265"/>
      <c r="AP37" s="265"/>
      <c r="AQ37" s="265"/>
      <c r="AR37" s="265"/>
      <c r="AS37" s="265"/>
      <c r="AT37" s="265"/>
    </row>
    <row r="38" spans="1:46" s="14" customFormat="1">
      <c r="A38" s="265"/>
      <c r="B38" s="265"/>
      <c r="C38" s="265"/>
      <c r="D38" s="265"/>
      <c r="E38" s="265"/>
      <c r="F38" s="265"/>
      <c r="G38" s="265"/>
      <c r="H38" s="265"/>
      <c r="I38" s="265"/>
      <c r="J38" s="269"/>
      <c r="K38" s="270"/>
      <c r="L38" s="270"/>
      <c r="M38" s="271"/>
      <c r="N38" s="272"/>
      <c r="O38" s="272"/>
      <c r="P38" s="272"/>
      <c r="Q38" s="272"/>
      <c r="R38" s="271"/>
      <c r="S38" s="271"/>
      <c r="T38" s="265"/>
      <c r="U38" s="265"/>
      <c r="V38" s="265"/>
      <c r="W38" s="265"/>
      <c r="X38" s="274"/>
      <c r="Y38" s="275"/>
      <c r="Z38" s="275"/>
      <c r="AA38" s="276"/>
      <c r="AB38" s="277"/>
      <c r="AC38" s="265"/>
      <c r="AD38" s="265"/>
      <c r="AE38" s="278"/>
      <c r="AF38" s="265"/>
      <c r="AG38" s="265"/>
      <c r="AH38" s="279"/>
      <c r="AI38" s="280"/>
      <c r="AJ38" s="265"/>
      <c r="AK38" s="265"/>
      <c r="AL38" s="265"/>
      <c r="AM38" s="265"/>
      <c r="AN38" s="265"/>
      <c r="AO38" s="265"/>
      <c r="AP38" s="265"/>
      <c r="AQ38" s="265"/>
      <c r="AR38" s="265"/>
      <c r="AS38" s="265"/>
      <c r="AT38" s="265"/>
    </row>
    <row r="39" spans="1:46" s="14" customFormat="1">
      <c r="A39" s="265"/>
      <c r="B39" s="265"/>
      <c r="C39" s="265"/>
      <c r="D39" s="265"/>
      <c r="E39" s="265"/>
      <c r="F39" s="265"/>
      <c r="G39" s="265"/>
      <c r="H39" s="265"/>
      <c r="I39" s="265"/>
      <c r="J39" s="269"/>
      <c r="K39" s="270"/>
      <c r="L39" s="270"/>
      <c r="M39" s="271"/>
      <c r="N39" s="272"/>
      <c r="O39" s="272"/>
      <c r="P39" s="272"/>
      <c r="Q39" s="272"/>
      <c r="R39" s="271"/>
      <c r="S39" s="271"/>
      <c r="T39" s="265"/>
      <c r="U39" s="265"/>
      <c r="V39" s="265"/>
      <c r="W39" s="265"/>
      <c r="X39" s="274"/>
      <c r="Y39" s="275"/>
      <c r="Z39" s="275"/>
      <c r="AA39" s="276"/>
      <c r="AB39" s="277"/>
      <c r="AC39" s="265"/>
      <c r="AD39" s="265"/>
      <c r="AE39" s="278"/>
      <c r="AF39" s="265"/>
      <c r="AG39" s="265"/>
      <c r="AH39" s="279"/>
      <c r="AI39" s="280"/>
      <c r="AJ39" s="265"/>
      <c r="AK39" s="265"/>
      <c r="AL39" s="265"/>
      <c r="AM39" s="265"/>
      <c r="AN39" s="265"/>
      <c r="AO39" s="265"/>
      <c r="AP39" s="265"/>
      <c r="AQ39" s="265"/>
      <c r="AR39" s="265"/>
      <c r="AS39" s="265"/>
      <c r="AT39" s="265"/>
    </row>
    <row r="40" spans="1:46" s="14" customFormat="1">
      <c r="A40" s="265"/>
      <c r="B40" s="265"/>
      <c r="C40" s="265"/>
      <c r="D40" s="265"/>
      <c r="E40" s="265"/>
      <c r="F40" s="265"/>
      <c r="G40" s="265"/>
      <c r="H40" s="265"/>
      <c r="I40" s="265"/>
      <c r="J40" s="269"/>
      <c r="K40" s="270"/>
      <c r="L40" s="270"/>
      <c r="M40" s="271"/>
      <c r="N40" s="272"/>
      <c r="O40" s="272"/>
      <c r="P40" s="272"/>
      <c r="Q40" s="272"/>
      <c r="R40" s="271"/>
      <c r="S40" s="271"/>
      <c r="T40" s="265"/>
      <c r="U40" s="265"/>
      <c r="V40" s="265"/>
      <c r="W40" s="265"/>
      <c r="X40" s="274"/>
      <c r="Y40" s="275"/>
      <c r="Z40" s="275"/>
      <c r="AA40" s="276"/>
      <c r="AB40" s="277"/>
      <c r="AC40" s="265"/>
      <c r="AD40" s="265"/>
      <c r="AE40" s="278"/>
      <c r="AF40" s="265"/>
      <c r="AG40" s="265"/>
      <c r="AH40" s="279"/>
      <c r="AI40" s="280"/>
      <c r="AJ40" s="265"/>
      <c r="AK40" s="265"/>
      <c r="AL40" s="265"/>
      <c r="AM40" s="265"/>
      <c r="AN40" s="265"/>
      <c r="AO40" s="265"/>
      <c r="AP40" s="265"/>
      <c r="AQ40" s="265"/>
      <c r="AR40" s="265"/>
      <c r="AS40" s="265"/>
      <c r="AT40" s="265"/>
    </row>
    <row r="41" spans="1:46" s="14" customFormat="1">
      <c r="A41" s="264"/>
      <c r="B41" s="264"/>
      <c r="C41" s="264"/>
      <c r="D41" s="264"/>
      <c r="E41" s="264"/>
      <c r="F41" s="265"/>
      <c r="G41" s="265"/>
      <c r="H41" s="265"/>
      <c r="I41" s="283"/>
      <c r="J41" s="269"/>
      <c r="K41" s="270"/>
      <c r="L41" s="270"/>
      <c r="M41" s="271"/>
      <c r="N41" s="272"/>
      <c r="O41" s="272"/>
      <c r="P41" s="272"/>
      <c r="Q41" s="272"/>
      <c r="R41" s="271"/>
      <c r="S41" s="271"/>
      <c r="T41" s="265"/>
      <c r="U41" s="265"/>
      <c r="V41" s="265"/>
      <c r="W41" s="265"/>
      <c r="X41" s="284"/>
      <c r="Y41" s="275"/>
      <c r="Z41" s="275"/>
      <c r="AA41" s="276"/>
      <c r="AB41" s="285"/>
      <c r="AC41" s="264"/>
      <c r="AD41" s="264"/>
      <c r="AE41" s="278"/>
      <c r="AF41" s="265"/>
      <c r="AG41" s="264"/>
      <c r="AH41" s="279"/>
      <c r="AI41" s="280"/>
      <c r="AJ41" s="265"/>
      <c r="AK41" s="265"/>
      <c r="AL41" s="265"/>
      <c r="AM41" s="265"/>
      <c r="AN41" s="265"/>
      <c r="AO41" s="265"/>
      <c r="AP41" s="265"/>
      <c r="AQ41" s="265"/>
      <c r="AR41" s="265"/>
      <c r="AS41" s="265"/>
      <c r="AT41" s="265"/>
    </row>
    <row r="42" spans="1:46" s="14" customFormat="1">
      <c r="A42" s="264"/>
      <c r="B42" s="264"/>
      <c r="C42" s="264"/>
      <c r="D42" s="264"/>
      <c r="E42" s="264"/>
      <c r="F42" s="265"/>
      <c r="G42" s="265"/>
      <c r="H42" s="265"/>
      <c r="I42" s="283"/>
      <c r="J42" s="269"/>
      <c r="K42" s="270"/>
      <c r="L42" s="270"/>
      <c r="M42" s="271"/>
      <c r="N42" s="272"/>
      <c r="O42" s="272"/>
      <c r="P42" s="272"/>
      <c r="Q42" s="272"/>
      <c r="R42" s="271"/>
      <c r="S42" s="271"/>
      <c r="T42" s="265"/>
      <c r="U42" s="265"/>
      <c r="V42" s="265"/>
      <c r="W42" s="265"/>
      <c r="X42" s="284"/>
      <c r="Y42" s="275"/>
      <c r="Z42" s="275"/>
      <c r="AA42" s="276"/>
      <c r="AB42" s="285"/>
      <c r="AC42" s="264"/>
      <c r="AD42" s="264"/>
      <c r="AE42" s="278"/>
      <c r="AF42" s="265"/>
      <c r="AG42" s="264"/>
      <c r="AH42" s="279"/>
      <c r="AI42" s="280"/>
      <c r="AJ42" s="265"/>
      <c r="AK42" s="265"/>
      <c r="AL42" s="265"/>
      <c r="AM42" s="265"/>
      <c r="AN42" s="265"/>
      <c r="AO42" s="265"/>
      <c r="AP42" s="265"/>
      <c r="AQ42" s="265"/>
      <c r="AR42" s="265"/>
      <c r="AS42" s="265"/>
      <c r="AT42" s="265"/>
    </row>
    <row r="43" spans="1:46" s="14" customFormat="1">
      <c r="A43" s="265"/>
      <c r="B43" s="265"/>
      <c r="C43" s="265"/>
      <c r="D43" s="265"/>
      <c r="E43" s="265"/>
      <c r="F43" s="265"/>
      <c r="G43" s="265"/>
      <c r="H43" s="265"/>
      <c r="I43" s="265"/>
      <c r="J43" s="265"/>
      <c r="K43" s="270"/>
      <c r="L43" s="270"/>
      <c r="M43" s="271"/>
      <c r="N43" s="272"/>
      <c r="O43" s="272"/>
      <c r="P43" s="272"/>
      <c r="Q43" s="272"/>
      <c r="R43" s="271"/>
      <c r="S43" s="271"/>
      <c r="T43" s="265"/>
      <c r="U43" s="265"/>
      <c r="V43" s="265"/>
      <c r="W43" s="265"/>
      <c r="X43" s="265"/>
      <c r="Y43" s="265"/>
      <c r="Z43" s="265"/>
      <c r="AA43" s="265"/>
      <c r="AB43" s="265"/>
      <c r="AC43" s="265"/>
      <c r="AD43" s="265"/>
      <c r="AE43" s="265"/>
      <c r="AF43" s="265"/>
      <c r="AG43" s="265"/>
      <c r="AH43" s="265"/>
      <c r="AI43" s="265"/>
      <c r="AJ43" s="265"/>
      <c r="AK43" s="265"/>
      <c r="AL43" s="265"/>
      <c r="AM43" s="265"/>
      <c r="AN43" s="265"/>
      <c r="AO43" s="265"/>
      <c r="AP43" s="265"/>
      <c r="AQ43" s="265"/>
      <c r="AR43" s="265"/>
      <c r="AS43" s="265"/>
      <c r="AT43" s="265"/>
    </row>
    <row r="44" spans="1:46" s="14" customFormat="1">
      <c r="A44" s="265"/>
      <c r="B44" s="265"/>
      <c r="C44" s="265"/>
      <c r="D44" s="265"/>
      <c r="E44" s="265"/>
      <c r="F44" s="265"/>
      <c r="G44" s="265"/>
      <c r="H44" s="265"/>
      <c r="I44" s="265"/>
      <c r="J44" s="265"/>
      <c r="K44" s="270"/>
      <c r="L44" s="270"/>
      <c r="M44" s="271"/>
      <c r="N44" s="272"/>
      <c r="O44" s="272"/>
      <c r="P44" s="272"/>
      <c r="Q44" s="272"/>
      <c r="R44" s="271"/>
      <c r="S44" s="271"/>
      <c r="T44" s="265"/>
      <c r="U44" s="265"/>
      <c r="V44" s="265"/>
      <c r="W44" s="265"/>
      <c r="X44" s="265"/>
      <c r="Y44" s="265"/>
      <c r="Z44" s="265"/>
      <c r="AA44" s="265"/>
      <c r="AB44" s="265"/>
      <c r="AC44" s="265"/>
      <c r="AD44" s="265"/>
      <c r="AE44" s="265"/>
      <c r="AF44" s="265"/>
      <c r="AG44" s="265"/>
      <c r="AH44" s="265"/>
      <c r="AI44" s="265"/>
      <c r="AJ44" s="265"/>
      <c r="AK44" s="265"/>
      <c r="AL44" s="265"/>
      <c r="AM44" s="265"/>
      <c r="AN44" s="265"/>
      <c r="AO44" s="265"/>
      <c r="AP44" s="265"/>
      <c r="AQ44" s="265"/>
      <c r="AR44" s="265"/>
      <c r="AS44" s="265"/>
      <c r="AT44" s="265"/>
    </row>
    <row r="45" spans="1:46" s="14" customFormat="1">
      <c r="A45" s="265"/>
      <c r="B45" s="265"/>
      <c r="C45" s="265"/>
      <c r="D45" s="265"/>
      <c r="E45" s="265"/>
      <c r="F45" s="265"/>
      <c r="G45" s="265"/>
      <c r="H45" s="265"/>
      <c r="I45" s="265"/>
      <c r="J45" s="265"/>
      <c r="K45" s="270"/>
      <c r="L45" s="270"/>
      <c r="M45" s="271"/>
      <c r="N45" s="272"/>
      <c r="O45" s="272"/>
      <c r="P45" s="272"/>
      <c r="Q45" s="272"/>
      <c r="R45" s="271"/>
      <c r="S45" s="271"/>
      <c r="T45" s="265"/>
      <c r="U45" s="265"/>
      <c r="V45" s="265"/>
      <c r="W45" s="265"/>
      <c r="X45" s="265"/>
      <c r="Y45" s="265"/>
      <c r="Z45" s="265"/>
      <c r="AA45" s="265"/>
      <c r="AB45" s="265"/>
      <c r="AC45" s="265"/>
      <c r="AD45" s="265"/>
      <c r="AE45" s="265"/>
      <c r="AF45" s="265"/>
      <c r="AG45" s="265"/>
      <c r="AH45" s="265"/>
      <c r="AI45" s="265"/>
      <c r="AJ45" s="265"/>
      <c r="AK45" s="265"/>
      <c r="AL45" s="265"/>
      <c r="AM45" s="265"/>
      <c r="AN45" s="265"/>
      <c r="AO45" s="265"/>
      <c r="AP45" s="265"/>
      <c r="AQ45" s="265"/>
      <c r="AR45" s="265"/>
      <c r="AS45" s="265"/>
      <c r="AT45" s="265"/>
    </row>
    <row r="46" spans="1:46" s="14" customFormat="1">
      <c r="A46" s="265"/>
      <c r="B46" s="265"/>
      <c r="C46" s="265"/>
      <c r="D46" s="265"/>
      <c r="E46" s="265"/>
      <c r="F46" s="265"/>
      <c r="G46" s="265"/>
      <c r="H46" s="265"/>
      <c r="I46" s="265"/>
      <c r="J46" s="265"/>
      <c r="K46" s="270"/>
      <c r="L46" s="270"/>
      <c r="M46" s="271"/>
      <c r="N46" s="272"/>
      <c r="O46" s="272"/>
      <c r="P46" s="272"/>
      <c r="Q46" s="272"/>
      <c r="R46" s="271"/>
      <c r="S46" s="271"/>
      <c r="T46" s="265"/>
      <c r="U46" s="265"/>
      <c r="V46" s="265"/>
      <c r="W46" s="265"/>
      <c r="X46" s="265"/>
      <c r="Y46" s="265"/>
      <c r="Z46" s="265"/>
      <c r="AA46" s="265"/>
      <c r="AB46" s="265"/>
      <c r="AC46" s="265"/>
      <c r="AD46" s="265"/>
      <c r="AE46" s="265"/>
      <c r="AF46" s="265"/>
      <c r="AG46" s="265"/>
      <c r="AH46" s="265"/>
      <c r="AI46" s="265"/>
      <c r="AJ46" s="265"/>
      <c r="AK46" s="265"/>
      <c r="AL46" s="265"/>
      <c r="AM46" s="265"/>
      <c r="AN46" s="265"/>
      <c r="AO46" s="265"/>
      <c r="AP46" s="265"/>
      <c r="AQ46" s="265"/>
      <c r="AR46" s="265"/>
      <c r="AS46" s="265"/>
      <c r="AT46" s="265"/>
    </row>
    <row r="47" spans="1:46" s="14" customFormat="1">
      <c r="A47" s="265"/>
      <c r="B47" s="265"/>
      <c r="C47" s="265"/>
      <c r="D47" s="265"/>
      <c r="E47" s="265"/>
      <c r="F47" s="265"/>
      <c r="G47" s="265"/>
      <c r="H47" s="265"/>
      <c r="I47" s="265"/>
      <c r="J47" s="265"/>
      <c r="K47" s="270"/>
      <c r="L47" s="270"/>
      <c r="M47" s="271"/>
      <c r="N47" s="272"/>
      <c r="O47" s="272"/>
      <c r="P47" s="272"/>
      <c r="Q47" s="272"/>
      <c r="R47" s="271"/>
      <c r="S47" s="271"/>
      <c r="T47" s="265"/>
      <c r="U47" s="265"/>
      <c r="V47" s="265"/>
      <c r="W47" s="265"/>
      <c r="X47" s="265"/>
      <c r="Y47" s="265"/>
      <c r="Z47" s="265"/>
      <c r="AA47" s="265"/>
      <c r="AB47" s="265"/>
      <c r="AC47" s="265"/>
      <c r="AD47" s="265"/>
      <c r="AE47" s="265"/>
      <c r="AF47" s="265"/>
      <c r="AG47" s="265"/>
      <c r="AH47" s="265"/>
      <c r="AI47" s="265"/>
      <c r="AJ47" s="265"/>
      <c r="AK47" s="265"/>
      <c r="AL47" s="265"/>
      <c r="AM47" s="265"/>
      <c r="AN47" s="265"/>
      <c r="AO47" s="265"/>
      <c r="AP47" s="265"/>
      <c r="AQ47" s="265"/>
      <c r="AR47" s="265"/>
      <c r="AS47" s="265"/>
      <c r="AT47" s="265"/>
    </row>
    <row r="48" spans="1:46" s="14" customFormat="1">
      <c r="A48" s="265"/>
      <c r="B48" s="265"/>
      <c r="C48" s="265"/>
      <c r="D48" s="265"/>
      <c r="E48" s="265"/>
      <c r="F48" s="265"/>
      <c r="G48" s="265"/>
      <c r="H48" s="265"/>
      <c r="I48" s="265"/>
      <c r="J48" s="265"/>
      <c r="K48" s="270"/>
      <c r="L48" s="270"/>
      <c r="M48" s="271"/>
      <c r="N48" s="272"/>
      <c r="O48" s="272"/>
      <c r="P48" s="272"/>
      <c r="Q48" s="272"/>
      <c r="R48" s="271"/>
      <c r="S48" s="271"/>
      <c r="T48" s="265"/>
      <c r="U48" s="265"/>
      <c r="V48" s="265"/>
      <c r="W48" s="265"/>
      <c r="X48" s="265"/>
      <c r="Y48" s="265"/>
      <c r="Z48" s="265"/>
      <c r="AA48" s="265"/>
      <c r="AB48" s="265"/>
      <c r="AC48" s="265"/>
      <c r="AD48" s="265"/>
      <c r="AE48" s="265"/>
      <c r="AF48" s="265"/>
      <c r="AG48" s="265"/>
      <c r="AH48" s="265"/>
      <c r="AI48" s="265"/>
      <c r="AJ48" s="265"/>
      <c r="AK48" s="265"/>
      <c r="AL48" s="265"/>
      <c r="AM48" s="265"/>
      <c r="AN48" s="265"/>
      <c r="AO48" s="265"/>
      <c r="AP48" s="265"/>
      <c r="AQ48" s="265"/>
      <c r="AR48" s="265"/>
      <c r="AS48" s="265"/>
      <c r="AT48" s="265"/>
    </row>
    <row r="49" spans="1:46" s="14" customFormat="1">
      <c r="A49" s="265"/>
      <c r="B49" s="265"/>
      <c r="C49" s="265"/>
      <c r="D49" s="265"/>
      <c r="E49" s="265"/>
      <c r="F49" s="265"/>
      <c r="G49" s="265"/>
      <c r="H49" s="265"/>
      <c r="I49" s="265"/>
      <c r="J49" s="265"/>
      <c r="K49" s="266"/>
      <c r="L49" s="266"/>
      <c r="M49" s="286"/>
      <c r="N49" s="287"/>
      <c r="O49" s="287"/>
      <c r="P49" s="287"/>
      <c r="Q49" s="287"/>
      <c r="R49" s="286"/>
      <c r="S49" s="286"/>
      <c r="T49" s="265"/>
      <c r="U49" s="265"/>
      <c r="V49" s="265"/>
      <c r="W49" s="265"/>
      <c r="X49" s="265"/>
      <c r="Y49" s="265"/>
      <c r="Z49" s="265"/>
      <c r="AA49" s="265"/>
      <c r="AB49" s="265"/>
      <c r="AC49" s="265"/>
      <c r="AD49" s="265"/>
      <c r="AE49" s="265"/>
      <c r="AF49" s="265"/>
      <c r="AG49" s="265"/>
      <c r="AH49" s="265"/>
      <c r="AI49" s="265"/>
      <c r="AJ49" s="265"/>
      <c r="AK49" s="265"/>
      <c r="AL49" s="265"/>
      <c r="AM49" s="265"/>
      <c r="AN49" s="265"/>
      <c r="AO49" s="265"/>
      <c r="AP49" s="265"/>
      <c r="AQ49" s="265"/>
      <c r="AR49" s="265"/>
      <c r="AS49" s="265"/>
      <c r="AT49" s="265"/>
    </row>
    <row r="50" spans="1:46" s="14" customFormat="1">
      <c r="A50" s="265"/>
      <c r="B50" s="265"/>
      <c r="C50" s="265"/>
      <c r="D50" s="265"/>
      <c r="E50" s="265"/>
      <c r="F50" s="265"/>
      <c r="G50" s="265"/>
      <c r="H50" s="265"/>
      <c r="I50" s="265"/>
      <c r="J50" s="265"/>
      <c r="K50" s="266"/>
      <c r="L50" s="266"/>
      <c r="M50" s="286"/>
      <c r="N50" s="287"/>
      <c r="O50" s="287"/>
      <c r="P50" s="287"/>
      <c r="Q50" s="287"/>
      <c r="R50" s="286"/>
      <c r="S50" s="286"/>
      <c r="T50" s="265"/>
      <c r="U50" s="265"/>
      <c r="V50" s="265"/>
      <c r="W50" s="265"/>
      <c r="X50" s="265"/>
      <c r="Y50" s="265"/>
      <c r="Z50" s="265"/>
      <c r="AA50" s="265"/>
      <c r="AB50" s="265"/>
      <c r="AC50" s="265"/>
      <c r="AD50" s="265"/>
      <c r="AE50" s="265"/>
      <c r="AF50" s="265"/>
      <c r="AG50" s="265"/>
      <c r="AH50" s="265"/>
      <c r="AI50" s="265"/>
      <c r="AJ50" s="265"/>
      <c r="AK50" s="265"/>
      <c r="AL50" s="265"/>
      <c r="AM50" s="265"/>
      <c r="AN50" s="265"/>
      <c r="AO50" s="265"/>
      <c r="AP50" s="265"/>
      <c r="AQ50" s="265"/>
      <c r="AR50" s="265"/>
      <c r="AS50" s="265"/>
      <c r="AT50" s="265"/>
    </row>
    <row r="51" spans="1:46" s="14" customFormat="1">
      <c r="A51" s="265"/>
      <c r="B51" s="265"/>
      <c r="C51" s="265"/>
      <c r="D51" s="265"/>
      <c r="E51" s="265"/>
      <c r="F51" s="265"/>
      <c r="G51" s="265"/>
      <c r="H51" s="265"/>
      <c r="I51" s="265"/>
      <c r="J51" s="265"/>
      <c r="K51" s="266"/>
      <c r="L51" s="266"/>
      <c r="M51" s="286"/>
      <c r="N51" s="287"/>
      <c r="O51" s="287"/>
      <c r="P51" s="287"/>
      <c r="Q51" s="287"/>
      <c r="R51" s="286"/>
      <c r="S51" s="286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</row>
    <row r="52" spans="1:46" s="14" customFormat="1">
      <c r="A52" s="265"/>
      <c r="B52" s="265"/>
      <c r="C52" s="265"/>
      <c r="D52" s="265"/>
      <c r="E52" s="265"/>
      <c r="F52" s="265"/>
      <c r="G52" s="265"/>
      <c r="H52" s="265"/>
      <c r="I52" s="265"/>
      <c r="J52" s="265"/>
      <c r="K52" s="266"/>
      <c r="L52" s="266"/>
      <c r="M52" s="286"/>
      <c r="N52" s="287"/>
      <c r="O52" s="287"/>
      <c r="P52" s="287"/>
      <c r="Q52" s="287"/>
      <c r="R52" s="286"/>
      <c r="S52" s="286"/>
      <c r="T52" s="265"/>
      <c r="U52" s="265"/>
      <c r="V52" s="265"/>
      <c r="W52" s="265"/>
      <c r="X52" s="265"/>
      <c r="Y52" s="265"/>
      <c r="Z52" s="265"/>
      <c r="AA52" s="265"/>
      <c r="AB52" s="265"/>
      <c r="AC52" s="265"/>
      <c r="AD52" s="265"/>
      <c r="AE52" s="265"/>
      <c r="AF52" s="265"/>
      <c r="AG52" s="265"/>
      <c r="AH52" s="265"/>
      <c r="AI52" s="265"/>
      <c r="AJ52" s="265"/>
      <c r="AK52" s="265"/>
      <c r="AL52" s="265"/>
      <c r="AM52" s="265"/>
      <c r="AN52" s="265"/>
      <c r="AO52" s="265"/>
      <c r="AP52" s="265"/>
      <c r="AQ52" s="265"/>
      <c r="AR52" s="265"/>
      <c r="AS52" s="265"/>
      <c r="AT52" s="265"/>
    </row>
    <row r="53" spans="1:46" s="14" customFormat="1">
      <c r="A53" s="265"/>
      <c r="B53" s="265"/>
      <c r="C53" s="265"/>
      <c r="D53" s="265"/>
      <c r="E53" s="265"/>
      <c r="F53" s="265"/>
      <c r="G53" s="265"/>
      <c r="H53" s="265"/>
      <c r="I53" s="265"/>
      <c r="J53" s="265"/>
      <c r="K53" s="266"/>
      <c r="L53" s="266"/>
      <c r="M53" s="286"/>
      <c r="N53" s="287"/>
      <c r="O53" s="287"/>
      <c r="P53" s="287"/>
      <c r="Q53" s="287"/>
      <c r="R53" s="286"/>
      <c r="S53" s="286"/>
      <c r="T53" s="265"/>
      <c r="U53" s="265"/>
      <c r="V53" s="265"/>
      <c r="W53" s="265"/>
      <c r="X53" s="265"/>
      <c r="Y53" s="265"/>
      <c r="Z53" s="265"/>
      <c r="AA53" s="265"/>
      <c r="AB53" s="265"/>
      <c r="AC53" s="265"/>
      <c r="AD53" s="265"/>
      <c r="AE53" s="265"/>
      <c r="AF53" s="265"/>
      <c r="AG53" s="265"/>
      <c r="AH53" s="265"/>
      <c r="AI53" s="265"/>
      <c r="AJ53" s="265"/>
      <c r="AK53" s="265"/>
      <c r="AL53" s="265"/>
      <c r="AM53" s="265"/>
      <c r="AN53" s="265"/>
      <c r="AO53" s="265"/>
      <c r="AP53" s="265"/>
      <c r="AQ53" s="265"/>
      <c r="AR53" s="265"/>
      <c r="AS53" s="265"/>
      <c r="AT53" s="265"/>
    </row>
    <row r="54" spans="1:46" s="14" customFormat="1">
      <c r="A54" s="265"/>
      <c r="B54" s="265"/>
      <c r="C54" s="265"/>
      <c r="D54" s="265"/>
      <c r="E54" s="265"/>
      <c r="F54" s="265"/>
      <c r="G54" s="265"/>
      <c r="H54" s="265"/>
      <c r="I54" s="265"/>
      <c r="J54" s="265"/>
      <c r="K54" s="266"/>
      <c r="L54" s="266"/>
      <c r="M54" s="286"/>
      <c r="N54" s="287"/>
      <c r="O54" s="287"/>
      <c r="P54" s="287"/>
      <c r="Q54" s="287"/>
      <c r="R54" s="286"/>
      <c r="S54" s="286"/>
      <c r="T54" s="265"/>
      <c r="U54" s="265"/>
      <c r="V54" s="265"/>
      <c r="W54" s="265"/>
      <c r="X54" s="265"/>
      <c r="Y54" s="265"/>
      <c r="Z54" s="265"/>
      <c r="AA54" s="265"/>
      <c r="AB54" s="265"/>
      <c r="AC54" s="265"/>
      <c r="AD54" s="265"/>
      <c r="AE54" s="265"/>
      <c r="AF54" s="265"/>
      <c r="AG54" s="265"/>
      <c r="AH54" s="265"/>
      <c r="AI54" s="265"/>
      <c r="AJ54" s="265"/>
      <c r="AK54" s="265"/>
      <c r="AL54" s="265"/>
      <c r="AM54" s="265"/>
      <c r="AN54" s="265"/>
      <c r="AO54" s="265"/>
      <c r="AP54" s="265"/>
      <c r="AQ54" s="265"/>
      <c r="AR54" s="265"/>
      <c r="AS54" s="265"/>
      <c r="AT54" s="265"/>
    </row>
    <row r="55" spans="1:46" s="14" customFormat="1">
      <c r="A55" s="265"/>
      <c r="B55" s="265"/>
      <c r="C55" s="265"/>
      <c r="D55" s="265"/>
      <c r="E55" s="265"/>
      <c r="F55" s="265"/>
      <c r="G55" s="265"/>
      <c r="H55" s="265"/>
      <c r="I55" s="265"/>
      <c r="J55" s="265"/>
      <c r="K55" s="266"/>
      <c r="L55" s="266"/>
      <c r="M55" s="286"/>
      <c r="N55" s="287"/>
      <c r="O55" s="287"/>
      <c r="P55" s="287"/>
      <c r="Q55" s="287"/>
      <c r="R55" s="286"/>
      <c r="S55" s="286"/>
      <c r="T55" s="265"/>
      <c r="U55" s="265"/>
      <c r="V55" s="265"/>
      <c r="W55" s="265"/>
      <c r="X55" s="265"/>
      <c r="Y55" s="265"/>
      <c r="Z55" s="265"/>
      <c r="AA55" s="265"/>
      <c r="AB55" s="265"/>
      <c r="AC55" s="265"/>
      <c r="AD55" s="265"/>
      <c r="AE55" s="265"/>
      <c r="AF55" s="265"/>
      <c r="AG55" s="265"/>
      <c r="AH55" s="265"/>
      <c r="AI55" s="265"/>
      <c r="AJ55" s="265"/>
      <c r="AK55" s="265"/>
      <c r="AL55" s="265"/>
      <c r="AM55" s="265"/>
      <c r="AN55" s="265"/>
      <c r="AO55" s="265"/>
      <c r="AP55" s="265"/>
      <c r="AQ55" s="265"/>
      <c r="AR55" s="265"/>
      <c r="AS55" s="265"/>
      <c r="AT55" s="265"/>
    </row>
    <row r="56" spans="1:46" s="14" customFormat="1">
      <c r="A56" s="265"/>
      <c r="B56" s="265"/>
      <c r="C56" s="265"/>
      <c r="D56" s="265"/>
      <c r="E56" s="265"/>
      <c r="F56" s="265"/>
      <c r="G56" s="265"/>
      <c r="H56" s="265"/>
      <c r="I56" s="265"/>
      <c r="J56" s="265"/>
      <c r="K56" s="266"/>
      <c r="L56" s="266"/>
      <c r="M56" s="286"/>
      <c r="N56" s="287"/>
      <c r="O56" s="287"/>
      <c r="P56" s="287"/>
      <c r="Q56" s="287"/>
      <c r="R56" s="286"/>
      <c r="S56" s="286"/>
      <c r="T56" s="265"/>
      <c r="U56" s="265"/>
      <c r="V56" s="265"/>
      <c r="W56" s="265"/>
      <c r="X56" s="265"/>
      <c r="Y56" s="265"/>
      <c r="Z56" s="265"/>
      <c r="AA56" s="265"/>
      <c r="AB56" s="265"/>
      <c r="AC56" s="265"/>
      <c r="AD56" s="265"/>
      <c r="AE56" s="265"/>
      <c r="AF56" s="265"/>
      <c r="AG56" s="265"/>
      <c r="AH56" s="265"/>
      <c r="AI56" s="265"/>
      <c r="AJ56" s="265"/>
      <c r="AK56" s="265"/>
      <c r="AL56" s="265"/>
      <c r="AM56" s="265"/>
      <c r="AN56" s="265"/>
      <c r="AO56" s="265"/>
      <c r="AP56" s="265"/>
      <c r="AQ56" s="265"/>
      <c r="AR56" s="265"/>
      <c r="AS56" s="265"/>
      <c r="AT56" s="265"/>
    </row>
    <row r="57" spans="1:46" s="14" customFormat="1">
      <c r="A57" s="265"/>
      <c r="B57" s="265"/>
      <c r="C57" s="265"/>
      <c r="D57" s="265"/>
      <c r="E57" s="265"/>
      <c r="F57" s="265"/>
      <c r="G57" s="265"/>
      <c r="H57" s="265"/>
      <c r="I57" s="265"/>
      <c r="J57" s="265"/>
      <c r="K57" s="266"/>
      <c r="L57" s="266"/>
      <c r="M57" s="286"/>
      <c r="N57" s="287"/>
      <c r="O57" s="287"/>
      <c r="P57" s="287"/>
      <c r="Q57" s="287"/>
      <c r="R57" s="286"/>
      <c r="S57" s="286"/>
      <c r="T57" s="265"/>
      <c r="U57" s="265"/>
      <c r="V57" s="265"/>
      <c r="W57" s="265"/>
      <c r="X57" s="265"/>
      <c r="Y57" s="265"/>
      <c r="Z57" s="265"/>
      <c r="AA57" s="265"/>
      <c r="AB57" s="265"/>
      <c r="AC57" s="265"/>
      <c r="AD57" s="265"/>
      <c r="AE57" s="265"/>
      <c r="AF57" s="265"/>
      <c r="AG57" s="265"/>
      <c r="AH57" s="265"/>
      <c r="AI57" s="265"/>
      <c r="AJ57" s="265"/>
      <c r="AK57" s="265"/>
      <c r="AL57" s="265"/>
      <c r="AM57" s="265"/>
      <c r="AN57" s="265"/>
      <c r="AO57" s="265"/>
      <c r="AP57" s="265"/>
      <c r="AQ57" s="265"/>
      <c r="AR57" s="265"/>
      <c r="AS57" s="265"/>
      <c r="AT57" s="265"/>
    </row>
    <row r="58" spans="1:46" s="14" customFormat="1">
      <c r="A58" s="265"/>
      <c r="B58" s="265"/>
      <c r="C58" s="265"/>
      <c r="D58" s="265"/>
      <c r="E58" s="265"/>
      <c r="F58" s="265"/>
      <c r="G58" s="265"/>
      <c r="H58" s="265"/>
      <c r="I58" s="265"/>
      <c r="J58" s="265"/>
      <c r="K58" s="266"/>
      <c r="L58" s="266"/>
      <c r="M58" s="286"/>
      <c r="N58" s="287"/>
      <c r="O58" s="287"/>
      <c r="P58" s="287"/>
      <c r="Q58" s="287"/>
      <c r="R58" s="286"/>
      <c r="S58" s="286"/>
      <c r="T58" s="265"/>
      <c r="U58" s="265"/>
      <c r="V58" s="265"/>
      <c r="W58" s="265"/>
      <c r="X58" s="265"/>
      <c r="Y58" s="265"/>
      <c r="Z58" s="265"/>
      <c r="AA58" s="265"/>
      <c r="AB58" s="265"/>
      <c r="AC58" s="265"/>
      <c r="AD58" s="265"/>
      <c r="AE58" s="265"/>
      <c r="AF58" s="265"/>
      <c r="AG58" s="265"/>
      <c r="AH58" s="265"/>
      <c r="AI58" s="265"/>
      <c r="AJ58" s="265"/>
      <c r="AK58" s="265"/>
      <c r="AL58" s="265"/>
      <c r="AM58" s="265"/>
      <c r="AN58" s="265"/>
      <c r="AO58" s="265"/>
      <c r="AP58" s="265"/>
      <c r="AQ58" s="265"/>
      <c r="AR58" s="265"/>
      <c r="AS58" s="265"/>
      <c r="AT58" s="265"/>
    </row>
    <row r="59" spans="1:46" s="14" customFormat="1">
      <c r="A59" s="265"/>
      <c r="B59" s="265"/>
      <c r="C59" s="265"/>
      <c r="D59" s="265"/>
      <c r="E59" s="265"/>
      <c r="F59" s="265"/>
      <c r="G59" s="265"/>
      <c r="H59" s="265"/>
      <c r="I59" s="265"/>
      <c r="J59" s="265"/>
      <c r="K59" s="266"/>
      <c r="L59" s="266"/>
      <c r="M59" s="286"/>
      <c r="N59" s="287"/>
      <c r="O59" s="287"/>
      <c r="P59" s="287"/>
      <c r="Q59" s="287"/>
      <c r="R59" s="286"/>
      <c r="S59" s="286"/>
      <c r="T59" s="265"/>
      <c r="U59" s="265"/>
      <c r="V59" s="265"/>
      <c r="W59" s="265"/>
      <c r="X59" s="265"/>
      <c r="Y59" s="265"/>
      <c r="Z59" s="265"/>
      <c r="AA59" s="265"/>
      <c r="AB59" s="265"/>
      <c r="AC59" s="265"/>
      <c r="AD59" s="265"/>
      <c r="AE59" s="265"/>
      <c r="AF59" s="265"/>
      <c r="AG59" s="265"/>
      <c r="AH59" s="265"/>
      <c r="AI59" s="265"/>
      <c r="AJ59" s="265"/>
      <c r="AK59" s="265"/>
      <c r="AL59" s="265"/>
      <c r="AM59" s="265"/>
      <c r="AN59" s="265"/>
      <c r="AO59" s="265"/>
      <c r="AP59" s="265"/>
      <c r="AQ59" s="265"/>
      <c r="AR59" s="265"/>
      <c r="AS59" s="265"/>
      <c r="AT59" s="265"/>
    </row>
    <row r="60" spans="1:46" s="14" customFormat="1">
      <c r="A60" s="265"/>
      <c r="B60" s="265"/>
      <c r="C60" s="265"/>
      <c r="D60" s="265"/>
      <c r="E60" s="265"/>
      <c r="F60" s="265"/>
      <c r="G60" s="265"/>
      <c r="H60" s="265"/>
      <c r="I60" s="265"/>
      <c r="J60" s="265"/>
      <c r="K60" s="266"/>
      <c r="L60" s="266"/>
      <c r="M60" s="286"/>
      <c r="N60" s="287"/>
      <c r="O60" s="287"/>
      <c r="P60" s="287"/>
      <c r="Q60" s="287"/>
      <c r="R60" s="286"/>
      <c r="S60" s="286"/>
      <c r="T60" s="265"/>
      <c r="U60" s="265"/>
      <c r="V60" s="265"/>
      <c r="W60" s="265"/>
      <c r="X60" s="265"/>
      <c r="Y60" s="265"/>
      <c r="Z60" s="265"/>
      <c r="AA60" s="265"/>
      <c r="AB60" s="265"/>
      <c r="AC60" s="265"/>
      <c r="AD60" s="265"/>
      <c r="AE60" s="265"/>
      <c r="AF60" s="265"/>
      <c r="AG60" s="265"/>
      <c r="AH60" s="265"/>
      <c r="AI60" s="265"/>
      <c r="AJ60" s="265"/>
      <c r="AK60" s="265"/>
      <c r="AL60" s="265"/>
      <c r="AM60" s="265"/>
      <c r="AN60" s="265"/>
      <c r="AO60" s="265"/>
      <c r="AP60" s="265"/>
      <c r="AQ60" s="265"/>
      <c r="AR60" s="265"/>
      <c r="AS60" s="265"/>
      <c r="AT60" s="265"/>
    </row>
    <row r="61" spans="1:46" s="14" customFormat="1">
      <c r="A61" s="265"/>
      <c r="B61" s="265"/>
      <c r="C61" s="265"/>
      <c r="D61" s="265"/>
      <c r="E61" s="265"/>
      <c r="F61" s="265"/>
      <c r="G61" s="265"/>
      <c r="H61" s="265"/>
      <c r="I61" s="265"/>
      <c r="J61" s="265"/>
      <c r="K61" s="266"/>
      <c r="L61" s="266"/>
      <c r="M61" s="286"/>
      <c r="N61" s="287"/>
      <c r="O61" s="287"/>
      <c r="P61" s="287"/>
      <c r="Q61" s="287"/>
      <c r="R61" s="286"/>
      <c r="S61" s="286"/>
      <c r="T61" s="265"/>
      <c r="U61" s="265"/>
      <c r="V61" s="265"/>
      <c r="W61" s="265"/>
      <c r="X61" s="265"/>
      <c r="Y61" s="265"/>
      <c r="Z61" s="265"/>
      <c r="AA61" s="265"/>
      <c r="AB61" s="265"/>
      <c r="AC61" s="265"/>
      <c r="AD61" s="265"/>
      <c r="AE61" s="265"/>
      <c r="AF61" s="265"/>
      <c r="AG61" s="265"/>
      <c r="AH61" s="265"/>
      <c r="AI61" s="265"/>
      <c r="AJ61" s="265"/>
      <c r="AK61" s="265"/>
      <c r="AL61" s="265"/>
      <c r="AM61" s="265"/>
      <c r="AN61" s="265"/>
      <c r="AO61" s="265"/>
      <c r="AP61" s="265"/>
      <c r="AQ61" s="265"/>
      <c r="AR61" s="265"/>
      <c r="AS61" s="265"/>
      <c r="AT61" s="265"/>
    </row>
    <row r="62" spans="1:46" s="14" customFormat="1">
      <c r="A62" s="265"/>
      <c r="B62" s="265"/>
      <c r="C62" s="265"/>
      <c r="D62" s="265"/>
      <c r="E62" s="265"/>
      <c r="F62" s="265"/>
      <c r="G62" s="265"/>
      <c r="H62" s="265"/>
      <c r="I62" s="265"/>
      <c r="J62" s="265"/>
      <c r="K62" s="266"/>
      <c r="L62" s="266"/>
      <c r="M62" s="286"/>
      <c r="N62" s="287"/>
      <c r="O62" s="287"/>
      <c r="P62" s="287"/>
      <c r="Q62" s="287"/>
      <c r="R62" s="286"/>
      <c r="S62" s="286"/>
      <c r="T62" s="265"/>
      <c r="U62" s="265"/>
      <c r="V62" s="265"/>
      <c r="W62" s="265"/>
      <c r="X62" s="265"/>
      <c r="Y62" s="265"/>
      <c r="Z62" s="265"/>
      <c r="AA62" s="265"/>
      <c r="AB62" s="265"/>
      <c r="AC62" s="265"/>
      <c r="AD62" s="265"/>
      <c r="AE62" s="265"/>
      <c r="AF62" s="265"/>
      <c r="AG62" s="265"/>
      <c r="AH62" s="265"/>
      <c r="AI62" s="265"/>
      <c r="AJ62" s="265"/>
      <c r="AK62" s="265"/>
      <c r="AL62" s="265"/>
      <c r="AM62" s="265"/>
      <c r="AN62" s="265"/>
      <c r="AO62" s="265"/>
      <c r="AP62" s="265"/>
      <c r="AQ62" s="265"/>
      <c r="AR62" s="265"/>
      <c r="AS62" s="265"/>
      <c r="AT62" s="265"/>
    </row>
    <row r="63" spans="1:46" s="14" customFormat="1">
      <c r="A63" s="265"/>
      <c r="B63" s="265"/>
      <c r="C63" s="265"/>
      <c r="D63" s="265"/>
      <c r="E63" s="265"/>
      <c r="F63" s="265"/>
      <c r="G63" s="265"/>
      <c r="H63" s="265"/>
      <c r="I63" s="265"/>
      <c r="J63" s="265"/>
      <c r="K63" s="266"/>
      <c r="L63" s="266"/>
      <c r="M63" s="286"/>
      <c r="N63" s="287"/>
      <c r="O63" s="287"/>
      <c r="P63" s="287"/>
      <c r="Q63" s="287"/>
      <c r="R63" s="286"/>
      <c r="S63" s="286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</row>
    <row r="64" spans="1:46" s="14" customFormat="1">
      <c r="A64" s="265"/>
      <c r="B64" s="265"/>
      <c r="C64" s="265"/>
      <c r="D64" s="265"/>
      <c r="E64" s="265"/>
      <c r="F64" s="265"/>
      <c r="G64" s="265"/>
      <c r="H64" s="265"/>
      <c r="I64" s="265"/>
      <c r="J64" s="265"/>
      <c r="K64" s="266"/>
      <c r="L64" s="266"/>
      <c r="M64" s="286"/>
      <c r="N64" s="287"/>
      <c r="O64" s="287"/>
      <c r="P64" s="287"/>
      <c r="Q64" s="287"/>
      <c r="R64" s="286"/>
      <c r="S64" s="286"/>
      <c r="T64" s="265"/>
      <c r="U64" s="265"/>
      <c r="V64" s="265"/>
      <c r="W64" s="265"/>
      <c r="X64" s="265"/>
      <c r="Y64" s="265"/>
      <c r="Z64" s="265"/>
      <c r="AA64" s="265"/>
      <c r="AB64" s="265"/>
      <c r="AC64" s="265"/>
      <c r="AD64" s="265"/>
      <c r="AE64" s="265"/>
      <c r="AF64" s="265"/>
      <c r="AG64" s="265"/>
      <c r="AH64" s="265"/>
      <c r="AI64" s="265"/>
      <c r="AJ64" s="265"/>
      <c r="AK64" s="265"/>
      <c r="AL64" s="265"/>
      <c r="AM64" s="265"/>
      <c r="AN64" s="265"/>
      <c r="AO64" s="265"/>
      <c r="AP64" s="265"/>
      <c r="AQ64" s="265"/>
      <c r="AR64" s="265"/>
      <c r="AS64" s="265"/>
      <c r="AT64" s="265"/>
    </row>
    <row r="65" spans="1:46" s="14" customFormat="1">
      <c r="A65" s="265"/>
      <c r="B65" s="265"/>
      <c r="C65" s="265"/>
      <c r="D65" s="265"/>
      <c r="E65" s="265"/>
      <c r="F65" s="265"/>
      <c r="G65" s="265"/>
      <c r="H65" s="265"/>
      <c r="I65" s="265"/>
      <c r="J65" s="265"/>
      <c r="K65" s="266"/>
      <c r="L65" s="266"/>
      <c r="M65" s="286"/>
      <c r="N65" s="287"/>
      <c r="O65" s="287"/>
      <c r="P65" s="287"/>
      <c r="Q65" s="287"/>
      <c r="R65" s="286"/>
      <c r="S65" s="286"/>
      <c r="T65" s="265"/>
      <c r="U65" s="265"/>
      <c r="V65" s="265"/>
      <c r="W65" s="265"/>
      <c r="X65" s="265"/>
      <c r="Y65" s="265"/>
      <c r="Z65" s="265"/>
      <c r="AA65" s="265"/>
      <c r="AB65" s="265"/>
      <c r="AC65" s="265"/>
      <c r="AD65" s="265"/>
      <c r="AE65" s="265"/>
      <c r="AF65" s="265"/>
      <c r="AG65" s="265"/>
      <c r="AH65" s="265"/>
      <c r="AI65" s="265"/>
      <c r="AJ65" s="265"/>
      <c r="AK65" s="265"/>
      <c r="AL65" s="265"/>
      <c r="AM65" s="265"/>
      <c r="AN65" s="265"/>
      <c r="AO65" s="265"/>
      <c r="AP65" s="265"/>
      <c r="AQ65" s="265"/>
      <c r="AR65" s="265"/>
      <c r="AS65" s="265"/>
      <c r="AT65" s="265"/>
    </row>
    <row r="66" spans="1:46" s="14" customFormat="1">
      <c r="A66" s="265"/>
      <c r="B66" s="265"/>
      <c r="C66" s="265"/>
      <c r="D66" s="265"/>
      <c r="E66" s="265"/>
      <c r="F66" s="265"/>
      <c r="G66" s="265"/>
      <c r="H66" s="265"/>
      <c r="I66" s="265"/>
      <c r="J66" s="265"/>
      <c r="K66" s="266"/>
      <c r="L66" s="266"/>
      <c r="M66" s="286"/>
      <c r="N66" s="287"/>
      <c r="O66" s="287"/>
      <c r="P66" s="287"/>
      <c r="Q66" s="287"/>
      <c r="R66" s="286"/>
      <c r="S66" s="286"/>
      <c r="T66" s="265"/>
      <c r="U66" s="265"/>
      <c r="V66" s="265"/>
      <c r="W66" s="265"/>
      <c r="X66" s="265"/>
      <c r="Y66" s="265"/>
      <c r="Z66" s="265"/>
      <c r="AA66" s="265"/>
      <c r="AB66" s="265"/>
      <c r="AC66" s="265"/>
      <c r="AD66" s="265"/>
      <c r="AE66" s="265"/>
      <c r="AF66" s="265"/>
      <c r="AG66" s="265"/>
      <c r="AH66" s="265"/>
      <c r="AI66" s="265"/>
      <c r="AJ66" s="265"/>
      <c r="AK66" s="265"/>
      <c r="AL66" s="265"/>
      <c r="AM66" s="265"/>
      <c r="AN66" s="265"/>
      <c r="AO66" s="265"/>
      <c r="AP66" s="265"/>
      <c r="AQ66" s="265"/>
      <c r="AR66" s="265"/>
      <c r="AS66" s="265"/>
      <c r="AT66" s="265"/>
    </row>
    <row r="67" spans="1:46" s="14" customFormat="1">
      <c r="A67" s="265"/>
      <c r="B67" s="265"/>
      <c r="C67" s="265"/>
      <c r="D67" s="265"/>
      <c r="E67" s="265"/>
      <c r="F67" s="265"/>
      <c r="G67" s="265"/>
      <c r="H67" s="265"/>
      <c r="I67" s="265"/>
      <c r="J67" s="265"/>
      <c r="K67" s="266"/>
      <c r="L67" s="266"/>
      <c r="M67" s="286"/>
      <c r="N67" s="287"/>
      <c r="O67" s="287"/>
      <c r="P67" s="287"/>
      <c r="Q67" s="287"/>
      <c r="R67" s="286"/>
      <c r="S67" s="286"/>
      <c r="T67" s="265"/>
      <c r="U67" s="265"/>
      <c r="V67" s="265"/>
      <c r="W67" s="265"/>
      <c r="X67" s="265"/>
      <c r="Y67" s="265"/>
      <c r="Z67" s="265"/>
      <c r="AA67" s="265"/>
      <c r="AB67" s="265"/>
      <c r="AC67" s="265"/>
      <c r="AD67" s="265"/>
      <c r="AE67" s="265"/>
      <c r="AF67" s="265"/>
      <c r="AG67" s="265"/>
      <c r="AH67" s="265"/>
      <c r="AI67" s="265"/>
      <c r="AJ67" s="265"/>
      <c r="AK67" s="265"/>
      <c r="AL67" s="265"/>
      <c r="AM67" s="265"/>
      <c r="AN67" s="265"/>
      <c r="AO67" s="265"/>
      <c r="AP67" s="265"/>
      <c r="AQ67" s="265"/>
      <c r="AR67" s="265"/>
      <c r="AS67" s="265"/>
      <c r="AT67" s="265"/>
    </row>
    <row r="68" spans="1:46" s="14" customFormat="1">
      <c r="A68" s="265"/>
      <c r="B68" s="265"/>
      <c r="C68" s="265"/>
      <c r="D68" s="265"/>
      <c r="E68" s="265"/>
      <c r="F68" s="265"/>
      <c r="G68" s="265"/>
      <c r="H68" s="265"/>
      <c r="I68" s="265"/>
      <c r="J68" s="265"/>
      <c r="K68" s="266"/>
      <c r="L68" s="266"/>
      <c r="M68" s="286"/>
      <c r="N68" s="287"/>
      <c r="O68" s="287"/>
      <c r="P68" s="287"/>
      <c r="Q68" s="287"/>
      <c r="R68" s="286"/>
      <c r="S68" s="286"/>
      <c r="T68" s="265"/>
      <c r="U68" s="265"/>
      <c r="V68" s="265"/>
      <c r="W68" s="265"/>
      <c r="X68" s="265"/>
      <c r="Y68" s="265"/>
      <c r="Z68" s="265"/>
      <c r="AA68" s="265"/>
      <c r="AB68" s="265"/>
      <c r="AC68" s="265"/>
      <c r="AD68" s="265"/>
      <c r="AE68" s="265"/>
      <c r="AF68" s="265"/>
      <c r="AG68" s="265"/>
      <c r="AH68" s="265"/>
      <c r="AI68" s="265"/>
      <c r="AJ68" s="265"/>
      <c r="AK68" s="265"/>
      <c r="AL68" s="265"/>
      <c r="AM68" s="265"/>
      <c r="AN68" s="265"/>
      <c r="AO68" s="265"/>
      <c r="AP68" s="265"/>
      <c r="AQ68" s="265"/>
      <c r="AR68" s="265"/>
      <c r="AS68" s="265"/>
      <c r="AT68" s="265"/>
    </row>
    <row r="69" spans="1:46" s="14" customFormat="1">
      <c r="A69" s="265"/>
      <c r="B69" s="265"/>
      <c r="C69" s="265"/>
      <c r="D69" s="265"/>
      <c r="E69" s="265"/>
      <c r="F69" s="265"/>
      <c r="G69" s="265"/>
      <c r="H69" s="265"/>
      <c r="I69" s="265"/>
      <c r="J69" s="265"/>
      <c r="K69" s="266"/>
      <c r="L69" s="266"/>
      <c r="M69" s="286"/>
      <c r="N69" s="287"/>
      <c r="O69" s="287"/>
      <c r="P69" s="287"/>
      <c r="Q69" s="287"/>
      <c r="R69" s="286"/>
      <c r="S69" s="286"/>
      <c r="T69" s="265"/>
      <c r="U69" s="265"/>
      <c r="V69" s="265"/>
      <c r="W69" s="265"/>
      <c r="X69" s="265"/>
      <c r="Y69" s="265"/>
      <c r="Z69" s="265"/>
      <c r="AA69" s="265"/>
      <c r="AB69" s="265"/>
      <c r="AC69" s="265"/>
      <c r="AD69" s="265"/>
      <c r="AE69" s="265"/>
      <c r="AF69" s="265"/>
      <c r="AG69" s="265"/>
      <c r="AH69" s="265"/>
      <c r="AI69" s="265"/>
      <c r="AJ69" s="265"/>
      <c r="AK69" s="265"/>
      <c r="AL69" s="265"/>
      <c r="AM69" s="265"/>
      <c r="AN69" s="265"/>
      <c r="AO69" s="265"/>
      <c r="AP69" s="265"/>
      <c r="AQ69" s="265"/>
      <c r="AR69" s="265"/>
      <c r="AS69" s="265"/>
      <c r="AT69" s="265"/>
    </row>
    <row r="70" spans="1:46" s="14" customFormat="1">
      <c r="A70" s="265"/>
      <c r="B70" s="265"/>
      <c r="C70" s="265"/>
      <c r="D70" s="265"/>
      <c r="E70" s="265"/>
      <c r="F70" s="265"/>
      <c r="G70" s="265"/>
      <c r="H70" s="265"/>
      <c r="I70" s="265"/>
      <c r="J70" s="265"/>
      <c r="K70" s="266"/>
      <c r="L70" s="266"/>
      <c r="M70" s="286"/>
      <c r="N70" s="287"/>
      <c r="O70" s="287"/>
      <c r="P70" s="287"/>
      <c r="Q70" s="287"/>
      <c r="R70" s="286"/>
      <c r="S70" s="286"/>
      <c r="T70" s="265"/>
      <c r="U70" s="265"/>
      <c r="V70" s="265"/>
      <c r="W70" s="265"/>
      <c r="X70" s="265"/>
      <c r="Y70" s="265"/>
      <c r="Z70" s="265"/>
      <c r="AA70" s="265"/>
      <c r="AB70" s="265"/>
      <c r="AC70" s="265"/>
      <c r="AD70" s="265"/>
      <c r="AE70" s="265"/>
      <c r="AF70" s="265"/>
      <c r="AG70" s="265"/>
      <c r="AH70" s="265"/>
      <c r="AI70" s="265"/>
      <c r="AJ70" s="265"/>
      <c r="AK70" s="265"/>
      <c r="AL70" s="265"/>
      <c r="AM70" s="265"/>
      <c r="AN70" s="265"/>
      <c r="AO70" s="265"/>
      <c r="AP70" s="265"/>
      <c r="AQ70" s="265"/>
      <c r="AR70" s="265"/>
      <c r="AS70" s="265"/>
      <c r="AT70" s="265"/>
    </row>
    <row r="71" spans="1:46" s="14" customFormat="1">
      <c r="A71" s="265"/>
      <c r="B71" s="265"/>
      <c r="C71" s="265"/>
      <c r="D71" s="265"/>
      <c r="E71" s="265"/>
      <c r="F71" s="265"/>
      <c r="G71" s="265"/>
      <c r="H71" s="265"/>
      <c r="I71" s="265"/>
      <c r="J71" s="265"/>
      <c r="K71" s="266"/>
      <c r="L71" s="266"/>
      <c r="M71" s="286"/>
      <c r="N71" s="287"/>
      <c r="O71" s="287"/>
      <c r="P71" s="287"/>
      <c r="Q71" s="287"/>
      <c r="R71" s="286"/>
      <c r="S71" s="286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  <c r="AG71" s="265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  <c r="AT71" s="265"/>
    </row>
    <row r="72" spans="1:46" s="14" customFormat="1">
      <c r="A72" s="265"/>
      <c r="B72" s="265"/>
      <c r="C72" s="265"/>
      <c r="D72" s="265"/>
      <c r="E72" s="265"/>
      <c r="F72" s="265"/>
      <c r="G72" s="265"/>
      <c r="H72" s="265"/>
      <c r="I72" s="265"/>
      <c r="J72" s="265"/>
      <c r="K72" s="266"/>
      <c r="L72" s="266"/>
      <c r="M72" s="286"/>
      <c r="N72" s="287"/>
      <c r="O72" s="287"/>
      <c r="P72" s="287"/>
      <c r="Q72" s="287"/>
      <c r="R72" s="286"/>
      <c r="S72" s="286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  <c r="AG72" s="265"/>
      <c r="AH72" s="265"/>
      <c r="AI72" s="265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  <c r="AT72" s="265"/>
    </row>
    <row r="73" spans="1:46" s="14" customFormat="1">
      <c r="A73" s="265"/>
      <c r="B73" s="265"/>
      <c r="C73" s="265"/>
      <c r="D73" s="265"/>
      <c r="E73" s="265"/>
      <c r="F73" s="265"/>
      <c r="G73" s="265"/>
      <c r="H73" s="265"/>
      <c r="I73" s="265"/>
      <c r="J73" s="265"/>
      <c r="K73" s="266"/>
      <c r="L73" s="266"/>
      <c r="M73" s="286"/>
      <c r="N73" s="287"/>
      <c r="O73" s="287"/>
      <c r="P73" s="287"/>
      <c r="Q73" s="287"/>
      <c r="R73" s="286"/>
      <c r="S73" s="286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</row>
    <row r="74" spans="1:46" s="14" customFormat="1">
      <c r="A74" s="265"/>
      <c r="B74" s="265"/>
      <c r="C74" s="265"/>
      <c r="D74" s="265"/>
      <c r="E74" s="265"/>
      <c r="F74" s="265"/>
      <c r="G74" s="265"/>
      <c r="H74" s="265"/>
      <c r="I74" s="265"/>
      <c r="J74" s="265"/>
      <c r="K74" s="266"/>
      <c r="L74" s="266"/>
      <c r="M74" s="286"/>
      <c r="N74" s="287"/>
      <c r="O74" s="287"/>
      <c r="P74" s="287"/>
      <c r="Q74" s="287"/>
      <c r="R74" s="286"/>
      <c r="S74" s="286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E74" s="265"/>
      <c r="AF74" s="265"/>
      <c r="AG74" s="265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</row>
    <row r="75" spans="1:46" s="14" customFormat="1">
      <c r="A75" s="265"/>
      <c r="B75" s="265"/>
      <c r="C75" s="265"/>
      <c r="D75" s="265"/>
      <c r="E75" s="265"/>
      <c r="F75" s="265"/>
      <c r="G75" s="265"/>
      <c r="H75" s="265"/>
      <c r="I75" s="265"/>
      <c r="J75" s="265"/>
      <c r="K75" s="266"/>
      <c r="L75" s="266"/>
      <c r="M75" s="286"/>
      <c r="N75" s="287"/>
      <c r="O75" s="287"/>
      <c r="P75" s="287"/>
      <c r="Q75" s="287"/>
      <c r="R75" s="286"/>
      <c r="S75" s="286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E75" s="265"/>
      <c r="AF75" s="265"/>
      <c r="AG75" s="265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5"/>
    </row>
    <row r="76" spans="1:46" s="14" customFormat="1">
      <c r="A76" s="265"/>
      <c r="B76" s="265"/>
      <c r="C76" s="265"/>
      <c r="D76" s="265"/>
      <c r="E76" s="265"/>
      <c r="F76" s="265"/>
      <c r="G76" s="265"/>
      <c r="H76" s="265"/>
      <c r="I76" s="265"/>
      <c r="J76" s="265"/>
      <c r="K76" s="266"/>
      <c r="L76" s="266"/>
      <c r="M76" s="286"/>
      <c r="N76" s="287"/>
      <c r="O76" s="287"/>
      <c r="P76" s="287"/>
      <c r="Q76" s="287"/>
      <c r="R76" s="286"/>
      <c r="S76" s="286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E76" s="265"/>
      <c r="AF76" s="265"/>
      <c r="AG76" s="265"/>
      <c r="AH76" s="265"/>
      <c r="AI76" s="265"/>
      <c r="AJ76" s="265"/>
      <c r="AK76" s="265"/>
      <c r="AL76" s="265"/>
      <c r="AM76" s="265"/>
      <c r="AN76" s="265"/>
      <c r="AO76" s="265"/>
      <c r="AP76" s="265"/>
      <c r="AQ76" s="265"/>
      <c r="AR76" s="265"/>
      <c r="AS76" s="265"/>
      <c r="AT76" s="265"/>
    </row>
    <row r="77" spans="1:46" s="14" customFormat="1">
      <c r="A77" s="265"/>
      <c r="B77" s="265"/>
      <c r="C77" s="265"/>
      <c r="D77" s="265"/>
      <c r="E77" s="265"/>
      <c r="F77" s="265"/>
      <c r="G77" s="265"/>
      <c r="H77" s="265"/>
      <c r="I77" s="265"/>
      <c r="J77" s="265"/>
      <c r="K77" s="266"/>
      <c r="L77" s="266"/>
      <c r="M77" s="286"/>
      <c r="N77" s="287"/>
      <c r="O77" s="287"/>
      <c r="P77" s="287"/>
      <c r="Q77" s="287"/>
      <c r="R77" s="286"/>
      <c r="S77" s="286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E77" s="265"/>
      <c r="AF77" s="265"/>
      <c r="AG77" s="265"/>
      <c r="AH77" s="265"/>
      <c r="AI77" s="265"/>
      <c r="AJ77" s="265"/>
      <c r="AK77" s="265"/>
      <c r="AL77" s="265"/>
      <c r="AM77" s="265"/>
      <c r="AN77" s="265"/>
      <c r="AO77" s="265"/>
      <c r="AP77" s="265"/>
      <c r="AQ77" s="265"/>
      <c r="AR77" s="265"/>
      <c r="AS77" s="265"/>
      <c r="AT77" s="265"/>
    </row>
    <row r="78" spans="1:46" s="14" customFormat="1">
      <c r="A78" s="265"/>
      <c r="B78" s="265"/>
      <c r="C78" s="265"/>
      <c r="D78" s="265"/>
      <c r="E78" s="265"/>
      <c r="F78" s="265"/>
      <c r="G78" s="265"/>
      <c r="H78" s="265"/>
      <c r="I78" s="265"/>
      <c r="J78" s="265"/>
      <c r="K78" s="266"/>
      <c r="L78" s="266"/>
      <c r="M78" s="286"/>
      <c r="N78" s="287"/>
      <c r="O78" s="287"/>
      <c r="P78" s="287"/>
      <c r="Q78" s="287"/>
      <c r="R78" s="286"/>
      <c r="S78" s="286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E78" s="265"/>
      <c r="AF78" s="265"/>
      <c r="AG78" s="265"/>
      <c r="AH78" s="265"/>
      <c r="AI78" s="265"/>
      <c r="AJ78" s="265"/>
      <c r="AK78" s="265"/>
      <c r="AL78" s="265"/>
      <c r="AM78" s="265"/>
      <c r="AN78" s="265"/>
      <c r="AO78" s="265"/>
      <c r="AP78" s="265"/>
      <c r="AQ78" s="265"/>
      <c r="AR78" s="265"/>
      <c r="AS78" s="265"/>
      <c r="AT78" s="265"/>
    </row>
    <row r="79" spans="1:46" s="14" customFormat="1">
      <c r="A79" s="265"/>
      <c r="B79" s="265"/>
      <c r="C79" s="265"/>
      <c r="D79" s="265"/>
      <c r="E79" s="265"/>
      <c r="F79" s="265"/>
      <c r="G79" s="265"/>
      <c r="H79" s="265"/>
      <c r="I79" s="265"/>
      <c r="J79" s="265"/>
      <c r="K79" s="266"/>
      <c r="L79" s="266"/>
      <c r="M79" s="286"/>
      <c r="N79" s="287"/>
      <c r="O79" s="287"/>
      <c r="P79" s="287"/>
      <c r="Q79" s="287"/>
      <c r="R79" s="286"/>
      <c r="S79" s="286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  <c r="AT79" s="265"/>
    </row>
    <row r="80" spans="1:46" s="14" customFormat="1">
      <c r="A80" s="265"/>
      <c r="B80" s="265"/>
      <c r="C80" s="265"/>
      <c r="D80" s="265"/>
      <c r="E80" s="265"/>
      <c r="F80" s="265"/>
      <c r="G80" s="265"/>
      <c r="H80" s="265"/>
      <c r="I80" s="265"/>
      <c r="J80" s="265"/>
      <c r="K80" s="266"/>
      <c r="L80" s="266"/>
      <c r="M80" s="286"/>
      <c r="N80" s="287"/>
      <c r="O80" s="287"/>
      <c r="P80" s="287"/>
      <c r="Q80" s="287"/>
      <c r="R80" s="286"/>
      <c r="S80" s="286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  <c r="AT80" s="265"/>
    </row>
    <row r="81" spans="1:46" s="14" customFormat="1">
      <c r="A81" s="265"/>
      <c r="B81" s="265"/>
      <c r="C81" s="265"/>
      <c r="D81" s="265"/>
      <c r="E81" s="265"/>
      <c r="F81" s="265"/>
      <c r="G81" s="265"/>
      <c r="H81" s="265"/>
      <c r="I81" s="265"/>
      <c r="J81" s="265"/>
      <c r="K81" s="266"/>
      <c r="L81" s="266"/>
      <c r="M81" s="286"/>
      <c r="N81" s="287"/>
      <c r="O81" s="287"/>
      <c r="P81" s="287"/>
      <c r="Q81" s="287"/>
      <c r="R81" s="286"/>
      <c r="S81" s="286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  <c r="AT81" s="265"/>
    </row>
    <row r="82" spans="1:46" s="14" customFormat="1">
      <c r="A82" s="265"/>
      <c r="B82" s="265"/>
      <c r="C82" s="265"/>
      <c r="D82" s="265"/>
      <c r="E82" s="265"/>
      <c r="F82" s="265"/>
      <c r="G82" s="265"/>
      <c r="H82" s="265"/>
      <c r="I82" s="265"/>
      <c r="J82" s="265"/>
      <c r="K82" s="266"/>
      <c r="L82" s="266"/>
      <c r="M82" s="286"/>
      <c r="N82" s="287"/>
      <c r="O82" s="287"/>
      <c r="P82" s="287"/>
      <c r="Q82" s="287"/>
      <c r="R82" s="286"/>
      <c r="S82" s="286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  <c r="AG82" s="265"/>
      <c r="AH82" s="265"/>
      <c r="AI82" s="265"/>
      <c r="AJ82" s="265"/>
      <c r="AK82" s="265"/>
      <c r="AL82" s="265"/>
      <c r="AM82" s="265"/>
      <c r="AN82" s="265"/>
      <c r="AO82" s="265"/>
      <c r="AP82" s="265"/>
      <c r="AQ82" s="265"/>
      <c r="AR82" s="265"/>
      <c r="AS82" s="265"/>
      <c r="AT82" s="265"/>
    </row>
    <row r="83" spans="1:46" s="14" customFormat="1">
      <c r="A83" s="265"/>
      <c r="B83" s="265"/>
      <c r="C83" s="265"/>
      <c r="D83" s="265"/>
      <c r="E83" s="265"/>
      <c r="F83" s="265"/>
      <c r="G83" s="265"/>
      <c r="H83" s="265"/>
      <c r="I83" s="265"/>
      <c r="J83" s="265"/>
      <c r="K83" s="266"/>
      <c r="L83" s="266"/>
      <c r="M83" s="286"/>
      <c r="N83" s="287"/>
      <c r="O83" s="287"/>
      <c r="P83" s="287"/>
      <c r="Q83" s="287"/>
      <c r="R83" s="286"/>
      <c r="S83" s="286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  <c r="AG83" s="265"/>
      <c r="AH83" s="265"/>
      <c r="AI83" s="265"/>
      <c r="AJ83" s="265"/>
      <c r="AK83" s="265"/>
      <c r="AL83" s="265"/>
      <c r="AM83" s="265"/>
      <c r="AN83" s="265"/>
      <c r="AO83" s="265"/>
      <c r="AP83" s="265"/>
      <c r="AQ83" s="265"/>
      <c r="AR83" s="265"/>
      <c r="AS83" s="265"/>
      <c r="AT83" s="265"/>
    </row>
    <row r="84" spans="1:46" s="14" customFormat="1">
      <c r="A84" s="265"/>
      <c r="B84" s="265"/>
      <c r="C84" s="265"/>
      <c r="D84" s="265"/>
      <c r="E84" s="265"/>
      <c r="F84" s="265"/>
      <c r="G84" s="265"/>
      <c r="H84" s="265"/>
      <c r="I84" s="265"/>
      <c r="J84" s="265"/>
      <c r="K84" s="266"/>
      <c r="L84" s="266"/>
      <c r="M84" s="286"/>
      <c r="N84" s="287"/>
      <c r="O84" s="287"/>
      <c r="P84" s="287"/>
      <c r="Q84" s="287"/>
      <c r="R84" s="286"/>
      <c r="S84" s="286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  <c r="AG84" s="265"/>
      <c r="AH84" s="265"/>
      <c r="AI84" s="265"/>
      <c r="AJ84" s="265"/>
      <c r="AK84" s="265"/>
      <c r="AL84" s="265"/>
      <c r="AM84" s="265"/>
      <c r="AN84" s="265"/>
      <c r="AO84" s="265"/>
      <c r="AP84" s="265"/>
      <c r="AQ84" s="265"/>
      <c r="AR84" s="265"/>
      <c r="AS84" s="265"/>
      <c r="AT84" s="265"/>
    </row>
    <row r="85" spans="1:46" s="14" customFormat="1">
      <c r="A85" s="265"/>
      <c r="B85" s="265"/>
      <c r="C85" s="265"/>
      <c r="D85" s="265"/>
      <c r="E85" s="265"/>
      <c r="F85" s="265"/>
      <c r="G85" s="265"/>
      <c r="H85" s="265"/>
      <c r="I85" s="265"/>
      <c r="J85" s="265"/>
      <c r="K85" s="266"/>
      <c r="L85" s="266"/>
      <c r="M85" s="286"/>
      <c r="N85" s="287"/>
      <c r="O85" s="287"/>
      <c r="P85" s="287"/>
      <c r="Q85" s="287"/>
      <c r="R85" s="286"/>
      <c r="S85" s="286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  <c r="AG85" s="265"/>
      <c r="AH85" s="265"/>
      <c r="AI85" s="265"/>
      <c r="AJ85" s="265"/>
      <c r="AK85" s="265"/>
      <c r="AL85" s="265"/>
      <c r="AM85" s="265"/>
      <c r="AN85" s="265"/>
      <c r="AO85" s="265"/>
      <c r="AP85" s="265"/>
      <c r="AQ85" s="265"/>
      <c r="AR85" s="265"/>
      <c r="AS85" s="265"/>
      <c r="AT85" s="265"/>
    </row>
    <row r="86" spans="1:46" s="14" customFormat="1">
      <c r="A86" s="265"/>
      <c r="B86" s="265"/>
      <c r="C86" s="265"/>
      <c r="D86" s="265"/>
      <c r="E86" s="265"/>
      <c r="F86" s="265"/>
      <c r="G86" s="265"/>
      <c r="H86" s="265"/>
      <c r="I86" s="265"/>
      <c r="J86" s="265"/>
      <c r="K86" s="266"/>
      <c r="L86" s="266"/>
      <c r="M86" s="286"/>
      <c r="N86" s="287"/>
      <c r="O86" s="287"/>
      <c r="P86" s="287"/>
      <c r="Q86" s="287"/>
      <c r="R86" s="286"/>
      <c r="S86" s="286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  <c r="AG86" s="265"/>
      <c r="AH86" s="265"/>
      <c r="AI86" s="265"/>
      <c r="AJ86" s="265"/>
      <c r="AK86" s="265"/>
      <c r="AL86" s="265"/>
      <c r="AM86" s="265"/>
      <c r="AN86" s="265"/>
      <c r="AO86" s="265"/>
      <c r="AP86" s="265"/>
      <c r="AQ86" s="265"/>
      <c r="AR86" s="265"/>
      <c r="AS86" s="265"/>
      <c r="AT86" s="265"/>
    </row>
    <row r="87" spans="1:46" s="14" customFormat="1">
      <c r="A87" s="265"/>
      <c r="B87" s="265"/>
      <c r="C87" s="265"/>
      <c r="D87" s="265"/>
      <c r="E87" s="265"/>
      <c r="F87" s="265"/>
      <c r="G87" s="265"/>
      <c r="H87" s="265"/>
      <c r="I87" s="265"/>
      <c r="J87" s="265"/>
      <c r="K87" s="266"/>
      <c r="L87" s="266"/>
      <c r="M87" s="286"/>
      <c r="N87" s="287"/>
      <c r="O87" s="287"/>
      <c r="P87" s="287"/>
      <c r="Q87" s="287"/>
      <c r="R87" s="286"/>
      <c r="S87" s="286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  <c r="AG87" s="265"/>
      <c r="AH87" s="265"/>
      <c r="AI87" s="265"/>
      <c r="AJ87" s="265"/>
      <c r="AK87" s="265"/>
      <c r="AL87" s="265"/>
      <c r="AM87" s="265"/>
      <c r="AN87" s="265"/>
      <c r="AO87" s="265"/>
      <c r="AP87" s="265"/>
      <c r="AQ87" s="265"/>
      <c r="AR87" s="265"/>
      <c r="AS87" s="265"/>
      <c r="AT87" s="265"/>
    </row>
    <row r="88" spans="1:46" s="14" customFormat="1">
      <c r="A88" s="265"/>
      <c r="B88" s="265"/>
      <c r="C88" s="265"/>
      <c r="D88" s="265"/>
      <c r="E88" s="265"/>
      <c r="F88" s="265"/>
      <c r="G88" s="265"/>
      <c r="H88" s="265"/>
      <c r="I88" s="265"/>
      <c r="J88" s="265"/>
      <c r="K88" s="266"/>
      <c r="L88" s="266"/>
      <c r="M88" s="286"/>
      <c r="N88" s="287"/>
      <c r="O88" s="287"/>
      <c r="P88" s="287"/>
      <c r="Q88" s="287"/>
      <c r="R88" s="286"/>
      <c r="S88" s="286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  <c r="AG88" s="265"/>
      <c r="AH88" s="265"/>
      <c r="AI88" s="265"/>
      <c r="AJ88" s="265"/>
      <c r="AK88" s="265"/>
      <c r="AL88" s="265"/>
      <c r="AM88" s="265"/>
      <c r="AN88" s="265"/>
      <c r="AO88" s="265"/>
      <c r="AP88" s="265"/>
      <c r="AQ88" s="265"/>
      <c r="AR88" s="265"/>
      <c r="AS88" s="265"/>
      <c r="AT88" s="265"/>
    </row>
    <row r="89" spans="1:46" s="14" customFormat="1">
      <c r="A89" s="265"/>
      <c r="B89" s="265"/>
      <c r="C89" s="265"/>
      <c r="D89" s="265"/>
      <c r="E89" s="265"/>
      <c r="F89" s="265"/>
      <c r="G89" s="265"/>
      <c r="H89" s="265"/>
      <c r="I89" s="265"/>
      <c r="J89" s="265"/>
      <c r="K89" s="266"/>
      <c r="L89" s="266"/>
      <c r="M89" s="286"/>
      <c r="N89" s="287"/>
      <c r="O89" s="287"/>
      <c r="P89" s="287"/>
      <c r="Q89" s="287"/>
      <c r="R89" s="286"/>
      <c r="S89" s="286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  <c r="AG89" s="265"/>
      <c r="AH89" s="265"/>
      <c r="AI89" s="265"/>
      <c r="AJ89" s="265"/>
      <c r="AK89" s="265"/>
      <c r="AL89" s="265"/>
      <c r="AM89" s="265"/>
      <c r="AN89" s="265"/>
      <c r="AO89" s="265"/>
      <c r="AP89" s="265"/>
      <c r="AQ89" s="265"/>
      <c r="AR89" s="265"/>
      <c r="AS89" s="265"/>
      <c r="AT89" s="265"/>
    </row>
    <row r="90" spans="1:46" s="14" customFormat="1">
      <c r="A90" s="265"/>
      <c r="B90" s="265"/>
      <c r="C90" s="265"/>
      <c r="D90" s="265"/>
      <c r="E90" s="265"/>
      <c r="F90" s="265"/>
      <c r="G90" s="265"/>
      <c r="H90" s="265"/>
      <c r="I90" s="265"/>
      <c r="J90" s="265"/>
      <c r="K90" s="266"/>
      <c r="L90" s="266"/>
      <c r="M90" s="286"/>
      <c r="N90" s="287"/>
      <c r="O90" s="287"/>
      <c r="P90" s="287"/>
      <c r="Q90" s="287"/>
      <c r="R90" s="286"/>
      <c r="S90" s="286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  <c r="AG90" s="265"/>
      <c r="AH90" s="265"/>
      <c r="AI90" s="265"/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  <c r="AT90" s="265"/>
    </row>
    <row r="91" spans="1:46" s="14" customFormat="1">
      <c r="A91" s="265"/>
      <c r="B91" s="265"/>
      <c r="C91" s="265"/>
      <c r="D91" s="265"/>
      <c r="E91" s="265"/>
      <c r="F91" s="265"/>
      <c r="G91" s="265"/>
      <c r="H91" s="265"/>
      <c r="I91" s="265"/>
      <c r="J91" s="265"/>
      <c r="K91" s="266"/>
      <c r="L91" s="266"/>
      <c r="M91" s="286"/>
      <c r="N91" s="287"/>
      <c r="O91" s="287"/>
      <c r="P91" s="287"/>
      <c r="Q91" s="287"/>
      <c r="R91" s="286"/>
      <c r="S91" s="286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  <c r="AG91" s="265"/>
      <c r="AH91" s="265"/>
      <c r="AI91" s="265"/>
      <c r="AJ91" s="265"/>
      <c r="AK91" s="265"/>
      <c r="AL91" s="265"/>
      <c r="AM91" s="265"/>
      <c r="AN91" s="265"/>
      <c r="AO91" s="265"/>
      <c r="AP91" s="265"/>
      <c r="AQ91" s="265"/>
      <c r="AR91" s="265"/>
      <c r="AS91" s="265"/>
      <c r="AT91" s="265"/>
    </row>
    <row r="92" spans="1:46" s="14" customFormat="1">
      <c r="A92" s="265"/>
      <c r="B92" s="265"/>
      <c r="C92" s="265"/>
      <c r="D92" s="265"/>
      <c r="E92" s="265"/>
      <c r="F92" s="265"/>
      <c r="G92" s="265"/>
      <c r="H92" s="265"/>
      <c r="I92" s="265"/>
      <c r="J92" s="265"/>
      <c r="K92" s="266"/>
      <c r="L92" s="266"/>
      <c r="M92" s="286"/>
      <c r="N92" s="287"/>
      <c r="O92" s="287"/>
      <c r="P92" s="287"/>
      <c r="Q92" s="287"/>
      <c r="R92" s="286"/>
      <c r="S92" s="286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  <c r="AT92" s="265"/>
    </row>
    <row r="93" spans="1:46">
      <c r="M93" s="286"/>
      <c r="N93" s="287"/>
      <c r="O93" s="287"/>
      <c r="P93" s="287"/>
      <c r="Q93" s="287"/>
      <c r="R93" s="286"/>
      <c r="S93" s="286"/>
    </row>
    <row r="94" spans="1:46">
      <c r="M94" s="286"/>
      <c r="N94" s="287"/>
      <c r="O94" s="287"/>
      <c r="P94" s="287"/>
      <c r="Q94" s="287"/>
      <c r="R94" s="286"/>
      <c r="S94" s="286"/>
    </row>
    <row r="95" spans="1:46">
      <c r="M95" s="286"/>
      <c r="N95" s="287"/>
      <c r="O95" s="287"/>
      <c r="P95" s="287"/>
      <c r="Q95" s="287"/>
      <c r="R95" s="286"/>
      <c r="S95" s="286"/>
    </row>
    <row r="96" spans="1:46">
      <c r="M96" s="286"/>
      <c r="N96" s="287"/>
      <c r="O96" s="287"/>
      <c r="P96" s="287"/>
      <c r="Q96" s="287"/>
      <c r="R96" s="286"/>
      <c r="S96" s="286"/>
    </row>
    <row r="97" spans="1:46">
      <c r="M97" s="286"/>
      <c r="N97" s="287"/>
      <c r="O97" s="287"/>
      <c r="P97" s="287"/>
      <c r="Q97" s="287"/>
      <c r="R97" s="286"/>
      <c r="S97" s="286"/>
    </row>
    <row r="98" spans="1:46">
      <c r="M98" s="286"/>
      <c r="N98" s="287"/>
      <c r="O98" s="287"/>
      <c r="P98" s="287"/>
      <c r="Q98" s="287"/>
      <c r="R98" s="286"/>
      <c r="S98" s="286"/>
    </row>
    <row r="99" spans="1:46" s="265" customFormat="1" ht="12.75">
      <c r="A99" s="264"/>
      <c r="B99" s="264"/>
      <c r="C99" s="264"/>
      <c r="D99" s="264"/>
      <c r="E99" s="264"/>
      <c r="H99" s="264"/>
      <c r="K99" s="266"/>
      <c r="L99" s="266"/>
      <c r="M99" s="286"/>
      <c r="N99" s="287"/>
      <c r="O99" s="287"/>
      <c r="P99" s="287"/>
      <c r="Q99" s="287"/>
      <c r="R99" s="286"/>
      <c r="S99" s="286"/>
      <c r="X99" s="264"/>
      <c r="AA99" s="264"/>
      <c r="AB99" s="264"/>
      <c r="AC99" s="264"/>
      <c r="AD99" s="264"/>
      <c r="AE99" s="264"/>
      <c r="AF99" s="264"/>
      <c r="AG99" s="264"/>
      <c r="AH99" s="264"/>
      <c r="AI99" s="264"/>
      <c r="AJ99" s="264"/>
      <c r="AK99" s="264"/>
      <c r="AL99" s="264"/>
      <c r="AM99" s="264"/>
      <c r="AN99" s="264"/>
      <c r="AO99" s="264"/>
      <c r="AP99" s="264"/>
      <c r="AQ99" s="264"/>
      <c r="AR99" s="264"/>
      <c r="AS99" s="264"/>
      <c r="AT99" s="264"/>
    </row>
    <row r="100" spans="1:46" s="265" customFormat="1" ht="12.75">
      <c r="A100" s="264"/>
      <c r="B100" s="264"/>
      <c r="C100" s="264"/>
      <c r="D100" s="264"/>
      <c r="E100" s="264"/>
      <c r="H100" s="264"/>
      <c r="K100" s="266"/>
      <c r="L100" s="266"/>
      <c r="M100" s="286"/>
      <c r="N100" s="287"/>
      <c r="O100" s="287"/>
      <c r="P100" s="287"/>
      <c r="Q100" s="287"/>
      <c r="R100" s="286"/>
      <c r="S100" s="286"/>
      <c r="X100" s="264"/>
      <c r="AA100" s="264"/>
      <c r="AB100" s="264"/>
      <c r="AC100" s="264"/>
      <c r="AD100" s="264"/>
      <c r="AE100" s="264"/>
      <c r="AF100" s="264"/>
      <c r="AG100" s="264"/>
      <c r="AH100" s="264"/>
      <c r="AI100" s="264"/>
      <c r="AJ100" s="264"/>
      <c r="AK100" s="264"/>
      <c r="AL100" s="264"/>
      <c r="AM100" s="264"/>
      <c r="AN100" s="264"/>
      <c r="AO100" s="264"/>
      <c r="AP100" s="264"/>
      <c r="AQ100" s="264"/>
      <c r="AR100" s="264"/>
      <c r="AS100" s="264"/>
      <c r="AT100" s="264"/>
    </row>
    <row r="101" spans="1:46" s="265" customFormat="1" ht="12.75">
      <c r="A101" s="264"/>
      <c r="B101" s="264"/>
      <c r="C101" s="264"/>
      <c r="D101" s="264"/>
      <c r="E101" s="264"/>
      <c r="H101" s="264"/>
      <c r="K101" s="266"/>
      <c r="L101" s="266"/>
      <c r="M101" s="286"/>
      <c r="N101" s="287"/>
      <c r="O101" s="287"/>
      <c r="P101" s="287"/>
      <c r="Q101" s="287"/>
      <c r="R101" s="286"/>
      <c r="S101" s="286"/>
      <c r="X101" s="264"/>
      <c r="AA101" s="264"/>
      <c r="AB101" s="264"/>
      <c r="AC101" s="264"/>
      <c r="AD101" s="264"/>
      <c r="AE101" s="264"/>
      <c r="AF101" s="264"/>
      <c r="AG101" s="264"/>
      <c r="AH101" s="264"/>
      <c r="AI101" s="264"/>
      <c r="AJ101" s="264"/>
      <c r="AK101" s="264"/>
      <c r="AL101" s="264"/>
      <c r="AM101" s="264"/>
      <c r="AN101" s="264"/>
      <c r="AO101" s="264"/>
      <c r="AP101" s="264"/>
      <c r="AQ101" s="264"/>
      <c r="AR101" s="264"/>
      <c r="AS101" s="264"/>
      <c r="AT101" s="264"/>
    </row>
    <row r="102" spans="1:46" s="265" customFormat="1" ht="12.75">
      <c r="A102" s="264"/>
      <c r="B102" s="264"/>
      <c r="C102" s="264"/>
      <c r="D102" s="264"/>
      <c r="E102" s="264"/>
      <c r="H102" s="264"/>
      <c r="K102" s="266"/>
      <c r="L102" s="266"/>
      <c r="M102" s="286"/>
      <c r="N102" s="287"/>
      <c r="O102" s="287"/>
      <c r="P102" s="287"/>
      <c r="Q102" s="287"/>
      <c r="R102" s="286"/>
      <c r="S102" s="286"/>
      <c r="X102" s="264"/>
      <c r="AA102" s="264"/>
      <c r="AB102" s="264"/>
      <c r="AC102" s="264"/>
      <c r="AD102" s="264"/>
      <c r="AE102" s="264"/>
      <c r="AF102" s="264"/>
      <c r="AG102" s="264"/>
      <c r="AH102" s="264"/>
      <c r="AI102" s="264"/>
      <c r="AJ102" s="264"/>
      <c r="AK102" s="264"/>
      <c r="AL102" s="264"/>
      <c r="AM102" s="264"/>
      <c r="AN102" s="264"/>
      <c r="AO102" s="264"/>
      <c r="AP102" s="264"/>
      <c r="AQ102" s="264"/>
      <c r="AR102" s="264"/>
      <c r="AS102" s="264"/>
      <c r="AT102" s="264"/>
    </row>
    <row r="103" spans="1:46" s="265" customFormat="1" ht="12.75">
      <c r="A103" s="264"/>
      <c r="B103" s="264"/>
      <c r="C103" s="264"/>
      <c r="D103" s="264"/>
      <c r="E103" s="264"/>
      <c r="H103" s="264"/>
      <c r="K103" s="266"/>
      <c r="L103" s="266"/>
      <c r="M103" s="286"/>
      <c r="N103" s="287"/>
      <c r="O103" s="287"/>
      <c r="P103" s="287"/>
      <c r="Q103" s="287"/>
      <c r="R103" s="286"/>
      <c r="S103" s="286"/>
      <c r="X103" s="264"/>
      <c r="AA103" s="264"/>
      <c r="AB103" s="264"/>
      <c r="AC103" s="264"/>
      <c r="AD103" s="264"/>
      <c r="AE103" s="264"/>
      <c r="AF103" s="264"/>
      <c r="AG103" s="264"/>
      <c r="AH103" s="264"/>
      <c r="AI103" s="264"/>
      <c r="AJ103" s="264"/>
      <c r="AK103" s="264"/>
      <c r="AL103" s="264"/>
      <c r="AM103" s="264"/>
      <c r="AN103" s="264"/>
      <c r="AO103" s="264"/>
      <c r="AP103" s="264"/>
      <c r="AQ103" s="264"/>
      <c r="AR103" s="264"/>
      <c r="AS103" s="264"/>
      <c r="AT103" s="264"/>
    </row>
    <row r="104" spans="1:46" s="265" customFormat="1" ht="12.75">
      <c r="A104" s="264"/>
      <c r="B104" s="264"/>
      <c r="C104" s="264"/>
      <c r="D104" s="264"/>
      <c r="E104" s="264"/>
      <c r="H104" s="264"/>
      <c r="K104" s="266"/>
      <c r="L104" s="266"/>
      <c r="M104" s="286"/>
      <c r="N104" s="287"/>
      <c r="O104" s="287"/>
      <c r="P104" s="287"/>
      <c r="Q104" s="287"/>
      <c r="R104" s="286"/>
      <c r="S104" s="286"/>
      <c r="X104" s="264"/>
      <c r="AA104" s="264"/>
      <c r="AB104" s="264"/>
      <c r="AC104" s="264"/>
      <c r="AD104" s="264"/>
      <c r="AE104" s="264"/>
      <c r="AF104" s="264"/>
      <c r="AG104" s="264"/>
      <c r="AH104" s="264"/>
      <c r="AI104" s="264"/>
      <c r="AJ104" s="264"/>
      <c r="AK104" s="264"/>
      <c r="AL104" s="264"/>
      <c r="AM104" s="264"/>
      <c r="AN104" s="264"/>
      <c r="AO104" s="264"/>
      <c r="AP104" s="264"/>
      <c r="AQ104" s="264"/>
      <c r="AR104" s="264"/>
      <c r="AS104" s="264"/>
      <c r="AT104" s="264"/>
    </row>
    <row r="105" spans="1:46" s="265" customFormat="1" ht="12.75">
      <c r="A105" s="264"/>
      <c r="B105" s="264"/>
      <c r="C105" s="264"/>
      <c r="D105" s="264"/>
      <c r="E105" s="264"/>
      <c r="H105" s="264"/>
      <c r="K105" s="266"/>
      <c r="L105" s="266"/>
      <c r="M105" s="286"/>
      <c r="N105" s="287"/>
      <c r="O105" s="287"/>
      <c r="P105" s="287"/>
      <c r="Q105" s="287"/>
      <c r="R105" s="286"/>
      <c r="S105" s="286"/>
      <c r="X105" s="264"/>
      <c r="AA105" s="264"/>
      <c r="AB105" s="264"/>
      <c r="AC105" s="264"/>
      <c r="AD105" s="264"/>
      <c r="AE105" s="264"/>
      <c r="AF105" s="264"/>
      <c r="AG105" s="264"/>
      <c r="AH105" s="264"/>
      <c r="AI105" s="264"/>
      <c r="AJ105" s="264"/>
      <c r="AK105" s="264"/>
      <c r="AL105" s="264"/>
      <c r="AM105" s="264"/>
      <c r="AN105" s="264"/>
      <c r="AO105" s="264"/>
      <c r="AP105" s="264"/>
      <c r="AQ105" s="264"/>
      <c r="AR105" s="264"/>
      <c r="AS105" s="264"/>
      <c r="AT105" s="264"/>
    </row>
    <row r="106" spans="1:46" s="265" customFormat="1" ht="12.75">
      <c r="A106" s="264"/>
      <c r="B106" s="264"/>
      <c r="C106" s="264"/>
      <c r="D106" s="264"/>
      <c r="E106" s="264"/>
      <c r="H106" s="264"/>
      <c r="K106" s="266"/>
      <c r="L106" s="266"/>
      <c r="M106" s="286"/>
      <c r="N106" s="287"/>
      <c r="O106" s="287"/>
      <c r="P106" s="287"/>
      <c r="Q106" s="287"/>
      <c r="R106" s="286"/>
      <c r="S106" s="286"/>
      <c r="X106" s="264"/>
      <c r="AA106" s="264"/>
      <c r="AB106" s="264"/>
      <c r="AC106" s="264"/>
      <c r="AD106" s="264"/>
      <c r="AE106" s="264"/>
      <c r="AF106" s="264"/>
      <c r="AG106" s="264"/>
      <c r="AH106" s="264"/>
      <c r="AI106" s="264"/>
      <c r="AJ106" s="264"/>
      <c r="AK106" s="264"/>
      <c r="AL106" s="264"/>
      <c r="AM106" s="264"/>
      <c r="AN106" s="264"/>
      <c r="AO106" s="264"/>
      <c r="AP106" s="264"/>
      <c r="AQ106" s="264"/>
      <c r="AR106" s="264"/>
      <c r="AS106" s="264"/>
      <c r="AT106" s="264"/>
    </row>
    <row r="107" spans="1:46" s="265" customFormat="1" ht="12.75">
      <c r="A107" s="264"/>
      <c r="B107" s="264"/>
      <c r="C107" s="264"/>
      <c r="D107" s="264"/>
      <c r="E107" s="264"/>
      <c r="H107" s="264"/>
      <c r="K107" s="266"/>
      <c r="L107" s="266"/>
      <c r="M107" s="286"/>
      <c r="N107" s="287"/>
      <c r="O107" s="287"/>
      <c r="P107" s="287"/>
      <c r="Q107" s="287"/>
      <c r="R107" s="286"/>
      <c r="S107" s="286"/>
      <c r="X107" s="264"/>
      <c r="AA107" s="264"/>
      <c r="AB107" s="264"/>
      <c r="AC107" s="264"/>
      <c r="AD107" s="264"/>
      <c r="AE107" s="264"/>
      <c r="AF107" s="264"/>
      <c r="AG107" s="264"/>
      <c r="AH107" s="264"/>
      <c r="AI107" s="264"/>
      <c r="AJ107" s="264"/>
      <c r="AK107" s="264"/>
      <c r="AL107" s="264"/>
      <c r="AM107" s="264"/>
      <c r="AN107" s="264"/>
      <c r="AO107" s="264"/>
      <c r="AP107" s="264"/>
      <c r="AQ107" s="264"/>
      <c r="AR107" s="264"/>
      <c r="AS107" s="264"/>
      <c r="AT107" s="264"/>
    </row>
    <row r="108" spans="1:46" s="265" customFormat="1" ht="12.75">
      <c r="A108" s="264"/>
      <c r="B108" s="264"/>
      <c r="C108" s="264"/>
      <c r="D108" s="264"/>
      <c r="E108" s="264"/>
      <c r="H108" s="264"/>
      <c r="K108" s="266"/>
      <c r="L108" s="266"/>
      <c r="M108" s="286"/>
      <c r="N108" s="287"/>
      <c r="O108" s="287"/>
      <c r="P108" s="287"/>
      <c r="Q108" s="287"/>
      <c r="R108" s="286"/>
      <c r="S108" s="286"/>
      <c r="X108" s="264"/>
      <c r="AA108" s="264"/>
      <c r="AB108" s="264"/>
      <c r="AC108" s="264"/>
      <c r="AD108" s="264"/>
      <c r="AE108" s="264"/>
      <c r="AF108" s="264"/>
      <c r="AG108" s="264"/>
      <c r="AH108" s="264"/>
      <c r="AI108" s="264"/>
      <c r="AJ108" s="264"/>
      <c r="AK108" s="264"/>
      <c r="AL108" s="264"/>
      <c r="AM108" s="264"/>
      <c r="AN108" s="264"/>
      <c r="AO108" s="264"/>
      <c r="AP108" s="264"/>
      <c r="AQ108" s="264"/>
      <c r="AR108" s="264"/>
      <c r="AS108" s="264"/>
      <c r="AT108" s="264"/>
    </row>
    <row r="109" spans="1:46" s="265" customFormat="1" ht="12.75">
      <c r="A109" s="264"/>
      <c r="B109" s="264"/>
      <c r="C109" s="264"/>
      <c r="D109" s="264"/>
      <c r="E109" s="264"/>
      <c r="H109" s="264"/>
      <c r="K109" s="266"/>
      <c r="L109" s="266"/>
      <c r="M109" s="286"/>
      <c r="N109" s="287"/>
      <c r="O109" s="287"/>
      <c r="P109" s="287"/>
      <c r="Q109" s="287"/>
      <c r="R109" s="286"/>
      <c r="S109" s="286"/>
      <c r="X109" s="264"/>
      <c r="AA109" s="264"/>
      <c r="AB109" s="264"/>
      <c r="AC109" s="264"/>
      <c r="AD109" s="264"/>
      <c r="AE109" s="264"/>
      <c r="AF109" s="264"/>
      <c r="AG109" s="264"/>
      <c r="AH109" s="264"/>
      <c r="AI109" s="264"/>
      <c r="AJ109" s="264"/>
      <c r="AK109" s="264"/>
      <c r="AL109" s="264"/>
      <c r="AM109" s="264"/>
      <c r="AN109" s="264"/>
      <c r="AO109" s="264"/>
      <c r="AP109" s="264"/>
      <c r="AQ109" s="264"/>
      <c r="AR109" s="264"/>
      <c r="AS109" s="264"/>
      <c r="AT109" s="264"/>
    </row>
    <row r="110" spans="1:46" s="265" customFormat="1" ht="12.75">
      <c r="A110" s="264"/>
      <c r="B110" s="264"/>
      <c r="C110" s="264"/>
      <c r="D110" s="264"/>
      <c r="E110" s="264"/>
      <c r="H110" s="264"/>
      <c r="K110" s="266"/>
      <c r="L110" s="266"/>
      <c r="M110" s="286"/>
      <c r="N110" s="287"/>
      <c r="O110" s="287"/>
      <c r="P110" s="287"/>
      <c r="Q110" s="287"/>
      <c r="R110" s="286"/>
      <c r="S110" s="286"/>
      <c r="X110" s="264"/>
      <c r="AA110" s="264"/>
      <c r="AB110" s="264"/>
      <c r="AC110" s="264"/>
      <c r="AD110" s="264"/>
      <c r="AE110" s="264"/>
      <c r="AF110" s="264"/>
      <c r="AG110" s="264"/>
      <c r="AH110" s="264"/>
      <c r="AI110" s="264"/>
      <c r="AJ110" s="264"/>
      <c r="AK110" s="264"/>
      <c r="AL110" s="264"/>
      <c r="AM110" s="264"/>
      <c r="AN110" s="264"/>
      <c r="AO110" s="264"/>
      <c r="AP110" s="264"/>
      <c r="AQ110" s="264"/>
      <c r="AR110" s="264"/>
      <c r="AS110" s="264"/>
      <c r="AT110" s="264"/>
    </row>
    <row r="111" spans="1:46" s="265" customFormat="1" ht="12.75">
      <c r="A111" s="264"/>
      <c r="B111" s="264"/>
      <c r="C111" s="264"/>
      <c r="D111" s="264"/>
      <c r="E111" s="264"/>
      <c r="H111" s="264"/>
      <c r="K111" s="266"/>
      <c r="L111" s="266"/>
      <c r="M111" s="286"/>
      <c r="N111" s="287"/>
      <c r="O111" s="287"/>
      <c r="P111" s="287"/>
      <c r="Q111" s="287"/>
      <c r="R111" s="286"/>
      <c r="S111" s="286"/>
      <c r="X111" s="264"/>
      <c r="AA111" s="264"/>
      <c r="AB111" s="264"/>
      <c r="AC111" s="264"/>
      <c r="AD111" s="264"/>
      <c r="AE111" s="264"/>
      <c r="AF111" s="264"/>
      <c r="AG111" s="264"/>
      <c r="AH111" s="264"/>
      <c r="AI111" s="264"/>
      <c r="AJ111" s="264"/>
      <c r="AK111" s="264"/>
      <c r="AL111" s="264"/>
      <c r="AM111" s="264"/>
      <c r="AN111" s="264"/>
      <c r="AO111" s="264"/>
      <c r="AP111" s="264"/>
      <c r="AQ111" s="264"/>
      <c r="AR111" s="264"/>
      <c r="AS111" s="264"/>
      <c r="AT111" s="264"/>
    </row>
    <row r="112" spans="1:46" s="265" customFormat="1" ht="12.75">
      <c r="A112" s="264"/>
      <c r="B112" s="264"/>
      <c r="C112" s="264"/>
      <c r="D112" s="264"/>
      <c r="E112" s="264"/>
      <c r="H112" s="264"/>
      <c r="K112" s="266"/>
      <c r="L112" s="266"/>
      <c r="M112" s="286"/>
      <c r="N112" s="287"/>
      <c r="O112" s="287"/>
      <c r="P112" s="287"/>
      <c r="Q112" s="287"/>
      <c r="R112" s="286"/>
      <c r="S112" s="286"/>
      <c r="X112" s="264"/>
      <c r="AA112" s="264"/>
      <c r="AB112" s="264"/>
      <c r="AC112" s="264"/>
      <c r="AD112" s="264"/>
      <c r="AE112" s="264"/>
      <c r="AF112" s="264"/>
      <c r="AG112" s="264"/>
      <c r="AH112" s="264"/>
      <c r="AI112" s="264"/>
      <c r="AJ112" s="264"/>
      <c r="AK112" s="264"/>
      <c r="AL112" s="264"/>
      <c r="AM112" s="264"/>
      <c r="AN112" s="264"/>
      <c r="AO112" s="264"/>
      <c r="AP112" s="264"/>
      <c r="AQ112" s="264"/>
      <c r="AR112" s="264"/>
      <c r="AS112" s="264"/>
      <c r="AT112" s="264"/>
    </row>
    <row r="113" spans="1:46" s="265" customFormat="1" ht="12.75">
      <c r="A113" s="264"/>
      <c r="B113" s="264"/>
      <c r="C113" s="264"/>
      <c r="D113" s="264"/>
      <c r="E113" s="264"/>
      <c r="H113" s="264"/>
      <c r="K113" s="266"/>
      <c r="L113" s="266"/>
      <c r="M113" s="286"/>
      <c r="N113" s="287"/>
      <c r="O113" s="287"/>
      <c r="P113" s="287"/>
      <c r="Q113" s="287"/>
      <c r="R113" s="286"/>
      <c r="S113" s="286"/>
      <c r="X113" s="264"/>
      <c r="AA113" s="264"/>
      <c r="AB113" s="264"/>
      <c r="AC113" s="264"/>
      <c r="AD113" s="264"/>
      <c r="AE113" s="264"/>
      <c r="AF113" s="264"/>
      <c r="AG113" s="264"/>
      <c r="AH113" s="264"/>
      <c r="AI113" s="264"/>
      <c r="AJ113" s="264"/>
      <c r="AK113" s="264"/>
      <c r="AL113" s="264"/>
      <c r="AM113" s="264"/>
      <c r="AN113" s="264"/>
      <c r="AO113" s="264"/>
      <c r="AP113" s="264"/>
      <c r="AQ113" s="264"/>
      <c r="AR113" s="264"/>
      <c r="AS113" s="264"/>
      <c r="AT113" s="264"/>
    </row>
    <row r="114" spans="1:46" s="265" customFormat="1" ht="12.75">
      <c r="A114" s="264"/>
      <c r="B114" s="264"/>
      <c r="C114" s="264"/>
      <c r="D114" s="264"/>
      <c r="E114" s="264"/>
      <c r="H114" s="264"/>
      <c r="K114" s="266"/>
      <c r="L114" s="266"/>
      <c r="M114" s="286"/>
      <c r="N114" s="287"/>
      <c r="O114" s="287"/>
      <c r="P114" s="287"/>
      <c r="Q114" s="287"/>
      <c r="R114" s="286"/>
      <c r="S114" s="286"/>
      <c r="X114" s="264"/>
      <c r="AA114" s="264"/>
      <c r="AB114" s="264"/>
      <c r="AC114" s="264"/>
      <c r="AD114" s="264"/>
      <c r="AE114" s="264"/>
      <c r="AF114" s="264"/>
      <c r="AG114" s="264"/>
      <c r="AH114" s="264"/>
      <c r="AI114" s="264"/>
      <c r="AJ114" s="264"/>
      <c r="AK114" s="264"/>
      <c r="AL114" s="264"/>
      <c r="AM114" s="264"/>
      <c r="AN114" s="264"/>
      <c r="AO114" s="264"/>
      <c r="AP114" s="264"/>
      <c r="AQ114" s="264"/>
      <c r="AR114" s="264"/>
      <c r="AS114" s="264"/>
      <c r="AT114" s="264"/>
    </row>
    <row r="115" spans="1:46" s="265" customFormat="1" ht="12.75">
      <c r="A115" s="264"/>
      <c r="B115" s="264"/>
      <c r="C115" s="264"/>
      <c r="D115" s="264"/>
      <c r="E115" s="264"/>
      <c r="H115" s="264"/>
      <c r="K115" s="266"/>
      <c r="L115" s="266"/>
      <c r="M115" s="286"/>
      <c r="N115" s="287"/>
      <c r="O115" s="287"/>
      <c r="P115" s="287"/>
      <c r="Q115" s="287"/>
      <c r="R115" s="286"/>
      <c r="S115" s="286"/>
      <c r="X115" s="264"/>
      <c r="AA115" s="264"/>
      <c r="AB115" s="264"/>
      <c r="AC115" s="264"/>
      <c r="AD115" s="264"/>
      <c r="AE115" s="264"/>
      <c r="AF115" s="264"/>
      <c r="AG115" s="264"/>
      <c r="AH115" s="264"/>
      <c r="AI115" s="264"/>
      <c r="AJ115" s="264"/>
      <c r="AK115" s="264"/>
      <c r="AL115" s="264"/>
      <c r="AM115" s="264"/>
      <c r="AN115" s="264"/>
      <c r="AO115" s="264"/>
      <c r="AP115" s="264"/>
      <c r="AQ115" s="264"/>
      <c r="AR115" s="264"/>
      <c r="AS115" s="264"/>
      <c r="AT115" s="264"/>
    </row>
    <row r="116" spans="1:46" s="265" customFormat="1" ht="12.75">
      <c r="A116" s="264"/>
      <c r="B116" s="264"/>
      <c r="C116" s="264"/>
      <c r="D116" s="264"/>
      <c r="E116" s="264"/>
      <c r="H116" s="264"/>
      <c r="K116" s="266"/>
      <c r="L116" s="266"/>
      <c r="M116" s="286"/>
      <c r="N116" s="287"/>
      <c r="O116" s="287"/>
      <c r="P116" s="287"/>
      <c r="Q116" s="287"/>
      <c r="R116" s="286"/>
      <c r="S116" s="286"/>
      <c r="X116" s="264"/>
      <c r="AA116" s="264"/>
      <c r="AB116" s="264"/>
      <c r="AC116" s="264"/>
      <c r="AD116" s="264"/>
      <c r="AE116" s="264"/>
      <c r="AF116" s="264"/>
      <c r="AG116" s="264"/>
      <c r="AH116" s="264"/>
      <c r="AI116" s="264"/>
      <c r="AJ116" s="264"/>
      <c r="AK116" s="264"/>
      <c r="AL116" s="264"/>
      <c r="AM116" s="264"/>
      <c r="AN116" s="264"/>
      <c r="AO116" s="264"/>
      <c r="AP116" s="264"/>
      <c r="AQ116" s="264"/>
      <c r="AR116" s="264"/>
      <c r="AS116" s="264"/>
      <c r="AT116" s="264"/>
    </row>
    <row r="117" spans="1:46" s="265" customFormat="1" ht="12.75">
      <c r="A117" s="264"/>
      <c r="B117" s="264"/>
      <c r="C117" s="264"/>
      <c r="D117" s="264"/>
      <c r="E117" s="264"/>
      <c r="H117" s="264"/>
      <c r="K117" s="266"/>
      <c r="L117" s="266"/>
      <c r="M117" s="286"/>
      <c r="N117" s="287"/>
      <c r="O117" s="287"/>
      <c r="P117" s="287"/>
      <c r="Q117" s="287"/>
      <c r="R117" s="286"/>
      <c r="S117" s="286"/>
      <c r="X117" s="264"/>
      <c r="AA117" s="264"/>
      <c r="AB117" s="264"/>
      <c r="AC117" s="264"/>
      <c r="AD117" s="264"/>
      <c r="AE117" s="264"/>
      <c r="AF117" s="264"/>
      <c r="AG117" s="264"/>
      <c r="AH117" s="264"/>
      <c r="AI117" s="264"/>
      <c r="AJ117" s="264"/>
      <c r="AK117" s="264"/>
      <c r="AL117" s="264"/>
      <c r="AM117" s="264"/>
      <c r="AN117" s="264"/>
      <c r="AO117" s="264"/>
      <c r="AP117" s="264"/>
      <c r="AQ117" s="264"/>
      <c r="AR117" s="264"/>
      <c r="AS117" s="264"/>
      <c r="AT117" s="264"/>
    </row>
    <row r="118" spans="1:46" s="265" customFormat="1" ht="12.75">
      <c r="A118" s="264"/>
      <c r="B118" s="264"/>
      <c r="C118" s="264"/>
      <c r="D118" s="264"/>
      <c r="E118" s="264"/>
      <c r="H118" s="264"/>
      <c r="K118" s="266"/>
      <c r="L118" s="266"/>
      <c r="M118" s="286"/>
      <c r="N118" s="287"/>
      <c r="O118" s="287"/>
      <c r="P118" s="287"/>
      <c r="Q118" s="287"/>
      <c r="R118" s="286"/>
      <c r="S118" s="286"/>
      <c r="X118" s="264"/>
      <c r="AA118" s="264"/>
      <c r="AB118" s="264"/>
      <c r="AC118" s="264"/>
      <c r="AD118" s="264"/>
      <c r="AE118" s="264"/>
      <c r="AF118" s="264"/>
      <c r="AG118" s="264"/>
      <c r="AH118" s="264"/>
      <c r="AI118" s="264"/>
      <c r="AJ118" s="264"/>
      <c r="AK118" s="264"/>
      <c r="AL118" s="264"/>
      <c r="AM118" s="264"/>
      <c r="AN118" s="264"/>
      <c r="AO118" s="264"/>
      <c r="AP118" s="264"/>
      <c r="AQ118" s="264"/>
      <c r="AR118" s="264"/>
      <c r="AS118" s="264"/>
      <c r="AT118" s="264"/>
    </row>
    <row r="119" spans="1:46" s="265" customFormat="1" ht="12.75">
      <c r="A119" s="264"/>
      <c r="B119" s="264"/>
      <c r="C119" s="264"/>
      <c r="D119" s="264"/>
      <c r="E119" s="264"/>
      <c r="H119" s="264"/>
      <c r="K119" s="266"/>
      <c r="L119" s="266"/>
      <c r="M119" s="286"/>
      <c r="N119" s="287"/>
      <c r="O119" s="287"/>
      <c r="P119" s="287"/>
      <c r="Q119" s="287"/>
      <c r="R119" s="286"/>
      <c r="S119" s="286"/>
      <c r="X119" s="264"/>
      <c r="AA119" s="264"/>
      <c r="AB119" s="264"/>
      <c r="AC119" s="264"/>
      <c r="AD119" s="264"/>
      <c r="AE119" s="264"/>
      <c r="AF119" s="264"/>
      <c r="AG119" s="264"/>
      <c r="AH119" s="264"/>
      <c r="AI119" s="264"/>
      <c r="AJ119" s="264"/>
      <c r="AK119" s="264"/>
      <c r="AL119" s="264"/>
      <c r="AM119" s="264"/>
      <c r="AN119" s="264"/>
      <c r="AO119" s="264"/>
      <c r="AP119" s="264"/>
      <c r="AQ119" s="264"/>
      <c r="AR119" s="264"/>
      <c r="AS119" s="264"/>
      <c r="AT119" s="264"/>
    </row>
    <row r="120" spans="1:46" s="265" customFormat="1" ht="12.75">
      <c r="A120" s="264"/>
      <c r="B120" s="264"/>
      <c r="C120" s="264"/>
      <c r="D120" s="264"/>
      <c r="E120" s="264"/>
      <c r="H120" s="264"/>
      <c r="K120" s="266"/>
      <c r="L120" s="266"/>
      <c r="M120" s="286"/>
      <c r="N120" s="287"/>
      <c r="O120" s="287"/>
      <c r="P120" s="287"/>
      <c r="Q120" s="287"/>
      <c r="R120" s="286"/>
      <c r="S120" s="286"/>
      <c r="X120" s="264"/>
      <c r="AA120" s="264"/>
      <c r="AB120" s="264"/>
      <c r="AC120" s="264"/>
      <c r="AD120" s="264"/>
      <c r="AE120" s="264"/>
      <c r="AF120" s="264"/>
      <c r="AG120" s="264"/>
      <c r="AH120" s="264"/>
      <c r="AI120" s="264"/>
      <c r="AJ120" s="264"/>
      <c r="AK120" s="264"/>
      <c r="AL120" s="264"/>
      <c r="AM120" s="264"/>
      <c r="AN120" s="264"/>
      <c r="AO120" s="264"/>
      <c r="AP120" s="264"/>
      <c r="AQ120" s="264"/>
      <c r="AR120" s="264"/>
      <c r="AS120" s="264"/>
      <c r="AT120" s="264"/>
    </row>
  </sheetData>
  <dataValidations count="2">
    <dataValidation type="list" allowBlank="1" showInputMessage="1" showErrorMessage="1" sqref="G12 G15:G142" xr:uid="{00000000-0002-0000-0A00-000000000000}">
      <formula1>#REF!</formula1>
    </dataValidation>
    <dataValidation type="list" allowBlank="1" showInputMessage="1" showErrorMessage="1" sqref="G13:G14" xr:uid="{00000000-0002-0000-0A00-000001000000}">
      <formula1>"BH,SH"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5"/>
  <dimension ref="A1:AF138"/>
  <sheetViews>
    <sheetView showGridLines="0" zoomScale="90" zoomScaleNormal="90" workbookViewId="0">
      <pane xSplit="5" ySplit="4" topLeftCell="F5" activePane="bottomRight" state="frozen"/>
      <selection pane="topRight" activeCell="H14" sqref="H13:H14"/>
      <selection pane="bottomLeft" activeCell="H14" sqref="H13:H14"/>
      <selection pane="bottomRight" activeCell="A2" sqref="A2"/>
    </sheetView>
  </sheetViews>
  <sheetFormatPr defaultColWidth="0" defaultRowHeight="15" zeroHeight="1"/>
  <cols>
    <col min="1" max="1" width="14.42578125" style="66" bestFit="1" customWidth="1"/>
    <col min="2" max="2" width="18.7109375" style="66" bestFit="1" customWidth="1"/>
    <col min="3" max="3" width="28.85546875" style="65" bestFit="1" customWidth="1"/>
    <col min="4" max="4" width="41.28515625" style="65" bestFit="1" customWidth="1"/>
    <col min="5" max="5" width="6" style="66" customWidth="1"/>
    <col min="6" max="6" width="27.5703125" style="67" customWidth="1"/>
    <col min="7" max="7" width="9.7109375" style="66" customWidth="1"/>
    <col min="8" max="8" width="8.140625" style="66" customWidth="1"/>
    <col min="9" max="9" width="12.5703125" style="66" customWidth="1"/>
    <col min="10" max="10" width="12.140625" style="66" customWidth="1"/>
    <col min="11" max="11" width="11.42578125" style="67" customWidth="1"/>
    <col min="12" max="12" width="9.28515625" style="67" customWidth="1"/>
    <col min="13" max="13" width="8.85546875" style="67" customWidth="1"/>
    <col min="14" max="14" width="6.140625" style="79" customWidth="1"/>
    <col min="15" max="15" width="29.42578125" style="65" customWidth="1"/>
    <col min="16" max="16" width="11.7109375" style="66" customWidth="1"/>
    <col min="17" max="17" width="9.7109375" style="66" customWidth="1"/>
    <col min="18" max="18" width="8.140625" style="66" customWidth="1"/>
    <col min="19" max="19" width="3.85546875" style="66" customWidth="1"/>
    <col min="20" max="20" width="11.85546875" style="66" customWidth="1"/>
    <col min="21" max="21" width="5.42578125" style="66" customWidth="1"/>
    <col min="22" max="22" width="29" style="66" customWidth="1"/>
    <col min="23" max="23" width="11.7109375" style="66" customWidth="1"/>
    <col min="24" max="24" width="9.7109375" style="66" customWidth="1"/>
    <col min="25" max="25" width="3.85546875" style="66" customWidth="1"/>
    <col min="26" max="26" width="11.7109375" style="66" customWidth="1"/>
    <col min="27" max="27" width="12.7109375" style="66" customWidth="1"/>
    <col min="28" max="28" width="9.140625" style="67" customWidth="1"/>
    <col min="29" max="32" width="0" style="67" hidden="1" customWidth="1"/>
    <col min="33" max="16384" width="9.140625" style="67" hidden="1"/>
  </cols>
  <sheetData>
    <row r="1" spans="1:32" ht="24" thickBot="1">
      <c r="A1" s="64" t="s">
        <v>262</v>
      </c>
      <c r="B1" s="64"/>
    </row>
    <row r="2" spans="1:32" s="69" customFormat="1" ht="15.75" thickBot="1">
      <c r="A2" s="632">
        <f>Hose_Material!D13</f>
        <v>0</v>
      </c>
      <c r="B2" s="68" t="s">
        <v>340</v>
      </c>
      <c r="C2" s="68"/>
      <c r="D2" s="68"/>
      <c r="E2" s="13"/>
      <c r="G2" s="13"/>
      <c r="H2" s="13"/>
      <c r="I2" s="13"/>
      <c r="J2" s="325">
        <f>SUM(J5:J10)</f>
        <v>6.2077777777777774</v>
      </c>
      <c r="M2" s="325">
        <f>SUM(M5:M659)</f>
        <v>0</v>
      </c>
      <c r="N2" s="288"/>
      <c r="O2" s="68"/>
      <c r="P2" s="13"/>
      <c r="Q2" s="13"/>
      <c r="R2" s="325">
        <f>SUM(R5:R659)</f>
        <v>0</v>
      </c>
      <c r="S2" s="13"/>
      <c r="T2" s="13"/>
      <c r="U2" s="13"/>
      <c r="V2" s="13"/>
      <c r="W2" s="13"/>
      <c r="X2" s="325">
        <f>SUM(X5:X659)</f>
        <v>0</v>
      </c>
      <c r="Y2" s="13"/>
      <c r="Z2" s="325">
        <f>SUM(Z5:Z659)</f>
        <v>18.623333333333331</v>
      </c>
      <c r="AA2" s="13"/>
    </row>
    <row r="3" spans="1:32" ht="15.75" customHeight="1">
      <c r="A3" s="803" t="s">
        <v>341</v>
      </c>
      <c r="B3" s="799" t="s">
        <v>35</v>
      </c>
      <c r="C3" s="799" t="s">
        <v>263</v>
      </c>
      <c r="D3" s="805" t="s">
        <v>82</v>
      </c>
      <c r="E3" s="799" t="s">
        <v>142</v>
      </c>
      <c r="F3" s="807" t="s">
        <v>342</v>
      </c>
      <c r="G3" s="807"/>
      <c r="H3" s="807"/>
      <c r="I3" s="807"/>
      <c r="J3" s="807"/>
      <c r="K3" s="799" t="s">
        <v>343</v>
      </c>
      <c r="L3" s="799"/>
      <c r="M3" s="799"/>
      <c r="N3" s="798" t="s">
        <v>344</v>
      </c>
      <c r="O3" s="798"/>
      <c r="P3" s="798"/>
      <c r="Q3" s="798"/>
      <c r="R3" s="798"/>
      <c r="S3" s="289"/>
      <c r="T3" s="799" t="s">
        <v>345</v>
      </c>
      <c r="U3" s="799"/>
      <c r="V3" s="799"/>
      <c r="W3" s="799"/>
      <c r="X3" s="799"/>
      <c r="Y3" s="289"/>
      <c r="Z3" s="799" t="s">
        <v>155</v>
      </c>
      <c r="AA3" s="801" t="s">
        <v>156</v>
      </c>
    </row>
    <row r="4" spans="1:32" s="70" customFormat="1" ht="60.75" thickBot="1">
      <c r="A4" s="804"/>
      <c r="B4" s="800"/>
      <c r="C4" s="800"/>
      <c r="D4" s="806"/>
      <c r="E4" s="800"/>
      <c r="F4" s="320" t="s">
        <v>267</v>
      </c>
      <c r="G4" s="320" t="s">
        <v>86</v>
      </c>
      <c r="H4" s="320" t="s">
        <v>346</v>
      </c>
      <c r="I4" s="320" t="s">
        <v>347</v>
      </c>
      <c r="J4" s="320" t="s">
        <v>342</v>
      </c>
      <c r="K4" s="320" t="s">
        <v>348</v>
      </c>
      <c r="L4" s="320" t="s">
        <v>349</v>
      </c>
      <c r="M4" s="320" t="s">
        <v>350</v>
      </c>
      <c r="N4" s="320" t="s">
        <v>351</v>
      </c>
      <c r="O4" s="320" t="s">
        <v>352</v>
      </c>
      <c r="P4" s="320" t="s">
        <v>353</v>
      </c>
      <c r="Q4" s="320" t="s">
        <v>354</v>
      </c>
      <c r="R4" s="320" t="s">
        <v>355</v>
      </c>
      <c r="S4" s="290" t="s">
        <v>356</v>
      </c>
      <c r="T4" s="320" t="s">
        <v>357</v>
      </c>
      <c r="U4" s="320" t="s">
        <v>351</v>
      </c>
      <c r="V4" s="320" t="s">
        <v>358</v>
      </c>
      <c r="W4" s="320" t="s">
        <v>353</v>
      </c>
      <c r="X4" s="320" t="s">
        <v>345</v>
      </c>
      <c r="Y4" s="290" t="s">
        <v>356</v>
      </c>
      <c r="Z4" s="800"/>
      <c r="AA4" s="802"/>
    </row>
    <row r="5" spans="1:32" s="15" customFormat="1" ht="15" customHeight="1">
      <c r="A5" s="328">
        <f>A2</f>
        <v>0</v>
      </c>
      <c r="B5" s="74" t="e">
        <f>IF(VLOOKUP(A5,BOM!$D$1:$I$10000,6,0)="Inhouse","Process-Inhouse",IF(VLOOKUP(A5,BOM!$D$1:$I$10000,6,0)="BOF","Process-outsourced",IF(VLOOKUP(A5,BOM!$D$1:$I$10000,6,0)="BOSF","Process-Inhouse")))</f>
        <v>#N/A</v>
      </c>
      <c r="C5" s="326" t="s">
        <v>359</v>
      </c>
      <c r="D5" s="21" t="s">
        <v>360</v>
      </c>
      <c r="E5" s="292">
        <v>1</v>
      </c>
      <c r="F5" s="293"/>
      <c r="G5" s="294">
        <f>VLOOKUP(A5,Hose_Material!$D$1:$U$10000,18,0)</f>
        <v>0</v>
      </c>
      <c r="H5" s="292"/>
      <c r="I5" s="295">
        <v>12</v>
      </c>
      <c r="J5" s="296">
        <f>I5*G5*E5</f>
        <v>0</v>
      </c>
      <c r="K5" s="297"/>
      <c r="L5" s="297"/>
      <c r="M5" s="298"/>
      <c r="N5" s="246"/>
      <c r="O5" s="21"/>
      <c r="P5" s="299"/>
      <c r="Q5" s="300"/>
      <c r="R5" s="301"/>
      <c r="S5" s="302"/>
      <c r="T5" s="292"/>
      <c r="U5" s="246"/>
      <c r="V5" s="21"/>
      <c r="W5" s="303"/>
      <c r="X5" s="327"/>
      <c r="Y5" s="305"/>
      <c r="Z5" s="301">
        <f t="shared" ref="Z5:Z10" si="0">(J5+R5+X5+M5)</f>
        <v>0</v>
      </c>
      <c r="AA5" s="306"/>
    </row>
    <row r="6" spans="1:32" s="15" customFormat="1" ht="15" customHeight="1">
      <c r="A6" s="329">
        <f>A5</f>
        <v>0</v>
      </c>
      <c r="B6" s="74" t="e">
        <f>IF(VLOOKUP(A6,BOM!$D$1:$I$10000,6,0)="Inhouse","Process-Inhouse",IF(VLOOKUP(A6,BOM!$D$1:$I$10000,6,0)="BOF","Process-outsourced",IF(VLOOKUP(A6,BOM!$D$1:$I$10000,6,0)="BOSF","Process-Inhouse")))</f>
        <v>#N/A</v>
      </c>
      <c r="C6" s="291" t="s">
        <v>361</v>
      </c>
      <c r="D6" s="72" t="s">
        <v>362</v>
      </c>
      <c r="E6" s="73">
        <v>1</v>
      </c>
      <c r="F6" s="307"/>
      <c r="G6" s="71">
        <f>VLOOKUP(A6,Hose_Material!$D$1:$N$10000,11,0)/1000</f>
        <v>0.01</v>
      </c>
      <c r="H6" s="71">
        <v>4.5</v>
      </c>
      <c r="I6" s="295">
        <v>40</v>
      </c>
      <c r="J6" s="296">
        <f>I6/H6*G6*E6</f>
        <v>8.8888888888888892E-2</v>
      </c>
      <c r="K6" s="1"/>
      <c r="L6" s="1"/>
      <c r="M6" s="308"/>
      <c r="N6" s="247"/>
      <c r="O6" s="72"/>
      <c r="P6" s="299"/>
      <c r="Q6" s="309"/>
      <c r="R6" s="310"/>
      <c r="S6" s="311"/>
      <c r="T6" s="73"/>
      <c r="U6" s="247"/>
      <c r="V6" s="72"/>
      <c r="W6" s="303"/>
      <c r="X6" s="304"/>
      <c r="Y6" s="312"/>
      <c r="Z6" s="301">
        <f t="shared" si="0"/>
        <v>8.8888888888888892E-2</v>
      </c>
      <c r="AA6" s="313"/>
    </row>
    <row r="7" spans="1:32" s="15" customFormat="1" ht="15" customHeight="1">
      <c r="A7" s="329">
        <f>A6</f>
        <v>0</v>
      </c>
      <c r="B7" s="74" t="e">
        <f>IF(VLOOKUP(A7,BOM!$D$1:$I$10000,6,0)="Inhouse","Process-Inhouse",IF(VLOOKUP(A7,BOM!$D$1:$I$10000,6,0)="BOF","Process-outsourced",IF(VLOOKUP(A7,BOM!$D$1:$I$10000,6,0)="BOSF","Process-Inhouse")))</f>
        <v>#N/A</v>
      </c>
      <c r="C7" s="291" t="s">
        <v>363</v>
      </c>
      <c r="D7" s="72" t="s">
        <v>362</v>
      </c>
      <c r="E7" s="73">
        <v>1</v>
      </c>
      <c r="F7" s="307"/>
      <c r="G7" s="71">
        <f>VLOOKUP(A7,Hose_Material!$D$1:$N$10000,11,0)/1000</f>
        <v>0.01</v>
      </c>
      <c r="H7" s="71">
        <v>4.5</v>
      </c>
      <c r="I7" s="295">
        <v>40</v>
      </c>
      <c r="J7" s="296">
        <f>I7/H7*G7*E7</f>
        <v>8.8888888888888892E-2</v>
      </c>
      <c r="K7" s="1"/>
      <c r="L7" s="1"/>
      <c r="M7" s="308"/>
      <c r="N7" s="247"/>
      <c r="O7" s="72"/>
      <c r="P7" s="299"/>
      <c r="Q7" s="309"/>
      <c r="R7" s="310"/>
      <c r="S7" s="311"/>
      <c r="T7" s="73"/>
      <c r="U7" s="247"/>
      <c r="V7" s="21"/>
      <c r="W7" s="303"/>
      <c r="X7" s="304"/>
      <c r="Y7" s="312"/>
      <c r="Z7" s="301">
        <f t="shared" si="0"/>
        <v>8.8888888888888892E-2</v>
      </c>
      <c r="AA7" s="313"/>
    </row>
    <row r="8" spans="1:32" s="15" customFormat="1" ht="15" customHeight="1">
      <c r="A8" s="329">
        <f>A7</f>
        <v>0</v>
      </c>
      <c r="B8" s="74" t="e">
        <f>IF(VLOOKUP(A8,BOM!$D$1:$I$10000,6,0)="Inhouse","Process-Inhouse",IF(VLOOKUP(A8,BOM!$D$1:$I$10000,6,0)="BOF","Process-outsourced",IF(VLOOKUP(A8,BOM!$D$1:$I$10000,6,0)="BOSF","Process-Inhouse")))</f>
        <v>#N/A</v>
      </c>
      <c r="C8" s="291" t="s">
        <v>364</v>
      </c>
      <c r="D8" s="21" t="s">
        <v>365</v>
      </c>
      <c r="E8" s="292">
        <v>1</v>
      </c>
      <c r="F8" s="293"/>
      <c r="G8" s="71">
        <f>VLOOKUP(A8,Hose_Material!$D$1:$N$10000,11,0)/1000</f>
        <v>0.01</v>
      </c>
      <c r="H8" s="292"/>
      <c r="I8" s="295">
        <v>3</v>
      </c>
      <c r="J8" s="296">
        <f>G8*I8*E8</f>
        <v>0.03</v>
      </c>
      <c r="K8" s="297"/>
      <c r="L8" s="297"/>
      <c r="M8" s="298"/>
      <c r="N8" s="246"/>
      <c r="O8" s="72"/>
      <c r="P8" s="299"/>
      <c r="Q8" s="300"/>
      <c r="R8" s="301"/>
      <c r="S8" s="302"/>
      <c r="T8" s="292"/>
      <c r="U8" s="246"/>
      <c r="V8" s="21"/>
      <c r="W8" s="303"/>
      <c r="X8" s="304"/>
      <c r="Y8" s="305"/>
      <c r="Z8" s="301">
        <f t="shared" si="0"/>
        <v>0.03</v>
      </c>
      <c r="AA8" s="306"/>
    </row>
    <row r="9" spans="1:32" s="15" customFormat="1" ht="25.5">
      <c r="A9" s="329">
        <f>A8</f>
        <v>0</v>
      </c>
      <c r="B9" s="74" t="e">
        <f>IF(VLOOKUP(A9,BOM!$D$1:$I$10000,6,0)="Inhouse","Process-Inhouse",IF(VLOOKUP(A9,BOM!$D$1:$I$10000,6,0)="BOF","Process-outsourced",IF(VLOOKUP(A9,BOM!$D$1:$I$10000,6,0)="BOSF","Process-Inhouse")))</f>
        <v>#N/A</v>
      </c>
      <c r="C9" s="314" t="s">
        <v>366</v>
      </c>
      <c r="D9" s="72" t="s">
        <v>367</v>
      </c>
      <c r="E9" s="73">
        <v>1</v>
      </c>
      <c r="F9" s="307"/>
      <c r="G9" s="73"/>
      <c r="H9" s="73"/>
      <c r="I9" s="295">
        <v>6</v>
      </c>
      <c r="J9" s="315">
        <f>I9*E9</f>
        <v>6</v>
      </c>
      <c r="K9" s="1"/>
      <c r="L9" s="1"/>
      <c r="M9" s="308"/>
      <c r="N9" s="247"/>
      <c r="O9" s="21"/>
      <c r="P9" s="299"/>
      <c r="Q9" s="309"/>
      <c r="R9" s="310"/>
      <c r="S9" s="311"/>
      <c r="T9" s="73"/>
      <c r="U9" s="247"/>
      <c r="V9" s="72"/>
      <c r="W9" s="303"/>
      <c r="X9" s="304"/>
      <c r="Y9" s="312"/>
      <c r="Z9" s="301">
        <f t="shared" si="0"/>
        <v>6</v>
      </c>
      <c r="AA9" s="313"/>
    </row>
    <row r="10" spans="1:32" s="15" customFormat="1" ht="15.75" thickBot="1">
      <c r="A10" s="330">
        <f>A9</f>
        <v>0</v>
      </c>
      <c r="B10" s="350" t="e">
        <f>IF(VLOOKUP(A10,BOM!$D$1:$I$10000,6,0)="Inhouse","Process-Inhouse",IF(VLOOKUP(A10,BOM!$D$1:$I$10000,6,0)="BOF","Process-outsourced",IF(VLOOKUP(A10,BOM!$D$1:$I$10000,6,0)="BOSF","Process-Inhouse")))</f>
        <v>#N/A</v>
      </c>
      <c r="C10" s="331" t="s">
        <v>368</v>
      </c>
      <c r="D10" s="332" t="s">
        <v>369</v>
      </c>
      <c r="E10" s="333">
        <v>1</v>
      </c>
      <c r="F10" s="334"/>
      <c r="G10" s="335">
        <f>VLOOKUP(A10,Hose_Material!$D$1:$O$10000,12,0)</f>
        <v>0</v>
      </c>
      <c r="H10" s="333"/>
      <c r="I10" s="336">
        <v>0.03</v>
      </c>
      <c r="J10" s="337">
        <f>G10*I10*E10</f>
        <v>0</v>
      </c>
      <c r="K10" s="338"/>
      <c r="L10" s="338"/>
      <c r="M10" s="339"/>
      <c r="N10" s="340"/>
      <c r="O10" s="332"/>
      <c r="P10" s="341"/>
      <c r="Q10" s="342"/>
      <c r="R10" s="343"/>
      <c r="S10" s="344"/>
      <c r="T10" s="333"/>
      <c r="U10" s="340"/>
      <c r="V10" s="332"/>
      <c r="W10" s="345"/>
      <c r="X10" s="346"/>
      <c r="Y10" s="347"/>
      <c r="Z10" s="348">
        <f t="shared" si="0"/>
        <v>0</v>
      </c>
      <c r="AA10" s="349"/>
    </row>
    <row r="11" spans="1:32"/>
    <row r="12" spans="1:32" s="66" customFormat="1" ht="15.75" thickBot="1">
      <c r="C12" s="65"/>
      <c r="D12" s="65"/>
      <c r="F12" s="67"/>
      <c r="K12" s="67"/>
      <c r="L12" s="67"/>
      <c r="M12" s="67"/>
      <c r="N12" s="79"/>
      <c r="O12" s="65"/>
      <c r="AB12" s="67"/>
      <c r="AC12" s="67"/>
      <c r="AD12" s="67"/>
      <c r="AE12" s="67"/>
      <c r="AF12" s="67"/>
    </row>
    <row r="13" spans="1:32" s="69" customFormat="1" ht="15.75" thickBot="1">
      <c r="A13" s="632">
        <f>Hose_Material!D14</f>
        <v>0</v>
      </c>
      <c r="B13" s="68" t="s">
        <v>340</v>
      </c>
      <c r="C13" s="68"/>
      <c r="D13" s="68"/>
      <c r="E13" s="13"/>
      <c r="G13" s="13"/>
      <c r="H13" s="13"/>
      <c r="I13" s="13"/>
      <c r="J13" s="325">
        <f>SUM(J16:J21)</f>
        <v>6.2077777777777774</v>
      </c>
      <c r="M13" s="325">
        <f>SUM(M16:M670)</f>
        <v>0</v>
      </c>
      <c r="N13" s="288"/>
      <c r="O13" s="68"/>
      <c r="P13" s="13"/>
      <c r="Q13" s="13"/>
      <c r="R13" s="325">
        <f>SUM(R16:R670)</f>
        <v>0</v>
      </c>
      <c r="S13" s="13"/>
      <c r="T13" s="13"/>
      <c r="U13" s="13"/>
      <c r="V13" s="13"/>
      <c r="W13" s="13"/>
      <c r="X13" s="325">
        <f>SUM(X16:X670)</f>
        <v>0</v>
      </c>
      <c r="Y13" s="13"/>
      <c r="Z13" s="325">
        <f>SUM(Z16:Z670)</f>
        <v>6.2077777777777774</v>
      </c>
      <c r="AA13" s="13"/>
    </row>
    <row r="14" spans="1:32" ht="15.75" customHeight="1">
      <c r="A14" s="803" t="s">
        <v>341</v>
      </c>
      <c r="B14" s="799" t="s">
        <v>35</v>
      </c>
      <c r="C14" s="799" t="s">
        <v>263</v>
      </c>
      <c r="D14" s="805" t="s">
        <v>82</v>
      </c>
      <c r="E14" s="799" t="s">
        <v>142</v>
      </c>
      <c r="F14" s="807" t="s">
        <v>342</v>
      </c>
      <c r="G14" s="807"/>
      <c r="H14" s="807"/>
      <c r="I14" s="807"/>
      <c r="J14" s="807"/>
      <c r="K14" s="799" t="s">
        <v>343</v>
      </c>
      <c r="L14" s="799"/>
      <c r="M14" s="799"/>
      <c r="N14" s="798" t="s">
        <v>344</v>
      </c>
      <c r="O14" s="798"/>
      <c r="P14" s="798"/>
      <c r="Q14" s="798"/>
      <c r="R14" s="798"/>
      <c r="S14" s="289"/>
      <c r="T14" s="799" t="s">
        <v>345</v>
      </c>
      <c r="U14" s="799"/>
      <c r="V14" s="799"/>
      <c r="W14" s="799"/>
      <c r="X14" s="799"/>
      <c r="Y14" s="289"/>
      <c r="Z14" s="799" t="s">
        <v>155</v>
      </c>
      <c r="AA14" s="801" t="s">
        <v>156</v>
      </c>
    </row>
    <row r="15" spans="1:32" s="70" customFormat="1" ht="60.75" thickBot="1">
      <c r="A15" s="804"/>
      <c r="B15" s="800"/>
      <c r="C15" s="800"/>
      <c r="D15" s="806"/>
      <c r="E15" s="800"/>
      <c r="F15" s="320" t="s">
        <v>267</v>
      </c>
      <c r="G15" s="320" t="s">
        <v>86</v>
      </c>
      <c r="H15" s="320" t="s">
        <v>346</v>
      </c>
      <c r="I15" s="320" t="s">
        <v>347</v>
      </c>
      <c r="J15" s="320" t="s">
        <v>342</v>
      </c>
      <c r="K15" s="320" t="s">
        <v>348</v>
      </c>
      <c r="L15" s="320" t="s">
        <v>349</v>
      </c>
      <c r="M15" s="320" t="s">
        <v>350</v>
      </c>
      <c r="N15" s="320" t="s">
        <v>351</v>
      </c>
      <c r="O15" s="320" t="s">
        <v>352</v>
      </c>
      <c r="P15" s="320" t="s">
        <v>353</v>
      </c>
      <c r="Q15" s="320" t="s">
        <v>354</v>
      </c>
      <c r="R15" s="320" t="s">
        <v>355</v>
      </c>
      <c r="S15" s="290" t="s">
        <v>356</v>
      </c>
      <c r="T15" s="320" t="s">
        <v>357</v>
      </c>
      <c r="U15" s="320" t="s">
        <v>351</v>
      </c>
      <c r="V15" s="320" t="s">
        <v>358</v>
      </c>
      <c r="W15" s="320" t="s">
        <v>353</v>
      </c>
      <c r="X15" s="320" t="s">
        <v>345</v>
      </c>
      <c r="Y15" s="290" t="s">
        <v>356</v>
      </c>
      <c r="Z15" s="800"/>
      <c r="AA15" s="802"/>
    </row>
    <row r="16" spans="1:32" s="15" customFormat="1" ht="15" customHeight="1">
      <c r="A16" s="328">
        <f>A13</f>
        <v>0</v>
      </c>
      <c r="B16" s="74" t="e">
        <f>IF(VLOOKUP(A16,BOM!$D$1:$I$10000,6,0)="Inhouse","Process-Inhouse",IF(VLOOKUP(A16,BOM!$D$1:$I$10000,6,0)="BOF","Process-outsourced",IF(VLOOKUP(A16,BOM!$D$1:$I$10000,6,0)="BOSF","Process-Inhouse")))</f>
        <v>#N/A</v>
      </c>
      <c r="C16" s="326" t="s">
        <v>359</v>
      </c>
      <c r="D16" s="21" t="s">
        <v>360</v>
      </c>
      <c r="E16" s="292">
        <v>1</v>
      </c>
      <c r="F16" s="293"/>
      <c r="G16" s="294">
        <f>VLOOKUP(A16,Hose_Material!$D$1:$U$10000,18,0)</f>
        <v>0</v>
      </c>
      <c r="H16" s="292"/>
      <c r="I16" s="295">
        <v>12</v>
      </c>
      <c r="J16" s="296">
        <f>I16*G16*E16</f>
        <v>0</v>
      </c>
      <c r="K16" s="297"/>
      <c r="L16" s="297"/>
      <c r="M16" s="298"/>
      <c r="N16" s="246"/>
      <c r="O16" s="21"/>
      <c r="P16" s="299"/>
      <c r="Q16" s="300"/>
      <c r="R16" s="301"/>
      <c r="S16" s="302"/>
      <c r="T16" s="292"/>
      <c r="U16" s="246"/>
      <c r="V16" s="21"/>
      <c r="W16" s="303"/>
      <c r="X16" s="327"/>
      <c r="Y16" s="305"/>
      <c r="Z16" s="301">
        <f t="shared" ref="Z16:Z21" si="1">(J16+R16+X16+M16)</f>
        <v>0</v>
      </c>
      <c r="AA16" s="306"/>
    </row>
    <row r="17" spans="1:32" s="15" customFormat="1" ht="15" customHeight="1">
      <c r="A17" s="329">
        <f>A16</f>
        <v>0</v>
      </c>
      <c r="B17" s="74" t="e">
        <f>IF(VLOOKUP(A17,BOM!$D$1:$I$10000,6,0)="Inhouse","Process-Inhouse",IF(VLOOKUP(A17,BOM!$D$1:$I$10000,6,0)="BOF","Process-outsourced",IF(VLOOKUP(A17,BOM!$D$1:$I$10000,6,0)="BOSF","Process-Inhouse")))</f>
        <v>#N/A</v>
      </c>
      <c r="C17" s="291" t="s">
        <v>361</v>
      </c>
      <c r="D17" s="72" t="s">
        <v>362</v>
      </c>
      <c r="E17" s="73">
        <v>1</v>
      </c>
      <c r="F17" s="307"/>
      <c r="G17" s="71">
        <f>VLOOKUP(A17,Hose_Material!$D$1:$N$10000,11,0)/1000</f>
        <v>0.01</v>
      </c>
      <c r="H17" s="71">
        <v>4.5</v>
      </c>
      <c r="I17" s="295">
        <v>40</v>
      </c>
      <c r="J17" s="296">
        <f>I17/H17*G17*E17</f>
        <v>8.8888888888888892E-2</v>
      </c>
      <c r="K17" s="1"/>
      <c r="L17" s="1"/>
      <c r="M17" s="308"/>
      <c r="N17" s="247"/>
      <c r="O17" s="72"/>
      <c r="P17" s="299"/>
      <c r="Q17" s="309"/>
      <c r="R17" s="310"/>
      <c r="S17" s="311"/>
      <c r="T17" s="73"/>
      <c r="U17" s="247"/>
      <c r="V17" s="72"/>
      <c r="W17" s="303"/>
      <c r="X17" s="304"/>
      <c r="Y17" s="312"/>
      <c r="Z17" s="301">
        <f t="shared" si="1"/>
        <v>8.8888888888888892E-2</v>
      </c>
      <c r="AA17" s="313"/>
    </row>
    <row r="18" spans="1:32" s="15" customFormat="1" ht="15" customHeight="1">
      <c r="A18" s="329">
        <f>A17</f>
        <v>0</v>
      </c>
      <c r="B18" s="74" t="e">
        <f>IF(VLOOKUP(A18,BOM!$D$1:$I$10000,6,0)="Inhouse","Process-Inhouse",IF(VLOOKUP(A18,BOM!$D$1:$I$10000,6,0)="BOF","Process-outsourced",IF(VLOOKUP(A18,BOM!$D$1:$I$10000,6,0)="BOSF","Process-Inhouse")))</f>
        <v>#N/A</v>
      </c>
      <c r="C18" s="291" t="s">
        <v>363</v>
      </c>
      <c r="D18" s="72" t="s">
        <v>362</v>
      </c>
      <c r="E18" s="73">
        <v>1</v>
      </c>
      <c r="F18" s="307"/>
      <c r="G18" s="71">
        <f>VLOOKUP(A18,Hose_Material!$D$1:$N$10000,11,0)/1000</f>
        <v>0.01</v>
      </c>
      <c r="H18" s="71">
        <v>4.5</v>
      </c>
      <c r="I18" s="295">
        <v>40</v>
      </c>
      <c r="J18" s="296">
        <f>I18/H18*G18*E18</f>
        <v>8.8888888888888892E-2</v>
      </c>
      <c r="K18" s="1"/>
      <c r="L18" s="1"/>
      <c r="M18" s="308"/>
      <c r="N18" s="247"/>
      <c r="O18" s="72"/>
      <c r="P18" s="299"/>
      <c r="Q18" s="309"/>
      <c r="R18" s="310"/>
      <c r="S18" s="311"/>
      <c r="T18" s="73"/>
      <c r="U18" s="247"/>
      <c r="V18" s="21"/>
      <c r="W18" s="303"/>
      <c r="X18" s="304"/>
      <c r="Y18" s="312"/>
      <c r="Z18" s="301">
        <f t="shared" si="1"/>
        <v>8.8888888888888892E-2</v>
      </c>
      <c r="AA18" s="313"/>
    </row>
    <row r="19" spans="1:32" s="15" customFormat="1" ht="15" customHeight="1">
      <c r="A19" s="329">
        <f>A18</f>
        <v>0</v>
      </c>
      <c r="B19" s="74" t="e">
        <f>IF(VLOOKUP(A19,BOM!$D$1:$I$10000,6,0)="Inhouse","Process-Inhouse",IF(VLOOKUP(A19,BOM!$D$1:$I$10000,6,0)="BOF","Process-outsourced",IF(VLOOKUP(A19,BOM!$D$1:$I$10000,6,0)="BOSF","Process-Inhouse")))</f>
        <v>#N/A</v>
      </c>
      <c r="C19" s="291" t="s">
        <v>364</v>
      </c>
      <c r="D19" s="21" t="s">
        <v>365</v>
      </c>
      <c r="E19" s="292">
        <v>1</v>
      </c>
      <c r="F19" s="293"/>
      <c r="G19" s="71">
        <f>VLOOKUP(A19,Hose_Material!$D$1:$N$10000,11,0)/1000</f>
        <v>0.01</v>
      </c>
      <c r="H19" s="292"/>
      <c r="I19" s="295">
        <v>3</v>
      </c>
      <c r="J19" s="296">
        <f>G19*I19*E19</f>
        <v>0.03</v>
      </c>
      <c r="K19" s="297"/>
      <c r="L19" s="297"/>
      <c r="M19" s="298"/>
      <c r="N19" s="246"/>
      <c r="O19" s="72"/>
      <c r="P19" s="299"/>
      <c r="Q19" s="300"/>
      <c r="R19" s="301"/>
      <c r="S19" s="302"/>
      <c r="T19" s="292"/>
      <c r="U19" s="246"/>
      <c r="V19" s="21"/>
      <c r="W19" s="303"/>
      <c r="X19" s="304"/>
      <c r="Y19" s="305"/>
      <c r="Z19" s="301">
        <f t="shared" si="1"/>
        <v>0.03</v>
      </c>
      <c r="AA19" s="306"/>
    </row>
    <row r="20" spans="1:32" s="15" customFormat="1" ht="25.5">
      <c r="A20" s="329">
        <f>A19</f>
        <v>0</v>
      </c>
      <c r="B20" s="74" t="e">
        <f>IF(VLOOKUP(A20,BOM!$D$1:$I$10000,6,0)="Inhouse","Process-Inhouse",IF(VLOOKUP(A20,BOM!$D$1:$I$10000,6,0)="BOF","Process-outsourced",IF(VLOOKUP(A20,BOM!$D$1:$I$10000,6,0)="BOSF","Process-Inhouse")))</f>
        <v>#N/A</v>
      </c>
      <c r="C20" s="314" t="s">
        <v>366</v>
      </c>
      <c r="D20" s="72" t="s">
        <v>367</v>
      </c>
      <c r="E20" s="73">
        <v>1</v>
      </c>
      <c r="F20" s="307"/>
      <c r="G20" s="73"/>
      <c r="H20" s="73"/>
      <c r="I20" s="295">
        <v>6</v>
      </c>
      <c r="J20" s="315">
        <f>I20*E20</f>
        <v>6</v>
      </c>
      <c r="K20" s="1"/>
      <c r="L20" s="1"/>
      <c r="M20" s="308"/>
      <c r="N20" s="247"/>
      <c r="O20" s="21"/>
      <c r="P20" s="299"/>
      <c r="Q20" s="309"/>
      <c r="R20" s="310"/>
      <c r="S20" s="311"/>
      <c r="T20" s="73"/>
      <c r="U20" s="247"/>
      <c r="V20" s="72"/>
      <c r="W20" s="303"/>
      <c r="X20" s="304"/>
      <c r="Y20" s="312"/>
      <c r="Z20" s="301">
        <f t="shared" si="1"/>
        <v>6</v>
      </c>
      <c r="AA20" s="313"/>
    </row>
    <row r="21" spans="1:32" s="15" customFormat="1" ht="15.75" thickBot="1">
      <c r="A21" s="330">
        <f>A20</f>
        <v>0</v>
      </c>
      <c r="B21" s="350" t="e">
        <f>IF(VLOOKUP(A21,BOM!$D$1:$I$10000,6,0)="Inhouse","Process-Inhouse",IF(VLOOKUP(A21,BOM!$D$1:$I$10000,6,0)="BOF","Process-outsourced",IF(VLOOKUP(A21,BOM!$D$1:$I$10000,6,0)="BOSF","Process-Inhouse")))</f>
        <v>#N/A</v>
      </c>
      <c r="C21" s="331" t="s">
        <v>368</v>
      </c>
      <c r="D21" s="332" t="s">
        <v>369</v>
      </c>
      <c r="E21" s="333">
        <v>1</v>
      </c>
      <c r="F21" s="334"/>
      <c r="G21" s="335">
        <f>VLOOKUP(A21,Hose_Material!$D$1:$O$10000,12,0)</f>
        <v>0</v>
      </c>
      <c r="H21" s="333"/>
      <c r="I21" s="336">
        <v>0.03</v>
      </c>
      <c r="J21" s="337">
        <f>G21*I21*E21</f>
        <v>0</v>
      </c>
      <c r="K21" s="338"/>
      <c r="L21" s="338"/>
      <c r="M21" s="339"/>
      <c r="N21" s="340"/>
      <c r="O21" s="332"/>
      <c r="P21" s="341"/>
      <c r="Q21" s="342"/>
      <c r="R21" s="343"/>
      <c r="S21" s="344"/>
      <c r="T21" s="333"/>
      <c r="U21" s="340"/>
      <c r="V21" s="332"/>
      <c r="W21" s="345"/>
      <c r="X21" s="346"/>
      <c r="Y21" s="347"/>
      <c r="Z21" s="348">
        <f t="shared" si="1"/>
        <v>0</v>
      </c>
      <c r="AA21" s="349"/>
    </row>
    <row r="22" spans="1:32" s="66" customFormat="1">
      <c r="C22" s="65"/>
      <c r="D22" s="65"/>
      <c r="F22" s="67"/>
      <c r="K22" s="67"/>
      <c r="L22" s="67"/>
      <c r="M22" s="67"/>
      <c r="N22" s="79"/>
      <c r="O22" s="65"/>
      <c r="AB22" s="67"/>
      <c r="AC22" s="67"/>
      <c r="AD22" s="67"/>
      <c r="AE22" s="67"/>
      <c r="AF22" s="67"/>
    </row>
    <row r="23" spans="1:32" s="66" customFormat="1">
      <c r="C23" s="65"/>
      <c r="D23" s="65"/>
      <c r="F23" s="67"/>
      <c r="K23" s="67"/>
      <c r="L23" s="67"/>
      <c r="M23" s="67"/>
      <c r="N23" s="79"/>
      <c r="O23" s="65"/>
      <c r="AB23" s="67"/>
      <c r="AC23" s="67"/>
      <c r="AD23" s="67"/>
      <c r="AE23" s="67"/>
      <c r="AF23" s="67"/>
    </row>
    <row r="24" spans="1:32" s="66" customFormat="1">
      <c r="C24" s="65"/>
      <c r="D24" s="65"/>
      <c r="F24" s="67"/>
      <c r="K24" s="67"/>
      <c r="L24" s="67"/>
      <c r="M24" s="67"/>
      <c r="N24" s="79"/>
      <c r="O24" s="65"/>
      <c r="AB24" s="67"/>
      <c r="AC24" s="67"/>
      <c r="AD24" s="67"/>
      <c r="AE24" s="67"/>
      <c r="AF24" s="67"/>
    </row>
    <row r="25" spans="1:32" s="66" customFormat="1">
      <c r="C25" s="65"/>
      <c r="D25" s="65"/>
      <c r="F25" s="67"/>
      <c r="K25" s="67"/>
      <c r="L25" s="67"/>
      <c r="M25" s="67"/>
      <c r="N25" s="79"/>
      <c r="O25" s="65"/>
      <c r="AB25" s="67"/>
      <c r="AC25" s="67"/>
      <c r="AD25" s="67"/>
      <c r="AE25" s="67"/>
      <c r="AF25" s="67"/>
    </row>
    <row r="26" spans="1:32" s="66" customFormat="1">
      <c r="C26" s="65"/>
      <c r="D26" s="65"/>
      <c r="F26" s="67"/>
      <c r="K26" s="67"/>
      <c r="L26" s="67"/>
      <c r="M26" s="67"/>
      <c r="N26" s="79"/>
      <c r="O26" s="65"/>
      <c r="AB26" s="67"/>
      <c r="AC26" s="67"/>
      <c r="AD26" s="67"/>
      <c r="AE26" s="67"/>
      <c r="AF26" s="67"/>
    </row>
    <row r="27" spans="1:32" s="66" customFormat="1">
      <c r="C27" s="65"/>
      <c r="D27" s="65"/>
      <c r="F27" s="67"/>
      <c r="K27" s="67"/>
      <c r="L27" s="67"/>
      <c r="M27" s="67"/>
      <c r="N27" s="79"/>
      <c r="O27" s="65"/>
      <c r="AB27" s="67"/>
      <c r="AC27" s="67"/>
      <c r="AD27" s="67"/>
      <c r="AE27" s="67"/>
      <c r="AF27" s="67"/>
    </row>
    <row r="28" spans="1:32" s="66" customFormat="1">
      <c r="C28" s="65"/>
      <c r="D28" s="65"/>
      <c r="F28" s="67"/>
      <c r="K28" s="67"/>
      <c r="L28" s="67"/>
      <c r="M28" s="67"/>
      <c r="N28" s="79"/>
      <c r="O28" s="65"/>
      <c r="AB28" s="67"/>
      <c r="AC28" s="67"/>
      <c r="AD28" s="67"/>
      <c r="AE28" s="67"/>
      <c r="AF28" s="67"/>
    </row>
    <row r="29" spans="1:32" s="66" customFormat="1">
      <c r="C29" s="65"/>
      <c r="D29" s="65"/>
      <c r="F29" s="67"/>
      <c r="K29" s="67"/>
      <c r="L29" s="67"/>
      <c r="M29" s="67"/>
      <c r="N29" s="79"/>
      <c r="O29" s="65"/>
      <c r="AB29" s="67"/>
      <c r="AC29" s="67"/>
      <c r="AD29" s="67"/>
      <c r="AE29" s="67"/>
      <c r="AF29" s="67"/>
    </row>
    <row r="30" spans="1:32" s="66" customFormat="1">
      <c r="C30" s="65"/>
      <c r="D30" s="65"/>
      <c r="F30" s="67"/>
      <c r="K30" s="67"/>
      <c r="L30" s="67"/>
      <c r="M30" s="67"/>
      <c r="N30" s="79"/>
      <c r="O30" s="65"/>
      <c r="AB30" s="67"/>
      <c r="AC30" s="67"/>
      <c r="AD30" s="67"/>
      <c r="AE30" s="67"/>
      <c r="AF30" s="67"/>
    </row>
    <row r="31" spans="1:32" s="66" customFormat="1">
      <c r="C31" s="65"/>
      <c r="D31" s="65"/>
      <c r="F31" s="67"/>
      <c r="K31" s="67"/>
      <c r="L31" s="67"/>
      <c r="M31" s="67"/>
      <c r="N31" s="79"/>
      <c r="O31" s="65"/>
      <c r="AB31" s="67"/>
      <c r="AC31" s="67"/>
      <c r="AD31" s="67"/>
      <c r="AE31" s="67"/>
      <c r="AF31" s="67"/>
    </row>
    <row r="32" spans="1:32" s="66" customFormat="1">
      <c r="C32" s="65"/>
      <c r="D32" s="65"/>
      <c r="F32" s="67"/>
      <c r="K32" s="67"/>
      <c r="L32" s="67"/>
      <c r="M32" s="67"/>
      <c r="N32" s="79"/>
      <c r="O32" s="65"/>
      <c r="AB32" s="67"/>
      <c r="AC32" s="67"/>
      <c r="AD32" s="67"/>
      <c r="AE32" s="67"/>
      <c r="AF32" s="67"/>
    </row>
    <row r="33" spans="3:32" s="66" customFormat="1">
      <c r="C33" s="65"/>
      <c r="D33" s="65"/>
      <c r="F33" s="67"/>
      <c r="K33" s="67"/>
      <c r="L33" s="67"/>
      <c r="M33" s="67"/>
      <c r="N33" s="79"/>
      <c r="O33" s="65"/>
      <c r="AB33" s="67"/>
      <c r="AC33" s="67"/>
      <c r="AD33" s="67"/>
      <c r="AE33" s="67"/>
      <c r="AF33" s="67"/>
    </row>
    <row r="34" spans="3:32" s="66" customFormat="1">
      <c r="C34" s="65"/>
      <c r="D34" s="65"/>
      <c r="F34" s="67"/>
      <c r="K34" s="67"/>
      <c r="L34" s="67"/>
      <c r="M34" s="67"/>
      <c r="N34" s="79"/>
      <c r="O34" s="65"/>
      <c r="AB34" s="67"/>
      <c r="AC34" s="67"/>
      <c r="AD34" s="67"/>
      <c r="AE34" s="67"/>
      <c r="AF34" s="67"/>
    </row>
    <row r="35" spans="3:32" s="66" customFormat="1">
      <c r="C35" s="65"/>
      <c r="D35" s="65"/>
      <c r="F35" s="67"/>
      <c r="K35" s="67"/>
      <c r="L35" s="67"/>
      <c r="M35" s="67"/>
      <c r="N35" s="79"/>
      <c r="O35" s="65"/>
      <c r="AB35" s="67"/>
      <c r="AC35" s="67"/>
      <c r="AD35" s="67"/>
      <c r="AE35" s="67"/>
      <c r="AF35" s="67"/>
    </row>
    <row r="36" spans="3:32" s="66" customFormat="1">
      <c r="C36" s="65"/>
      <c r="D36" s="65"/>
      <c r="F36" s="67"/>
      <c r="K36" s="67"/>
      <c r="L36" s="67"/>
      <c r="M36" s="67"/>
      <c r="N36" s="79"/>
      <c r="O36" s="65"/>
      <c r="AB36" s="67"/>
      <c r="AC36" s="67"/>
      <c r="AD36" s="67"/>
      <c r="AE36" s="67"/>
      <c r="AF36" s="67"/>
    </row>
    <row r="37" spans="3:32" s="66" customFormat="1">
      <c r="C37" s="65"/>
      <c r="D37" s="65"/>
      <c r="F37" s="67"/>
      <c r="K37" s="67"/>
      <c r="L37" s="67"/>
      <c r="M37" s="67"/>
      <c r="N37" s="79"/>
      <c r="O37" s="65"/>
      <c r="AB37" s="67"/>
      <c r="AC37" s="67"/>
      <c r="AD37" s="67"/>
      <c r="AE37" s="67"/>
      <c r="AF37" s="67"/>
    </row>
    <row r="38" spans="3:32" s="66" customFormat="1">
      <c r="C38" s="65"/>
      <c r="D38" s="65"/>
      <c r="F38" s="67"/>
      <c r="K38" s="67"/>
      <c r="L38" s="67"/>
      <c r="M38" s="67"/>
      <c r="N38" s="79"/>
      <c r="O38" s="65"/>
      <c r="AB38" s="67"/>
      <c r="AC38" s="67"/>
      <c r="AD38" s="67"/>
      <c r="AE38" s="67"/>
      <c r="AF38" s="67"/>
    </row>
    <row r="39" spans="3:32" s="66" customFormat="1">
      <c r="C39" s="65"/>
      <c r="D39" s="65"/>
      <c r="F39" s="67"/>
      <c r="K39" s="67"/>
      <c r="L39" s="67"/>
      <c r="M39" s="67"/>
      <c r="N39" s="79"/>
      <c r="O39" s="65"/>
      <c r="AB39" s="67"/>
      <c r="AC39" s="67"/>
      <c r="AD39" s="67"/>
      <c r="AE39" s="67"/>
      <c r="AF39" s="67"/>
    </row>
    <row r="40" spans="3:32" s="66" customFormat="1">
      <c r="C40" s="65"/>
      <c r="D40" s="65"/>
      <c r="F40" s="67"/>
      <c r="K40" s="67"/>
      <c r="L40" s="67"/>
      <c r="M40" s="67"/>
      <c r="N40" s="79"/>
      <c r="O40" s="65"/>
      <c r="AB40" s="67"/>
      <c r="AC40" s="67"/>
      <c r="AD40" s="67"/>
      <c r="AE40" s="67"/>
      <c r="AF40" s="67"/>
    </row>
    <row r="41" spans="3:32" s="66" customFormat="1">
      <c r="C41" s="65"/>
      <c r="D41" s="65"/>
      <c r="F41" s="67"/>
      <c r="K41" s="67"/>
      <c r="L41" s="67"/>
      <c r="M41" s="67"/>
      <c r="N41" s="79"/>
      <c r="O41" s="65"/>
      <c r="AB41" s="67"/>
      <c r="AC41" s="67"/>
      <c r="AD41" s="67"/>
      <c r="AE41" s="67"/>
      <c r="AF41" s="67"/>
    </row>
    <row r="42" spans="3:32" s="66" customFormat="1">
      <c r="C42" s="65"/>
      <c r="D42" s="65"/>
      <c r="F42" s="67"/>
      <c r="K42" s="67"/>
      <c r="L42" s="67"/>
      <c r="M42" s="67"/>
      <c r="N42" s="79"/>
      <c r="O42" s="65"/>
      <c r="AB42" s="67"/>
      <c r="AC42" s="67"/>
      <c r="AD42" s="67"/>
      <c r="AE42" s="67"/>
      <c r="AF42" s="67"/>
    </row>
    <row r="43" spans="3:32" s="66" customFormat="1">
      <c r="C43" s="65"/>
      <c r="D43" s="65"/>
      <c r="F43" s="67"/>
      <c r="K43" s="67"/>
      <c r="L43" s="67"/>
      <c r="M43" s="67"/>
      <c r="N43" s="79"/>
      <c r="O43" s="65"/>
      <c r="AB43" s="67"/>
      <c r="AC43" s="67"/>
      <c r="AD43" s="67"/>
      <c r="AE43" s="67"/>
      <c r="AF43" s="67"/>
    </row>
    <row r="44" spans="3:32" s="66" customFormat="1">
      <c r="C44" s="65"/>
      <c r="D44" s="65"/>
      <c r="F44" s="67"/>
      <c r="K44" s="67"/>
      <c r="L44" s="67"/>
      <c r="M44" s="67"/>
      <c r="N44" s="79"/>
      <c r="O44" s="65"/>
      <c r="AB44" s="67"/>
      <c r="AC44" s="67"/>
      <c r="AD44" s="67"/>
      <c r="AE44" s="67"/>
      <c r="AF44" s="67"/>
    </row>
    <row r="45" spans="3:32" s="66" customFormat="1">
      <c r="C45" s="65"/>
      <c r="D45" s="65"/>
      <c r="F45" s="67"/>
      <c r="K45" s="67"/>
      <c r="L45" s="67"/>
      <c r="M45" s="67"/>
      <c r="N45" s="79"/>
      <c r="O45" s="65"/>
      <c r="AB45" s="67"/>
      <c r="AC45" s="67"/>
      <c r="AD45" s="67"/>
      <c r="AE45" s="67"/>
      <c r="AF45" s="67"/>
    </row>
    <row r="46" spans="3:32" s="66" customFormat="1">
      <c r="C46" s="65"/>
      <c r="D46" s="65"/>
      <c r="F46" s="67"/>
      <c r="K46" s="67"/>
      <c r="L46" s="67"/>
      <c r="M46" s="67"/>
      <c r="N46" s="79"/>
      <c r="O46" s="65"/>
      <c r="AB46" s="67"/>
      <c r="AC46" s="67"/>
      <c r="AD46" s="67"/>
      <c r="AE46" s="67"/>
      <c r="AF46" s="67"/>
    </row>
    <row r="47" spans="3:32" s="66" customFormat="1">
      <c r="C47" s="65"/>
      <c r="D47" s="65"/>
      <c r="F47" s="67"/>
      <c r="K47" s="67"/>
      <c r="L47" s="67"/>
      <c r="M47" s="67"/>
      <c r="N47" s="79"/>
      <c r="O47" s="65"/>
      <c r="AB47" s="67"/>
      <c r="AC47" s="67"/>
      <c r="AD47" s="67"/>
      <c r="AE47" s="67"/>
      <c r="AF47" s="67"/>
    </row>
    <row r="48" spans="3:32" s="66" customFormat="1">
      <c r="C48" s="65"/>
      <c r="D48" s="65"/>
      <c r="F48" s="67"/>
      <c r="K48" s="67"/>
      <c r="L48" s="67"/>
      <c r="M48" s="67"/>
      <c r="N48" s="79"/>
      <c r="O48" s="65"/>
      <c r="AB48" s="67"/>
      <c r="AC48" s="67"/>
      <c r="AD48" s="67"/>
      <c r="AE48" s="67"/>
      <c r="AF48" s="67"/>
    </row>
    <row r="49" spans="3:32" s="66" customFormat="1">
      <c r="C49" s="65"/>
      <c r="D49" s="65"/>
      <c r="F49" s="67"/>
      <c r="K49" s="67"/>
      <c r="L49" s="67"/>
      <c r="M49" s="67"/>
      <c r="N49" s="79"/>
      <c r="O49" s="65"/>
      <c r="AB49" s="67"/>
      <c r="AC49" s="67"/>
      <c r="AD49" s="67"/>
      <c r="AE49" s="67"/>
      <c r="AF49" s="67"/>
    </row>
    <row r="50" spans="3:32" s="66" customFormat="1">
      <c r="C50" s="65"/>
      <c r="D50" s="65"/>
      <c r="F50" s="67"/>
      <c r="K50" s="67"/>
      <c r="L50" s="67"/>
      <c r="M50" s="67"/>
      <c r="N50" s="79"/>
      <c r="O50" s="65"/>
      <c r="AB50" s="67"/>
      <c r="AC50" s="67"/>
      <c r="AD50" s="67"/>
      <c r="AE50" s="67"/>
      <c r="AF50" s="67"/>
    </row>
    <row r="51" spans="3:32" s="66" customFormat="1">
      <c r="C51" s="65"/>
      <c r="D51" s="65"/>
      <c r="F51" s="67"/>
      <c r="K51" s="67"/>
      <c r="L51" s="67"/>
      <c r="M51" s="67"/>
      <c r="N51" s="79"/>
      <c r="O51" s="65"/>
      <c r="AB51" s="67"/>
      <c r="AC51" s="67"/>
      <c r="AD51" s="67"/>
      <c r="AE51" s="67"/>
      <c r="AF51" s="67"/>
    </row>
    <row r="52" spans="3:32" s="66" customFormat="1">
      <c r="C52" s="65"/>
      <c r="D52" s="65"/>
      <c r="F52" s="67"/>
      <c r="K52" s="67"/>
      <c r="L52" s="67"/>
      <c r="M52" s="67"/>
      <c r="N52" s="79"/>
      <c r="O52" s="65"/>
      <c r="AB52" s="67"/>
      <c r="AC52" s="67"/>
      <c r="AD52" s="67"/>
      <c r="AE52" s="67"/>
      <c r="AF52" s="67"/>
    </row>
    <row r="53" spans="3:32" s="66" customFormat="1">
      <c r="C53" s="65"/>
      <c r="D53" s="65"/>
      <c r="F53" s="67"/>
      <c r="K53" s="67"/>
      <c r="L53" s="67"/>
      <c r="M53" s="67"/>
      <c r="N53" s="79"/>
      <c r="O53" s="65"/>
      <c r="AB53" s="67"/>
      <c r="AC53" s="67"/>
      <c r="AD53" s="67"/>
      <c r="AE53" s="67"/>
      <c r="AF53" s="67"/>
    </row>
    <row r="54" spans="3:32" s="66" customFormat="1">
      <c r="C54" s="65"/>
      <c r="D54" s="65"/>
      <c r="F54" s="67"/>
      <c r="K54" s="67"/>
      <c r="L54" s="67"/>
      <c r="M54" s="67"/>
      <c r="N54" s="79"/>
      <c r="O54" s="65"/>
      <c r="AB54" s="67"/>
      <c r="AC54" s="67"/>
      <c r="AD54" s="67"/>
      <c r="AE54" s="67"/>
      <c r="AF54" s="67"/>
    </row>
    <row r="55" spans="3:32" s="66" customFormat="1">
      <c r="C55" s="65"/>
      <c r="D55" s="65"/>
      <c r="F55" s="67"/>
      <c r="K55" s="67"/>
      <c r="L55" s="67"/>
      <c r="M55" s="67"/>
      <c r="N55" s="79"/>
      <c r="O55" s="65"/>
      <c r="AB55" s="67"/>
      <c r="AC55" s="67"/>
      <c r="AD55" s="67"/>
      <c r="AE55" s="67"/>
      <c r="AF55" s="67"/>
    </row>
    <row r="56" spans="3:32" s="66" customFormat="1">
      <c r="C56" s="65"/>
      <c r="D56" s="65"/>
      <c r="F56" s="67"/>
      <c r="K56" s="67"/>
      <c r="L56" s="67"/>
      <c r="M56" s="67"/>
      <c r="N56" s="79"/>
      <c r="O56" s="65"/>
      <c r="AB56" s="67"/>
      <c r="AC56" s="67"/>
      <c r="AD56" s="67"/>
      <c r="AE56" s="67"/>
      <c r="AF56" s="67"/>
    </row>
    <row r="57" spans="3:32" s="66" customFormat="1">
      <c r="C57" s="65"/>
      <c r="D57" s="65"/>
      <c r="F57" s="67"/>
      <c r="K57" s="67"/>
      <c r="L57" s="67"/>
      <c r="M57" s="67"/>
      <c r="N57" s="79"/>
      <c r="O57" s="65"/>
      <c r="AB57" s="67"/>
      <c r="AC57" s="67"/>
      <c r="AD57" s="67"/>
      <c r="AE57" s="67"/>
      <c r="AF57" s="67"/>
    </row>
    <row r="58" spans="3:32" s="66" customFormat="1">
      <c r="C58" s="65"/>
      <c r="D58" s="65"/>
      <c r="F58" s="67"/>
      <c r="K58" s="67"/>
      <c r="L58" s="67"/>
      <c r="M58" s="67"/>
      <c r="N58" s="79"/>
      <c r="O58" s="65"/>
      <c r="AB58" s="67"/>
      <c r="AC58" s="67"/>
      <c r="AD58" s="67"/>
      <c r="AE58" s="67"/>
      <c r="AF58" s="67"/>
    </row>
    <row r="59" spans="3:32" s="66" customFormat="1">
      <c r="C59" s="65"/>
      <c r="D59" s="65"/>
      <c r="F59" s="67"/>
      <c r="K59" s="67"/>
      <c r="L59" s="67"/>
      <c r="M59" s="67"/>
      <c r="N59" s="79"/>
      <c r="O59" s="65"/>
      <c r="AB59" s="67"/>
      <c r="AC59" s="67"/>
      <c r="AD59" s="67"/>
      <c r="AE59" s="67"/>
      <c r="AF59" s="67"/>
    </row>
    <row r="60" spans="3:32" s="66" customFormat="1">
      <c r="C60" s="65"/>
      <c r="D60" s="65"/>
      <c r="F60" s="67"/>
      <c r="K60" s="67"/>
      <c r="L60" s="67"/>
      <c r="M60" s="67"/>
      <c r="N60" s="79"/>
      <c r="O60" s="65"/>
      <c r="AB60" s="67"/>
      <c r="AC60" s="67"/>
      <c r="AD60" s="67"/>
      <c r="AE60" s="67"/>
      <c r="AF60" s="67"/>
    </row>
    <row r="61" spans="3:32" s="66" customFormat="1">
      <c r="C61" s="65"/>
      <c r="D61" s="65"/>
      <c r="F61" s="67"/>
      <c r="K61" s="67"/>
      <c r="L61" s="67"/>
      <c r="M61" s="67"/>
      <c r="N61" s="79"/>
      <c r="O61" s="65"/>
      <c r="AB61" s="67"/>
      <c r="AC61" s="67"/>
      <c r="AD61" s="67"/>
      <c r="AE61" s="67"/>
      <c r="AF61" s="67"/>
    </row>
    <row r="62" spans="3:32" s="66" customFormat="1">
      <c r="C62" s="65"/>
      <c r="D62" s="65"/>
      <c r="F62" s="67"/>
      <c r="K62" s="67"/>
      <c r="L62" s="67"/>
      <c r="M62" s="67"/>
      <c r="N62" s="79"/>
      <c r="O62" s="65"/>
      <c r="AB62" s="67"/>
      <c r="AC62" s="67"/>
      <c r="AD62" s="67"/>
      <c r="AE62" s="67"/>
      <c r="AF62" s="67"/>
    </row>
    <row r="63" spans="3:32" s="66" customFormat="1">
      <c r="C63" s="65"/>
      <c r="D63" s="65"/>
      <c r="F63" s="67"/>
      <c r="K63" s="67"/>
      <c r="L63" s="67"/>
      <c r="M63" s="67"/>
      <c r="N63" s="79"/>
      <c r="O63" s="65"/>
      <c r="AB63" s="67"/>
      <c r="AC63" s="67"/>
      <c r="AD63" s="67"/>
      <c r="AE63" s="67"/>
      <c r="AF63" s="67"/>
    </row>
    <row r="64" spans="3:32" s="66" customFormat="1">
      <c r="C64" s="65"/>
      <c r="D64" s="65"/>
      <c r="F64" s="67"/>
      <c r="K64" s="67"/>
      <c r="L64" s="67"/>
      <c r="M64" s="67"/>
      <c r="N64" s="79"/>
      <c r="O64" s="65"/>
      <c r="AB64" s="67"/>
      <c r="AC64" s="67"/>
      <c r="AD64" s="67"/>
      <c r="AE64" s="67"/>
      <c r="AF64" s="67"/>
    </row>
    <row r="65" spans="3:32" s="66" customFormat="1">
      <c r="C65" s="65"/>
      <c r="D65" s="65"/>
      <c r="F65" s="67"/>
      <c r="K65" s="67"/>
      <c r="L65" s="67"/>
      <c r="M65" s="67"/>
      <c r="N65" s="79"/>
      <c r="O65" s="65"/>
      <c r="AB65" s="67"/>
      <c r="AC65" s="67"/>
      <c r="AD65" s="67"/>
      <c r="AE65" s="67"/>
      <c r="AF65" s="67"/>
    </row>
    <row r="66" spans="3:32" s="66" customFormat="1">
      <c r="C66" s="65"/>
      <c r="D66" s="65"/>
      <c r="F66" s="67"/>
      <c r="K66" s="67"/>
      <c r="L66" s="67"/>
      <c r="M66" s="67"/>
      <c r="N66" s="79"/>
      <c r="O66" s="65"/>
      <c r="AB66" s="67"/>
      <c r="AC66" s="67"/>
      <c r="AD66" s="67"/>
      <c r="AE66" s="67"/>
      <c r="AF66" s="67"/>
    </row>
    <row r="67" spans="3:32" s="66" customFormat="1">
      <c r="C67" s="65"/>
      <c r="D67" s="65"/>
      <c r="F67" s="67"/>
      <c r="K67" s="67"/>
      <c r="L67" s="67"/>
      <c r="M67" s="67"/>
      <c r="N67" s="79"/>
      <c r="O67" s="65"/>
      <c r="AB67" s="67"/>
      <c r="AC67" s="67"/>
      <c r="AD67" s="67"/>
      <c r="AE67" s="67"/>
      <c r="AF67" s="67"/>
    </row>
    <row r="68" spans="3:32" s="66" customFormat="1">
      <c r="C68" s="65"/>
      <c r="D68" s="65"/>
      <c r="F68" s="67"/>
      <c r="K68" s="67"/>
      <c r="L68" s="67"/>
      <c r="M68" s="67"/>
      <c r="N68" s="79"/>
      <c r="O68" s="65"/>
      <c r="AB68" s="67"/>
      <c r="AC68" s="67"/>
      <c r="AD68" s="67"/>
      <c r="AE68" s="67"/>
      <c r="AF68" s="67"/>
    </row>
    <row r="69" spans="3:32" s="66" customFormat="1">
      <c r="C69" s="65"/>
      <c r="D69" s="65"/>
      <c r="F69" s="67"/>
      <c r="K69" s="67"/>
      <c r="L69" s="67"/>
      <c r="M69" s="67"/>
      <c r="N69" s="79"/>
      <c r="O69" s="65"/>
      <c r="AB69" s="67"/>
      <c r="AC69" s="67"/>
      <c r="AD69" s="67"/>
      <c r="AE69" s="67"/>
      <c r="AF69" s="67"/>
    </row>
    <row r="70" spans="3:32" s="66" customFormat="1">
      <c r="C70" s="65"/>
      <c r="D70" s="65"/>
      <c r="F70" s="67"/>
      <c r="K70" s="67"/>
      <c r="L70" s="67"/>
      <c r="M70" s="67"/>
      <c r="N70" s="79"/>
      <c r="O70" s="65"/>
      <c r="AB70" s="67"/>
      <c r="AC70" s="67"/>
      <c r="AD70" s="67"/>
      <c r="AE70" s="67"/>
      <c r="AF70" s="67"/>
    </row>
    <row r="71" spans="3:32" s="66" customFormat="1">
      <c r="C71" s="65"/>
      <c r="D71" s="65"/>
      <c r="F71" s="67"/>
      <c r="K71" s="67"/>
      <c r="L71" s="67"/>
      <c r="M71" s="67"/>
      <c r="N71" s="79"/>
      <c r="O71" s="65"/>
      <c r="AB71" s="67"/>
      <c r="AC71" s="67"/>
      <c r="AD71" s="67"/>
      <c r="AE71" s="67"/>
      <c r="AF71" s="67"/>
    </row>
    <row r="72" spans="3:32" s="66" customFormat="1">
      <c r="C72" s="65"/>
      <c r="D72" s="65"/>
      <c r="F72" s="67"/>
      <c r="K72" s="67"/>
      <c r="L72" s="67"/>
      <c r="M72" s="67"/>
      <c r="N72" s="79"/>
      <c r="O72" s="65"/>
      <c r="AB72" s="67"/>
      <c r="AC72" s="67"/>
      <c r="AD72" s="67"/>
      <c r="AE72" s="67"/>
      <c r="AF72" s="67"/>
    </row>
    <row r="73" spans="3:32" s="66" customFormat="1">
      <c r="C73" s="65"/>
      <c r="D73" s="65"/>
      <c r="F73" s="67"/>
      <c r="K73" s="67"/>
      <c r="L73" s="67"/>
      <c r="M73" s="67"/>
      <c r="N73" s="79"/>
      <c r="O73" s="65"/>
      <c r="AB73" s="67"/>
      <c r="AC73" s="67"/>
      <c r="AD73" s="67"/>
      <c r="AE73" s="67"/>
      <c r="AF73" s="67"/>
    </row>
    <row r="74" spans="3:32" s="66" customFormat="1">
      <c r="C74" s="65"/>
      <c r="D74" s="65"/>
      <c r="F74" s="67"/>
      <c r="K74" s="67"/>
      <c r="L74" s="67"/>
      <c r="M74" s="67"/>
      <c r="N74" s="79"/>
      <c r="O74" s="65"/>
      <c r="AB74" s="67"/>
      <c r="AC74" s="67"/>
      <c r="AD74" s="67"/>
      <c r="AE74" s="67"/>
      <c r="AF74" s="67"/>
    </row>
    <row r="75" spans="3:32" s="66" customFormat="1">
      <c r="C75" s="65"/>
      <c r="D75" s="65"/>
      <c r="F75" s="67"/>
      <c r="K75" s="67"/>
      <c r="L75" s="67"/>
      <c r="M75" s="67"/>
      <c r="N75" s="79"/>
      <c r="O75" s="65"/>
      <c r="AB75" s="67"/>
      <c r="AC75" s="67"/>
      <c r="AD75" s="67"/>
      <c r="AE75" s="67"/>
      <c r="AF75" s="67"/>
    </row>
    <row r="76" spans="3:32" s="66" customFormat="1">
      <c r="C76" s="65"/>
      <c r="D76" s="65"/>
      <c r="F76" s="67"/>
      <c r="K76" s="67"/>
      <c r="L76" s="67"/>
      <c r="M76" s="67"/>
      <c r="N76" s="79"/>
      <c r="O76" s="65"/>
      <c r="AB76" s="67"/>
      <c r="AC76" s="67"/>
      <c r="AD76" s="67"/>
      <c r="AE76" s="67"/>
      <c r="AF76" s="67"/>
    </row>
    <row r="77" spans="3:32" s="66" customFormat="1">
      <c r="C77" s="65"/>
      <c r="D77" s="65"/>
      <c r="F77" s="67"/>
      <c r="K77" s="67"/>
      <c r="L77" s="67"/>
      <c r="M77" s="67"/>
      <c r="N77" s="79"/>
      <c r="O77" s="65"/>
      <c r="AB77" s="67"/>
      <c r="AC77" s="67"/>
      <c r="AD77" s="67"/>
      <c r="AE77" s="67"/>
      <c r="AF77" s="67"/>
    </row>
    <row r="78" spans="3:32" s="66" customFormat="1">
      <c r="C78" s="65"/>
      <c r="D78" s="65"/>
      <c r="F78" s="67"/>
      <c r="K78" s="67"/>
      <c r="L78" s="67"/>
      <c r="M78" s="67"/>
      <c r="N78" s="79"/>
      <c r="O78" s="65"/>
      <c r="AB78" s="67"/>
      <c r="AC78" s="67"/>
      <c r="AD78" s="67"/>
      <c r="AE78" s="67"/>
      <c r="AF78" s="67"/>
    </row>
    <row r="79" spans="3:32" s="66" customFormat="1">
      <c r="C79" s="65"/>
      <c r="D79" s="65"/>
      <c r="F79" s="67"/>
      <c r="K79" s="67"/>
      <c r="L79" s="67"/>
      <c r="M79" s="67"/>
      <c r="N79" s="79"/>
      <c r="O79" s="65"/>
      <c r="AB79" s="67"/>
      <c r="AC79" s="67"/>
      <c r="AD79" s="67"/>
      <c r="AE79" s="67"/>
      <c r="AF79" s="67"/>
    </row>
    <row r="80" spans="3:32" s="66" customFormat="1">
      <c r="C80" s="65"/>
      <c r="D80" s="65"/>
      <c r="F80" s="67"/>
      <c r="K80" s="67"/>
      <c r="L80" s="67"/>
      <c r="M80" s="67"/>
      <c r="N80" s="79"/>
      <c r="O80" s="65"/>
      <c r="AB80" s="67"/>
      <c r="AC80" s="67"/>
      <c r="AD80" s="67"/>
      <c r="AE80" s="67"/>
      <c r="AF80" s="67"/>
    </row>
    <row r="81" spans="3:32" s="66" customFormat="1">
      <c r="C81" s="65"/>
      <c r="D81" s="65"/>
      <c r="F81" s="67"/>
      <c r="K81" s="67"/>
      <c r="L81" s="67"/>
      <c r="M81" s="67"/>
      <c r="N81" s="79"/>
      <c r="O81" s="65"/>
      <c r="AB81" s="67"/>
      <c r="AC81" s="67"/>
      <c r="AD81" s="67"/>
      <c r="AE81" s="67"/>
      <c r="AF81" s="67"/>
    </row>
    <row r="82" spans="3:32" s="66" customFormat="1">
      <c r="C82" s="65"/>
      <c r="D82" s="65"/>
      <c r="F82" s="67"/>
      <c r="K82" s="67"/>
      <c r="L82" s="67"/>
      <c r="M82" s="67"/>
      <c r="N82" s="79"/>
      <c r="O82" s="65"/>
      <c r="AB82" s="67"/>
      <c r="AC82" s="67"/>
      <c r="AD82" s="67"/>
      <c r="AE82" s="67"/>
      <c r="AF82" s="67"/>
    </row>
    <row r="83" spans="3:32" s="66" customFormat="1">
      <c r="C83" s="65"/>
      <c r="D83" s="65"/>
      <c r="F83" s="67"/>
      <c r="K83" s="67"/>
      <c r="L83" s="67"/>
      <c r="M83" s="67"/>
      <c r="N83" s="79"/>
      <c r="O83" s="65"/>
      <c r="AB83" s="67"/>
      <c r="AC83" s="67"/>
      <c r="AD83" s="67"/>
      <c r="AE83" s="67"/>
      <c r="AF83" s="67"/>
    </row>
    <row r="84" spans="3:32" s="66" customFormat="1">
      <c r="C84" s="65"/>
      <c r="D84" s="65"/>
      <c r="F84" s="67"/>
      <c r="K84" s="67"/>
      <c r="L84" s="67"/>
      <c r="M84" s="67"/>
      <c r="N84" s="79"/>
      <c r="O84" s="65"/>
      <c r="AB84" s="67"/>
      <c r="AC84" s="67"/>
      <c r="AD84" s="67"/>
      <c r="AE84" s="67"/>
      <c r="AF84" s="67"/>
    </row>
    <row r="85" spans="3:32" s="66" customFormat="1">
      <c r="C85" s="65"/>
      <c r="D85" s="65"/>
      <c r="F85" s="67"/>
      <c r="K85" s="67"/>
      <c r="L85" s="67"/>
      <c r="M85" s="67"/>
      <c r="N85" s="79"/>
      <c r="O85" s="65"/>
      <c r="AB85" s="67"/>
      <c r="AC85" s="67"/>
      <c r="AD85" s="67"/>
      <c r="AE85" s="67"/>
      <c r="AF85" s="67"/>
    </row>
    <row r="86" spans="3:32" s="66" customFormat="1">
      <c r="C86" s="65"/>
      <c r="D86" s="65"/>
      <c r="F86" s="67"/>
      <c r="K86" s="67"/>
      <c r="L86" s="67"/>
      <c r="M86" s="67"/>
      <c r="N86" s="79"/>
      <c r="O86" s="65"/>
      <c r="AB86" s="67"/>
      <c r="AC86" s="67"/>
      <c r="AD86" s="67"/>
      <c r="AE86" s="67"/>
      <c r="AF86" s="67"/>
    </row>
    <row r="87" spans="3:32" s="66" customFormat="1">
      <c r="C87" s="65"/>
      <c r="D87" s="65"/>
      <c r="F87" s="67"/>
      <c r="K87" s="67"/>
      <c r="L87" s="67"/>
      <c r="M87" s="67"/>
      <c r="N87" s="79"/>
      <c r="O87" s="65"/>
      <c r="AB87" s="67"/>
      <c r="AC87" s="67"/>
      <c r="AD87" s="67"/>
      <c r="AE87" s="67"/>
      <c r="AF87" s="67"/>
    </row>
    <row r="88" spans="3:32" s="66" customFormat="1">
      <c r="C88" s="65"/>
      <c r="D88" s="65"/>
      <c r="F88" s="67"/>
      <c r="K88" s="67"/>
      <c r="L88" s="67"/>
      <c r="M88" s="67"/>
      <c r="N88" s="79"/>
      <c r="O88" s="65"/>
      <c r="AB88" s="67"/>
      <c r="AC88" s="67"/>
      <c r="AD88" s="67"/>
      <c r="AE88" s="67"/>
      <c r="AF88" s="67"/>
    </row>
    <row r="89" spans="3:32" s="66" customFormat="1">
      <c r="C89" s="65"/>
      <c r="D89" s="65"/>
      <c r="F89" s="67"/>
      <c r="K89" s="67"/>
      <c r="L89" s="67"/>
      <c r="M89" s="67"/>
      <c r="N89" s="79"/>
      <c r="O89" s="65"/>
      <c r="AB89" s="67"/>
      <c r="AC89" s="67"/>
      <c r="AD89" s="67"/>
      <c r="AE89" s="67"/>
      <c r="AF89" s="67"/>
    </row>
    <row r="90" spans="3:32" s="66" customFormat="1">
      <c r="C90" s="65"/>
      <c r="D90" s="65"/>
      <c r="F90" s="67"/>
      <c r="K90" s="67"/>
      <c r="L90" s="67"/>
      <c r="M90" s="67"/>
      <c r="N90" s="79"/>
      <c r="O90" s="65"/>
      <c r="AB90" s="67"/>
      <c r="AC90" s="67"/>
      <c r="AD90" s="67"/>
      <c r="AE90" s="67"/>
      <c r="AF90" s="67"/>
    </row>
    <row r="91" spans="3:32" s="66" customFormat="1">
      <c r="C91" s="65"/>
      <c r="D91" s="65"/>
      <c r="F91" s="67"/>
      <c r="K91" s="67"/>
      <c r="L91" s="67"/>
      <c r="M91" s="67"/>
      <c r="N91" s="79"/>
      <c r="O91" s="65"/>
      <c r="AB91" s="67"/>
      <c r="AC91" s="67"/>
      <c r="AD91" s="67"/>
      <c r="AE91" s="67"/>
      <c r="AF91" s="67"/>
    </row>
    <row r="92" spans="3:32" s="66" customFormat="1">
      <c r="C92" s="65"/>
      <c r="D92" s="65"/>
      <c r="F92" s="67"/>
      <c r="K92" s="67"/>
      <c r="L92" s="67"/>
      <c r="M92" s="67"/>
      <c r="N92" s="79"/>
      <c r="O92" s="65"/>
      <c r="AB92" s="67"/>
      <c r="AC92" s="67"/>
      <c r="AD92" s="67"/>
      <c r="AE92" s="67"/>
      <c r="AF92" s="67"/>
    </row>
    <row r="93" spans="3:32" s="66" customFormat="1">
      <c r="C93" s="65"/>
      <c r="D93" s="65"/>
      <c r="F93" s="67"/>
      <c r="K93" s="67"/>
      <c r="L93" s="67"/>
      <c r="M93" s="67"/>
      <c r="N93" s="79"/>
      <c r="O93" s="65"/>
      <c r="AB93" s="67"/>
      <c r="AC93" s="67"/>
      <c r="AD93" s="67"/>
      <c r="AE93" s="67"/>
      <c r="AF93" s="67"/>
    </row>
    <row r="94" spans="3:32" s="66" customFormat="1">
      <c r="C94" s="65"/>
      <c r="D94" s="65"/>
      <c r="F94" s="67"/>
      <c r="K94" s="67"/>
      <c r="L94" s="67"/>
      <c r="M94" s="67"/>
      <c r="N94" s="79"/>
      <c r="O94" s="65"/>
      <c r="AB94" s="67"/>
      <c r="AC94" s="67"/>
      <c r="AD94" s="67"/>
      <c r="AE94" s="67"/>
      <c r="AF94" s="67"/>
    </row>
    <row r="95" spans="3:32" s="66" customFormat="1">
      <c r="C95" s="65"/>
      <c r="D95" s="65"/>
      <c r="F95" s="67"/>
      <c r="K95" s="67"/>
      <c r="L95" s="67"/>
      <c r="M95" s="67"/>
      <c r="N95" s="79"/>
      <c r="O95" s="65"/>
      <c r="AB95" s="67"/>
      <c r="AC95" s="67"/>
      <c r="AD95" s="67"/>
      <c r="AE95" s="67"/>
      <c r="AF95" s="67"/>
    </row>
    <row r="96" spans="3:32" s="66" customFormat="1">
      <c r="C96" s="65"/>
      <c r="D96" s="65"/>
      <c r="F96" s="67"/>
      <c r="K96" s="67"/>
      <c r="L96" s="67"/>
      <c r="M96" s="67"/>
      <c r="N96" s="79"/>
      <c r="O96" s="65"/>
      <c r="AB96" s="67"/>
      <c r="AC96" s="67"/>
      <c r="AD96" s="67"/>
      <c r="AE96" s="67"/>
      <c r="AF96" s="67"/>
    </row>
    <row r="97" spans="3:32" s="66" customFormat="1">
      <c r="C97" s="65"/>
      <c r="D97" s="65"/>
      <c r="F97" s="67"/>
      <c r="K97" s="67"/>
      <c r="L97" s="67"/>
      <c r="M97" s="67"/>
      <c r="N97" s="79"/>
      <c r="O97" s="65"/>
      <c r="AB97" s="67"/>
      <c r="AC97" s="67"/>
      <c r="AD97" s="67"/>
      <c r="AE97" s="67"/>
      <c r="AF97" s="67"/>
    </row>
    <row r="98" spans="3:32" s="66" customFormat="1">
      <c r="C98" s="65"/>
      <c r="D98" s="65"/>
      <c r="F98" s="67"/>
      <c r="K98" s="67"/>
      <c r="L98" s="67"/>
      <c r="M98" s="67"/>
      <c r="N98" s="79"/>
      <c r="O98" s="65"/>
      <c r="AB98" s="67"/>
      <c r="AC98" s="67"/>
      <c r="AD98" s="67"/>
      <c r="AE98" s="67"/>
      <c r="AF98" s="67"/>
    </row>
    <row r="99" spans="3:32" s="66" customFormat="1">
      <c r="C99" s="65"/>
      <c r="D99" s="65"/>
      <c r="F99" s="67"/>
      <c r="K99" s="67"/>
      <c r="L99" s="67"/>
      <c r="M99" s="67"/>
      <c r="N99" s="79"/>
      <c r="O99" s="65"/>
      <c r="AB99" s="67"/>
      <c r="AC99" s="67"/>
      <c r="AD99" s="67"/>
      <c r="AE99" s="67"/>
      <c r="AF99" s="67"/>
    </row>
    <row r="100" spans="3:32" s="66" customFormat="1">
      <c r="C100" s="65"/>
      <c r="D100" s="65"/>
      <c r="F100" s="67"/>
      <c r="K100" s="67"/>
      <c r="L100" s="67"/>
      <c r="M100" s="67"/>
      <c r="N100" s="79"/>
      <c r="O100" s="65"/>
      <c r="AB100" s="67"/>
      <c r="AC100" s="67"/>
      <c r="AD100" s="67"/>
      <c r="AE100" s="67"/>
      <c r="AF100" s="67"/>
    </row>
    <row r="101" spans="3:32" s="66" customFormat="1">
      <c r="C101" s="65"/>
      <c r="D101" s="65"/>
      <c r="F101" s="67"/>
      <c r="K101" s="67"/>
      <c r="L101" s="67"/>
      <c r="M101" s="67"/>
      <c r="N101" s="79"/>
      <c r="O101" s="65"/>
      <c r="AB101" s="67"/>
      <c r="AC101" s="67"/>
      <c r="AD101" s="67"/>
      <c r="AE101" s="67"/>
      <c r="AF101" s="67"/>
    </row>
    <row r="102" spans="3:32" s="66" customFormat="1">
      <c r="C102" s="65"/>
      <c r="D102" s="65"/>
      <c r="F102" s="67"/>
      <c r="K102" s="67"/>
      <c r="L102" s="67"/>
      <c r="M102" s="67"/>
      <c r="N102" s="79"/>
      <c r="O102" s="65"/>
      <c r="AB102" s="67"/>
      <c r="AC102" s="67"/>
      <c r="AD102" s="67"/>
      <c r="AE102" s="67"/>
      <c r="AF102" s="67"/>
    </row>
    <row r="103" spans="3:32" s="66" customFormat="1">
      <c r="C103" s="65"/>
      <c r="D103" s="65"/>
      <c r="F103" s="67"/>
      <c r="K103" s="67"/>
      <c r="L103" s="67"/>
      <c r="M103" s="67"/>
      <c r="N103" s="79"/>
      <c r="O103" s="65"/>
      <c r="AB103" s="67"/>
      <c r="AC103" s="67"/>
      <c r="AD103" s="67"/>
      <c r="AE103" s="67"/>
      <c r="AF103" s="67"/>
    </row>
    <row r="104" spans="3:32" s="66" customFormat="1">
      <c r="C104" s="65"/>
      <c r="D104" s="65"/>
      <c r="F104" s="67"/>
      <c r="K104" s="67"/>
      <c r="L104" s="67"/>
      <c r="M104" s="67"/>
      <c r="N104" s="79"/>
      <c r="O104" s="65"/>
      <c r="AB104" s="67"/>
      <c r="AC104" s="67"/>
      <c r="AD104" s="67"/>
      <c r="AE104" s="67"/>
      <c r="AF104" s="67"/>
    </row>
    <row r="105" spans="3:32" s="66" customFormat="1">
      <c r="C105" s="65"/>
      <c r="D105" s="65"/>
      <c r="F105" s="67"/>
      <c r="K105" s="67"/>
      <c r="L105" s="67"/>
      <c r="M105" s="67"/>
      <c r="N105" s="79"/>
      <c r="O105" s="65"/>
      <c r="AB105" s="67"/>
      <c r="AC105" s="67"/>
      <c r="AD105" s="67"/>
      <c r="AE105" s="67"/>
      <c r="AF105" s="67"/>
    </row>
    <row r="106" spans="3:32" s="66" customFormat="1">
      <c r="C106" s="65"/>
      <c r="D106" s="65"/>
      <c r="F106" s="67"/>
      <c r="K106" s="67"/>
      <c r="L106" s="67"/>
      <c r="M106" s="67"/>
      <c r="N106" s="79"/>
      <c r="O106" s="65"/>
      <c r="AB106" s="67"/>
      <c r="AC106" s="67"/>
      <c r="AD106" s="67"/>
      <c r="AE106" s="67"/>
      <c r="AF106" s="67"/>
    </row>
    <row r="107" spans="3:32" s="66" customFormat="1">
      <c r="C107" s="65"/>
      <c r="D107" s="65"/>
      <c r="F107" s="67"/>
      <c r="K107" s="67"/>
      <c r="L107" s="67"/>
      <c r="M107" s="67"/>
      <c r="N107" s="79"/>
      <c r="O107" s="65"/>
      <c r="AB107" s="67"/>
      <c r="AC107" s="67"/>
      <c r="AD107" s="67"/>
      <c r="AE107" s="67"/>
      <c r="AF107" s="67"/>
    </row>
    <row r="108" spans="3:32" s="66" customFormat="1">
      <c r="C108" s="65"/>
      <c r="D108" s="65"/>
      <c r="F108" s="67"/>
      <c r="K108" s="67"/>
      <c r="L108" s="67"/>
      <c r="M108" s="67"/>
      <c r="N108" s="79"/>
      <c r="O108" s="65"/>
      <c r="AB108" s="67"/>
      <c r="AC108" s="67"/>
      <c r="AD108" s="67"/>
      <c r="AE108" s="67"/>
      <c r="AF108" s="67"/>
    </row>
    <row r="109" spans="3:32" s="66" customFormat="1">
      <c r="C109" s="65"/>
      <c r="D109" s="65"/>
      <c r="F109" s="67"/>
      <c r="K109" s="67"/>
      <c r="L109" s="67"/>
      <c r="M109" s="67"/>
      <c r="N109" s="79"/>
      <c r="O109" s="65"/>
      <c r="AB109" s="67"/>
      <c r="AC109" s="67"/>
      <c r="AD109" s="67"/>
      <c r="AE109" s="67"/>
      <c r="AF109" s="67"/>
    </row>
    <row r="110" spans="3:32" s="66" customFormat="1">
      <c r="C110" s="65"/>
      <c r="D110" s="65"/>
      <c r="F110" s="67"/>
      <c r="K110" s="67"/>
      <c r="L110" s="67"/>
      <c r="M110" s="67"/>
      <c r="N110" s="79"/>
      <c r="O110" s="65"/>
      <c r="AB110" s="67"/>
      <c r="AC110" s="67"/>
      <c r="AD110" s="67"/>
      <c r="AE110" s="67"/>
      <c r="AF110" s="67"/>
    </row>
    <row r="111" spans="3:32" s="66" customFormat="1">
      <c r="C111" s="65"/>
      <c r="D111" s="65"/>
      <c r="F111" s="67"/>
      <c r="K111" s="67"/>
      <c r="L111" s="67"/>
      <c r="M111" s="67"/>
      <c r="N111" s="79"/>
      <c r="O111" s="65"/>
      <c r="AB111" s="67"/>
      <c r="AC111" s="67"/>
      <c r="AD111" s="67"/>
      <c r="AE111" s="67"/>
      <c r="AF111" s="67"/>
    </row>
    <row r="112" spans="3:32" s="66" customFormat="1">
      <c r="C112" s="65"/>
      <c r="D112" s="65"/>
      <c r="F112" s="67"/>
      <c r="K112" s="67"/>
      <c r="L112" s="67"/>
      <c r="M112" s="67"/>
      <c r="N112" s="79"/>
      <c r="O112" s="65"/>
      <c r="AB112" s="67"/>
      <c r="AC112" s="67"/>
      <c r="AD112" s="67"/>
      <c r="AE112" s="67"/>
      <c r="AF112" s="67"/>
    </row>
    <row r="113" spans="3:32" s="66" customFormat="1">
      <c r="C113" s="65"/>
      <c r="D113" s="65"/>
      <c r="F113" s="67"/>
      <c r="K113" s="67"/>
      <c r="L113" s="67"/>
      <c r="M113" s="67"/>
      <c r="N113" s="79"/>
      <c r="O113" s="65"/>
      <c r="AB113" s="67"/>
      <c r="AC113" s="67"/>
      <c r="AD113" s="67"/>
      <c r="AE113" s="67"/>
      <c r="AF113" s="67"/>
    </row>
    <row r="114" spans="3:32" s="66" customFormat="1">
      <c r="C114" s="65"/>
      <c r="D114" s="65"/>
      <c r="F114" s="67"/>
      <c r="K114" s="67"/>
      <c r="L114" s="67"/>
      <c r="M114" s="67"/>
      <c r="N114" s="79"/>
      <c r="O114" s="65"/>
      <c r="AB114" s="67"/>
      <c r="AC114" s="67"/>
      <c r="AD114" s="67"/>
      <c r="AE114" s="67"/>
      <c r="AF114" s="67"/>
    </row>
    <row r="115" spans="3:32" s="66" customFormat="1">
      <c r="C115" s="65"/>
      <c r="D115" s="65"/>
      <c r="F115" s="67"/>
      <c r="K115" s="67"/>
      <c r="L115" s="67"/>
      <c r="M115" s="67"/>
      <c r="N115" s="79"/>
      <c r="O115" s="65"/>
      <c r="AB115" s="67"/>
      <c r="AC115" s="67"/>
      <c r="AD115" s="67"/>
      <c r="AE115" s="67"/>
      <c r="AF115" s="67"/>
    </row>
    <row r="116" spans="3:32" s="66" customFormat="1">
      <c r="C116" s="65"/>
      <c r="D116" s="65"/>
      <c r="F116" s="67"/>
      <c r="K116" s="67"/>
      <c r="L116" s="67"/>
      <c r="M116" s="67"/>
      <c r="N116" s="79"/>
      <c r="O116" s="65"/>
      <c r="AB116" s="67"/>
      <c r="AC116" s="67"/>
      <c r="AD116" s="67"/>
      <c r="AE116" s="67"/>
      <c r="AF116" s="67"/>
    </row>
    <row r="117" spans="3:32" s="66" customFormat="1">
      <c r="C117" s="65"/>
      <c r="D117" s="65"/>
      <c r="F117" s="67"/>
      <c r="K117" s="67"/>
      <c r="L117" s="67"/>
      <c r="M117" s="67"/>
      <c r="N117" s="79"/>
      <c r="O117" s="65"/>
      <c r="AB117" s="67"/>
      <c r="AC117" s="67"/>
      <c r="AD117" s="67"/>
      <c r="AE117" s="67"/>
      <c r="AF117" s="67"/>
    </row>
    <row r="118" spans="3:32"/>
    <row r="119" spans="3:32"/>
    <row r="120" spans="3:32"/>
    <row r="121" spans="3:32"/>
    <row r="122" spans="3:32"/>
    <row r="123" spans="3:32"/>
    <row r="124" spans="3:32"/>
    <row r="125" spans="3:32"/>
    <row r="126" spans="3:32"/>
    <row r="127" spans="3:32"/>
    <row r="128" spans="3:32"/>
    <row r="129"/>
    <row r="130"/>
    <row r="131"/>
    <row r="132"/>
    <row r="133"/>
    <row r="134"/>
    <row r="135"/>
    <row r="136"/>
    <row r="137"/>
    <row r="138"/>
  </sheetData>
  <mergeCells count="22">
    <mergeCell ref="K3:M3"/>
    <mergeCell ref="K14:M14"/>
    <mergeCell ref="B3:B4"/>
    <mergeCell ref="B14:B15"/>
    <mergeCell ref="A3:A4"/>
    <mergeCell ref="C3:C4"/>
    <mergeCell ref="D3:D4"/>
    <mergeCell ref="E3:E4"/>
    <mergeCell ref="F3:J3"/>
    <mergeCell ref="A14:A15"/>
    <mergeCell ref="C14:C15"/>
    <mergeCell ref="D14:D15"/>
    <mergeCell ref="E14:E15"/>
    <mergeCell ref="F14:J14"/>
    <mergeCell ref="N14:R14"/>
    <mergeCell ref="T14:X14"/>
    <mergeCell ref="Z14:Z15"/>
    <mergeCell ref="AA14:AA15"/>
    <mergeCell ref="N3:R3"/>
    <mergeCell ref="T3:X3"/>
    <mergeCell ref="Z3:Z4"/>
    <mergeCell ref="AA3:AA4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E54"/>
  <sheetViews>
    <sheetView zoomScale="85" zoomScaleNormal="85" workbookViewId="0">
      <selection activeCell="Q3" sqref="Q3"/>
    </sheetView>
  </sheetViews>
  <sheetFormatPr defaultRowHeight="15"/>
  <cols>
    <col min="1" max="1" width="5.28515625" customWidth="1"/>
    <col min="2" max="2" width="13.85546875" hidden="1" customWidth="1"/>
    <col min="3" max="3" width="5.7109375" customWidth="1"/>
    <col min="4" max="4" width="18.140625" bestFit="1" customWidth="1"/>
    <col min="5" max="5" width="15" bestFit="1" customWidth="1"/>
    <col min="6" max="6" width="18.42578125" customWidth="1"/>
    <col min="7" max="7" width="21.28515625" customWidth="1"/>
    <col min="8" max="8" width="16" bestFit="1" customWidth="1"/>
    <col min="9" max="9" width="12" bestFit="1" customWidth="1"/>
    <col min="10" max="10" width="9.140625" customWidth="1"/>
    <col min="13" max="13" width="10.5703125" bestFit="1" customWidth="1"/>
    <col min="15" max="15" width="10" bestFit="1" customWidth="1"/>
    <col min="19" max="19" width="12.85546875" bestFit="1" customWidth="1"/>
    <col min="20" max="20" width="8.42578125" hidden="1" customWidth="1"/>
    <col min="21" max="21" width="11" hidden="1" customWidth="1"/>
    <col min="22" max="22" width="13.7109375" hidden="1" customWidth="1"/>
    <col min="23" max="23" width="9.7109375" hidden="1" customWidth="1"/>
    <col min="24" max="24" width="7.140625" hidden="1" customWidth="1"/>
    <col min="25" max="25" width="10.7109375" hidden="1" customWidth="1"/>
    <col min="26" max="26" width="7.140625" hidden="1" customWidth="1"/>
    <col min="27" max="27" width="13.140625" hidden="1" customWidth="1"/>
    <col min="28" max="28" width="9.42578125" hidden="1" customWidth="1"/>
  </cols>
  <sheetData>
    <row r="1" spans="1:31">
      <c r="A1" s="691">
        <v>1</v>
      </c>
      <c r="F1" s="4" t="s">
        <v>296</v>
      </c>
      <c r="G1" s="725"/>
      <c r="H1" t="s">
        <v>370</v>
      </c>
    </row>
    <row r="2" spans="1:31" s="19" customFormat="1" ht="44.25" customHeight="1">
      <c r="A2" s="152" t="s">
        <v>371</v>
      </c>
      <c r="B2" s="152" t="s">
        <v>29</v>
      </c>
      <c r="C2" s="152" t="s">
        <v>30</v>
      </c>
      <c r="D2" s="152" t="s">
        <v>372</v>
      </c>
      <c r="E2" s="151" t="s">
        <v>373</v>
      </c>
      <c r="F2" s="151" t="s">
        <v>374</v>
      </c>
      <c r="G2" s="151" t="s">
        <v>132</v>
      </c>
      <c r="H2" s="152" t="s">
        <v>375</v>
      </c>
      <c r="I2" s="151" t="s">
        <v>376</v>
      </c>
      <c r="J2" s="152" t="s">
        <v>377</v>
      </c>
      <c r="K2" s="151" t="s">
        <v>378</v>
      </c>
      <c r="L2" s="151" t="s">
        <v>379</v>
      </c>
      <c r="M2" s="151" t="s">
        <v>380</v>
      </c>
      <c r="N2" s="151" t="s">
        <v>381</v>
      </c>
      <c r="O2" s="151" t="s">
        <v>382</v>
      </c>
      <c r="P2" s="151" t="s">
        <v>297</v>
      </c>
      <c r="Q2" s="151" t="s">
        <v>383</v>
      </c>
      <c r="R2" s="151" t="s">
        <v>384</v>
      </c>
      <c r="S2" s="151" t="s">
        <v>385</v>
      </c>
      <c r="T2" s="152" t="s">
        <v>386</v>
      </c>
      <c r="U2" s="153" t="s">
        <v>387</v>
      </c>
      <c r="V2" s="153" t="s">
        <v>388</v>
      </c>
      <c r="W2" s="152" t="s">
        <v>52</v>
      </c>
      <c r="X2" s="152" t="s">
        <v>53</v>
      </c>
      <c r="Y2" s="152" t="s">
        <v>389</v>
      </c>
      <c r="Z2" s="152" t="s">
        <v>390</v>
      </c>
      <c r="AA2" s="152" t="s">
        <v>391</v>
      </c>
      <c r="AB2" s="153" t="s">
        <v>24</v>
      </c>
    </row>
    <row r="3" spans="1:31" s="66" customFormat="1">
      <c r="A3" s="89">
        <v>1</v>
      </c>
      <c r="B3" s="97" t="str">
        <f>VLOOKUP(D3,Group!$AM$1:$AO$10000,3,0)</f>
        <v>MB512123</v>
      </c>
      <c r="C3" s="97">
        <f>VLOOKUP(D3,Group!$AM$1:$AO$10000,2,0)</f>
        <v>0</v>
      </c>
      <c r="D3" s="97">
        <f>Group!R2</f>
        <v>0</v>
      </c>
      <c r="E3" s="206" t="str">
        <f>_xlfn.IFNA(VLOOKUP($D3,BOM!$D$1:$F$10000,2,0),"")</f>
        <v/>
      </c>
      <c r="F3" s="206" t="str">
        <f>_xlfn.IFNA(VLOOKUP($D3,BOM!$D$1:$F$10000,3,0),"")</f>
        <v/>
      </c>
      <c r="G3" s="169"/>
      <c r="H3" s="169"/>
      <c r="I3" s="207">
        <f>H3+SUMIFS($F$1:$F$9999,$C$1:$C$9999,D3)*1.1</f>
        <v>0</v>
      </c>
      <c r="J3" s="208" t="str">
        <f>IFERROR(H3/I3,"")</f>
        <v/>
      </c>
      <c r="K3" s="207">
        <f>SUMIFS($J$1:$J$10000,$H$1:$H$10000,D3)</f>
        <v>0</v>
      </c>
      <c r="L3" s="206" t="str">
        <f>_xlfn.IFNA(VLOOKUP(G3,'RM Base'!D:E,2,0),"")</f>
        <v/>
      </c>
      <c r="M3" s="171"/>
      <c r="N3" s="207" t="str">
        <f>IFERROR(I3*L3,"")</f>
        <v/>
      </c>
      <c r="O3" s="609" t="str">
        <f>IFERROR((I3-H3)*VLOOKUP(G3,'RM Base'!D:K,8,0)*0.8,"")</f>
        <v/>
      </c>
      <c r="P3" s="609">
        <f>K3*18</f>
        <v>0</v>
      </c>
      <c r="Q3" s="610" t="str">
        <f>IFERROR(H3*L3,"")</f>
        <v/>
      </c>
      <c r="R3" s="609" t="str">
        <f>IFERROR(N3-O3-Q3+P3,"")</f>
        <v/>
      </c>
      <c r="S3" s="609" t="str">
        <f>IFERROR(Q3+R3,"")</f>
        <v/>
      </c>
      <c r="T3" s="172">
        <f>SUMIFS(Machining_Process!V:V,Machining_Process!B:B,Casting_Material!D3,Casting_Process!C:C,Casting_Material!$T$2)/2</f>
        <v>0</v>
      </c>
      <c r="U3" s="172">
        <f>SUMIFS(Casting_Process!H:H,Casting_Process!C:C,Casting_Material!$U$2,Casting_Process!B:B,Casting_Material!D3)</f>
        <v>0</v>
      </c>
      <c r="V3" s="172" t="e">
        <f>S3*VLOOKUP("Castings",'OH,Profit &amp; Other Base'!A:V,2,0)</f>
        <v>#VALUE!</v>
      </c>
      <c r="W3" s="172" t="e">
        <f>S3*VLOOKUP("Castings",'OH,Profit &amp; Other Base'!A:V,5,0)</f>
        <v>#VALUE!</v>
      </c>
      <c r="X3" s="172">
        <f>(T3+U3)*VLOOKUP("Castings",'OH,Profit &amp; Other Base'!A:V,6,0)</f>
        <v>0</v>
      </c>
      <c r="Y3" s="171">
        <f>(T3+U3)*VLOOKUP("Castings",'OH,Profit &amp; Other Base'!A:V,18,0)</f>
        <v>0</v>
      </c>
      <c r="Z3" s="171">
        <f>(T3+U3)*VLOOKUP("Castings",'OH,Profit &amp; Other Base'!A:V,21,0)</f>
        <v>0</v>
      </c>
      <c r="AA3" s="171">
        <f>H3*2.25</f>
        <v>0</v>
      </c>
      <c r="AB3" s="173" t="e">
        <f>SUM(S3:AA3)</f>
        <v>#VALUE!</v>
      </c>
    </row>
    <row r="4" spans="1:31" s="66" customFormat="1">
      <c r="A4" s="89">
        <v>2</v>
      </c>
      <c r="B4" s="97" t="str">
        <f>VLOOKUP(D4,Group!$AM$1:$AO$10000,3,0)</f>
        <v>MB512123</v>
      </c>
      <c r="C4" s="97">
        <f>VLOOKUP(D4,Group!$AM$1:$AO$10000,2,0)</f>
        <v>0</v>
      </c>
      <c r="D4" s="97">
        <f>Group!R3</f>
        <v>0</v>
      </c>
      <c r="E4" s="206" t="str">
        <f>_xlfn.IFNA(VLOOKUP($D4,BOM!$D$1:$F$10000,2,0),"")</f>
        <v/>
      </c>
      <c r="F4" s="206" t="str">
        <f>_xlfn.IFNA(VLOOKUP($D4,BOM!$D$1:$F$10000,3,0),"")</f>
        <v/>
      </c>
      <c r="G4" s="169"/>
      <c r="H4" s="169"/>
      <c r="I4" s="207">
        <f t="shared" ref="I4:I12" si="0">H4+SUMIFS($F$1:$F$9999,$C$1:$C$9999,D4)*1.1</f>
        <v>0</v>
      </c>
      <c r="J4" s="208" t="str">
        <f t="shared" ref="J4:J12" si="1">IFERROR(H4/I4,"")</f>
        <v/>
      </c>
      <c r="K4" s="207">
        <f t="shared" ref="K4:K12" si="2">SUMIFS($J$1:$J$10000,$H$1:$H$10000,D4)</f>
        <v>0</v>
      </c>
      <c r="L4" s="206" t="str">
        <f>_xlfn.IFNA(VLOOKUP(G4,'RM Base'!D:E,2,0),"")</f>
        <v/>
      </c>
      <c r="M4" s="171"/>
      <c r="N4" s="207" t="str">
        <f t="shared" ref="N4:N12" si="3">IFERROR(I4*L4,"")</f>
        <v/>
      </c>
      <c r="O4" s="609" t="str">
        <f>IFERROR((I4-H4)*VLOOKUP(G4,'RM Base'!D:K,8,0)*0.8,"")</f>
        <v/>
      </c>
      <c r="P4" s="609">
        <f t="shared" ref="P4:P12" si="4">K4*18</f>
        <v>0</v>
      </c>
      <c r="Q4" s="610" t="str">
        <f t="shared" ref="Q4:Q12" si="5">IFERROR(H4*L4,"")</f>
        <v/>
      </c>
      <c r="R4" s="609" t="str">
        <f t="shared" ref="R4:R12" si="6">IFERROR(N4-O4-Q4+P4,"")</f>
        <v/>
      </c>
      <c r="S4" s="609" t="str">
        <f t="shared" ref="S4:S12" si="7">IFERROR(Q4+R4,"")</f>
        <v/>
      </c>
      <c r="T4" s="172">
        <f>SUMIFS(Machining_Process!V:V,Machining_Process!B:B,Casting_Material!D4,Casting_Process!C:C,Casting_Material!$T$2)/2</f>
        <v>0</v>
      </c>
      <c r="U4" s="172">
        <f>SUMIFS(Casting_Process!H:H,Casting_Process!C:C,Casting_Material!$U$2,Casting_Process!B:B,Casting_Material!D4)</f>
        <v>0</v>
      </c>
      <c r="V4" s="172" t="e">
        <f>S4*VLOOKUP("Castings",'OH,Profit &amp; Other Base'!A:V,2,0)</f>
        <v>#VALUE!</v>
      </c>
      <c r="W4" s="172" t="e">
        <f>S4*VLOOKUP("Castings",'OH,Profit &amp; Other Base'!A:V,5,0)</f>
        <v>#VALUE!</v>
      </c>
      <c r="X4" s="172">
        <f>(T4+U4)*VLOOKUP("Castings",'OH,Profit &amp; Other Base'!A:V,6,0)</f>
        <v>0</v>
      </c>
      <c r="Y4" s="171">
        <f>(T4+U4)*VLOOKUP("Castings",'OH,Profit &amp; Other Base'!A:V,18,0)</f>
        <v>0</v>
      </c>
      <c r="Z4" s="171">
        <f>(T4+U4)*VLOOKUP("Castings",'OH,Profit &amp; Other Base'!A:V,21,0)</f>
        <v>0</v>
      </c>
      <c r="AA4" s="171">
        <f t="shared" ref="AA4:AA12" si="8">H4*2.25</f>
        <v>0</v>
      </c>
      <c r="AB4" s="173" t="e">
        <f t="shared" ref="AB4:AB12" si="9">SUM(S4:AA4)</f>
        <v>#VALUE!</v>
      </c>
    </row>
    <row r="5" spans="1:31" s="66" customFormat="1">
      <c r="A5" s="89">
        <v>3</v>
      </c>
      <c r="B5" s="97" t="str">
        <f>VLOOKUP(D5,Group!$AM$1:$AO$10000,3,0)</f>
        <v>MB512123</v>
      </c>
      <c r="C5" s="97">
        <f>VLOOKUP(D5,Group!$AM$1:$AO$10000,2,0)</f>
        <v>0</v>
      </c>
      <c r="D5" s="97">
        <f>Group!R4</f>
        <v>0</v>
      </c>
      <c r="E5" s="206" t="str">
        <f>_xlfn.IFNA(VLOOKUP($D5,BOM!$D$1:$F$10000,2,0),"")</f>
        <v/>
      </c>
      <c r="F5" s="206" t="str">
        <f>_xlfn.IFNA(VLOOKUP($D5,BOM!$D$1:$F$10000,3,0),"")</f>
        <v/>
      </c>
      <c r="G5" s="169"/>
      <c r="H5" s="169"/>
      <c r="I5" s="207">
        <f t="shared" si="0"/>
        <v>0</v>
      </c>
      <c r="J5" s="208" t="str">
        <f t="shared" si="1"/>
        <v/>
      </c>
      <c r="K5" s="207">
        <f t="shared" si="2"/>
        <v>0</v>
      </c>
      <c r="L5" s="206" t="str">
        <f>_xlfn.IFNA(VLOOKUP(G5,'RM Base'!D:E,2,0),"")</f>
        <v/>
      </c>
      <c r="M5" s="171"/>
      <c r="N5" s="207" t="str">
        <f t="shared" si="3"/>
        <v/>
      </c>
      <c r="O5" s="609" t="str">
        <f>IFERROR((I5-H5)*VLOOKUP(G5,'RM Base'!D:K,8,0)*0.8,"")</f>
        <v/>
      </c>
      <c r="P5" s="609">
        <f t="shared" si="4"/>
        <v>0</v>
      </c>
      <c r="Q5" s="610" t="str">
        <f t="shared" si="5"/>
        <v/>
      </c>
      <c r="R5" s="609" t="str">
        <f t="shared" si="6"/>
        <v/>
      </c>
      <c r="S5" s="609" t="str">
        <f t="shared" si="7"/>
        <v/>
      </c>
      <c r="T5" s="172">
        <f>SUMIFS(Machining_Process!V:V,Machining_Process!B:B,Casting_Material!D5,Casting_Process!C:C,Casting_Material!$T$2)/2</f>
        <v>0</v>
      </c>
      <c r="U5" s="172">
        <f>SUMIFS(Casting_Process!H:H,Casting_Process!C:C,Casting_Material!$U$2,Casting_Process!B:B,Casting_Material!D5)</f>
        <v>0</v>
      </c>
      <c r="V5" s="172" t="e">
        <f>S5*VLOOKUP("Castings",'OH,Profit &amp; Other Base'!A:V,2,0)</f>
        <v>#VALUE!</v>
      </c>
      <c r="W5" s="172" t="e">
        <f>S5*VLOOKUP("Castings",'OH,Profit &amp; Other Base'!A:V,5,0)</f>
        <v>#VALUE!</v>
      </c>
      <c r="X5" s="172">
        <f>(T5+U5)*VLOOKUP("Castings",'OH,Profit &amp; Other Base'!A:V,6,0)</f>
        <v>0</v>
      </c>
      <c r="Y5" s="171">
        <f>(T5+U5)*VLOOKUP("Castings",'OH,Profit &amp; Other Base'!A:V,18,0)</f>
        <v>0</v>
      </c>
      <c r="Z5" s="171">
        <f>(T5+U5)*VLOOKUP("Castings",'OH,Profit &amp; Other Base'!A:V,21,0)</f>
        <v>0</v>
      </c>
      <c r="AA5" s="171">
        <f t="shared" si="8"/>
        <v>0</v>
      </c>
      <c r="AB5" s="173" t="e">
        <f t="shared" si="9"/>
        <v>#VALUE!</v>
      </c>
    </row>
    <row r="6" spans="1:31" s="66" customFormat="1">
      <c r="A6" s="89">
        <v>4</v>
      </c>
      <c r="B6" s="97" t="str">
        <f>VLOOKUP(D6,Group!$AM$1:$AO$10000,3,0)</f>
        <v>MB512123</v>
      </c>
      <c r="C6" s="97">
        <f>VLOOKUP(D6,Group!$AM$1:$AO$10000,2,0)</f>
        <v>0</v>
      </c>
      <c r="D6" s="97">
        <f>Group!R5</f>
        <v>0</v>
      </c>
      <c r="E6" s="206" t="str">
        <f>_xlfn.IFNA(VLOOKUP($D6,BOM!$D$1:$F$10000,2,0),"")</f>
        <v/>
      </c>
      <c r="F6" s="206" t="str">
        <f>_xlfn.IFNA(VLOOKUP($D6,BOM!$D$1:$F$10000,3,0),"")</f>
        <v/>
      </c>
      <c r="G6" s="169"/>
      <c r="H6" s="169"/>
      <c r="I6" s="207">
        <f t="shared" si="0"/>
        <v>0</v>
      </c>
      <c r="J6" s="208" t="str">
        <f t="shared" si="1"/>
        <v/>
      </c>
      <c r="K6" s="207">
        <f t="shared" si="2"/>
        <v>0</v>
      </c>
      <c r="L6" s="206" t="str">
        <f>_xlfn.IFNA(VLOOKUP(G6,'RM Base'!D:E,2,0),"")</f>
        <v/>
      </c>
      <c r="M6" s="171"/>
      <c r="N6" s="207" t="str">
        <f t="shared" si="3"/>
        <v/>
      </c>
      <c r="O6" s="609" t="str">
        <f>IFERROR((I6-H6)*VLOOKUP(G6,'RM Base'!D:K,8,0)*0.8,"")</f>
        <v/>
      </c>
      <c r="P6" s="609">
        <f t="shared" si="4"/>
        <v>0</v>
      </c>
      <c r="Q6" s="610" t="str">
        <f t="shared" si="5"/>
        <v/>
      </c>
      <c r="R6" s="609" t="str">
        <f t="shared" si="6"/>
        <v/>
      </c>
      <c r="S6" s="609" t="str">
        <f t="shared" si="7"/>
        <v/>
      </c>
      <c r="T6" s="172">
        <f>SUMIFS(Machining_Process!V:V,Machining_Process!B:B,Casting_Material!D6,Casting_Process!C:C,Casting_Material!$T$2)/2</f>
        <v>0</v>
      </c>
      <c r="U6" s="172">
        <f>SUMIFS(Casting_Process!H:H,Casting_Process!C:C,Casting_Material!$U$2,Casting_Process!B:B,Casting_Material!D6)</f>
        <v>0</v>
      </c>
      <c r="V6" s="172" t="e">
        <f>S6*VLOOKUP("Castings",'OH,Profit &amp; Other Base'!A:V,2,0)</f>
        <v>#VALUE!</v>
      </c>
      <c r="W6" s="172" t="e">
        <f>S6*VLOOKUP("Castings",'OH,Profit &amp; Other Base'!A:V,5,0)</f>
        <v>#VALUE!</v>
      </c>
      <c r="X6" s="172">
        <f>(T6+U6)*VLOOKUP("Castings",'OH,Profit &amp; Other Base'!A:V,6,0)</f>
        <v>0</v>
      </c>
      <c r="Y6" s="171">
        <f>(T6+U6)*VLOOKUP("Castings",'OH,Profit &amp; Other Base'!A:V,18,0)</f>
        <v>0</v>
      </c>
      <c r="Z6" s="171">
        <f>(T6+U6)*VLOOKUP("Castings",'OH,Profit &amp; Other Base'!A:V,21,0)</f>
        <v>0</v>
      </c>
      <c r="AA6" s="171">
        <f t="shared" si="8"/>
        <v>0</v>
      </c>
      <c r="AB6" s="173" t="e">
        <f t="shared" si="9"/>
        <v>#VALUE!</v>
      </c>
    </row>
    <row r="7" spans="1:31" s="66" customFormat="1">
      <c r="A7" s="89">
        <v>5</v>
      </c>
      <c r="B7" s="97" t="str">
        <f>VLOOKUP(D7,Group!$AM$1:$AO$10000,3,0)</f>
        <v>MB512123</v>
      </c>
      <c r="C7" s="97">
        <f>VLOOKUP(D7,Group!$AM$1:$AO$10000,2,0)</f>
        <v>0</v>
      </c>
      <c r="D7" s="97">
        <f>Group!R6</f>
        <v>0</v>
      </c>
      <c r="E7" s="206" t="str">
        <f>_xlfn.IFNA(VLOOKUP($D7,BOM!$D$1:$F$10000,2,0),"")</f>
        <v/>
      </c>
      <c r="F7" s="206" t="str">
        <f>_xlfn.IFNA(VLOOKUP($D7,BOM!$D$1:$F$10000,3,0),"")</f>
        <v/>
      </c>
      <c r="G7" s="169"/>
      <c r="H7" s="169"/>
      <c r="I7" s="207">
        <f t="shared" si="0"/>
        <v>0</v>
      </c>
      <c r="J7" s="208" t="str">
        <f t="shared" si="1"/>
        <v/>
      </c>
      <c r="K7" s="207">
        <f t="shared" si="2"/>
        <v>0</v>
      </c>
      <c r="L7" s="206" t="str">
        <f>_xlfn.IFNA(VLOOKUP(G7,'RM Base'!D:E,2,0),"")</f>
        <v/>
      </c>
      <c r="M7" s="171"/>
      <c r="N7" s="207" t="str">
        <f t="shared" si="3"/>
        <v/>
      </c>
      <c r="O7" s="609" t="str">
        <f>IFERROR((I7-H7)*VLOOKUP(G7,'RM Base'!D:K,8,0)*0.8,"")</f>
        <v/>
      </c>
      <c r="P7" s="609">
        <f t="shared" si="4"/>
        <v>0</v>
      </c>
      <c r="Q7" s="610" t="str">
        <f t="shared" si="5"/>
        <v/>
      </c>
      <c r="R7" s="609" t="str">
        <f t="shared" si="6"/>
        <v/>
      </c>
      <c r="S7" s="609" t="str">
        <f t="shared" si="7"/>
        <v/>
      </c>
      <c r="T7" s="172">
        <f>SUMIFS(Machining_Process!V:V,Machining_Process!B:B,Casting_Material!D7,Casting_Process!C:C,Casting_Material!$T$2)/2</f>
        <v>0</v>
      </c>
      <c r="U7" s="172">
        <f>SUMIFS(Casting_Process!H:H,Casting_Process!C:C,Casting_Material!$U$2,Casting_Process!B:B,Casting_Material!D7)</f>
        <v>0</v>
      </c>
      <c r="V7" s="172" t="e">
        <f>S7*VLOOKUP("Castings",'OH,Profit &amp; Other Base'!A:V,2,0)</f>
        <v>#VALUE!</v>
      </c>
      <c r="W7" s="172" t="e">
        <f>S7*VLOOKUP("Castings",'OH,Profit &amp; Other Base'!A:V,5,0)</f>
        <v>#VALUE!</v>
      </c>
      <c r="X7" s="172">
        <f>(T7+U7)*VLOOKUP("Castings",'OH,Profit &amp; Other Base'!A:V,6,0)</f>
        <v>0</v>
      </c>
      <c r="Y7" s="171">
        <f>(T7+U7)*VLOOKUP("Castings",'OH,Profit &amp; Other Base'!A:V,18,0)</f>
        <v>0</v>
      </c>
      <c r="Z7" s="171">
        <f>(T7+U7)*VLOOKUP("Castings",'OH,Profit &amp; Other Base'!A:V,21,0)</f>
        <v>0</v>
      </c>
      <c r="AA7" s="171">
        <f t="shared" si="8"/>
        <v>0</v>
      </c>
      <c r="AB7" s="173" t="e">
        <f t="shared" si="9"/>
        <v>#VALUE!</v>
      </c>
    </row>
    <row r="8" spans="1:31" s="66" customFormat="1">
      <c r="A8" s="89">
        <v>6</v>
      </c>
      <c r="B8" s="97" t="str">
        <f>VLOOKUP(D8,Group!$AM$1:$AO$10000,3,0)</f>
        <v>MB512123</v>
      </c>
      <c r="C8" s="97">
        <f>VLOOKUP(D8,Group!$AM$1:$AO$10000,2,0)</f>
        <v>0</v>
      </c>
      <c r="D8" s="97">
        <f>Group!R7</f>
        <v>0</v>
      </c>
      <c r="E8" s="206" t="str">
        <f>_xlfn.IFNA(VLOOKUP($D8,BOM!$D$1:$F$10000,2,0),"")</f>
        <v/>
      </c>
      <c r="F8" s="206" t="str">
        <f>_xlfn.IFNA(VLOOKUP($D8,BOM!$D$1:$F$10000,3,0),"")</f>
        <v/>
      </c>
      <c r="G8" s="169"/>
      <c r="H8" s="169"/>
      <c r="I8" s="207">
        <f t="shared" si="0"/>
        <v>0</v>
      </c>
      <c r="J8" s="208" t="str">
        <f t="shared" si="1"/>
        <v/>
      </c>
      <c r="K8" s="207">
        <f t="shared" si="2"/>
        <v>0</v>
      </c>
      <c r="L8" s="206" t="str">
        <f>_xlfn.IFNA(VLOOKUP(G8,'RM Base'!D:E,2,0),"")</f>
        <v/>
      </c>
      <c r="M8" s="171"/>
      <c r="N8" s="207" t="str">
        <f t="shared" si="3"/>
        <v/>
      </c>
      <c r="O8" s="609" t="str">
        <f>IFERROR((I8-H8)*VLOOKUP(G8,'RM Base'!D:K,8,0)*0.8,"")</f>
        <v/>
      </c>
      <c r="P8" s="609">
        <f t="shared" si="4"/>
        <v>0</v>
      </c>
      <c r="Q8" s="610" t="str">
        <f t="shared" si="5"/>
        <v/>
      </c>
      <c r="R8" s="609" t="str">
        <f t="shared" si="6"/>
        <v/>
      </c>
      <c r="S8" s="609" t="str">
        <f t="shared" si="7"/>
        <v/>
      </c>
      <c r="T8" s="172">
        <f>SUMIFS(Machining_Process!V:V,Machining_Process!B:B,Casting_Material!D8,Casting_Process!C:C,Casting_Material!$T$2)/2</f>
        <v>0</v>
      </c>
      <c r="U8" s="172">
        <f>SUMIFS(Casting_Process!H:H,Casting_Process!C:C,Casting_Material!$U$2,Casting_Process!B:B,Casting_Material!D8)</f>
        <v>0</v>
      </c>
      <c r="V8" s="172" t="e">
        <f>S8*VLOOKUP("Castings",'OH,Profit &amp; Other Base'!A:V,2,0)</f>
        <v>#VALUE!</v>
      </c>
      <c r="W8" s="172" t="e">
        <f>S8*VLOOKUP("Castings",'OH,Profit &amp; Other Base'!A:V,5,0)</f>
        <v>#VALUE!</v>
      </c>
      <c r="X8" s="172">
        <f>(T8+U8)*VLOOKUP("Castings",'OH,Profit &amp; Other Base'!A:V,6,0)</f>
        <v>0</v>
      </c>
      <c r="Y8" s="171">
        <f>(T8+U8)*VLOOKUP("Castings",'OH,Profit &amp; Other Base'!A:V,18,0)</f>
        <v>0</v>
      </c>
      <c r="Z8" s="171">
        <f>(T8+U8)*VLOOKUP("Castings",'OH,Profit &amp; Other Base'!A:V,21,0)</f>
        <v>0</v>
      </c>
      <c r="AA8" s="171">
        <f t="shared" si="8"/>
        <v>0</v>
      </c>
      <c r="AB8" s="173" t="e">
        <f t="shared" si="9"/>
        <v>#VALUE!</v>
      </c>
    </row>
    <row r="9" spans="1:31" s="66" customFormat="1">
      <c r="A9" s="89">
        <v>7</v>
      </c>
      <c r="B9" s="97" t="str">
        <f>VLOOKUP(D9,Group!$AM$1:$AO$10000,3,0)</f>
        <v>MB512123</v>
      </c>
      <c r="C9" s="97">
        <f>VLOOKUP(D9,Group!$AM$1:$AO$10000,2,0)</f>
        <v>0</v>
      </c>
      <c r="D9" s="97">
        <f>Group!R8</f>
        <v>0</v>
      </c>
      <c r="E9" s="206" t="str">
        <f>_xlfn.IFNA(VLOOKUP($D9,BOM!$D$1:$F$10000,2,0),"")</f>
        <v/>
      </c>
      <c r="F9" s="206" t="str">
        <f>_xlfn.IFNA(VLOOKUP($D9,BOM!$D$1:$F$10000,3,0),"")</f>
        <v/>
      </c>
      <c r="G9" s="169"/>
      <c r="H9" s="169"/>
      <c r="I9" s="207">
        <f t="shared" si="0"/>
        <v>0</v>
      </c>
      <c r="J9" s="208" t="str">
        <f t="shared" si="1"/>
        <v/>
      </c>
      <c r="K9" s="207">
        <f t="shared" si="2"/>
        <v>0</v>
      </c>
      <c r="L9" s="206" t="str">
        <f>_xlfn.IFNA(VLOOKUP(G9,'RM Base'!D:E,2,0),"")</f>
        <v/>
      </c>
      <c r="M9" s="171"/>
      <c r="N9" s="207" t="str">
        <f t="shared" si="3"/>
        <v/>
      </c>
      <c r="O9" s="609" t="str">
        <f>IFERROR((I9-H9)*VLOOKUP(G9,'RM Base'!D:K,8,0)*0.8,"")</f>
        <v/>
      </c>
      <c r="P9" s="609">
        <f t="shared" si="4"/>
        <v>0</v>
      </c>
      <c r="Q9" s="610" t="str">
        <f t="shared" si="5"/>
        <v/>
      </c>
      <c r="R9" s="609" t="str">
        <f t="shared" si="6"/>
        <v/>
      </c>
      <c r="S9" s="609" t="str">
        <f t="shared" si="7"/>
        <v/>
      </c>
      <c r="T9" s="172">
        <f>SUMIFS(Machining_Process!V:V,Machining_Process!B:B,Casting_Material!D9,Casting_Process!C:C,Casting_Material!$T$2)/2</f>
        <v>0</v>
      </c>
      <c r="U9" s="172">
        <f>SUMIFS(Casting_Process!H:H,Casting_Process!C:C,Casting_Material!$U$2,Casting_Process!B:B,Casting_Material!D9)</f>
        <v>0</v>
      </c>
      <c r="V9" s="172" t="e">
        <f>S9*VLOOKUP("Castings",'OH,Profit &amp; Other Base'!A:V,2,0)</f>
        <v>#VALUE!</v>
      </c>
      <c r="W9" s="172" t="e">
        <f>S9*VLOOKUP("Castings",'OH,Profit &amp; Other Base'!A:V,5,0)</f>
        <v>#VALUE!</v>
      </c>
      <c r="X9" s="172">
        <f>(T9+U9)*VLOOKUP("Castings",'OH,Profit &amp; Other Base'!A:V,6,0)</f>
        <v>0</v>
      </c>
      <c r="Y9" s="171">
        <f>(T9+U9)*VLOOKUP("Castings",'OH,Profit &amp; Other Base'!A:V,18,0)</f>
        <v>0</v>
      </c>
      <c r="Z9" s="171">
        <f>(T9+U9)*VLOOKUP("Castings",'OH,Profit &amp; Other Base'!A:V,21,0)</f>
        <v>0</v>
      </c>
      <c r="AA9" s="171">
        <f t="shared" si="8"/>
        <v>0</v>
      </c>
      <c r="AB9" s="173" t="e">
        <f t="shared" si="9"/>
        <v>#VALUE!</v>
      </c>
    </row>
    <row r="10" spans="1:31" s="66" customFormat="1">
      <c r="A10" s="89">
        <v>8</v>
      </c>
      <c r="B10" s="97" t="str">
        <f>VLOOKUP(D10,Group!$AM$1:$AO$10000,3,0)</f>
        <v>MB512123</v>
      </c>
      <c r="C10" s="97">
        <f>VLOOKUP(D10,Group!$AM$1:$AO$10000,2,0)</f>
        <v>0</v>
      </c>
      <c r="D10" s="97">
        <f>Group!R9</f>
        <v>0</v>
      </c>
      <c r="E10" s="206" t="str">
        <f>_xlfn.IFNA(VLOOKUP($D10,BOM!$D$1:$F$10000,2,0),"")</f>
        <v/>
      </c>
      <c r="F10" s="206" t="str">
        <f>_xlfn.IFNA(VLOOKUP($D10,BOM!$D$1:$F$10000,3,0),"")</f>
        <v/>
      </c>
      <c r="G10" s="169"/>
      <c r="H10" s="169"/>
      <c r="I10" s="207">
        <f t="shared" si="0"/>
        <v>0</v>
      </c>
      <c r="J10" s="208" t="str">
        <f t="shared" si="1"/>
        <v/>
      </c>
      <c r="K10" s="207">
        <f t="shared" si="2"/>
        <v>0</v>
      </c>
      <c r="L10" s="206" t="str">
        <f>_xlfn.IFNA(VLOOKUP(G10,'RM Base'!D:E,2,0),"")</f>
        <v/>
      </c>
      <c r="M10" s="171"/>
      <c r="N10" s="207" t="str">
        <f t="shared" si="3"/>
        <v/>
      </c>
      <c r="O10" s="609" t="str">
        <f>IFERROR((I10-H10)*VLOOKUP(G10,'RM Base'!D:K,8,0)*0.8,"")</f>
        <v/>
      </c>
      <c r="P10" s="609">
        <f t="shared" si="4"/>
        <v>0</v>
      </c>
      <c r="Q10" s="610" t="str">
        <f t="shared" si="5"/>
        <v/>
      </c>
      <c r="R10" s="609" t="str">
        <f t="shared" si="6"/>
        <v/>
      </c>
      <c r="S10" s="609" t="str">
        <f t="shared" si="7"/>
        <v/>
      </c>
      <c r="T10" s="172">
        <f>SUMIFS(Machining_Process!V:V,Machining_Process!B:B,Casting_Material!D10,Casting_Process!C:C,Casting_Material!$T$2)/2</f>
        <v>0</v>
      </c>
      <c r="U10" s="172">
        <f>SUMIFS(Casting_Process!H:H,Casting_Process!C:C,Casting_Material!$U$2,Casting_Process!B:B,Casting_Material!D10)</f>
        <v>0</v>
      </c>
      <c r="V10" s="172" t="e">
        <f>S10*VLOOKUP("Castings",'OH,Profit &amp; Other Base'!A:V,2,0)</f>
        <v>#VALUE!</v>
      </c>
      <c r="W10" s="172" t="e">
        <f>S10*VLOOKUP("Castings",'OH,Profit &amp; Other Base'!A:V,5,0)</f>
        <v>#VALUE!</v>
      </c>
      <c r="X10" s="172">
        <f>(T10+U10)*VLOOKUP("Castings",'OH,Profit &amp; Other Base'!A:V,6,0)</f>
        <v>0</v>
      </c>
      <c r="Y10" s="171">
        <f>(T10+U10)*VLOOKUP("Castings",'OH,Profit &amp; Other Base'!A:V,18,0)</f>
        <v>0</v>
      </c>
      <c r="Z10" s="171">
        <f>(T10+U10)*VLOOKUP("Castings",'OH,Profit &amp; Other Base'!A:V,21,0)</f>
        <v>0</v>
      </c>
      <c r="AA10" s="171">
        <f t="shared" si="8"/>
        <v>0</v>
      </c>
      <c r="AB10" s="173" t="e">
        <f t="shared" si="9"/>
        <v>#VALUE!</v>
      </c>
    </row>
    <row r="11" spans="1:31" s="66" customFormat="1">
      <c r="A11" s="89">
        <v>9</v>
      </c>
      <c r="B11" s="97" t="str">
        <f>VLOOKUP(D11,Group!$AM$1:$AO$10000,3,0)</f>
        <v>MB512123</v>
      </c>
      <c r="C11" s="97">
        <f>VLOOKUP(D11,Group!$AM$1:$AO$10000,2,0)</f>
        <v>0</v>
      </c>
      <c r="D11" s="97">
        <f>Group!R10</f>
        <v>0</v>
      </c>
      <c r="E11" s="206" t="str">
        <f>_xlfn.IFNA(VLOOKUP($D11,BOM!$D$1:$F$10000,2,0),"")</f>
        <v/>
      </c>
      <c r="F11" s="206" t="str">
        <f>_xlfn.IFNA(VLOOKUP($D11,BOM!$D$1:$F$10000,3,0),"")</f>
        <v/>
      </c>
      <c r="G11" s="169"/>
      <c r="H11" s="169"/>
      <c r="I11" s="207">
        <f t="shared" si="0"/>
        <v>0</v>
      </c>
      <c r="J11" s="208" t="str">
        <f t="shared" si="1"/>
        <v/>
      </c>
      <c r="K11" s="207">
        <f t="shared" si="2"/>
        <v>0</v>
      </c>
      <c r="L11" s="206" t="str">
        <f>_xlfn.IFNA(VLOOKUP(G11,'RM Base'!D:E,2,0),"")</f>
        <v/>
      </c>
      <c r="M11" s="171"/>
      <c r="N11" s="207" t="str">
        <f t="shared" si="3"/>
        <v/>
      </c>
      <c r="O11" s="609" t="str">
        <f>IFERROR((I11-H11)*VLOOKUP(G11,'RM Base'!D:K,8,0)*0.8,"")</f>
        <v/>
      </c>
      <c r="P11" s="609">
        <f t="shared" si="4"/>
        <v>0</v>
      </c>
      <c r="Q11" s="610" t="str">
        <f t="shared" si="5"/>
        <v/>
      </c>
      <c r="R11" s="609" t="str">
        <f t="shared" si="6"/>
        <v/>
      </c>
      <c r="S11" s="609" t="str">
        <f t="shared" si="7"/>
        <v/>
      </c>
      <c r="T11" s="172">
        <f>SUMIFS(Machining_Process!V:V,Machining_Process!B:B,Casting_Material!D11,Casting_Process!C:C,Casting_Material!$T$2)/2</f>
        <v>0</v>
      </c>
      <c r="U11" s="172">
        <f>SUMIFS(Casting_Process!H:H,Casting_Process!C:C,Casting_Material!$U$2,Casting_Process!B:B,Casting_Material!D11)</f>
        <v>0</v>
      </c>
      <c r="V11" s="172" t="e">
        <f>S11*VLOOKUP("Castings",'OH,Profit &amp; Other Base'!A:V,2,0)</f>
        <v>#VALUE!</v>
      </c>
      <c r="W11" s="172" t="e">
        <f>S11*VLOOKUP("Castings",'OH,Profit &amp; Other Base'!A:V,5,0)</f>
        <v>#VALUE!</v>
      </c>
      <c r="X11" s="172">
        <f>(T11+U11)*VLOOKUP("Castings",'OH,Profit &amp; Other Base'!A:V,6,0)</f>
        <v>0</v>
      </c>
      <c r="Y11" s="171">
        <f>(T11+U11)*VLOOKUP("Castings",'OH,Profit &amp; Other Base'!A:V,18,0)</f>
        <v>0</v>
      </c>
      <c r="Z11" s="171">
        <f>(T11+U11)*VLOOKUP("Castings",'OH,Profit &amp; Other Base'!A:V,21,0)</f>
        <v>0</v>
      </c>
      <c r="AA11" s="171">
        <f t="shared" si="8"/>
        <v>0</v>
      </c>
      <c r="AB11" s="173" t="e">
        <f t="shared" si="9"/>
        <v>#VALUE!</v>
      </c>
    </row>
    <row r="12" spans="1:31" s="66" customFormat="1">
      <c r="A12" s="89">
        <v>10</v>
      </c>
      <c r="B12" s="97" t="str">
        <f>VLOOKUP(D12,Group!$AM$1:$AO$10000,3,0)</f>
        <v>MB512123</v>
      </c>
      <c r="C12" s="97">
        <f>VLOOKUP(D12,Group!$AM$1:$AO$10000,2,0)</f>
        <v>0</v>
      </c>
      <c r="D12" s="97">
        <f>Group!R11</f>
        <v>0</v>
      </c>
      <c r="E12" s="206" t="str">
        <f>_xlfn.IFNA(VLOOKUP($D12,BOM!$D$1:$F$10000,2,0),"")</f>
        <v/>
      </c>
      <c r="F12" s="206" t="str">
        <f>_xlfn.IFNA(VLOOKUP($D12,BOM!$D$1:$F$10000,3,0),"")</f>
        <v/>
      </c>
      <c r="G12" s="169"/>
      <c r="H12" s="169"/>
      <c r="I12" s="207">
        <f t="shared" si="0"/>
        <v>0</v>
      </c>
      <c r="J12" s="208" t="str">
        <f t="shared" si="1"/>
        <v/>
      </c>
      <c r="K12" s="207">
        <f t="shared" si="2"/>
        <v>0</v>
      </c>
      <c r="L12" s="206" t="str">
        <f>_xlfn.IFNA(VLOOKUP(G12,'RM Base'!D:E,2,0),"")</f>
        <v/>
      </c>
      <c r="M12" s="171"/>
      <c r="N12" s="207" t="str">
        <f t="shared" si="3"/>
        <v/>
      </c>
      <c r="O12" s="609" t="str">
        <f>IFERROR((I12-H12)*VLOOKUP(G12,'RM Base'!D:K,8,0)*0.8,"")</f>
        <v/>
      </c>
      <c r="P12" s="609">
        <f t="shared" si="4"/>
        <v>0</v>
      </c>
      <c r="Q12" s="610" t="str">
        <f t="shared" si="5"/>
        <v/>
      </c>
      <c r="R12" s="609" t="str">
        <f t="shared" si="6"/>
        <v/>
      </c>
      <c r="S12" s="609" t="str">
        <f t="shared" si="7"/>
        <v/>
      </c>
      <c r="T12" s="172">
        <f>SUMIFS(Machining_Process!V:V,Machining_Process!B:B,Casting_Material!D12,Casting_Process!C:C,Casting_Material!$T$2)/2</f>
        <v>0</v>
      </c>
      <c r="U12" s="172">
        <f>SUMIFS(Casting_Process!H:H,Casting_Process!C:C,Casting_Material!$U$2,Casting_Process!B:B,Casting_Material!D12)</f>
        <v>0</v>
      </c>
      <c r="V12" s="172" t="e">
        <f>S12*VLOOKUP("Castings",'OH,Profit &amp; Other Base'!A:V,2,0)</f>
        <v>#VALUE!</v>
      </c>
      <c r="W12" s="172" t="e">
        <f>S12*VLOOKUP("Castings",'OH,Profit &amp; Other Base'!A:V,5,0)</f>
        <v>#VALUE!</v>
      </c>
      <c r="X12" s="172">
        <f>(T12+U12)*VLOOKUP("Castings",'OH,Profit &amp; Other Base'!A:V,6,0)</f>
        <v>0</v>
      </c>
      <c r="Y12" s="171">
        <f>(T12+U12)*VLOOKUP("Castings",'OH,Profit &amp; Other Base'!A:V,18,0)</f>
        <v>0</v>
      </c>
      <c r="Z12" s="171">
        <f>(T12+U12)*VLOOKUP("Castings",'OH,Profit &amp; Other Base'!A:V,21,0)</f>
        <v>0</v>
      </c>
      <c r="AA12" s="171">
        <f t="shared" si="8"/>
        <v>0</v>
      </c>
      <c r="AB12" s="173" t="e">
        <f t="shared" si="9"/>
        <v>#VALUE!</v>
      </c>
    </row>
    <row r="13" spans="1:31">
      <c r="AE13" s="66"/>
    </row>
    <row r="14" spans="1:31">
      <c r="C14" s="795" t="s">
        <v>299</v>
      </c>
      <c r="D14" s="795"/>
      <c r="E14" s="795"/>
      <c r="F14" s="795"/>
      <c r="H14" s="796" t="s">
        <v>300</v>
      </c>
      <c r="I14" s="796"/>
      <c r="J14" s="796"/>
      <c r="AE14" s="66"/>
    </row>
    <row r="15" spans="1:31" ht="30">
      <c r="C15" s="158" t="s">
        <v>31</v>
      </c>
      <c r="D15" s="158" t="s">
        <v>301</v>
      </c>
      <c r="E15" s="158" t="s">
        <v>302</v>
      </c>
      <c r="F15" s="158" t="s">
        <v>46</v>
      </c>
      <c r="H15" s="158" t="s">
        <v>31</v>
      </c>
      <c r="I15" s="1" t="s">
        <v>303</v>
      </c>
      <c r="J15" s="2" t="s">
        <v>304</v>
      </c>
      <c r="AE15" s="66"/>
    </row>
    <row r="16" spans="1:31">
      <c r="C16" s="1"/>
      <c r="D16" s="62"/>
      <c r="E16" s="62"/>
      <c r="F16" s="158"/>
      <c r="H16" s="1"/>
      <c r="I16" s="1"/>
      <c r="J16" s="1">
        <f t="shared" ref="J16:J28" si="10">I16*1.8/10^6</f>
        <v>0</v>
      </c>
      <c r="AE16" s="66"/>
    </row>
    <row r="17" spans="3:31">
      <c r="C17" s="62"/>
      <c r="D17" s="62"/>
      <c r="E17" s="62"/>
      <c r="F17" s="159"/>
      <c r="H17" s="1"/>
      <c r="I17" s="1"/>
      <c r="J17" s="1">
        <f t="shared" si="10"/>
        <v>0</v>
      </c>
      <c r="AE17" s="66"/>
    </row>
    <row r="18" spans="3:31">
      <c r="C18" s="62"/>
      <c r="D18" s="62"/>
      <c r="E18" s="62"/>
      <c r="F18" s="159"/>
      <c r="H18" s="1"/>
      <c r="I18" s="1"/>
      <c r="J18" s="1">
        <f t="shared" si="10"/>
        <v>0</v>
      </c>
      <c r="AE18" s="66"/>
    </row>
    <row r="19" spans="3:31">
      <c r="C19" s="62"/>
      <c r="D19" s="62"/>
      <c r="E19" s="62"/>
      <c r="F19" s="159"/>
      <c r="H19" s="1"/>
      <c r="I19" s="1"/>
      <c r="J19" s="1">
        <f t="shared" si="10"/>
        <v>0</v>
      </c>
      <c r="AE19" s="66"/>
    </row>
    <row r="20" spans="3:31">
      <c r="C20" s="62"/>
      <c r="D20" s="62"/>
      <c r="E20" s="62"/>
      <c r="F20" s="159"/>
      <c r="H20" s="1"/>
      <c r="I20" s="1"/>
      <c r="J20" s="1">
        <f t="shared" si="10"/>
        <v>0</v>
      </c>
      <c r="AE20" s="66"/>
    </row>
    <row r="21" spans="3:31">
      <c r="C21" s="62"/>
      <c r="D21" s="62"/>
      <c r="E21" s="62"/>
      <c r="F21" s="159"/>
      <c r="H21" s="1"/>
      <c r="I21" s="1"/>
      <c r="J21" s="1">
        <f t="shared" si="10"/>
        <v>0</v>
      </c>
    </row>
    <row r="22" spans="3:31">
      <c r="C22" s="62"/>
      <c r="D22" s="62"/>
      <c r="E22" s="62"/>
      <c r="F22" s="159"/>
      <c r="H22" s="1"/>
      <c r="I22" s="1"/>
      <c r="J22" s="1">
        <f t="shared" si="10"/>
        <v>0</v>
      </c>
    </row>
    <row r="23" spans="3:31">
      <c r="C23" s="62"/>
      <c r="D23" s="62"/>
      <c r="E23" s="14"/>
      <c r="F23" s="159"/>
      <c r="H23" s="1"/>
      <c r="I23" s="1"/>
      <c r="J23" s="1">
        <f t="shared" si="10"/>
        <v>0</v>
      </c>
    </row>
    <row r="24" spans="3:31">
      <c r="C24" s="62"/>
      <c r="D24" s="62"/>
      <c r="E24" s="62"/>
      <c r="F24" s="159"/>
      <c r="H24" s="1"/>
      <c r="I24" s="1"/>
      <c r="J24" s="1">
        <f t="shared" si="10"/>
        <v>0</v>
      </c>
    </row>
    <row r="25" spans="3:31">
      <c r="C25" s="62"/>
      <c r="D25" s="62"/>
      <c r="E25" s="62"/>
      <c r="F25" s="159"/>
      <c r="H25" s="1"/>
      <c r="I25" s="1"/>
      <c r="J25" s="1">
        <f t="shared" si="10"/>
        <v>0</v>
      </c>
    </row>
    <row r="26" spans="3:31">
      <c r="C26" s="62"/>
      <c r="D26" s="62"/>
      <c r="E26" s="62"/>
      <c r="F26" s="159"/>
      <c r="H26" s="1"/>
      <c r="I26" s="1"/>
      <c r="J26" s="1">
        <f t="shared" si="10"/>
        <v>0</v>
      </c>
    </row>
    <row r="27" spans="3:31">
      <c r="C27" s="62"/>
      <c r="D27" s="62"/>
      <c r="E27" s="62"/>
      <c r="F27" s="159"/>
      <c r="H27" s="1"/>
      <c r="I27" s="1"/>
      <c r="J27" s="1">
        <f t="shared" si="10"/>
        <v>0</v>
      </c>
    </row>
    <row r="28" spans="3:31">
      <c r="C28" s="62"/>
      <c r="D28" s="62"/>
      <c r="E28" s="62"/>
      <c r="F28" s="62"/>
      <c r="H28" s="1"/>
      <c r="I28" s="1"/>
      <c r="J28" s="1">
        <f t="shared" si="10"/>
        <v>0</v>
      </c>
    </row>
    <row r="29" spans="3:31">
      <c r="C29" s="89"/>
      <c r="D29" s="89"/>
      <c r="E29" s="4"/>
      <c r="F29" s="89"/>
      <c r="O29" s="127"/>
    </row>
    <row r="30" spans="3:31">
      <c r="C30" s="89"/>
      <c r="D30" s="89"/>
      <c r="E30" s="4"/>
      <c r="F30" s="89"/>
      <c r="O30" s="127"/>
      <c r="W30" s="170"/>
    </row>
    <row r="31" spans="3:31">
      <c r="C31" s="89"/>
      <c r="D31" s="89"/>
      <c r="E31" s="4"/>
      <c r="F31" s="89"/>
      <c r="O31" s="127"/>
      <c r="W31" s="170"/>
    </row>
    <row r="32" spans="3:31">
      <c r="C32" s="89"/>
      <c r="D32" s="89"/>
      <c r="E32" s="4"/>
      <c r="F32" s="89"/>
      <c r="O32" s="127"/>
      <c r="W32" s="170"/>
    </row>
    <row r="33" spans="3:23">
      <c r="C33" s="89"/>
      <c r="D33" s="89"/>
      <c r="E33" s="4"/>
      <c r="F33" s="89"/>
      <c r="O33" s="127"/>
    </row>
    <row r="34" spans="3:23">
      <c r="C34" s="89"/>
      <c r="D34" s="89"/>
      <c r="E34" s="4"/>
      <c r="F34" s="89"/>
      <c r="O34" s="127"/>
      <c r="P34" s="170"/>
      <c r="W34" s="170"/>
    </row>
    <row r="35" spans="3:23">
      <c r="C35" s="89"/>
      <c r="D35" s="89"/>
      <c r="E35" s="4"/>
      <c r="F35" s="89"/>
      <c r="W35" s="170"/>
    </row>
    <row r="36" spans="3:23">
      <c r="C36" s="89"/>
      <c r="D36" s="89"/>
      <c r="E36" s="4"/>
      <c r="F36" s="89"/>
    </row>
    <row r="37" spans="3:23">
      <c r="C37" s="89"/>
      <c r="D37" s="89"/>
      <c r="E37" s="4"/>
      <c r="F37" s="89"/>
    </row>
    <row r="38" spans="3:23">
      <c r="C38" s="89"/>
      <c r="D38" s="89"/>
      <c r="E38" s="4"/>
      <c r="F38" s="89"/>
      <c r="W38" s="170"/>
    </row>
    <row r="39" spans="3:23">
      <c r="C39" s="89"/>
      <c r="D39" s="89"/>
      <c r="E39" s="4"/>
      <c r="F39" s="89"/>
    </row>
    <row r="40" spans="3:23">
      <c r="C40" s="89"/>
      <c r="D40" s="89"/>
      <c r="E40" s="4"/>
      <c r="F40" s="89"/>
    </row>
    <row r="41" spans="3:23">
      <c r="C41" s="89"/>
      <c r="D41" s="89"/>
      <c r="E41" s="4"/>
      <c r="F41" s="89"/>
    </row>
    <row r="42" spans="3:23">
      <c r="C42" s="89"/>
      <c r="D42" s="89"/>
      <c r="E42" s="4"/>
      <c r="F42" s="89"/>
    </row>
    <row r="43" spans="3:23">
      <c r="C43" s="89"/>
      <c r="D43" s="89"/>
      <c r="E43" s="4"/>
      <c r="F43" s="89"/>
    </row>
    <row r="44" spans="3:23">
      <c r="C44" s="89"/>
      <c r="D44" s="89"/>
      <c r="E44" s="4"/>
      <c r="F44" s="89"/>
    </row>
    <row r="45" spans="3:23">
      <c r="C45" s="89"/>
      <c r="D45" s="89"/>
      <c r="E45" s="4"/>
      <c r="F45" s="89"/>
    </row>
    <row r="46" spans="3:23">
      <c r="C46" s="89"/>
      <c r="D46" s="89"/>
      <c r="E46" s="4"/>
      <c r="F46" s="89"/>
    </row>
    <row r="47" spans="3:23">
      <c r="C47" s="89"/>
      <c r="D47" s="89"/>
      <c r="E47" s="4"/>
      <c r="F47" s="89"/>
    </row>
    <row r="48" spans="3:23">
      <c r="C48" s="89"/>
      <c r="D48" s="89"/>
      <c r="E48" s="4"/>
      <c r="F48" s="89"/>
    </row>
    <row r="49" spans="3:6">
      <c r="C49" s="89"/>
      <c r="D49" s="89"/>
      <c r="E49" s="4"/>
      <c r="F49" s="89"/>
    </row>
    <row r="50" spans="3:6">
      <c r="C50" s="89"/>
      <c r="D50" s="89"/>
      <c r="E50" s="4"/>
      <c r="F50" s="89"/>
    </row>
    <row r="51" spans="3:6">
      <c r="C51" s="89"/>
      <c r="D51" s="89"/>
      <c r="E51" s="4"/>
      <c r="F51" s="89"/>
    </row>
    <row r="52" spans="3:6">
      <c r="C52" s="89"/>
      <c r="D52" s="89"/>
      <c r="E52" s="4"/>
      <c r="F52" s="89"/>
    </row>
    <row r="53" spans="3:6">
      <c r="C53" s="89"/>
      <c r="D53" s="89"/>
      <c r="E53" s="4"/>
      <c r="F53" s="89"/>
    </row>
    <row r="54" spans="3:6">
      <c r="C54" s="89"/>
      <c r="D54" s="89"/>
      <c r="E54" s="4"/>
      <c r="F54" s="89"/>
    </row>
  </sheetData>
  <mergeCells count="2">
    <mergeCell ref="C14:F14"/>
    <mergeCell ref="H14:J14"/>
  </mergeCells>
  <dataValidations disablePrompts="1" count="1">
    <dataValidation type="list" allowBlank="1" showInputMessage="1" showErrorMessage="1" sqref="G1" xr:uid="{00000000-0002-0000-0C00-000000000000}">
      <formula1>"Shell core-intricate design, Sand core"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94FF1B8-A0E1-4CE3-9E20-B0DFC44CEC0F}">
          <x14:formula1>
            <xm:f>'RM Base'!$D$3:$D$371</xm:f>
          </x14:formula1>
          <xm:sqref>G3:G12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HE27"/>
  <sheetViews>
    <sheetView workbookViewId="0">
      <selection activeCell="E5" sqref="E5"/>
    </sheetView>
  </sheetViews>
  <sheetFormatPr defaultRowHeight="15"/>
  <cols>
    <col min="2" max="2" width="16" bestFit="1" customWidth="1"/>
    <col min="3" max="3" width="18.7109375" bestFit="1" customWidth="1"/>
    <col min="4" max="4" width="28.7109375" bestFit="1" customWidth="1"/>
    <col min="6" max="6" width="7.42578125" bestFit="1" customWidth="1"/>
    <col min="7" max="7" width="9.42578125" customWidth="1"/>
    <col min="8" max="8" width="9" bestFit="1" customWidth="1"/>
    <col min="9" max="9" width="12.42578125" bestFit="1" customWidth="1"/>
  </cols>
  <sheetData>
    <row r="1" spans="1:213">
      <c r="A1" s="691">
        <v>1</v>
      </c>
    </row>
    <row r="2" spans="1:213" s="67" customFormat="1" ht="30.75" customHeight="1">
      <c r="B2" s="162" t="s">
        <v>31</v>
      </c>
      <c r="C2" s="162" t="s">
        <v>39</v>
      </c>
      <c r="D2" s="162" t="s">
        <v>82</v>
      </c>
      <c r="E2" s="163" t="s">
        <v>306</v>
      </c>
      <c r="F2" s="163" t="s">
        <v>84</v>
      </c>
      <c r="G2" s="163" t="s">
        <v>307</v>
      </c>
      <c r="H2" s="163" t="s">
        <v>308</v>
      </c>
      <c r="I2" s="162" t="s">
        <v>156</v>
      </c>
    </row>
    <row r="3" spans="1:213" s="67" customFormat="1">
      <c r="B3" s="1"/>
      <c r="C3" s="97" t="str">
        <f>_xlfn.IFNA(IF(VLOOKUP(B3,BOM!$D$1:$I$10000,6,0)="Inhouse","Process-Inhouse",IF(VLOOKUP(B3,BOM!$D$1:$I$10000,6,0)="BOF","Process-outsourced",IF(VLOOKUP(B3,BOM!$D$1:$I$10000,6,0)="BOSF","Process-Inhouse"))),"")</f>
        <v/>
      </c>
      <c r="D3" s="209" t="str">
        <f>IF(B3="","","Machining")</f>
        <v/>
      </c>
      <c r="E3" s="92"/>
      <c r="F3" s="93"/>
      <c r="G3" s="26"/>
      <c r="H3" s="638">
        <f>SUMIFS(Machining_Process!$V$1:$V$9981,Machining_Process!$B$1:$B$9981,Casting_Process!B3)/2</f>
        <v>0</v>
      </c>
      <c r="I3" s="209"/>
    </row>
    <row r="4" spans="1:213" s="66" customFormat="1">
      <c r="B4" s="209" t="str">
        <f>IF(B3="","",B3)</f>
        <v/>
      </c>
      <c r="C4" s="97" t="str">
        <f>_xlfn.IFNA(IF(VLOOKUP(B4,BOM!$D$1:$I$10000,6,0)="Inhouse","Process-Inhouse",IF(VLOOKUP(B4,BOM!$D$1:$I$10000,6,0)="BOF","Process-outsourced",IF(VLOOKUP(B4,BOM!$D$1:$I$10000,6,0)="BOSF","Process-Inhouse"))),"")</f>
        <v/>
      </c>
      <c r="D4" s="209" t="str">
        <f>IF(B3="","","Inspection")</f>
        <v/>
      </c>
      <c r="E4" s="92">
        <v>2</v>
      </c>
      <c r="F4" s="93" t="s">
        <v>392</v>
      </c>
      <c r="G4" s="26">
        <v>1</v>
      </c>
      <c r="H4" s="638">
        <f>E4*G4</f>
        <v>2</v>
      </c>
      <c r="I4" s="209"/>
      <c r="J4" s="67"/>
      <c r="K4" s="67"/>
      <c r="L4" s="67"/>
      <c r="M4" s="78"/>
      <c r="N4" s="78"/>
      <c r="Q4" s="85"/>
      <c r="R4" s="78"/>
      <c r="S4" s="78"/>
      <c r="T4" s="78"/>
      <c r="U4" s="78"/>
      <c r="V4" s="78"/>
      <c r="W4" s="79"/>
      <c r="X4" s="65"/>
      <c r="AA4" s="78"/>
      <c r="AB4" s="78"/>
      <c r="AC4" s="78"/>
      <c r="AD4" s="78"/>
      <c r="AE4" s="78"/>
      <c r="AF4" s="78"/>
      <c r="AG4" s="78"/>
      <c r="AH4" s="78"/>
      <c r="AI4" s="79"/>
      <c r="AJ4" s="65"/>
      <c r="AM4" s="78"/>
      <c r="AN4" s="78"/>
      <c r="AO4" s="78"/>
      <c r="AP4" s="78"/>
      <c r="AQ4" s="78"/>
      <c r="AR4" s="78"/>
      <c r="AS4" s="78"/>
      <c r="AT4" s="78"/>
      <c r="AU4" s="79"/>
      <c r="AV4" s="65"/>
      <c r="AX4" s="85"/>
      <c r="AY4" s="78"/>
      <c r="AZ4" s="78"/>
      <c r="BA4" s="78"/>
      <c r="BB4" s="78"/>
      <c r="BC4" s="78"/>
      <c r="BD4" s="78"/>
      <c r="BE4" s="79"/>
      <c r="BF4" s="65"/>
      <c r="BH4" s="85"/>
      <c r="BI4" s="78"/>
      <c r="BJ4" s="78"/>
      <c r="BK4" s="78"/>
      <c r="BL4" s="78"/>
      <c r="BM4" s="78"/>
      <c r="BN4" s="79"/>
      <c r="BO4" s="65"/>
      <c r="BQ4" s="85"/>
      <c r="BR4" s="78"/>
      <c r="BS4" s="78"/>
      <c r="BT4" s="78"/>
      <c r="BU4" s="78"/>
      <c r="BV4" s="78"/>
      <c r="BW4" s="78"/>
      <c r="BX4" s="79"/>
      <c r="BY4" s="65"/>
      <c r="DI4" s="67"/>
      <c r="EQ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</row>
    <row r="5" spans="1:213" s="66" customFormat="1">
      <c r="B5" s="209" t="str">
        <f>B4</f>
        <v/>
      </c>
      <c r="C5" s="210" t="s">
        <v>315</v>
      </c>
      <c r="D5" s="209" t="str">
        <f>IF(B3="","","Black paint for Cast&amp;Forged parts")</f>
        <v/>
      </c>
      <c r="E5" s="209" t="e">
        <f>VLOOKUP(D5,'Process Base'!D:F,3,0)</f>
        <v>#N/A</v>
      </c>
      <c r="F5" s="92" t="e">
        <f>VLOOKUP(D5,'Process Base'!D:H,4,0)</f>
        <v>#N/A</v>
      </c>
      <c r="G5" s="209" t="e">
        <f>VLOOKUP(B5,Casting_Material!$D$1:$H$10000,5,0)</f>
        <v>#N/A</v>
      </c>
      <c r="H5" s="209" t="e">
        <f>G5*E5</f>
        <v>#N/A</v>
      </c>
      <c r="I5" s="4"/>
      <c r="J5" s="67"/>
      <c r="K5" s="67"/>
      <c r="L5" s="67"/>
      <c r="M5" s="78"/>
      <c r="N5" s="78"/>
      <c r="Q5" s="85"/>
      <c r="R5" s="78"/>
      <c r="S5" s="78"/>
      <c r="T5" s="78"/>
      <c r="U5" s="78"/>
      <c r="V5" s="78"/>
      <c r="W5" s="79"/>
      <c r="X5" s="65"/>
      <c r="AA5" s="78"/>
      <c r="AB5" s="78"/>
      <c r="AC5" s="78"/>
      <c r="AD5" s="78"/>
      <c r="AE5" s="78"/>
      <c r="AF5" s="78"/>
      <c r="AG5" s="78"/>
      <c r="AH5" s="78"/>
      <c r="AI5" s="79"/>
      <c r="AJ5" s="65"/>
      <c r="AM5" s="78"/>
      <c r="AN5" s="78"/>
      <c r="AO5" s="78"/>
      <c r="AP5" s="78"/>
      <c r="AQ5" s="78"/>
      <c r="AR5" s="78"/>
      <c r="AS5" s="78"/>
      <c r="AT5" s="78"/>
      <c r="AU5" s="79"/>
      <c r="AV5" s="65"/>
      <c r="AX5" s="85"/>
      <c r="AY5" s="78"/>
      <c r="AZ5" s="78"/>
      <c r="BA5" s="78"/>
      <c r="BB5" s="78"/>
      <c r="BC5" s="78"/>
      <c r="BD5" s="78"/>
      <c r="BE5" s="79"/>
      <c r="BF5" s="65"/>
      <c r="BH5" s="85"/>
      <c r="BI5" s="78"/>
      <c r="BJ5" s="78"/>
      <c r="BK5" s="78"/>
      <c r="BL5" s="78"/>
      <c r="BM5" s="78"/>
      <c r="BN5" s="79"/>
      <c r="BO5" s="65"/>
      <c r="BQ5" s="85"/>
      <c r="BR5" s="78"/>
      <c r="BS5" s="78"/>
      <c r="BT5" s="78"/>
      <c r="BU5" s="78"/>
      <c r="BV5" s="78"/>
      <c r="BW5" s="78"/>
      <c r="BX5" s="79"/>
      <c r="BY5" s="65"/>
      <c r="DI5" s="67"/>
      <c r="EQ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</row>
    <row r="6" spans="1:213" s="66" customFormat="1">
      <c r="D6" s="67"/>
      <c r="E6" s="67"/>
      <c r="F6" s="67"/>
      <c r="G6" s="67"/>
      <c r="H6" s="67"/>
      <c r="I6" s="67"/>
      <c r="J6" s="67"/>
      <c r="K6" s="67"/>
      <c r="L6" s="67"/>
      <c r="M6" s="78"/>
      <c r="N6" s="78"/>
      <c r="Q6" s="85"/>
      <c r="R6" s="78"/>
      <c r="S6" s="78"/>
      <c r="T6" s="78"/>
      <c r="U6" s="78"/>
      <c r="V6" s="78"/>
      <c r="W6" s="79"/>
      <c r="X6" s="65"/>
      <c r="AA6" s="78"/>
      <c r="AB6" s="78"/>
      <c r="AC6" s="78"/>
      <c r="AD6" s="78"/>
      <c r="AE6" s="78"/>
      <c r="AF6" s="78"/>
      <c r="AG6" s="78"/>
      <c r="AH6" s="78"/>
      <c r="AI6" s="79"/>
      <c r="AJ6" s="65"/>
      <c r="AM6" s="78"/>
      <c r="AN6" s="78"/>
      <c r="AO6" s="78"/>
      <c r="AP6" s="78"/>
      <c r="AQ6" s="78"/>
      <c r="AR6" s="78"/>
      <c r="AS6" s="78"/>
      <c r="AT6" s="78"/>
      <c r="AU6" s="79"/>
      <c r="AV6" s="65"/>
      <c r="AX6" s="85"/>
      <c r="AY6" s="78"/>
      <c r="AZ6" s="78"/>
      <c r="BA6" s="78"/>
      <c r="BB6" s="78"/>
      <c r="BC6" s="78"/>
      <c r="BD6" s="78"/>
      <c r="BE6" s="79"/>
      <c r="BF6" s="65"/>
      <c r="BH6" s="85"/>
      <c r="BI6" s="78"/>
      <c r="BJ6" s="78"/>
      <c r="BK6" s="78"/>
      <c r="BL6" s="78"/>
      <c r="BM6" s="78"/>
      <c r="BN6" s="79"/>
      <c r="BO6" s="65"/>
      <c r="BQ6" s="85"/>
      <c r="BR6" s="78"/>
      <c r="BS6" s="78"/>
      <c r="BT6" s="78"/>
      <c r="BU6" s="78"/>
      <c r="BV6" s="78"/>
      <c r="BW6" s="78"/>
      <c r="BX6" s="79"/>
      <c r="BY6" s="65"/>
      <c r="DI6" s="67"/>
      <c r="EQ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</row>
    <row r="7" spans="1:213" s="66" customFormat="1">
      <c r="D7" s="6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 s="65"/>
      <c r="AM7" s="78"/>
      <c r="AN7" s="78"/>
      <c r="AO7" s="78"/>
      <c r="AP7" s="78"/>
      <c r="AQ7" s="78"/>
      <c r="AR7" s="78"/>
      <c r="AS7" s="78"/>
      <c r="AT7" s="78"/>
      <c r="AU7" s="79"/>
      <c r="AV7" s="65"/>
      <c r="AX7" s="161"/>
      <c r="AY7" s="78"/>
      <c r="AZ7" s="78"/>
      <c r="BA7" s="78"/>
      <c r="BB7" s="78"/>
      <c r="BC7" s="78"/>
      <c r="BD7" s="78"/>
      <c r="BE7" s="79"/>
      <c r="BF7" s="65"/>
      <c r="BH7" s="161"/>
      <c r="BI7" s="78"/>
      <c r="BJ7" s="78"/>
      <c r="BK7" s="78"/>
      <c r="BL7" s="78"/>
      <c r="BM7" s="78"/>
      <c r="BN7" s="79"/>
      <c r="BO7" s="65"/>
      <c r="BQ7" s="161"/>
      <c r="BR7" s="78"/>
      <c r="BS7" s="78"/>
      <c r="BT7" s="78"/>
      <c r="BU7" s="78"/>
      <c r="BV7" s="78"/>
      <c r="BW7" s="78"/>
      <c r="BX7" s="79"/>
      <c r="BY7" s="65"/>
      <c r="DI7" s="67"/>
      <c r="EQ7" s="67"/>
      <c r="FY7" s="67"/>
      <c r="FZ7" s="67"/>
      <c r="GA7" s="67"/>
      <c r="GB7" s="67"/>
      <c r="GC7" s="67"/>
      <c r="GD7" s="67"/>
      <c r="GE7" s="67"/>
      <c r="GF7" s="67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67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</row>
    <row r="8" spans="1:213" s="66" customFormat="1">
      <c r="D8" s="67"/>
      <c r="E8" s="67"/>
      <c r="F8" s="67"/>
      <c r="G8" s="67"/>
      <c r="H8" s="67"/>
      <c r="I8" s="67"/>
      <c r="J8" s="67"/>
      <c r="K8" s="67"/>
      <c r="L8" s="67"/>
      <c r="M8" s="78"/>
      <c r="N8" s="78"/>
      <c r="Q8" s="161"/>
      <c r="R8" s="78"/>
      <c r="S8" s="78"/>
      <c r="T8" s="78"/>
      <c r="U8" s="78"/>
      <c r="V8" s="78"/>
      <c r="W8" s="79"/>
      <c r="X8" s="65"/>
      <c r="AA8" s="78"/>
      <c r="AB8" s="78"/>
      <c r="AC8" s="78"/>
      <c r="AD8" s="78"/>
      <c r="AE8" s="78"/>
      <c r="AF8" s="78"/>
      <c r="AG8" s="78"/>
      <c r="AH8" s="78"/>
      <c r="AI8" s="79"/>
      <c r="AJ8" s="65"/>
      <c r="AM8" s="78"/>
      <c r="AN8" s="78"/>
      <c r="AO8" s="78"/>
      <c r="AP8" s="78"/>
      <c r="AQ8" s="78"/>
      <c r="AR8" s="78"/>
      <c r="AS8" s="78"/>
      <c r="AT8" s="78"/>
      <c r="AU8" s="79"/>
      <c r="AV8" s="65"/>
      <c r="AX8" s="161"/>
      <c r="AY8" s="78"/>
      <c r="AZ8" s="78"/>
      <c r="BA8" s="78"/>
      <c r="BB8" s="78"/>
      <c r="BC8" s="78"/>
      <c r="BD8" s="78"/>
      <c r="BE8" s="79"/>
      <c r="BF8" s="65"/>
      <c r="BH8" s="161"/>
      <c r="BI8" s="78"/>
      <c r="BJ8" s="78"/>
      <c r="BK8" s="78"/>
      <c r="BL8" s="78"/>
      <c r="BM8" s="78"/>
      <c r="BN8" s="79"/>
      <c r="BO8" s="65"/>
      <c r="BQ8" s="161"/>
      <c r="BR8" s="78"/>
      <c r="BS8" s="78"/>
      <c r="BT8" s="78"/>
      <c r="BU8" s="78"/>
      <c r="BV8" s="78"/>
      <c r="BW8" s="78"/>
      <c r="BX8" s="79"/>
      <c r="BY8" s="65"/>
      <c r="DI8" s="67"/>
      <c r="EQ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</row>
    <row r="9" spans="1:213" s="66" customFormat="1">
      <c r="D9" s="67"/>
      <c r="E9" s="67"/>
      <c r="F9" s="67"/>
      <c r="G9" s="67"/>
      <c r="H9" s="67"/>
      <c r="I9" s="67"/>
      <c r="J9" s="67"/>
      <c r="K9" s="67"/>
      <c r="L9" s="67"/>
      <c r="M9" s="78"/>
      <c r="N9" s="78"/>
      <c r="Q9" s="161"/>
      <c r="R9" s="78"/>
      <c r="S9" s="78"/>
      <c r="T9" s="78"/>
      <c r="U9" s="78"/>
      <c r="V9" s="78"/>
      <c r="W9" s="79"/>
      <c r="X9" s="65"/>
      <c r="AA9" s="78"/>
      <c r="AB9" s="78"/>
      <c r="AC9" s="78"/>
      <c r="AD9" s="78"/>
      <c r="AE9" s="78"/>
      <c r="AF9" s="78"/>
      <c r="AG9" s="78"/>
      <c r="AH9" s="78"/>
      <c r="AI9" s="79"/>
      <c r="AJ9" s="65"/>
      <c r="AM9" s="78"/>
      <c r="AN9" s="78"/>
      <c r="AO9" s="78"/>
      <c r="AP9" s="78"/>
      <c r="AQ9" s="78"/>
      <c r="AR9" s="78"/>
      <c r="AS9" s="78"/>
      <c r="AT9" s="78"/>
      <c r="AU9" s="79"/>
      <c r="AV9" s="65"/>
      <c r="AX9" s="161"/>
      <c r="AY9" s="78"/>
      <c r="AZ9" s="78"/>
      <c r="BA9" s="78"/>
      <c r="BB9" s="78"/>
      <c r="BC9" s="78"/>
      <c r="BD9" s="78"/>
      <c r="BE9" s="79"/>
      <c r="BF9" s="65"/>
      <c r="BH9" s="161"/>
      <c r="BI9" s="78"/>
      <c r="BJ9" s="78"/>
      <c r="BK9" s="78"/>
      <c r="BL9" s="78"/>
      <c r="BM9" s="78"/>
      <c r="BN9" s="79"/>
      <c r="BO9" s="65"/>
      <c r="BQ9" s="161"/>
      <c r="BR9" s="78"/>
      <c r="BS9" s="78"/>
      <c r="BT9" s="78"/>
      <c r="BU9" s="78"/>
      <c r="BV9" s="78"/>
      <c r="BW9" s="78"/>
      <c r="BX9" s="79"/>
      <c r="BY9" s="65"/>
      <c r="DI9" s="67"/>
      <c r="EQ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</row>
    <row r="10" spans="1:213" s="66" customFormat="1">
      <c r="D10" s="67"/>
      <c r="E10" s="67"/>
      <c r="F10" s="67"/>
      <c r="G10" s="67"/>
      <c r="H10" s="67"/>
      <c r="I10" s="67"/>
      <c r="J10" s="67"/>
      <c r="K10" s="67"/>
      <c r="L10" s="67"/>
      <c r="M10" s="78"/>
      <c r="N10" s="78"/>
      <c r="Q10" s="161"/>
      <c r="R10" s="78"/>
      <c r="S10" s="78"/>
      <c r="T10" s="78"/>
      <c r="U10" s="78"/>
      <c r="V10" s="78"/>
      <c r="W10" s="79"/>
      <c r="X10" s="65"/>
      <c r="AA10" s="78"/>
      <c r="AB10" s="78"/>
      <c r="AC10" s="78"/>
      <c r="AD10" s="78"/>
      <c r="AE10" s="78"/>
      <c r="AF10" s="78"/>
      <c r="AG10" s="78"/>
      <c r="AH10" s="78"/>
      <c r="AI10" s="79"/>
      <c r="AJ10" s="65"/>
      <c r="AM10" s="78"/>
      <c r="AN10" s="78"/>
      <c r="AO10" s="78"/>
      <c r="AP10" s="78"/>
      <c r="AQ10" s="78"/>
      <c r="AR10" s="78"/>
      <c r="AS10" s="78"/>
      <c r="AT10" s="78"/>
      <c r="AU10" s="79"/>
      <c r="AV10" s="65"/>
      <c r="AX10" s="161"/>
      <c r="AY10" s="78"/>
      <c r="AZ10" s="78"/>
      <c r="BA10" s="78"/>
      <c r="BB10" s="78"/>
      <c r="BC10" s="78"/>
      <c r="BD10" s="78"/>
      <c r="BE10" s="79"/>
      <c r="BF10" s="65"/>
      <c r="BH10" s="161"/>
      <c r="BI10" s="78"/>
      <c r="BJ10" s="78"/>
      <c r="BK10" s="78"/>
      <c r="BL10" s="78"/>
      <c r="BM10" s="78"/>
      <c r="BN10" s="79"/>
      <c r="BO10" s="65"/>
      <c r="BQ10" s="161"/>
      <c r="BR10" s="78"/>
      <c r="BS10" s="78"/>
      <c r="BT10" s="78"/>
      <c r="BU10" s="78"/>
      <c r="BV10" s="78"/>
      <c r="BW10" s="78"/>
      <c r="BX10" s="79"/>
      <c r="BY10" s="65"/>
      <c r="DI10" s="67"/>
      <c r="EQ10" s="67"/>
      <c r="FY10" s="67"/>
      <c r="FZ10" s="67"/>
      <c r="GA10" s="67"/>
      <c r="GB10" s="67"/>
      <c r="GC10" s="67"/>
      <c r="GD10" s="67"/>
      <c r="GE10" s="67"/>
      <c r="GF10" s="67"/>
      <c r="GG10" s="67"/>
      <c r="GH10" s="67"/>
      <c r="GI10" s="67"/>
      <c r="GJ10" s="67"/>
      <c r="GK10" s="67"/>
      <c r="GL10" s="67"/>
      <c r="GM10" s="67"/>
      <c r="GN10" s="67"/>
      <c r="GO10" s="67"/>
      <c r="GP10" s="67"/>
      <c r="GQ10" s="67"/>
      <c r="GR10" s="67"/>
      <c r="GS10" s="67"/>
      <c r="GT10" s="67"/>
      <c r="GU10" s="67"/>
      <c r="GV10" s="67"/>
      <c r="GW10" s="67"/>
      <c r="GX10" s="67"/>
      <c r="GY10" s="67"/>
      <c r="GZ10" s="67"/>
      <c r="HA10" s="67"/>
      <c r="HB10" s="67"/>
      <c r="HC10" s="67"/>
      <c r="HD10" s="67"/>
    </row>
    <row r="11" spans="1:213" s="66" customFormat="1">
      <c r="D11" s="67"/>
      <c r="E11" s="67"/>
      <c r="F11" s="67"/>
      <c r="G11" s="67"/>
      <c r="H11" s="67"/>
      <c r="I11" s="67"/>
      <c r="J11" s="67"/>
      <c r="K11" s="67"/>
      <c r="L11" s="67"/>
      <c r="M11" s="78"/>
      <c r="N11" s="78"/>
      <c r="Q11" s="161"/>
      <c r="R11" s="78"/>
      <c r="S11" s="78"/>
      <c r="T11" s="78"/>
      <c r="U11" s="78"/>
      <c r="V11" s="78"/>
      <c r="W11" s="79"/>
      <c r="X11" s="65"/>
      <c r="AA11" s="78"/>
      <c r="AB11" s="78"/>
      <c r="AC11" s="78"/>
      <c r="AD11" s="78"/>
      <c r="AE11" s="78"/>
      <c r="AF11" s="78"/>
      <c r="AG11" s="78"/>
      <c r="AH11" s="78"/>
      <c r="AI11" s="79"/>
      <c r="AJ11" s="65"/>
      <c r="AM11" s="78"/>
      <c r="AN11" s="78"/>
      <c r="AO11" s="78"/>
      <c r="AP11" s="78"/>
      <c r="AQ11" s="78"/>
      <c r="AR11" s="78"/>
      <c r="AS11" s="78"/>
      <c r="AT11" s="78"/>
      <c r="AU11" s="79"/>
      <c r="AV11" s="65"/>
      <c r="AX11" s="161"/>
      <c r="AY11" s="78"/>
      <c r="AZ11" s="78"/>
      <c r="BA11" s="78"/>
      <c r="BB11" s="78"/>
      <c r="BC11" s="78"/>
      <c r="BD11" s="78"/>
      <c r="BE11" s="79"/>
      <c r="BF11" s="65"/>
      <c r="BH11" s="161"/>
      <c r="BI11" s="78"/>
      <c r="BJ11" s="78"/>
      <c r="BK11" s="78"/>
      <c r="BL11" s="78"/>
      <c r="BM11" s="78"/>
      <c r="BN11" s="79"/>
      <c r="BO11" s="65"/>
      <c r="BQ11" s="161"/>
      <c r="BR11" s="78"/>
      <c r="BS11" s="78"/>
      <c r="BT11" s="78"/>
      <c r="BU11" s="78"/>
      <c r="BV11" s="78"/>
      <c r="BW11" s="78"/>
      <c r="BX11" s="79"/>
      <c r="BY11" s="65"/>
      <c r="DI11" s="67"/>
      <c r="EQ11" s="67"/>
      <c r="FY11" s="67"/>
      <c r="FZ11" s="67"/>
      <c r="GA11" s="67"/>
      <c r="GB11" s="67"/>
      <c r="GC11" s="67"/>
      <c r="GD11" s="67"/>
      <c r="GE11" s="67"/>
      <c r="GF11" s="67"/>
      <c r="GG11" s="67"/>
      <c r="GH11" s="67"/>
      <c r="GI11" s="67"/>
      <c r="GJ11" s="67"/>
      <c r="GK11" s="67"/>
      <c r="GL11" s="67"/>
      <c r="GM11" s="67"/>
      <c r="GN11" s="67"/>
      <c r="GO11" s="67"/>
      <c r="GP11" s="67"/>
      <c r="GQ11" s="67"/>
      <c r="GR11" s="67"/>
      <c r="GS11" s="67"/>
      <c r="GT11" s="67"/>
      <c r="GU11" s="67"/>
      <c r="GV11" s="67"/>
      <c r="GW11" s="67"/>
      <c r="GX11" s="67"/>
      <c r="GY11" s="67"/>
      <c r="GZ11" s="67"/>
      <c r="HA11" s="67"/>
      <c r="HB11" s="67"/>
      <c r="HC11" s="67"/>
      <c r="HD11" s="67"/>
    </row>
    <row r="12" spans="1:213" s="66" customFormat="1">
      <c r="E12"/>
      <c r="F12" s="67"/>
      <c r="G12" s="67"/>
      <c r="H12" s="67"/>
      <c r="I12" s="67"/>
      <c r="J12" s="67"/>
      <c r="K12" s="67"/>
      <c r="L12" s="67"/>
      <c r="M12" s="67"/>
      <c r="N12" s="78"/>
      <c r="O12" s="78"/>
      <c r="R12" s="161"/>
      <c r="S12" s="78"/>
      <c r="T12" s="78"/>
      <c r="U12" s="78"/>
      <c r="V12" s="78"/>
      <c r="W12" s="78"/>
      <c r="X12" s="79"/>
      <c r="Y12" s="65"/>
      <c r="AB12" s="78"/>
      <c r="AC12" s="78"/>
      <c r="AD12" s="78"/>
      <c r="AE12" s="78"/>
      <c r="AF12" s="78"/>
      <c r="AG12" s="78"/>
      <c r="AH12" s="78"/>
      <c r="AI12" s="78"/>
      <c r="AJ12" s="79"/>
      <c r="AK12" s="65"/>
      <c r="AN12" s="78"/>
      <c r="AO12" s="78"/>
      <c r="AP12" s="78"/>
      <c r="AQ12" s="78"/>
      <c r="AR12" s="78"/>
      <c r="AS12" s="78"/>
      <c r="AT12" s="78"/>
      <c r="AU12" s="78"/>
      <c r="AV12" s="79"/>
      <c r="AW12" s="65"/>
      <c r="AY12" s="161"/>
      <c r="AZ12" s="78"/>
      <c r="BA12" s="78"/>
      <c r="BB12" s="78"/>
      <c r="BC12" s="78"/>
      <c r="BD12" s="78"/>
      <c r="BE12" s="78"/>
      <c r="BF12" s="79"/>
      <c r="BG12" s="65"/>
      <c r="BI12" s="161"/>
      <c r="BJ12" s="78"/>
      <c r="BK12" s="78"/>
      <c r="BL12" s="78"/>
      <c r="BM12" s="78"/>
      <c r="BN12" s="78"/>
      <c r="BO12" s="79"/>
      <c r="BP12" s="65"/>
      <c r="BR12" s="161"/>
      <c r="BS12" s="78"/>
      <c r="BT12" s="78"/>
      <c r="BU12" s="78"/>
      <c r="BV12" s="78"/>
      <c r="BW12" s="78"/>
      <c r="BX12" s="78"/>
      <c r="BY12" s="79"/>
      <c r="BZ12" s="65"/>
      <c r="DJ12" s="67"/>
      <c r="ER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/>
      <c r="GZ12" s="67"/>
      <c r="HA12" s="67"/>
      <c r="HB12" s="67"/>
      <c r="HC12" s="67"/>
      <c r="HD12" s="67"/>
      <c r="HE12" s="67"/>
    </row>
    <row r="13" spans="1:213" s="66" customFormat="1">
      <c r="E13"/>
      <c r="F13" s="67"/>
      <c r="G13" s="67"/>
      <c r="H13" s="67"/>
      <c r="I13" s="67"/>
      <c r="J13" s="67"/>
      <c r="K13" s="67"/>
      <c r="L13" s="67"/>
      <c r="M13" s="67"/>
      <c r="N13" s="78"/>
      <c r="O13" s="78"/>
      <c r="R13" s="161"/>
      <c r="S13" s="78"/>
      <c r="T13" s="78"/>
      <c r="U13" s="78"/>
      <c r="V13" s="78"/>
      <c r="W13" s="78"/>
      <c r="X13" s="79"/>
      <c r="Y13" s="65"/>
      <c r="AB13" s="78"/>
      <c r="AC13" s="78"/>
      <c r="AD13" s="78"/>
      <c r="AE13" s="78"/>
      <c r="AF13" s="78"/>
      <c r="AG13" s="78"/>
      <c r="AH13" s="78"/>
      <c r="AI13" s="78"/>
      <c r="AJ13" s="79"/>
      <c r="AK13" s="65"/>
      <c r="AN13" s="78"/>
      <c r="AO13" s="78"/>
      <c r="AP13" s="78"/>
      <c r="AQ13" s="78"/>
      <c r="AR13" s="78"/>
      <c r="AS13" s="78"/>
      <c r="AT13" s="78"/>
      <c r="AU13" s="78"/>
      <c r="AV13" s="79"/>
      <c r="AW13" s="65"/>
      <c r="AY13" s="161"/>
      <c r="AZ13" s="78"/>
      <c r="BA13" s="78"/>
      <c r="BB13" s="78"/>
      <c r="BC13" s="78"/>
      <c r="BD13" s="78"/>
      <c r="BE13" s="78"/>
      <c r="BF13" s="79"/>
      <c r="BG13" s="65"/>
      <c r="BI13" s="161"/>
      <c r="BJ13" s="78"/>
      <c r="BK13" s="78"/>
      <c r="BL13" s="78"/>
      <c r="BM13" s="78"/>
      <c r="BN13" s="78"/>
      <c r="BO13" s="79"/>
      <c r="BP13" s="65"/>
      <c r="BR13" s="161"/>
      <c r="BS13" s="78"/>
      <c r="BT13" s="78"/>
      <c r="BU13" s="78"/>
      <c r="BV13" s="78"/>
      <c r="BW13" s="78"/>
      <c r="BX13" s="78"/>
      <c r="BY13" s="79"/>
      <c r="BZ13" s="65"/>
      <c r="DJ13" s="67"/>
      <c r="ER13" s="67"/>
      <c r="FZ13" s="67"/>
      <c r="GA13" s="67"/>
      <c r="GB13" s="67"/>
      <c r="GC13" s="67"/>
      <c r="GD13" s="67"/>
      <c r="GE13" s="67"/>
      <c r="GF13" s="67"/>
      <c r="GG13" s="67"/>
      <c r="GH13" s="67"/>
      <c r="GI13" s="67"/>
      <c r="GJ13" s="67"/>
      <c r="GK13" s="67"/>
      <c r="GL13" s="67"/>
      <c r="GM13" s="67"/>
      <c r="GN13" s="67"/>
      <c r="GO13" s="67"/>
      <c r="GP13" s="67"/>
      <c r="GQ13" s="67"/>
      <c r="GR13" s="67"/>
      <c r="GS13" s="67"/>
      <c r="GT13" s="67"/>
      <c r="GU13" s="67"/>
      <c r="GV13" s="67"/>
      <c r="GW13" s="67"/>
      <c r="GX13" s="67"/>
      <c r="GY13" s="67"/>
      <c r="GZ13" s="67"/>
      <c r="HA13" s="67"/>
      <c r="HB13" s="67"/>
      <c r="HC13" s="67"/>
      <c r="HD13" s="67"/>
      <c r="HE13" s="67"/>
    </row>
    <row r="14" spans="1:213" s="66" customFormat="1">
      <c r="E14"/>
      <c r="F14" s="67"/>
      <c r="G14" s="67"/>
      <c r="H14" s="67"/>
      <c r="I14" s="67"/>
      <c r="J14" s="67"/>
      <c r="K14" s="67"/>
      <c r="L14" s="67"/>
      <c r="M14" s="67"/>
      <c r="N14" s="78"/>
      <c r="O14" s="78"/>
      <c r="R14" s="161"/>
      <c r="S14" s="78"/>
      <c r="T14" s="78"/>
      <c r="U14" s="78"/>
      <c r="V14" s="78"/>
      <c r="W14" s="78"/>
      <c r="X14" s="79"/>
      <c r="Y14" s="65"/>
      <c r="AB14" s="78"/>
      <c r="AC14" s="78"/>
      <c r="AD14" s="78"/>
      <c r="AE14" s="78"/>
      <c r="AF14" s="78"/>
      <c r="AG14" s="78"/>
      <c r="AH14" s="78"/>
      <c r="AI14" s="78"/>
      <c r="AJ14" s="79"/>
      <c r="AK14" s="65"/>
      <c r="AN14" s="78"/>
      <c r="AO14" s="78"/>
      <c r="AP14" s="78"/>
      <c r="AQ14" s="78"/>
      <c r="AR14" s="78"/>
      <c r="AS14" s="78"/>
      <c r="AT14" s="78"/>
      <c r="AU14" s="78"/>
      <c r="AV14" s="79"/>
      <c r="AW14" s="65"/>
      <c r="AY14" s="161"/>
      <c r="AZ14" s="78"/>
      <c r="BA14" s="78"/>
      <c r="BB14" s="78"/>
      <c r="BC14" s="78"/>
      <c r="BD14" s="78"/>
      <c r="BE14" s="78"/>
      <c r="BF14" s="79"/>
      <c r="BG14" s="65"/>
      <c r="BI14" s="161"/>
      <c r="BJ14" s="78"/>
      <c r="BK14" s="78"/>
      <c r="BL14" s="78"/>
      <c r="BM14" s="78"/>
      <c r="BN14" s="78"/>
      <c r="BO14" s="79"/>
      <c r="BP14" s="65"/>
      <c r="BR14" s="161"/>
      <c r="BS14" s="78"/>
      <c r="BT14" s="78"/>
      <c r="BU14" s="78"/>
      <c r="BV14" s="78"/>
      <c r="BW14" s="78"/>
      <c r="BX14" s="78"/>
      <c r="BY14" s="79"/>
      <c r="BZ14" s="65"/>
      <c r="DJ14" s="67"/>
      <c r="ER14" s="67"/>
      <c r="FZ14" s="67"/>
      <c r="GA14" s="67"/>
      <c r="GB14" s="67"/>
      <c r="GC14" s="67"/>
      <c r="GD14" s="67"/>
      <c r="GE14" s="67"/>
      <c r="GF14" s="67"/>
      <c r="GG14" s="67"/>
      <c r="GH14" s="67"/>
      <c r="GI14" s="67"/>
      <c r="GJ14" s="67"/>
      <c r="GK14" s="67"/>
      <c r="GL14" s="67"/>
      <c r="GM14" s="67"/>
      <c r="GN14" s="67"/>
      <c r="GO14" s="67"/>
      <c r="GP14" s="67"/>
      <c r="GQ14" s="67"/>
      <c r="GR14" s="67"/>
      <c r="GS14" s="67"/>
      <c r="GT14" s="67"/>
      <c r="GU14" s="67"/>
      <c r="GV14" s="67"/>
      <c r="GW14" s="67"/>
      <c r="GX14" s="67"/>
      <c r="GY14" s="67"/>
      <c r="GZ14" s="67"/>
      <c r="HA14" s="67"/>
      <c r="HB14" s="67"/>
      <c r="HC14" s="67"/>
      <c r="HD14" s="67"/>
      <c r="HE14" s="67"/>
    </row>
    <row r="15" spans="1:213" s="66" customFormat="1">
      <c r="E15"/>
      <c r="F15" s="67"/>
      <c r="G15" s="67"/>
      <c r="H15" s="67"/>
      <c r="I15" s="67"/>
      <c r="J15" s="67"/>
      <c r="K15" s="67"/>
      <c r="L15" s="67"/>
      <c r="M15" s="67"/>
      <c r="N15" s="78"/>
      <c r="O15" s="78"/>
      <c r="R15" s="161"/>
      <c r="S15" s="78"/>
      <c r="T15" s="78"/>
      <c r="U15" s="78"/>
      <c r="V15" s="78"/>
      <c r="W15" s="78"/>
      <c r="X15" s="79"/>
      <c r="Y15" s="65"/>
      <c r="AB15" s="78"/>
      <c r="AC15" s="78"/>
      <c r="AD15" s="78"/>
      <c r="AE15" s="78"/>
      <c r="AF15" s="78"/>
      <c r="AG15" s="78"/>
      <c r="AH15" s="78"/>
      <c r="AI15" s="78"/>
      <c r="AJ15" s="79"/>
      <c r="AK15" s="65"/>
      <c r="AN15" s="78"/>
      <c r="AO15" s="78"/>
      <c r="AP15" s="78"/>
      <c r="AQ15" s="78"/>
      <c r="AR15" s="78"/>
      <c r="AS15" s="78"/>
      <c r="AT15" s="78"/>
      <c r="AU15" s="78"/>
      <c r="AV15" s="79"/>
      <c r="AW15" s="65"/>
      <c r="AY15" s="161"/>
      <c r="AZ15" s="78"/>
      <c r="BA15" s="78"/>
      <c r="BB15" s="78"/>
      <c r="BC15" s="78"/>
      <c r="BD15" s="78"/>
      <c r="BE15" s="78"/>
      <c r="BF15" s="79"/>
      <c r="BG15" s="65"/>
      <c r="BI15" s="161"/>
      <c r="BJ15" s="78"/>
      <c r="BK15" s="78"/>
      <c r="BL15" s="78"/>
      <c r="BM15" s="78"/>
      <c r="BN15" s="78"/>
      <c r="BO15" s="79"/>
      <c r="BP15" s="65"/>
      <c r="BR15" s="161"/>
      <c r="BS15" s="78"/>
      <c r="BT15" s="78"/>
      <c r="BU15" s="78"/>
      <c r="BV15" s="78"/>
      <c r="BW15" s="78"/>
      <c r="BX15" s="78"/>
      <c r="BY15" s="79"/>
      <c r="BZ15" s="65"/>
      <c r="DJ15" s="67"/>
      <c r="ER15" s="67"/>
      <c r="FZ15" s="67"/>
      <c r="GA15" s="67"/>
      <c r="GB15" s="67"/>
      <c r="GC15" s="67"/>
      <c r="GD15" s="67"/>
      <c r="GE15" s="67"/>
      <c r="GF15" s="67"/>
      <c r="GG15" s="67"/>
      <c r="GH15" s="67"/>
      <c r="GI15" s="67"/>
      <c r="GJ15" s="67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</row>
    <row r="16" spans="1:213" s="66" customFormat="1">
      <c r="E16"/>
      <c r="F16" s="67"/>
      <c r="G16" s="67"/>
      <c r="H16" s="67"/>
      <c r="I16" s="67"/>
      <c r="J16" s="67"/>
      <c r="K16" s="67"/>
      <c r="L16" s="67"/>
      <c r="M16" s="67"/>
      <c r="N16" s="78"/>
      <c r="O16" s="78"/>
      <c r="R16" s="161"/>
      <c r="S16" s="78"/>
      <c r="T16" s="78"/>
      <c r="U16" s="78"/>
      <c r="V16" s="78"/>
      <c r="W16" s="78"/>
      <c r="X16" s="79"/>
      <c r="Y16" s="65"/>
      <c r="AB16" s="78"/>
      <c r="AC16" s="78"/>
      <c r="AD16" s="78"/>
      <c r="AE16" s="78"/>
      <c r="AF16" s="78"/>
      <c r="AG16" s="78"/>
      <c r="AH16" s="78"/>
      <c r="AI16" s="78"/>
      <c r="AJ16" s="79"/>
      <c r="AK16" s="65"/>
      <c r="AN16" s="78"/>
      <c r="AO16" s="78"/>
      <c r="AP16" s="78"/>
      <c r="AQ16" s="78"/>
      <c r="AR16" s="78"/>
      <c r="AS16" s="78"/>
      <c r="AT16" s="78"/>
      <c r="AU16" s="78"/>
      <c r="AV16" s="79"/>
      <c r="AW16" s="65"/>
      <c r="AY16" s="161"/>
      <c r="AZ16" s="78"/>
      <c r="BA16" s="78"/>
      <c r="BB16" s="78"/>
      <c r="BC16" s="78"/>
      <c r="BD16" s="78"/>
      <c r="BE16" s="78"/>
      <c r="BF16" s="79"/>
      <c r="BG16" s="65"/>
      <c r="BI16" s="161"/>
      <c r="BJ16" s="78"/>
      <c r="BK16" s="78"/>
      <c r="BL16" s="78"/>
      <c r="BM16" s="78"/>
      <c r="BN16" s="78"/>
      <c r="BO16" s="79"/>
      <c r="BP16" s="65"/>
      <c r="BR16" s="161"/>
      <c r="BS16" s="78"/>
      <c r="BT16" s="78"/>
      <c r="BU16" s="78"/>
      <c r="BV16" s="78"/>
      <c r="BW16" s="78"/>
      <c r="BX16" s="78"/>
      <c r="BY16" s="79"/>
      <c r="BZ16" s="65"/>
      <c r="DJ16" s="67"/>
      <c r="ER16" s="67"/>
      <c r="FZ16" s="67"/>
      <c r="GA16" s="67"/>
      <c r="GB16" s="67"/>
      <c r="GC16" s="67"/>
      <c r="GD16" s="67"/>
      <c r="GE16" s="67"/>
      <c r="GF16" s="67"/>
      <c r="GG16" s="67"/>
      <c r="GH16" s="67"/>
      <c r="GI16" s="67"/>
      <c r="GJ16" s="67"/>
      <c r="GK16" s="67"/>
      <c r="GL16" s="67"/>
      <c r="GM16" s="67"/>
      <c r="GN16" s="67"/>
      <c r="GO16" s="67"/>
      <c r="GP16" s="67"/>
      <c r="GQ16" s="67"/>
      <c r="GR16" s="67"/>
      <c r="GS16" s="67"/>
      <c r="GT16" s="67"/>
      <c r="GU16" s="67"/>
      <c r="GV16" s="67"/>
      <c r="GW16" s="67"/>
      <c r="GX16" s="67"/>
      <c r="GY16" s="67"/>
      <c r="GZ16" s="67"/>
      <c r="HA16" s="67"/>
      <c r="HB16" s="67"/>
      <c r="HC16" s="67"/>
      <c r="HD16" s="67"/>
      <c r="HE16" s="67"/>
    </row>
    <row r="17" spans="5:213" s="66" customFormat="1">
      <c r="E17"/>
      <c r="F17" s="67"/>
      <c r="G17" s="67"/>
      <c r="H17" s="67"/>
      <c r="I17" s="67"/>
      <c r="J17" s="67"/>
      <c r="K17" s="67"/>
      <c r="L17" s="67"/>
      <c r="M17" s="67"/>
      <c r="N17" s="78"/>
      <c r="O17" s="78"/>
      <c r="R17" s="161"/>
      <c r="S17" s="78"/>
      <c r="T17" s="78"/>
      <c r="U17" s="78"/>
      <c r="V17" s="78"/>
      <c r="W17" s="78"/>
      <c r="X17" s="79"/>
      <c r="Y17" s="65"/>
      <c r="AB17" s="78"/>
      <c r="AC17" s="78"/>
      <c r="AD17" s="78"/>
      <c r="AE17" s="78"/>
      <c r="AF17" s="78"/>
      <c r="AG17" s="78"/>
      <c r="AH17" s="78"/>
      <c r="AI17" s="78"/>
      <c r="AJ17" s="79"/>
      <c r="AK17" s="65"/>
      <c r="AN17" s="78"/>
      <c r="AO17" s="78"/>
      <c r="AP17" s="78"/>
      <c r="AQ17" s="78"/>
      <c r="AR17" s="78"/>
      <c r="AS17" s="78"/>
      <c r="AT17" s="78"/>
      <c r="AU17" s="78"/>
      <c r="AV17" s="79"/>
      <c r="AW17" s="65"/>
      <c r="AY17" s="161"/>
      <c r="AZ17" s="78"/>
      <c r="BA17" s="78"/>
      <c r="BB17" s="78"/>
      <c r="BC17" s="78"/>
      <c r="BD17" s="78"/>
      <c r="BE17" s="78"/>
      <c r="BF17" s="79"/>
      <c r="BG17" s="65"/>
      <c r="BI17" s="161"/>
      <c r="BJ17" s="78"/>
      <c r="BK17" s="78"/>
      <c r="BL17" s="78"/>
      <c r="BM17" s="78"/>
      <c r="BN17" s="78"/>
      <c r="BO17" s="79"/>
      <c r="BP17" s="65"/>
      <c r="BR17" s="161"/>
      <c r="BS17" s="78"/>
      <c r="BT17" s="78"/>
      <c r="BU17" s="78"/>
      <c r="BV17" s="78"/>
      <c r="BW17" s="78"/>
      <c r="BX17" s="78"/>
      <c r="BY17" s="79"/>
      <c r="BZ17" s="65"/>
      <c r="DJ17" s="67"/>
      <c r="ER17" s="67"/>
      <c r="FZ17" s="67"/>
      <c r="GA17" s="67"/>
      <c r="GB17" s="67"/>
      <c r="GC17" s="67"/>
      <c r="GD17" s="67"/>
      <c r="GE17" s="67"/>
      <c r="GF17" s="67"/>
      <c r="GG17" s="67"/>
      <c r="GH17" s="67"/>
      <c r="GI17" s="67"/>
      <c r="GJ17" s="67"/>
      <c r="GK17" s="67"/>
      <c r="GL17" s="67"/>
      <c r="GM17" s="67"/>
      <c r="GN17" s="67"/>
      <c r="GO17" s="67"/>
      <c r="GP17" s="67"/>
      <c r="GQ17" s="67"/>
      <c r="GR17" s="67"/>
      <c r="GS17" s="67"/>
      <c r="GT17" s="67"/>
      <c r="GU17" s="67"/>
      <c r="GV17" s="67"/>
      <c r="GW17" s="67"/>
      <c r="GX17" s="67"/>
      <c r="GY17" s="67"/>
      <c r="GZ17" s="67"/>
      <c r="HA17" s="67"/>
      <c r="HB17" s="67"/>
      <c r="HC17" s="67"/>
      <c r="HD17" s="67"/>
      <c r="HE17" s="67"/>
    </row>
    <row r="18" spans="5:213" s="66" customFormat="1">
      <c r="E18"/>
      <c r="F18" s="67"/>
      <c r="G18" s="67"/>
      <c r="H18" s="67"/>
      <c r="I18" s="67"/>
      <c r="J18" s="67"/>
      <c r="K18" s="67"/>
      <c r="L18" s="67"/>
      <c r="M18" s="67"/>
      <c r="N18" s="78"/>
      <c r="O18" s="78"/>
      <c r="R18" s="161"/>
      <c r="S18" s="78"/>
      <c r="T18" s="78"/>
      <c r="U18" s="78"/>
      <c r="V18" s="78"/>
      <c r="W18" s="78"/>
      <c r="X18" s="79"/>
      <c r="Y18" s="65"/>
      <c r="AB18" s="78"/>
      <c r="AC18" s="78"/>
      <c r="AD18" s="78"/>
      <c r="AE18" s="78"/>
      <c r="AF18" s="78"/>
      <c r="AG18" s="78"/>
      <c r="AH18" s="78"/>
      <c r="AI18" s="78"/>
      <c r="AJ18" s="79"/>
      <c r="AK18" s="65"/>
      <c r="AN18" s="78"/>
      <c r="AO18" s="78"/>
      <c r="AP18" s="78"/>
      <c r="AQ18" s="78"/>
      <c r="AR18" s="78"/>
      <c r="AS18" s="78"/>
      <c r="AT18" s="78"/>
      <c r="AU18" s="78"/>
      <c r="AV18" s="79"/>
      <c r="AW18" s="65"/>
      <c r="AY18" s="161"/>
      <c r="AZ18" s="78"/>
      <c r="BA18" s="78"/>
      <c r="BB18" s="78"/>
      <c r="BC18" s="78"/>
      <c r="BD18" s="78"/>
      <c r="BE18" s="78"/>
      <c r="BF18" s="79"/>
      <c r="BG18" s="65"/>
      <c r="BI18" s="161"/>
      <c r="BJ18" s="78"/>
      <c r="BK18" s="78"/>
      <c r="BL18" s="78"/>
      <c r="BM18" s="78"/>
      <c r="BN18" s="78"/>
      <c r="BO18" s="79"/>
      <c r="BP18" s="65"/>
      <c r="BR18" s="161"/>
      <c r="BS18" s="78"/>
      <c r="BT18" s="78"/>
      <c r="BU18" s="78"/>
      <c r="BV18" s="78"/>
      <c r="BW18" s="78"/>
      <c r="BX18" s="78"/>
      <c r="BY18" s="79"/>
      <c r="BZ18" s="65"/>
      <c r="DJ18" s="67"/>
      <c r="ER18" s="67"/>
      <c r="FZ18" s="67"/>
      <c r="GA18" s="67"/>
      <c r="GB18" s="67"/>
      <c r="GC18" s="67"/>
      <c r="GD18" s="67"/>
      <c r="GE18" s="67"/>
      <c r="GF18" s="67"/>
      <c r="GG18" s="67"/>
      <c r="GH18" s="67"/>
      <c r="GI18" s="67"/>
      <c r="GJ18" s="67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</row>
    <row r="19" spans="5:213" s="66" customFormat="1">
      <c r="E19"/>
      <c r="F19" s="67"/>
      <c r="G19" s="67"/>
      <c r="H19" s="67"/>
      <c r="I19" s="67"/>
      <c r="J19" s="67"/>
      <c r="K19" s="67"/>
      <c r="L19" s="67"/>
      <c r="M19" s="67"/>
      <c r="N19" s="78"/>
      <c r="O19" s="78"/>
      <c r="R19" s="161"/>
      <c r="S19" s="78"/>
      <c r="T19" s="78"/>
      <c r="U19" s="78"/>
      <c r="V19" s="78"/>
      <c r="W19" s="78"/>
      <c r="X19" s="79"/>
      <c r="Y19" s="65"/>
      <c r="AB19" s="78"/>
      <c r="AC19" s="78"/>
      <c r="AD19" s="78"/>
      <c r="AE19" s="78"/>
      <c r="AF19" s="78"/>
      <c r="AG19" s="78"/>
      <c r="AH19" s="78"/>
      <c r="AI19" s="78"/>
      <c r="AJ19" s="79"/>
      <c r="AK19" s="65"/>
      <c r="AN19" s="78"/>
      <c r="AO19" s="78"/>
      <c r="AP19" s="78"/>
      <c r="AQ19" s="78"/>
      <c r="AR19" s="78"/>
      <c r="AS19" s="78"/>
      <c r="AT19" s="78"/>
      <c r="AU19" s="78"/>
      <c r="AV19" s="79"/>
      <c r="AW19" s="65"/>
      <c r="AY19" s="161"/>
      <c r="AZ19" s="78"/>
      <c r="BA19" s="78"/>
      <c r="BB19" s="78"/>
      <c r="BC19" s="78"/>
      <c r="BD19" s="78"/>
      <c r="BE19" s="78"/>
      <c r="BF19" s="79"/>
      <c r="BG19" s="65"/>
      <c r="BI19" s="161"/>
      <c r="BJ19" s="78"/>
      <c r="BK19" s="78"/>
      <c r="BL19" s="78"/>
      <c r="BM19" s="78"/>
      <c r="BN19" s="78"/>
      <c r="BO19" s="79"/>
      <c r="BP19" s="65"/>
      <c r="BR19" s="161"/>
      <c r="BS19" s="78"/>
      <c r="BT19" s="78"/>
      <c r="BU19" s="78"/>
      <c r="BV19" s="78"/>
      <c r="BW19" s="78"/>
      <c r="BX19" s="78"/>
      <c r="BY19" s="79"/>
      <c r="BZ19" s="65"/>
      <c r="DJ19" s="67"/>
      <c r="ER19" s="67"/>
      <c r="FZ19" s="67"/>
      <c r="GA19" s="67"/>
      <c r="GB19" s="67"/>
      <c r="GC19" s="67"/>
      <c r="GD19" s="67"/>
      <c r="GE19" s="67"/>
      <c r="GF19" s="67"/>
      <c r="GG19" s="67"/>
      <c r="GH19" s="67"/>
      <c r="GI19" s="67"/>
      <c r="GJ19" s="67"/>
      <c r="GK19" s="67"/>
      <c r="GL19" s="67"/>
      <c r="GM19" s="67"/>
      <c r="GN19" s="67"/>
      <c r="GO19" s="67"/>
      <c r="GP19" s="67"/>
      <c r="GQ19" s="67"/>
      <c r="GR19" s="67"/>
      <c r="GS19" s="67"/>
      <c r="GT19" s="67"/>
      <c r="GU19" s="67"/>
      <c r="GV19" s="67"/>
      <c r="GW19" s="67"/>
      <c r="GX19" s="67"/>
      <c r="GY19" s="67"/>
      <c r="GZ19" s="67"/>
      <c r="HA19" s="67"/>
      <c r="HB19" s="67"/>
      <c r="HC19" s="67"/>
      <c r="HD19" s="67"/>
      <c r="HE19" s="67"/>
    </row>
    <row r="20" spans="5:213" s="66" customFormat="1">
      <c r="E20"/>
      <c r="F20" s="67"/>
      <c r="G20" s="67"/>
      <c r="H20" s="67"/>
      <c r="I20" s="67"/>
      <c r="J20" s="67"/>
      <c r="K20" s="67"/>
      <c r="L20" s="67"/>
      <c r="M20" s="67"/>
      <c r="N20" s="78"/>
      <c r="O20" s="78"/>
      <c r="R20" s="161"/>
      <c r="S20" s="78"/>
      <c r="T20" s="78"/>
      <c r="U20" s="78"/>
      <c r="V20" s="78"/>
      <c r="W20" s="78"/>
      <c r="X20" s="79"/>
      <c r="Y20" s="65"/>
      <c r="AB20" s="78"/>
      <c r="AC20" s="78"/>
      <c r="AD20" s="78"/>
      <c r="AE20" s="78"/>
      <c r="AF20" s="78"/>
      <c r="AG20" s="78"/>
      <c r="AH20" s="78"/>
      <c r="AI20" s="78"/>
      <c r="AJ20" s="79"/>
      <c r="AK20" s="65"/>
      <c r="AN20" s="78"/>
      <c r="AO20" s="78"/>
      <c r="AP20" s="78"/>
      <c r="AQ20" s="78"/>
      <c r="AR20" s="78"/>
      <c r="AS20" s="78"/>
      <c r="AT20" s="78"/>
      <c r="AU20" s="78"/>
      <c r="AV20" s="79"/>
      <c r="AW20" s="65"/>
      <c r="AY20" s="161"/>
      <c r="AZ20" s="78"/>
      <c r="BA20" s="78"/>
      <c r="BB20" s="78"/>
      <c r="BC20" s="78"/>
      <c r="BD20" s="78"/>
      <c r="BE20" s="78"/>
      <c r="BF20" s="79"/>
      <c r="BG20" s="65"/>
      <c r="BI20" s="161"/>
      <c r="BJ20" s="78"/>
      <c r="BK20" s="78"/>
      <c r="BL20" s="78"/>
      <c r="BM20" s="78"/>
      <c r="BN20" s="78"/>
      <c r="BO20" s="79"/>
      <c r="BP20" s="65"/>
      <c r="BR20" s="161"/>
      <c r="BS20" s="78"/>
      <c r="BT20" s="78"/>
      <c r="BU20" s="78"/>
      <c r="BV20" s="78"/>
      <c r="BW20" s="78"/>
      <c r="BX20" s="78"/>
      <c r="BY20" s="79"/>
      <c r="BZ20" s="65"/>
      <c r="DJ20" s="67"/>
      <c r="ER20" s="67"/>
      <c r="FZ20" s="67"/>
      <c r="GA20" s="67"/>
      <c r="GB20" s="67"/>
      <c r="GC20" s="67"/>
      <c r="GD20" s="67"/>
      <c r="GE20" s="67"/>
      <c r="GF20" s="67"/>
      <c r="GG20" s="67"/>
      <c r="GH20" s="67"/>
      <c r="GI20" s="67"/>
      <c r="GJ20" s="67"/>
      <c r="GK20" s="67"/>
      <c r="GL20" s="67"/>
      <c r="GM20" s="67"/>
      <c r="GN20" s="67"/>
      <c r="GO20" s="67"/>
      <c r="GP20" s="67"/>
      <c r="GQ20" s="67"/>
      <c r="GR20" s="67"/>
      <c r="GS20" s="67"/>
      <c r="GT20" s="67"/>
      <c r="GU20" s="67"/>
      <c r="GV20" s="67"/>
      <c r="GW20" s="67"/>
      <c r="GX20" s="67"/>
      <c r="GY20" s="67"/>
      <c r="GZ20" s="67"/>
      <c r="HA20" s="67"/>
      <c r="HB20" s="67"/>
      <c r="HC20" s="67"/>
      <c r="HD20" s="67"/>
      <c r="HE20" s="67"/>
    </row>
    <row r="21" spans="5:213" s="66" customFormat="1">
      <c r="E21"/>
      <c r="F21" s="67"/>
      <c r="G21" s="67"/>
      <c r="H21" s="67"/>
      <c r="I21" s="67"/>
      <c r="J21" s="67"/>
      <c r="K21" s="67"/>
      <c r="L21" s="67"/>
      <c r="M21" s="67"/>
      <c r="N21" s="78"/>
      <c r="O21" s="78"/>
      <c r="R21" s="161"/>
      <c r="S21" s="78"/>
      <c r="T21" s="78"/>
      <c r="U21" s="78"/>
      <c r="V21" s="78"/>
      <c r="W21" s="78"/>
      <c r="X21" s="79"/>
      <c r="Y21" s="65"/>
      <c r="AB21" s="78"/>
      <c r="AC21" s="78"/>
      <c r="AD21" s="78"/>
      <c r="AE21" s="78"/>
      <c r="AF21" s="78"/>
      <c r="AG21" s="78"/>
      <c r="AH21" s="78"/>
      <c r="AI21" s="78"/>
      <c r="AJ21" s="79"/>
      <c r="AK21" s="65"/>
      <c r="AN21" s="78"/>
      <c r="AO21" s="78"/>
      <c r="AP21" s="78"/>
      <c r="AQ21" s="78"/>
      <c r="AR21" s="78"/>
      <c r="AS21" s="78"/>
      <c r="AT21" s="78"/>
      <c r="AU21" s="78"/>
      <c r="AV21" s="79"/>
      <c r="AW21" s="65"/>
      <c r="AY21" s="161"/>
      <c r="AZ21" s="78"/>
      <c r="BA21" s="78"/>
      <c r="BB21" s="78"/>
      <c r="BC21" s="78"/>
      <c r="BD21" s="78"/>
      <c r="BE21" s="78"/>
      <c r="BF21" s="79"/>
      <c r="BG21" s="65"/>
      <c r="BI21" s="161"/>
      <c r="BJ21" s="78"/>
      <c r="BK21" s="78"/>
      <c r="BL21" s="78"/>
      <c r="BM21" s="78"/>
      <c r="BN21" s="78"/>
      <c r="BO21" s="79"/>
      <c r="BP21" s="65"/>
      <c r="BR21" s="161"/>
      <c r="BS21" s="78"/>
      <c r="BT21" s="78"/>
      <c r="BU21" s="78"/>
      <c r="BV21" s="78"/>
      <c r="BW21" s="78"/>
      <c r="BX21" s="78"/>
      <c r="BY21" s="79"/>
      <c r="BZ21" s="65"/>
      <c r="DJ21" s="67"/>
      <c r="ER21" s="67"/>
      <c r="FZ21" s="67"/>
      <c r="GA21" s="67"/>
      <c r="GB21" s="67"/>
      <c r="GC21" s="67"/>
      <c r="GD21" s="67"/>
      <c r="GE21" s="67"/>
      <c r="GF21" s="67"/>
      <c r="GG21" s="67"/>
      <c r="GH21" s="67"/>
      <c r="GI21" s="67"/>
      <c r="GJ21" s="67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</row>
    <row r="22" spans="5:213" s="66" customFormat="1">
      <c r="E22"/>
      <c r="F22" s="67"/>
      <c r="G22" s="67"/>
      <c r="H22" s="67"/>
      <c r="I22" s="67"/>
      <c r="J22" s="67"/>
      <c r="K22" s="67"/>
      <c r="L22" s="67"/>
      <c r="M22" s="67"/>
      <c r="N22" s="78"/>
      <c r="O22" s="78"/>
      <c r="R22" s="161"/>
      <c r="S22" s="78"/>
      <c r="T22" s="78"/>
      <c r="U22" s="78"/>
      <c r="V22" s="78"/>
      <c r="W22" s="78"/>
      <c r="X22" s="79"/>
      <c r="Y22" s="65"/>
      <c r="AB22" s="78"/>
      <c r="AC22" s="78"/>
      <c r="AD22" s="78"/>
      <c r="AE22" s="78"/>
      <c r="AF22" s="78"/>
      <c r="AG22" s="78"/>
      <c r="AH22" s="78"/>
      <c r="AI22" s="78"/>
      <c r="AJ22" s="79"/>
      <c r="AK22" s="65"/>
      <c r="AN22" s="78"/>
      <c r="AO22" s="78"/>
      <c r="AP22" s="78"/>
      <c r="AQ22" s="78"/>
      <c r="AR22" s="78"/>
      <c r="AS22" s="78"/>
      <c r="AT22" s="78"/>
      <c r="AU22" s="78"/>
      <c r="AV22" s="79"/>
      <c r="AW22" s="65"/>
      <c r="AY22" s="161"/>
      <c r="AZ22" s="78"/>
      <c r="BA22" s="78"/>
      <c r="BB22" s="78"/>
      <c r="BC22" s="78"/>
      <c r="BD22" s="78"/>
      <c r="BE22" s="78"/>
      <c r="BF22" s="79"/>
      <c r="BG22" s="65"/>
      <c r="BI22" s="161"/>
      <c r="BJ22" s="78"/>
      <c r="BK22" s="78"/>
      <c r="BL22" s="78"/>
      <c r="BM22" s="78"/>
      <c r="BN22" s="78"/>
      <c r="BO22" s="79"/>
      <c r="BP22" s="65"/>
      <c r="BR22" s="161"/>
      <c r="BS22" s="78"/>
      <c r="BT22" s="78"/>
      <c r="BU22" s="78"/>
      <c r="BV22" s="78"/>
      <c r="BW22" s="78"/>
      <c r="BX22" s="78"/>
      <c r="BY22" s="79"/>
      <c r="BZ22" s="65"/>
      <c r="DJ22" s="67"/>
      <c r="ER22" s="67"/>
      <c r="FZ22" s="67"/>
      <c r="GA22" s="67"/>
      <c r="GB22" s="67"/>
      <c r="GC22" s="67"/>
      <c r="GD22" s="67"/>
      <c r="GE22" s="67"/>
      <c r="GF22" s="67"/>
      <c r="GG22" s="67"/>
      <c r="GH22" s="67"/>
      <c r="GI22" s="67"/>
      <c r="GJ22" s="67"/>
      <c r="GK22" s="67"/>
      <c r="GL22" s="67"/>
      <c r="GM22" s="67"/>
      <c r="GN22" s="67"/>
      <c r="GO22" s="67"/>
      <c r="GP22" s="67"/>
      <c r="GQ22" s="67"/>
      <c r="GR22" s="67"/>
      <c r="GS22" s="67"/>
      <c r="GT22" s="67"/>
      <c r="GU22" s="67"/>
      <c r="GV22" s="67"/>
      <c r="GW22" s="67"/>
      <c r="GX22" s="67"/>
      <c r="GY22" s="67"/>
      <c r="GZ22" s="67"/>
      <c r="HA22" s="67"/>
      <c r="HB22" s="67"/>
      <c r="HC22" s="67"/>
      <c r="HD22" s="67"/>
      <c r="HE22" s="67"/>
    </row>
    <row r="23" spans="5:213" s="66" customFormat="1">
      <c r="E23"/>
      <c r="F23" s="67"/>
      <c r="G23" s="67"/>
      <c r="H23" s="67"/>
      <c r="I23" s="67"/>
      <c r="J23" s="67"/>
      <c r="K23" s="67"/>
      <c r="L23" s="67"/>
      <c r="M23" s="67"/>
      <c r="N23" s="78"/>
      <c r="O23" s="78"/>
      <c r="R23" s="161"/>
      <c r="S23" s="78"/>
      <c r="T23" s="78"/>
      <c r="U23" s="78"/>
      <c r="V23" s="78"/>
      <c r="W23" s="78"/>
      <c r="X23" s="79"/>
      <c r="Y23" s="65"/>
      <c r="AB23" s="78"/>
      <c r="AC23" s="78"/>
      <c r="AD23" s="78"/>
      <c r="AE23" s="78"/>
      <c r="AF23" s="78"/>
      <c r="AG23" s="78"/>
      <c r="AH23" s="78"/>
      <c r="AI23" s="78"/>
      <c r="AJ23" s="79"/>
      <c r="AK23" s="65"/>
      <c r="AN23" s="78"/>
      <c r="AO23" s="78"/>
      <c r="AP23" s="78"/>
      <c r="AQ23" s="78"/>
      <c r="AR23" s="78"/>
      <c r="AS23" s="78"/>
      <c r="AT23" s="78"/>
      <c r="AU23" s="78"/>
      <c r="AV23" s="79"/>
      <c r="AW23" s="65"/>
      <c r="AY23" s="161"/>
      <c r="AZ23" s="78"/>
      <c r="BA23" s="78"/>
      <c r="BB23" s="78"/>
      <c r="BC23" s="78"/>
      <c r="BD23" s="78"/>
      <c r="BE23" s="78"/>
      <c r="BF23" s="79"/>
      <c r="BG23" s="65"/>
      <c r="BI23" s="161"/>
      <c r="BJ23" s="78"/>
      <c r="BK23" s="78"/>
      <c r="BL23" s="78"/>
      <c r="BM23" s="78"/>
      <c r="BN23" s="78"/>
      <c r="BO23" s="79"/>
      <c r="BP23" s="65"/>
      <c r="BR23" s="161"/>
      <c r="BS23" s="78"/>
      <c r="BT23" s="78"/>
      <c r="BU23" s="78"/>
      <c r="BV23" s="78"/>
      <c r="BW23" s="78"/>
      <c r="BX23" s="78"/>
      <c r="BY23" s="79"/>
      <c r="BZ23" s="65"/>
      <c r="DJ23" s="67"/>
      <c r="ER23" s="67"/>
      <c r="FZ23" s="67"/>
      <c r="GA23" s="67"/>
      <c r="GB23" s="67"/>
      <c r="GC23" s="67"/>
      <c r="GD23" s="67"/>
      <c r="GE23" s="67"/>
      <c r="GF23" s="67"/>
      <c r="GG23" s="67"/>
      <c r="GH23" s="67"/>
      <c r="GI23" s="67"/>
      <c r="GJ23" s="67"/>
      <c r="GK23" s="67"/>
      <c r="GL23" s="67"/>
      <c r="GM23" s="67"/>
      <c r="GN23" s="67"/>
      <c r="GO23" s="67"/>
      <c r="GP23" s="67"/>
      <c r="GQ23" s="67"/>
      <c r="GR23" s="67"/>
      <c r="GS23" s="67"/>
      <c r="GT23" s="67"/>
      <c r="GU23" s="67"/>
      <c r="GV23" s="67"/>
      <c r="GW23" s="67"/>
      <c r="GX23" s="67"/>
      <c r="GY23" s="67"/>
      <c r="GZ23" s="67"/>
      <c r="HA23" s="67"/>
      <c r="HB23" s="67"/>
      <c r="HC23" s="67"/>
      <c r="HD23" s="67"/>
      <c r="HE23" s="67"/>
    </row>
    <row r="24" spans="5:213" s="66" customFormat="1">
      <c r="E24"/>
      <c r="F24" s="67"/>
      <c r="G24" s="67"/>
      <c r="H24" s="67"/>
      <c r="I24" s="67"/>
      <c r="J24" s="67"/>
      <c r="K24" s="67"/>
      <c r="L24" s="67"/>
      <c r="M24" s="67"/>
      <c r="N24" s="78"/>
      <c r="O24" s="78"/>
      <c r="R24" s="161"/>
      <c r="S24" s="78"/>
      <c r="T24" s="78"/>
      <c r="U24" s="78"/>
      <c r="V24" s="78"/>
      <c r="W24" s="78"/>
      <c r="X24" s="79"/>
      <c r="Y24" s="65"/>
      <c r="AB24" s="78"/>
      <c r="AC24" s="78"/>
      <c r="AD24" s="78"/>
      <c r="AE24" s="78"/>
      <c r="AF24" s="78"/>
      <c r="AG24" s="78"/>
      <c r="AH24" s="78"/>
      <c r="AI24" s="78"/>
      <c r="AJ24" s="79"/>
      <c r="AK24" s="65"/>
      <c r="AN24" s="78"/>
      <c r="AO24" s="78"/>
      <c r="AP24" s="78"/>
      <c r="AQ24" s="78"/>
      <c r="AR24" s="78"/>
      <c r="AS24" s="78"/>
      <c r="AT24" s="78"/>
      <c r="AU24" s="78"/>
      <c r="AV24" s="79"/>
      <c r="AW24" s="65"/>
      <c r="AY24" s="161"/>
      <c r="AZ24" s="78"/>
      <c r="BA24" s="78"/>
      <c r="BB24" s="78"/>
      <c r="BC24" s="78"/>
      <c r="BD24" s="78"/>
      <c r="BE24" s="78"/>
      <c r="BF24" s="79"/>
      <c r="BG24" s="65"/>
      <c r="BI24" s="161"/>
      <c r="BJ24" s="78"/>
      <c r="BK24" s="78"/>
      <c r="BL24" s="78"/>
      <c r="BM24" s="78"/>
      <c r="BN24" s="78"/>
      <c r="BO24" s="79"/>
      <c r="BP24" s="65"/>
      <c r="BR24" s="161"/>
      <c r="BS24" s="78"/>
      <c r="BT24" s="78"/>
      <c r="BU24" s="78"/>
      <c r="BV24" s="78"/>
      <c r="BW24" s="78"/>
      <c r="BX24" s="78"/>
      <c r="BY24" s="79"/>
      <c r="BZ24" s="65"/>
      <c r="DJ24" s="67"/>
      <c r="ER24" s="67"/>
      <c r="FZ24" s="67"/>
      <c r="GA24" s="67"/>
      <c r="GB24" s="67"/>
      <c r="GC24" s="67"/>
      <c r="GD24" s="67"/>
      <c r="GE24" s="67"/>
      <c r="GF24" s="67"/>
      <c r="GG24" s="67"/>
      <c r="GH24" s="67"/>
      <c r="GI24" s="67"/>
      <c r="GJ24" s="67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</row>
    <row r="25" spans="5:213" s="66" customFormat="1">
      <c r="E25"/>
      <c r="F25" s="67"/>
      <c r="G25" s="67"/>
      <c r="H25" s="67"/>
      <c r="I25" s="67"/>
      <c r="J25" s="67"/>
      <c r="K25" s="67"/>
      <c r="L25" s="67"/>
      <c r="M25" s="67"/>
      <c r="N25" s="78"/>
      <c r="O25" s="78"/>
      <c r="R25" s="161"/>
      <c r="S25" s="78"/>
      <c r="T25" s="78"/>
      <c r="U25" s="78"/>
      <c r="V25" s="78"/>
      <c r="W25" s="78"/>
      <c r="X25" s="79"/>
      <c r="Y25" s="65"/>
      <c r="AB25" s="78"/>
      <c r="AC25" s="78"/>
      <c r="AD25" s="78"/>
      <c r="AE25" s="78"/>
      <c r="AF25" s="78"/>
      <c r="AG25" s="78"/>
      <c r="AH25" s="78"/>
      <c r="AI25" s="78"/>
      <c r="AJ25" s="79"/>
      <c r="AK25" s="65"/>
      <c r="AN25" s="78"/>
      <c r="AO25" s="78"/>
      <c r="AP25" s="78"/>
      <c r="AQ25" s="78"/>
      <c r="AR25" s="78"/>
      <c r="AS25" s="78"/>
      <c r="AT25" s="78"/>
      <c r="AU25" s="78"/>
      <c r="AV25" s="79"/>
      <c r="AW25" s="65"/>
      <c r="AY25" s="161"/>
      <c r="AZ25" s="78"/>
      <c r="BA25" s="78"/>
      <c r="BB25" s="78"/>
      <c r="BC25" s="78"/>
      <c r="BD25" s="78"/>
      <c r="BE25" s="78"/>
      <c r="BF25" s="79"/>
      <c r="BG25" s="65"/>
      <c r="BI25" s="161"/>
      <c r="BJ25" s="78"/>
      <c r="BK25" s="78"/>
      <c r="BL25" s="78"/>
      <c r="BM25" s="78"/>
      <c r="BN25" s="78"/>
      <c r="BO25" s="79"/>
      <c r="BP25" s="65"/>
      <c r="BR25" s="161"/>
      <c r="BS25" s="78"/>
      <c r="BT25" s="78"/>
      <c r="BU25" s="78"/>
      <c r="BV25" s="78"/>
      <c r="BW25" s="78"/>
      <c r="BX25" s="78"/>
      <c r="BY25" s="79"/>
      <c r="BZ25" s="65"/>
      <c r="DJ25" s="67"/>
      <c r="ER25" s="67"/>
      <c r="FZ25" s="67"/>
      <c r="GA25" s="67"/>
      <c r="GB25" s="67"/>
      <c r="GC25" s="67"/>
      <c r="GD25" s="67"/>
      <c r="GE25" s="67"/>
      <c r="GF25" s="67"/>
      <c r="GG25" s="67"/>
      <c r="GH25" s="67"/>
      <c r="GI25" s="67"/>
      <c r="GJ25" s="67"/>
      <c r="GK25" s="67"/>
      <c r="GL25" s="67"/>
      <c r="GM25" s="67"/>
      <c r="GN25" s="67"/>
      <c r="GO25" s="67"/>
      <c r="GP25" s="67"/>
      <c r="GQ25" s="67"/>
      <c r="GR25" s="67"/>
      <c r="GS25" s="67"/>
      <c r="GT25" s="67"/>
      <c r="GU25" s="67"/>
      <c r="GV25" s="67"/>
      <c r="GW25" s="67"/>
      <c r="GX25" s="67"/>
      <c r="GY25" s="67"/>
      <c r="GZ25" s="67"/>
      <c r="HA25" s="67"/>
      <c r="HB25" s="67"/>
      <c r="HC25" s="67"/>
      <c r="HD25" s="67"/>
      <c r="HE25" s="67"/>
    </row>
    <row r="26" spans="5:213" s="66" customFormat="1">
      <c r="E26"/>
      <c r="F26" s="67"/>
      <c r="G26" s="67"/>
      <c r="H26" s="67"/>
      <c r="I26" s="67"/>
      <c r="J26" s="67"/>
      <c r="K26" s="67"/>
      <c r="L26" s="67"/>
      <c r="M26" s="67"/>
      <c r="N26" s="78"/>
      <c r="O26" s="78"/>
      <c r="R26" s="161"/>
      <c r="S26" s="78"/>
      <c r="T26" s="78"/>
      <c r="U26" s="78"/>
      <c r="V26" s="78"/>
      <c r="W26" s="78"/>
      <c r="X26" s="79"/>
      <c r="Y26" s="65"/>
      <c r="AB26" s="78"/>
      <c r="AC26" s="78"/>
      <c r="AD26" s="78"/>
      <c r="AE26" s="78"/>
      <c r="AF26" s="78"/>
      <c r="AG26" s="78"/>
      <c r="AH26" s="78"/>
      <c r="AI26" s="78"/>
      <c r="AJ26" s="79"/>
      <c r="AK26" s="65"/>
      <c r="AN26" s="78"/>
      <c r="AO26" s="78"/>
      <c r="AP26" s="78"/>
      <c r="AQ26" s="78"/>
      <c r="AR26" s="78"/>
      <c r="AS26" s="78"/>
      <c r="AT26" s="78"/>
      <c r="AU26" s="78"/>
      <c r="AV26" s="79"/>
      <c r="AW26" s="65"/>
      <c r="AY26" s="161"/>
      <c r="AZ26" s="78"/>
      <c r="BA26" s="78"/>
      <c r="BB26" s="78"/>
      <c r="BC26" s="78"/>
      <c r="BD26" s="78"/>
      <c r="BE26" s="78"/>
      <c r="BF26" s="79"/>
      <c r="BG26" s="65"/>
      <c r="BI26" s="161"/>
      <c r="BJ26" s="78"/>
      <c r="BK26" s="78"/>
      <c r="BL26" s="78"/>
      <c r="BM26" s="78"/>
      <c r="BN26" s="78"/>
      <c r="BO26" s="79"/>
      <c r="BP26" s="65"/>
      <c r="BR26" s="161"/>
      <c r="BS26" s="78"/>
      <c r="BT26" s="78"/>
      <c r="BU26" s="78"/>
      <c r="BV26" s="78"/>
      <c r="BW26" s="78"/>
      <c r="BX26" s="78"/>
      <c r="BY26" s="79"/>
      <c r="BZ26" s="65"/>
      <c r="DJ26" s="67"/>
      <c r="ER26" s="67"/>
      <c r="FZ26" s="67"/>
      <c r="GA26" s="67"/>
      <c r="GB26" s="67"/>
      <c r="GC26" s="67"/>
      <c r="GD26" s="67"/>
      <c r="GE26" s="67"/>
      <c r="GF26" s="67"/>
      <c r="GG26" s="67"/>
      <c r="GH26" s="67"/>
      <c r="GI26" s="67"/>
      <c r="GJ26" s="67"/>
      <c r="GK26" s="67"/>
      <c r="GL26" s="67"/>
      <c r="GM26" s="67"/>
      <c r="GN26" s="67"/>
      <c r="GO26" s="67"/>
      <c r="GP26" s="67"/>
      <c r="GQ26" s="67"/>
      <c r="GR26" s="67"/>
      <c r="GS26" s="67"/>
      <c r="GT26" s="67"/>
      <c r="GU26" s="67"/>
      <c r="GV26" s="67"/>
      <c r="GW26" s="67"/>
      <c r="GX26" s="67"/>
      <c r="GY26" s="67"/>
      <c r="GZ26" s="67"/>
      <c r="HA26" s="67"/>
      <c r="HB26" s="67"/>
      <c r="HC26" s="67"/>
      <c r="HD26" s="67"/>
      <c r="HE26" s="67"/>
    </row>
    <row r="27" spans="5:213" s="66" customFormat="1">
      <c r="E27"/>
      <c r="F27" s="67"/>
      <c r="G27" s="67"/>
      <c r="H27" s="67"/>
      <c r="I27" s="67"/>
      <c r="J27" s="67"/>
      <c r="K27" s="67"/>
      <c r="L27" s="67"/>
      <c r="M27" s="67"/>
      <c r="N27" s="78"/>
      <c r="O27" s="78"/>
      <c r="R27" s="161"/>
      <c r="S27" s="78"/>
      <c r="T27" s="78"/>
      <c r="U27" s="78"/>
      <c r="V27" s="78"/>
      <c r="W27" s="78"/>
      <c r="X27" s="79"/>
      <c r="Y27" s="65"/>
      <c r="AB27" s="78"/>
      <c r="AC27" s="78"/>
      <c r="AD27" s="78"/>
      <c r="AE27" s="78"/>
      <c r="AF27" s="78"/>
      <c r="AG27" s="78"/>
      <c r="AH27" s="78"/>
      <c r="AI27" s="78"/>
      <c r="AJ27" s="79"/>
      <c r="AK27" s="65"/>
      <c r="AN27" s="78"/>
      <c r="AO27" s="78"/>
      <c r="AP27" s="78"/>
      <c r="AQ27" s="78"/>
      <c r="AR27" s="78"/>
      <c r="AS27" s="78"/>
      <c r="AT27" s="78"/>
      <c r="AU27" s="78"/>
      <c r="AV27" s="79"/>
      <c r="AW27" s="65"/>
      <c r="AY27" s="161"/>
      <c r="AZ27" s="78"/>
      <c r="BA27" s="78"/>
      <c r="BB27" s="78"/>
      <c r="BC27" s="78"/>
      <c r="BD27" s="78"/>
      <c r="BE27" s="78"/>
      <c r="BF27" s="79"/>
      <c r="BG27" s="65"/>
      <c r="BI27" s="161"/>
      <c r="BJ27" s="78"/>
      <c r="BK27" s="78"/>
      <c r="BL27" s="78"/>
      <c r="BM27" s="78"/>
      <c r="BN27" s="78"/>
      <c r="BO27" s="79"/>
      <c r="BP27" s="65"/>
      <c r="BR27" s="161"/>
      <c r="BS27" s="78"/>
      <c r="BT27" s="78"/>
      <c r="BU27" s="78"/>
      <c r="BV27" s="78"/>
      <c r="BW27" s="78"/>
      <c r="BX27" s="78"/>
      <c r="BY27" s="79"/>
      <c r="BZ27" s="65"/>
      <c r="DJ27" s="67"/>
      <c r="ER27" s="67"/>
      <c r="FZ27" s="67"/>
      <c r="GA27" s="67"/>
      <c r="GB27" s="67"/>
      <c r="GC27" s="67"/>
      <c r="GD27" s="67"/>
      <c r="GE27" s="67"/>
      <c r="GF27" s="67"/>
      <c r="GG27" s="67"/>
      <c r="GH27" s="67"/>
      <c r="GI27" s="67"/>
      <c r="GJ27" s="67"/>
      <c r="GK27" s="67"/>
      <c r="GL27" s="67"/>
      <c r="GM27" s="67"/>
      <c r="GN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Y27" s="67"/>
      <c r="GZ27" s="67"/>
      <c r="HA27" s="67"/>
      <c r="HB27" s="67"/>
      <c r="HC27" s="67"/>
      <c r="HD27" s="67"/>
      <c r="HE27" s="67"/>
    </row>
  </sheetData>
  <dataValidations count="1">
    <dataValidation type="list" allowBlank="1" showInputMessage="1" showErrorMessage="1" sqref="C5" xr:uid="{00000000-0002-0000-0D00-000000000000}">
      <formula1>"Process-outsourced,Process-Inhouse,Surface Protection"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HI698"/>
  <sheetViews>
    <sheetView workbookViewId="0">
      <selection activeCell="Q4" sqref="Q4"/>
    </sheetView>
  </sheetViews>
  <sheetFormatPr defaultColWidth="0" defaultRowHeight="15"/>
  <cols>
    <col min="1" max="1" width="5" style="67" customWidth="1"/>
    <col min="2" max="2" width="13.7109375" style="67" hidden="1" customWidth="1"/>
    <col min="3" max="3" width="5.5703125" style="66" customWidth="1"/>
    <col min="4" max="4" width="16.5703125" style="66" customWidth="1"/>
    <col min="5" max="5" width="23.7109375" style="67" bestFit="1" customWidth="1"/>
    <col min="6" max="6" width="24.85546875" style="66" customWidth="1"/>
    <col min="7" max="7" width="16.85546875" style="67" customWidth="1"/>
    <col min="8" max="9" width="6.42578125" style="67" customWidth="1"/>
    <col min="10" max="10" width="7.140625" style="67" customWidth="1"/>
    <col min="11" max="11" width="12.85546875" style="67" customWidth="1"/>
    <col min="12" max="12" width="11.42578125" style="67" customWidth="1"/>
    <col min="13" max="13" width="7" style="67" customWidth="1"/>
    <col min="14" max="14" width="11.7109375" style="67" customWidth="1"/>
    <col min="15" max="15" width="7.7109375" style="78" customWidth="1"/>
    <col min="16" max="16" width="7.42578125" style="78" customWidth="1"/>
    <col min="17" max="17" width="11.140625" style="66" customWidth="1"/>
    <col min="18" max="18" width="9.5703125" style="66" customWidth="1"/>
    <col min="19" max="19" width="7.7109375" style="78" customWidth="1"/>
    <col min="20" max="20" width="9.28515625" style="78" customWidth="1"/>
    <col min="21" max="21" width="6.140625" style="79" customWidth="1"/>
    <col min="22" max="22" width="10.85546875" style="65" customWidth="1"/>
    <col min="23" max="23" width="9.7109375" style="66" customWidth="1"/>
    <col min="24" max="24" width="8.42578125" style="66" bestFit="1" customWidth="1"/>
    <col min="25" max="25" width="8.42578125" style="78" customWidth="1"/>
    <col min="26" max="26" width="7" style="78" customWidth="1"/>
    <col min="27" max="27" width="6.42578125" style="78" customWidth="1"/>
    <col min="28" max="28" width="5.85546875" style="78" customWidth="1"/>
    <col min="29" max="29" width="6.42578125" style="78" customWidth="1"/>
    <col min="30" max="30" width="5.7109375" style="78" customWidth="1"/>
    <col min="31" max="31" width="7.7109375" style="78" customWidth="1"/>
    <col min="32" max="32" width="9.28515625" style="78" customWidth="1"/>
    <col min="33" max="33" width="6.140625" style="79" customWidth="1"/>
    <col min="34" max="34" width="10.85546875" style="65" customWidth="1"/>
    <col min="35" max="35" width="9.7109375" style="66" customWidth="1"/>
    <col min="36" max="36" width="2.7109375" style="85" customWidth="1"/>
    <col min="37" max="37" width="9.5703125" style="78" customWidth="1"/>
    <col min="38" max="38" width="9.140625" style="78" customWidth="1"/>
    <col min="39" max="39" width="5.85546875" style="78" customWidth="1"/>
    <col min="40" max="40" width="6.42578125" style="78" customWidth="1"/>
    <col min="41" max="41" width="7.7109375" style="78" customWidth="1"/>
    <col min="42" max="42" width="9.28515625" style="78" customWidth="1"/>
    <col min="43" max="43" width="6.140625" style="79" customWidth="1"/>
    <col min="44" max="44" width="10.7109375" style="65" customWidth="1"/>
    <col min="45" max="45" width="9.7109375" style="66" customWidth="1"/>
    <col min="46" max="46" width="12.5703125" style="85" bestFit="1" customWidth="1"/>
    <col min="47" max="47" width="9.5703125" style="78" customWidth="1"/>
    <col min="48" max="48" width="9.140625" style="78" customWidth="1"/>
    <col min="49" max="49" width="7.5703125" style="78" customWidth="1"/>
    <col min="50" max="50" width="6.42578125" style="78" customWidth="1"/>
    <col min="51" max="51" width="7.7109375" style="78" customWidth="1"/>
    <col min="52" max="52" width="6.140625" style="79" customWidth="1"/>
    <col min="53" max="53" width="10.7109375" style="65" customWidth="1"/>
    <col min="54" max="54" width="9.7109375" style="66" customWidth="1"/>
    <col min="55" max="55" width="7" style="85" bestFit="1" customWidth="1"/>
    <col min="56" max="56" width="9.5703125" style="78" customWidth="1"/>
    <col min="57" max="57" width="5.85546875" style="78" bestFit="1" customWidth="1"/>
    <col min="58" max="58" width="5.85546875" style="78" customWidth="1"/>
    <col min="59" max="59" width="6.42578125" style="78" customWidth="1"/>
    <col min="60" max="60" width="8.7109375" style="78" customWidth="1"/>
    <col min="61" max="61" width="9.28515625" style="78" customWidth="1"/>
    <col min="62" max="62" width="6.140625" style="79" customWidth="1"/>
    <col min="63" max="63" width="10.7109375" style="65" customWidth="1"/>
    <col min="64" max="64" width="9.7109375" style="66" customWidth="1"/>
    <col min="65" max="75" width="11.7109375" style="66" customWidth="1"/>
    <col min="76" max="76" width="9.28515625" style="66" customWidth="1"/>
    <col min="77" max="86" width="11.7109375" style="66" customWidth="1"/>
    <col min="87" max="87" width="9.28515625" style="66" customWidth="1"/>
    <col min="88" max="97" width="11.7109375" style="66" customWidth="1"/>
    <col min="98" max="98" width="9.28515625" style="66" customWidth="1"/>
    <col min="99" max="99" width="9.140625" style="67" customWidth="1"/>
    <col min="100" max="109" width="11.7109375" style="66" customWidth="1"/>
    <col min="110" max="110" width="9.28515625" style="66" customWidth="1"/>
    <col min="111" max="120" width="11.7109375" style="66" customWidth="1"/>
    <col min="121" max="121" width="9.28515625" style="66" customWidth="1"/>
    <col min="122" max="131" width="11.7109375" style="66" customWidth="1"/>
    <col min="132" max="132" width="9.28515625" style="66" customWidth="1"/>
    <col min="133" max="133" width="9.140625" style="67" customWidth="1"/>
    <col min="134" max="143" width="11.7109375" style="66" customWidth="1"/>
    <col min="144" max="144" width="9.28515625" style="66" customWidth="1"/>
    <col min="145" max="154" width="11.7109375" style="66" customWidth="1"/>
    <col min="155" max="155" width="9.28515625" style="66" customWidth="1"/>
    <col min="156" max="165" width="11.7109375" style="66" customWidth="1"/>
    <col min="166" max="166" width="9.28515625" style="66" customWidth="1"/>
    <col min="167" max="167" width="9.140625" style="67" customWidth="1"/>
    <col min="168" max="217" width="0" style="67" hidden="1" customWidth="1"/>
    <col min="218" max="16384" width="9.140625" style="67" hidden="1"/>
  </cols>
  <sheetData>
    <row r="1" spans="1:62" customFormat="1" ht="18.75">
      <c r="A1" s="693">
        <v>1</v>
      </c>
      <c r="C1" s="66"/>
      <c r="D1" s="148"/>
      <c r="E1" s="60"/>
      <c r="F1" s="60"/>
      <c r="G1" s="14"/>
      <c r="I1" s="14"/>
      <c r="J1" s="14"/>
      <c r="K1" s="14"/>
      <c r="L1" s="14"/>
      <c r="M1" s="14"/>
      <c r="N1" s="14"/>
      <c r="O1" s="14"/>
      <c r="P1" s="14"/>
      <c r="Q1" s="14"/>
      <c r="R1" s="183"/>
    </row>
    <row r="2" spans="1:62" customFormat="1" ht="15.75">
      <c r="F2" s="14"/>
      <c r="G2" s="14"/>
      <c r="I2" s="14"/>
      <c r="J2" s="14"/>
      <c r="K2" s="14"/>
      <c r="L2" s="14"/>
      <c r="M2" s="14"/>
      <c r="N2" s="14"/>
      <c r="O2" s="14"/>
      <c r="P2" s="14"/>
      <c r="Q2" s="14"/>
      <c r="R2" s="183"/>
    </row>
    <row r="3" spans="1:62" s="13" customFormat="1" ht="44.25" customHeight="1">
      <c r="A3" s="149" t="s">
        <v>393</v>
      </c>
      <c r="B3" s="152" t="s">
        <v>29</v>
      </c>
      <c r="C3" s="152" t="s">
        <v>30</v>
      </c>
      <c r="D3" s="149" t="s">
        <v>394</v>
      </c>
      <c r="E3" s="149" t="s">
        <v>32</v>
      </c>
      <c r="F3" s="150" t="s">
        <v>89</v>
      </c>
      <c r="G3" s="149" t="s">
        <v>210</v>
      </c>
      <c r="H3" s="151" t="s">
        <v>395</v>
      </c>
      <c r="I3" s="152" t="s">
        <v>396</v>
      </c>
      <c r="J3" s="151" t="s">
        <v>397</v>
      </c>
      <c r="K3" s="151" t="s">
        <v>398</v>
      </c>
      <c r="L3" s="151" t="s">
        <v>399</v>
      </c>
      <c r="M3" s="151" t="s">
        <v>400</v>
      </c>
      <c r="N3" s="151" t="s">
        <v>401</v>
      </c>
      <c r="O3" s="151" t="s">
        <v>402</v>
      </c>
      <c r="P3" s="151" t="s">
        <v>403</v>
      </c>
      <c r="Q3" s="151" t="s">
        <v>404</v>
      </c>
      <c r="R3" s="151" t="s">
        <v>232</v>
      </c>
    </row>
    <row r="4" spans="1:62" s="612" customFormat="1">
      <c r="A4" s="20">
        <v>1</v>
      </c>
      <c r="B4" s="20" t="str">
        <f>_xlfn.IFNA(VLOOKUP(D4,Group!$AM$1:$AO$10000,3,0),"")</f>
        <v/>
      </c>
      <c r="C4" s="20" t="str">
        <f>_xlfn.IFNA(VLOOKUP(D4,Group!$AM$1:$AO$10000,2,0),"")</f>
        <v/>
      </c>
      <c r="D4" s="20" t="str">
        <f>IF(Group!S2="","",Group!S2)</f>
        <v/>
      </c>
      <c r="E4" s="20" t="str">
        <f>_xlfn.IFNA(VLOOKUP($D4,BOM!$D$1:$F$10000,2,0),"")</f>
        <v/>
      </c>
      <c r="F4" s="20" t="str">
        <f>_xlfn.IFNA(VLOOKUP($D4,BOM!$D$1:$F$10000,3,0),"")</f>
        <v/>
      </c>
      <c r="G4" s="611"/>
      <c r="H4" s="20" t="str">
        <f>_xlfn.IFNA(VLOOKUP(G4,'RM Base'!D:E,2,0),"")</f>
        <v/>
      </c>
      <c r="I4" s="20" t="str">
        <f>_xlfn.IFNA(VLOOKUP(G4,'RM Base'!D:Z,8,0),"")</f>
        <v/>
      </c>
      <c r="J4" s="224"/>
      <c r="K4" s="203" t="str">
        <f>IF(J4="","",SUMIFS($F$1:$F$10000,$C$1:$C$10000,D4)*1.1)</f>
        <v/>
      </c>
      <c r="L4" s="203" t="str">
        <f>IFERROR(J4+K4,"")</f>
        <v/>
      </c>
      <c r="M4" s="203" t="str">
        <f>IFERROR(L4*(1.2+O4),"")</f>
        <v/>
      </c>
      <c r="N4" s="203" t="str">
        <f>IFERROR(M4*(1+0.02),"")</f>
        <v/>
      </c>
      <c r="O4" s="202" t="str">
        <f>IF(J4="","",3%)</f>
        <v/>
      </c>
      <c r="P4" s="203" t="str">
        <f>IFERROR(N4-J4-(O4*M4),"")</f>
        <v/>
      </c>
      <c r="Q4" s="202" t="str">
        <f>IF(J4="","",80%)</f>
        <v/>
      </c>
      <c r="R4" s="187" t="str">
        <f>IF(J4="","",N4*H4-(P4*Q4*I4))</f>
        <v/>
      </c>
    </row>
    <row r="5" spans="1:62" s="612" customFormat="1">
      <c r="A5" s="20">
        <v>2</v>
      </c>
      <c r="B5" s="20" t="str">
        <f>_xlfn.IFNA(VLOOKUP(D5,Group!$AM$1:$AO$10000,3,0),"")</f>
        <v/>
      </c>
      <c r="C5" s="20" t="str">
        <f>_xlfn.IFNA(VLOOKUP(D5,Group!$AM$1:$AO$10000,2,0),"")</f>
        <v/>
      </c>
      <c r="D5" s="20" t="str">
        <f>IF(Group!S3="","",Group!S3)</f>
        <v/>
      </c>
      <c r="E5" s="20" t="str">
        <f>_xlfn.IFNA(VLOOKUP($D5,BOM!$D$1:$F$10000,2,0),"")</f>
        <v/>
      </c>
      <c r="F5" s="20" t="str">
        <f>_xlfn.IFNA(VLOOKUP($D5,BOM!$D$1:$F$10000,3,0),"")</f>
        <v/>
      </c>
      <c r="G5" s="611"/>
      <c r="H5" s="20" t="str">
        <f>_xlfn.IFNA(VLOOKUP(G5,'RM Base'!D:E,2,0),"")</f>
        <v/>
      </c>
      <c r="I5" s="20" t="str">
        <f>_xlfn.IFNA(VLOOKUP(G5,'RM Base'!D:Z,8,0),"")</f>
        <v/>
      </c>
      <c r="J5" s="224"/>
      <c r="K5" s="203" t="str">
        <f t="shared" ref="K5:K13" si="0">IF(J5="","",SUMIFS($F$1:$F$10000,$C$1:$C$10000,D5)*1.1)</f>
        <v/>
      </c>
      <c r="L5" s="203" t="str">
        <f t="shared" ref="L5:L13" si="1">IFERROR(J5+K5,"")</f>
        <v/>
      </c>
      <c r="M5" s="203" t="str">
        <f t="shared" ref="M5:M13" si="2">IFERROR(L5*(1.2+O5),"")</f>
        <v/>
      </c>
      <c r="N5" s="203" t="str">
        <f t="shared" ref="N5:N13" si="3">IFERROR(M5*(1+0.02),"")</f>
        <v/>
      </c>
      <c r="O5" s="202" t="str">
        <f t="shared" ref="O5:O13" si="4">IF(J5="","",3%)</f>
        <v/>
      </c>
      <c r="P5" s="203" t="str">
        <f t="shared" ref="P5:P13" si="5">IFERROR(N5-J5-(O5*M5),"")</f>
        <v/>
      </c>
      <c r="Q5" s="202" t="str">
        <f t="shared" ref="Q5:Q13" si="6">IF(J5="","",80%)</f>
        <v/>
      </c>
      <c r="R5" s="187" t="str">
        <f t="shared" ref="R5:R13" si="7">IF(J5="","",N5*H5-(P5*Q5*I5))</f>
        <v/>
      </c>
    </row>
    <row r="6" spans="1:62" s="66" customFormat="1">
      <c r="A6" s="20">
        <v>3</v>
      </c>
      <c r="B6" s="20" t="str">
        <f>_xlfn.IFNA(VLOOKUP(D6,Group!$AM$1:$AO$10000,3,0),"")</f>
        <v/>
      </c>
      <c r="C6" s="20" t="str">
        <f>_xlfn.IFNA(VLOOKUP(D6,Group!$AM$1:$AO$10000,2,0),"")</f>
        <v/>
      </c>
      <c r="D6" s="20" t="str">
        <f>IF(Group!S4="","",Group!S4)</f>
        <v/>
      </c>
      <c r="E6" s="20" t="str">
        <f>_xlfn.IFNA(VLOOKUP($D6,BOM!$D$1:$F$10000,2,0),"")</f>
        <v/>
      </c>
      <c r="F6" s="20" t="str">
        <f>_xlfn.IFNA(VLOOKUP($D6,BOM!$D$1:$F$10000,3,0),"")</f>
        <v/>
      </c>
      <c r="G6" s="611"/>
      <c r="H6" s="20" t="str">
        <f>_xlfn.IFNA(VLOOKUP(G6,'RM Base'!D:E,2,0),"")</f>
        <v/>
      </c>
      <c r="I6" s="20" t="str">
        <f>_xlfn.IFNA(VLOOKUP(G6,'RM Base'!D:Z,8,0),"")</f>
        <v/>
      </c>
      <c r="J6" s="224"/>
      <c r="K6" s="203" t="str">
        <f t="shared" si="0"/>
        <v/>
      </c>
      <c r="L6" s="203" t="str">
        <f t="shared" si="1"/>
        <v/>
      </c>
      <c r="M6" s="203" t="str">
        <f t="shared" si="2"/>
        <v/>
      </c>
      <c r="N6" s="203" t="str">
        <f t="shared" si="3"/>
        <v/>
      </c>
      <c r="O6" s="202" t="str">
        <f t="shared" si="4"/>
        <v/>
      </c>
      <c r="P6" s="203" t="str">
        <f t="shared" si="5"/>
        <v/>
      </c>
      <c r="Q6" s="202" t="str">
        <f t="shared" si="6"/>
        <v/>
      </c>
      <c r="R6" s="187" t="str">
        <f t="shared" si="7"/>
        <v/>
      </c>
      <c r="U6" s="79"/>
      <c r="AG6" s="79"/>
      <c r="AJ6" s="613"/>
      <c r="AQ6" s="79"/>
      <c r="AT6" s="613"/>
      <c r="AZ6" s="79"/>
      <c r="BC6" s="613"/>
      <c r="BJ6" s="79"/>
    </row>
    <row r="7" spans="1:62" s="66" customFormat="1">
      <c r="A7" s="20">
        <v>4</v>
      </c>
      <c r="B7" s="20" t="str">
        <f>_xlfn.IFNA(VLOOKUP(D7,Group!$AM$1:$AO$10000,3,0),"")</f>
        <v/>
      </c>
      <c r="C7" s="20" t="str">
        <f>_xlfn.IFNA(VLOOKUP(D7,Group!$AM$1:$AO$10000,2,0),"")</f>
        <v/>
      </c>
      <c r="D7" s="20" t="str">
        <f>IF(Group!S5="","",Group!S5)</f>
        <v/>
      </c>
      <c r="E7" s="20" t="str">
        <f>_xlfn.IFNA(VLOOKUP($D7,BOM!$D$1:$F$10000,2,0),"")</f>
        <v/>
      </c>
      <c r="F7" s="20" t="str">
        <f>_xlfn.IFNA(VLOOKUP($D7,BOM!$D$1:$F$10000,3,0),"")</f>
        <v/>
      </c>
      <c r="G7" s="611"/>
      <c r="H7" s="20" t="str">
        <f>_xlfn.IFNA(VLOOKUP(G7,'RM Base'!D:E,2,0),"")</f>
        <v/>
      </c>
      <c r="I7" s="20" t="str">
        <f>_xlfn.IFNA(VLOOKUP(G7,'RM Base'!D:Z,8,0),"")</f>
        <v/>
      </c>
      <c r="J7" s="224"/>
      <c r="K7" s="203" t="str">
        <f t="shared" si="0"/>
        <v/>
      </c>
      <c r="L7" s="203" t="str">
        <f t="shared" si="1"/>
        <v/>
      </c>
      <c r="M7" s="203" t="str">
        <f t="shared" si="2"/>
        <v/>
      </c>
      <c r="N7" s="203" t="str">
        <f t="shared" si="3"/>
        <v/>
      </c>
      <c r="O7" s="202" t="str">
        <f t="shared" si="4"/>
        <v/>
      </c>
      <c r="P7" s="203" t="str">
        <f t="shared" si="5"/>
        <v/>
      </c>
      <c r="Q7" s="202" t="str">
        <f t="shared" si="6"/>
        <v/>
      </c>
      <c r="R7" s="187" t="str">
        <f t="shared" si="7"/>
        <v/>
      </c>
      <c r="U7" s="79"/>
      <c r="AG7" s="79"/>
      <c r="AJ7" s="613"/>
      <c r="AQ7" s="79"/>
      <c r="AT7" s="613"/>
      <c r="AZ7" s="79"/>
      <c r="BC7" s="613"/>
      <c r="BJ7" s="79"/>
    </row>
    <row r="8" spans="1:62" s="66" customFormat="1">
      <c r="A8" s="20">
        <v>5</v>
      </c>
      <c r="B8" s="20" t="str">
        <f>_xlfn.IFNA(VLOOKUP(D8,Group!$AM$1:$AO$10000,3,0),"")</f>
        <v/>
      </c>
      <c r="C8" s="20" t="str">
        <f>_xlfn.IFNA(VLOOKUP(D8,Group!$AM$1:$AO$10000,2,0),"")</f>
        <v/>
      </c>
      <c r="D8" s="20" t="str">
        <f>IF(Group!S6="","",Group!S6)</f>
        <v/>
      </c>
      <c r="E8" s="20" t="str">
        <f>_xlfn.IFNA(VLOOKUP($D8,BOM!$D$1:$F$10000,2,0),"")</f>
        <v/>
      </c>
      <c r="F8" s="20" t="str">
        <f>_xlfn.IFNA(VLOOKUP($D8,BOM!$D$1:$F$10000,3,0),"")</f>
        <v/>
      </c>
      <c r="G8" s="611"/>
      <c r="H8" s="20" t="str">
        <f>_xlfn.IFNA(VLOOKUP(G8,'RM Base'!D:E,2,0),"")</f>
        <v/>
      </c>
      <c r="I8" s="20" t="str">
        <f>_xlfn.IFNA(VLOOKUP(G8,'RM Base'!D:Z,8,0),"")</f>
        <v/>
      </c>
      <c r="J8" s="224"/>
      <c r="K8" s="203" t="str">
        <f t="shared" si="0"/>
        <v/>
      </c>
      <c r="L8" s="203" t="str">
        <f t="shared" si="1"/>
        <v/>
      </c>
      <c r="M8" s="203" t="str">
        <f t="shared" si="2"/>
        <v/>
      </c>
      <c r="N8" s="203" t="str">
        <f t="shared" si="3"/>
        <v/>
      </c>
      <c r="O8" s="202" t="str">
        <f t="shared" si="4"/>
        <v/>
      </c>
      <c r="P8" s="203" t="str">
        <f t="shared" si="5"/>
        <v/>
      </c>
      <c r="Q8" s="202" t="str">
        <f t="shared" si="6"/>
        <v/>
      </c>
      <c r="R8" s="187" t="str">
        <f t="shared" si="7"/>
        <v/>
      </c>
      <c r="U8" s="79"/>
      <c r="AG8" s="79"/>
      <c r="AJ8" s="613"/>
      <c r="AQ8" s="79"/>
      <c r="AT8" s="613"/>
      <c r="AZ8" s="79"/>
      <c r="BC8" s="613"/>
      <c r="BJ8" s="79"/>
    </row>
    <row r="9" spans="1:62" s="66" customFormat="1">
      <c r="A9" s="20">
        <v>6</v>
      </c>
      <c r="B9" s="20" t="str">
        <f>_xlfn.IFNA(VLOOKUP(D9,Group!$AM$1:$AO$10000,3,0),"")</f>
        <v/>
      </c>
      <c r="C9" s="20" t="str">
        <f>_xlfn.IFNA(VLOOKUP(D9,Group!$AM$1:$AO$10000,2,0),"")</f>
        <v/>
      </c>
      <c r="D9" s="20" t="str">
        <f>IF(Group!S7="","",Group!S7)</f>
        <v/>
      </c>
      <c r="E9" s="20" t="str">
        <f>_xlfn.IFNA(VLOOKUP($D9,BOM!$D$1:$F$10000,2,0),"")</f>
        <v/>
      </c>
      <c r="F9" s="20" t="str">
        <f>_xlfn.IFNA(VLOOKUP($D9,BOM!$D$1:$F$10000,3,0),"")</f>
        <v/>
      </c>
      <c r="G9" s="611"/>
      <c r="H9" s="20" t="str">
        <f>_xlfn.IFNA(VLOOKUP(G9,'RM Base'!D:E,2,0),"")</f>
        <v/>
      </c>
      <c r="I9" s="20" t="str">
        <f>_xlfn.IFNA(VLOOKUP(G9,'RM Base'!D:Z,8,0),"")</f>
        <v/>
      </c>
      <c r="J9" s="224"/>
      <c r="K9" s="203" t="str">
        <f t="shared" si="0"/>
        <v/>
      </c>
      <c r="L9" s="203" t="str">
        <f t="shared" si="1"/>
        <v/>
      </c>
      <c r="M9" s="203" t="str">
        <f t="shared" si="2"/>
        <v/>
      </c>
      <c r="N9" s="203" t="str">
        <f t="shared" si="3"/>
        <v/>
      </c>
      <c r="O9" s="202" t="str">
        <f t="shared" si="4"/>
        <v/>
      </c>
      <c r="P9" s="203" t="str">
        <f t="shared" si="5"/>
        <v/>
      </c>
      <c r="Q9" s="202" t="str">
        <f t="shared" si="6"/>
        <v/>
      </c>
      <c r="R9" s="187" t="str">
        <f t="shared" si="7"/>
        <v/>
      </c>
      <c r="U9" s="79"/>
      <c r="AG9" s="79"/>
      <c r="AJ9" s="613"/>
      <c r="AQ9" s="79"/>
      <c r="AT9" s="613"/>
      <c r="AZ9" s="79"/>
      <c r="BC9" s="613"/>
      <c r="BJ9" s="79"/>
    </row>
    <row r="10" spans="1:62" s="66" customFormat="1">
      <c r="A10" s="20">
        <v>7</v>
      </c>
      <c r="B10" s="20" t="str">
        <f>_xlfn.IFNA(VLOOKUP(D10,Group!$AM$1:$AO$10000,3,0),"")</f>
        <v/>
      </c>
      <c r="C10" s="20" t="str">
        <f>_xlfn.IFNA(VLOOKUP(D10,Group!$AM$1:$AO$10000,2,0),"")</f>
        <v/>
      </c>
      <c r="D10" s="20" t="str">
        <f>IF(Group!S8="","",Group!S8)</f>
        <v/>
      </c>
      <c r="E10" s="20" t="str">
        <f>_xlfn.IFNA(VLOOKUP($D10,BOM!$D$1:$F$10000,2,0),"")</f>
        <v/>
      </c>
      <c r="F10" s="20" t="str">
        <f>_xlfn.IFNA(VLOOKUP($D10,BOM!$D$1:$F$10000,3,0),"")</f>
        <v/>
      </c>
      <c r="G10" s="611"/>
      <c r="H10" s="20" t="str">
        <f>_xlfn.IFNA(VLOOKUP(G10,'RM Base'!D:E,2,0),"")</f>
        <v/>
      </c>
      <c r="I10" s="20" t="str">
        <f>_xlfn.IFNA(VLOOKUP(G10,'RM Base'!D:Z,8,0),"")</f>
        <v/>
      </c>
      <c r="J10" s="224"/>
      <c r="K10" s="203" t="str">
        <f t="shared" si="0"/>
        <v/>
      </c>
      <c r="L10" s="203" t="str">
        <f t="shared" si="1"/>
        <v/>
      </c>
      <c r="M10" s="203" t="str">
        <f t="shared" si="2"/>
        <v/>
      </c>
      <c r="N10" s="203" t="str">
        <f t="shared" si="3"/>
        <v/>
      </c>
      <c r="O10" s="202" t="str">
        <f t="shared" si="4"/>
        <v/>
      </c>
      <c r="P10" s="203" t="str">
        <f t="shared" si="5"/>
        <v/>
      </c>
      <c r="Q10" s="202" t="str">
        <f t="shared" si="6"/>
        <v/>
      </c>
      <c r="R10" s="187" t="str">
        <f t="shared" si="7"/>
        <v/>
      </c>
      <c r="U10" s="79"/>
      <c r="AG10" s="79"/>
      <c r="AJ10" s="613"/>
      <c r="AQ10" s="79"/>
      <c r="AT10" s="613"/>
      <c r="AZ10" s="79"/>
      <c r="BC10" s="613"/>
      <c r="BJ10" s="79"/>
    </row>
    <row r="11" spans="1:62" s="66" customFormat="1">
      <c r="A11" s="20">
        <v>8</v>
      </c>
      <c r="B11" s="20" t="str">
        <f>_xlfn.IFNA(VLOOKUP(D11,Group!$AM$1:$AO$10000,3,0),"")</f>
        <v/>
      </c>
      <c r="C11" s="20" t="str">
        <f>_xlfn.IFNA(VLOOKUP(D11,Group!$AM$1:$AO$10000,2,0),"")</f>
        <v/>
      </c>
      <c r="D11" s="20" t="str">
        <f>IF(Group!S9="","",Group!S9)</f>
        <v/>
      </c>
      <c r="E11" s="20" t="str">
        <f>_xlfn.IFNA(VLOOKUP($D11,BOM!$D$1:$F$10000,2,0),"")</f>
        <v/>
      </c>
      <c r="F11" s="20" t="str">
        <f>_xlfn.IFNA(VLOOKUP($D11,BOM!$D$1:$F$10000,3,0),"")</f>
        <v/>
      </c>
      <c r="G11" s="611"/>
      <c r="H11" s="20" t="str">
        <f>_xlfn.IFNA(VLOOKUP(G11,'RM Base'!D:E,2,0),"")</f>
        <v/>
      </c>
      <c r="I11" s="20" t="str">
        <f>_xlfn.IFNA(VLOOKUP(G11,'RM Base'!D:Z,8,0),"")</f>
        <v/>
      </c>
      <c r="J11" s="224"/>
      <c r="K11" s="203" t="str">
        <f t="shared" si="0"/>
        <v/>
      </c>
      <c r="L11" s="203" t="str">
        <f t="shared" si="1"/>
        <v/>
      </c>
      <c r="M11" s="203" t="str">
        <f t="shared" si="2"/>
        <v/>
      </c>
      <c r="N11" s="203" t="str">
        <f t="shared" si="3"/>
        <v/>
      </c>
      <c r="O11" s="202" t="str">
        <f t="shared" si="4"/>
        <v/>
      </c>
      <c r="P11" s="203" t="str">
        <f t="shared" si="5"/>
        <v/>
      </c>
      <c r="Q11" s="202" t="str">
        <f t="shared" si="6"/>
        <v/>
      </c>
      <c r="R11" s="187" t="str">
        <f t="shared" si="7"/>
        <v/>
      </c>
      <c r="U11" s="79"/>
      <c r="AG11" s="79"/>
      <c r="AJ11" s="613"/>
      <c r="AQ11" s="79"/>
      <c r="AT11" s="613"/>
      <c r="AZ11" s="79"/>
      <c r="BC11" s="613"/>
      <c r="BJ11" s="79"/>
    </row>
    <row r="12" spans="1:62" s="66" customFormat="1">
      <c r="A12" s="20">
        <v>9</v>
      </c>
      <c r="B12" s="20" t="str">
        <f>_xlfn.IFNA(VLOOKUP(D12,Group!$AM$1:$AO$10000,3,0),"")</f>
        <v/>
      </c>
      <c r="C12" s="20" t="str">
        <f>_xlfn.IFNA(VLOOKUP(D12,Group!$AM$1:$AO$10000,2,0),"")</f>
        <v/>
      </c>
      <c r="D12" s="20" t="str">
        <f>IF(Group!S10="","",Group!S10)</f>
        <v/>
      </c>
      <c r="E12" s="20" t="str">
        <f>_xlfn.IFNA(VLOOKUP($D12,BOM!$D$1:$F$10000,2,0),"")</f>
        <v/>
      </c>
      <c r="F12" s="20" t="str">
        <f>_xlfn.IFNA(VLOOKUP($D12,BOM!$D$1:$F$10000,3,0),"")</f>
        <v/>
      </c>
      <c r="G12" s="611"/>
      <c r="H12" s="20" t="str">
        <f>_xlfn.IFNA(VLOOKUP(G12,'RM Base'!D:E,2,0),"")</f>
        <v/>
      </c>
      <c r="I12" s="20" t="str">
        <f>_xlfn.IFNA(VLOOKUP(G12,'RM Base'!D:Z,8,0),"")</f>
        <v/>
      </c>
      <c r="J12" s="224"/>
      <c r="K12" s="203" t="str">
        <f t="shared" si="0"/>
        <v/>
      </c>
      <c r="L12" s="203" t="str">
        <f t="shared" si="1"/>
        <v/>
      </c>
      <c r="M12" s="203" t="str">
        <f t="shared" si="2"/>
        <v/>
      </c>
      <c r="N12" s="203" t="str">
        <f t="shared" si="3"/>
        <v/>
      </c>
      <c r="O12" s="202" t="str">
        <f t="shared" si="4"/>
        <v/>
      </c>
      <c r="P12" s="203" t="str">
        <f t="shared" si="5"/>
        <v/>
      </c>
      <c r="Q12" s="202" t="str">
        <f t="shared" si="6"/>
        <v/>
      </c>
      <c r="R12" s="187" t="str">
        <f t="shared" si="7"/>
        <v/>
      </c>
      <c r="U12" s="79"/>
      <c r="AG12" s="79"/>
      <c r="AJ12" s="613"/>
      <c r="AQ12" s="79"/>
      <c r="AT12" s="613"/>
      <c r="AZ12" s="79"/>
      <c r="BC12" s="613"/>
      <c r="BJ12" s="79"/>
    </row>
    <row r="13" spans="1:62" s="66" customFormat="1">
      <c r="A13" s="20">
        <v>10</v>
      </c>
      <c r="B13" s="20" t="str">
        <f>_xlfn.IFNA(VLOOKUP(D13,Group!$AM$1:$AO$10000,3,0),"")</f>
        <v/>
      </c>
      <c r="C13" s="20" t="str">
        <f>_xlfn.IFNA(VLOOKUP(D13,Group!$AM$1:$AO$10000,2,0),"")</f>
        <v/>
      </c>
      <c r="D13" s="20" t="str">
        <f>IF(Group!S11="","",Group!S11)</f>
        <v/>
      </c>
      <c r="E13" s="20" t="str">
        <f>_xlfn.IFNA(VLOOKUP($D13,BOM!$D$1:$F$10000,2,0),"")</f>
        <v/>
      </c>
      <c r="F13" s="20" t="str">
        <f>_xlfn.IFNA(VLOOKUP($D13,BOM!$D$1:$F$10000,3,0),"")</f>
        <v/>
      </c>
      <c r="G13" s="611"/>
      <c r="H13" s="20" t="str">
        <f>_xlfn.IFNA(VLOOKUP(G13,'RM Base'!D:E,2,0),"")</f>
        <v/>
      </c>
      <c r="I13" s="20" t="str">
        <f>_xlfn.IFNA(VLOOKUP(G13,'RM Base'!D:Z,8,0),"")</f>
        <v/>
      </c>
      <c r="J13" s="224"/>
      <c r="K13" s="203" t="str">
        <f t="shared" si="0"/>
        <v/>
      </c>
      <c r="L13" s="203" t="str">
        <f t="shared" si="1"/>
        <v/>
      </c>
      <c r="M13" s="203" t="str">
        <f t="shared" si="2"/>
        <v/>
      </c>
      <c r="N13" s="203" t="str">
        <f t="shared" si="3"/>
        <v/>
      </c>
      <c r="O13" s="202" t="str">
        <f t="shared" si="4"/>
        <v/>
      </c>
      <c r="P13" s="203" t="str">
        <f t="shared" si="5"/>
        <v/>
      </c>
      <c r="Q13" s="202" t="str">
        <f t="shared" si="6"/>
        <v/>
      </c>
      <c r="R13" s="187" t="str">
        <f t="shared" si="7"/>
        <v/>
      </c>
      <c r="U13" s="79"/>
      <c r="AG13" s="79"/>
      <c r="AJ13" s="613"/>
      <c r="AQ13" s="79"/>
      <c r="AT13" s="613"/>
      <c r="AZ13" s="79"/>
      <c r="BC13" s="613"/>
      <c r="BJ13" s="79"/>
    </row>
    <row r="14" spans="1:62" s="14" customFormat="1">
      <c r="K14" s="155"/>
      <c r="L14" s="155"/>
      <c r="M14" s="156"/>
    </row>
    <row r="15" spans="1:62" s="14" customFormat="1" ht="30">
      <c r="C15" s="158" t="s">
        <v>31</v>
      </c>
      <c r="D15" s="158" t="s">
        <v>301</v>
      </c>
      <c r="E15" s="158" t="s">
        <v>302</v>
      </c>
      <c r="F15" s="158" t="s">
        <v>46</v>
      </c>
      <c r="G15" s="157"/>
      <c r="L15" s="155"/>
      <c r="M15" s="155"/>
      <c r="N15" s="156"/>
    </row>
    <row r="16" spans="1:62" s="14" customFormat="1">
      <c r="C16" s="154"/>
      <c r="D16" s="62"/>
      <c r="E16" s="158"/>
      <c r="F16" s="158"/>
      <c r="G16" s="157"/>
      <c r="L16" s="155"/>
      <c r="M16" s="155"/>
      <c r="N16" s="156"/>
    </row>
    <row r="17" spans="3:14" s="14" customFormat="1">
      <c r="C17" s="62"/>
      <c r="D17" s="62"/>
      <c r="E17" s="62"/>
      <c r="F17" s="159"/>
      <c r="G17" s="157"/>
      <c r="L17" s="160"/>
      <c r="M17" s="160"/>
      <c r="N17" s="156"/>
    </row>
    <row r="18" spans="3:14" s="14" customFormat="1">
      <c r="C18" s="62"/>
      <c r="D18" s="62"/>
      <c r="E18" s="62"/>
      <c r="F18" s="159"/>
      <c r="G18" s="157"/>
      <c r="L18" s="155"/>
      <c r="M18" s="155"/>
      <c r="N18" s="156"/>
    </row>
    <row r="19" spans="3:14" s="14" customFormat="1">
      <c r="C19" s="62"/>
      <c r="D19" s="62"/>
      <c r="E19" s="62"/>
      <c r="F19" s="159"/>
      <c r="G19" s="157"/>
      <c r="L19" s="155"/>
      <c r="M19" s="155"/>
      <c r="N19" s="156"/>
    </row>
    <row r="20" spans="3:14" s="14" customFormat="1">
      <c r="C20" s="62"/>
      <c r="D20" s="62"/>
      <c r="E20" s="62"/>
      <c r="F20" s="159"/>
      <c r="G20" s="157"/>
      <c r="L20" s="155"/>
      <c r="M20" s="155"/>
      <c r="N20" s="156"/>
    </row>
    <row r="21" spans="3:14" s="14" customFormat="1">
      <c r="C21" s="62"/>
      <c r="D21" s="62"/>
      <c r="E21" s="62"/>
      <c r="F21" s="159"/>
      <c r="G21" s="157"/>
      <c r="L21" s="155"/>
      <c r="M21" s="155"/>
      <c r="N21" s="156"/>
    </row>
    <row r="22" spans="3:14" s="14" customFormat="1">
      <c r="C22" s="62"/>
      <c r="D22" s="62"/>
      <c r="E22" s="62"/>
      <c r="F22" s="159"/>
      <c r="G22" s="157"/>
      <c r="L22" s="155"/>
      <c r="M22" s="155"/>
      <c r="N22" s="156"/>
    </row>
    <row r="23" spans="3:14" s="14" customFormat="1">
      <c r="C23" s="62"/>
      <c r="D23" s="62"/>
      <c r="F23" s="159"/>
      <c r="G23" s="157"/>
      <c r="L23" s="160"/>
      <c r="M23" s="160"/>
      <c r="N23" s="156"/>
    </row>
    <row r="24" spans="3:14" s="14" customFormat="1">
      <c r="C24" s="62"/>
      <c r="D24" s="62"/>
      <c r="E24" s="62"/>
      <c r="F24" s="159"/>
      <c r="G24" s="157"/>
      <c r="L24" s="155"/>
      <c r="M24" s="155"/>
      <c r="N24" s="156"/>
    </row>
    <row r="25" spans="3:14" s="14" customFormat="1">
      <c r="C25" s="62"/>
      <c r="D25" s="62"/>
      <c r="E25" s="62"/>
      <c r="F25" s="159"/>
      <c r="G25" s="157"/>
      <c r="L25" s="155"/>
      <c r="M25" s="155"/>
      <c r="N25" s="156"/>
    </row>
    <row r="26" spans="3:14" s="14" customFormat="1">
      <c r="C26" s="62"/>
      <c r="D26" s="62"/>
      <c r="E26" s="62"/>
      <c r="F26" s="159"/>
      <c r="G26" s="157"/>
      <c r="L26" s="155"/>
      <c r="M26" s="155"/>
      <c r="N26" s="156"/>
    </row>
    <row r="27" spans="3:14" s="14" customFormat="1">
      <c r="C27" s="62"/>
      <c r="D27" s="62"/>
      <c r="E27" s="62"/>
      <c r="F27" s="159"/>
      <c r="G27" s="157"/>
      <c r="L27" s="155"/>
      <c r="M27" s="155"/>
      <c r="N27" s="156"/>
    </row>
    <row r="28" spans="3:14" s="14" customFormat="1">
      <c r="C28" s="62"/>
      <c r="D28" s="62"/>
      <c r="E28" s="62"/>
      <c r="F28" s="62"/>
    </row>
    <row r="29" spans="3:14" ht="18.75">
      <c r="C29" s="182"/>
      <c r="D29" s="62"/>
      <c r="E29" s="62"/>
      <c r="F29" s="89"/>
    </row>
    <row r="30" spans="3:14">
      <c r="C30" s="89"/>
      <c r="D30" s="89"/>
      <c r="E30" s="4"/>
      <c r="F30" s="89"/>
    </row>
    <row r="31" spans="3:14">
      <c r="C31" s="89"/>
      <c r="D31" s="89"/>
      <c r="E31" s="4"/>
      <c r="F31" s="89"/>
    </row>
    <row r="32" spans="3:14">
      <c r="C32" s="89"/>
      <c r="D32" s="89"/>
      <c r="E32" s="4"/>
      <c r="F32" s="89"/>
    </row>
    <row r="33" spans="3:6">
      <c r="C33" s="89"/>
      <c r="D33" s="89"/>
      <c r="E33" s="4"/>
      <c r="F33" s="89"/>
    </row>
    <row r="34" spans="3:6">
      <c r="C34" s="89"/>
      <c r="D34" s="89"/>
      <c r="E34" s="4"/>
      <c r="F34" s="89"/>
    </row>
    <row r="35" spans="3:6">
      <c r="C35" s="89"/>
      <c r="D35" s="89"/>
      <c r="E35" s="4"/>
      <c r="F35" s="89"/>
    </row>
    <row r="36" spans="3:6">
      <c r="C36" s="89"/>
      <c r="D36" s="89"/>
      <c r="E36" s="4"/>
      <c r="F36" s="89"/>
    </row>
    <row r="37" spans="3:6">
      <c r="C37" s="89"/>
      <c r="D37" s="89"/>
      <c r="E37" s="4"/>
      <c r="F37" s="89"/>
    </row>
    <row r="38" spans="3:6">
      <c r="C38" s="89"/>
      <c r="D38" s="89"/>
      <c r="E38" s="4"/>
      <c r="F38" s="89"/>
    </row>
    <row r="39" spans="3:6">
      <c r="C39" s="89"/>
      <c r="D39" s="89"/>
      <c r="E39" s="4"/>
      <c r="F39" s="89"/>
    </row>
    <row r="40" spans="3:6">
      <c r="C40" s="89"/>
      <c r="D40" s="89"/>
      <c r="E40" s="4"/>
      <c r="F40" s="89"/>
    </row>
    <row r="41" spans="3:6">
      <c r="C41" s="89"/>
      <c r="D41" s="89"/>
      <c r="E41" s="4"/>
      <c r="F41" s="89"/>
    </row>
    <row r="42" spans="3:6">
      <c r="C42" s="89"/>
      <c r="D42" s="89"/>
      <c r="E42" s="4"/>
      <c r="F42" s="89"/>
    </row>
    <row r="43" spans="3:6">
      <c r="C43" s="89"/>
      <c r="D43" s="89"/>
      <c r="E43" s="4"/>
      <c r="F43" s="89"/>
    </row>
    <row r="44" spans="3:6">
      <c r="C44" s="89"/>
      <c r="D44" s="89"/>
      <c r="E44" s="4"/>
      <c r="F44" s="89"/>
    </row>
    <row r="45" spans="3:6">
      <c r="C45" s="89"/>
      <c r="D45" s="89"/>
      <c r="E45" s="4"/>
      <c r="F45" s="89"/>
    </row>
    <row r="46" spans="3:6">
      <c r="C46" s="89"/>
      <c r="D46" s="89"/>
      <c r="E46" s="4"/>
      <c r="F46" s="89"/>
    </row>
    <row r="47" spans="3:6">
      <c r="C47" s="89"/>
      <c r="D47" s="89"/>
      <c r="E47" s="4"/>
      <c r="F47" s="89"/>
    </row>
    <row r="48" spans="3:6">
      <c r="C48" s="89"/>
      <c r="D48" s="89"/>
      <c r="E48" s="4"/>
      <c r="F48" s="89"/>
    </row>
    <row r="49" spans="3:198">
      <c r="C49" s="89"/>
      <c r="D49" s="89"/>
      <c r="E49" s="4"/>
      <c r="F49" s="89"/>
    </row>
    <row r="50" spans="3:198">
      <c r="C50" s="89"/>
      <c r="D50" s="89"/>
      <c r="E50" s="4"/>
      <c r="F50" s="89"/>
    </row>
    <row r="51" spans="3:198">
      <c r="C51" s="89"/>
      <c r="D51" s="89"/>
      <c r="E51" s="4"/>
      <c r="F51" s="89"/>
    </row>
    <row r="52" spans="3:198">
      <c r="C52" s="89"/>
      <c r="D52" s="89"/>
      <c r="E52" s="4"/>
      <c r="F52" s="89"/>
    </row>
    <row r="53" spans="3:198">
      <c r="C53" s="89"/>
      <c r="D53" s="89"/>
      <c r="E53" s="4"/>
      <c r="F53" s="89"/>
    </row>
    <row r="54" spans="3:198">
      <c r="C54" s="89"/>
      <c r="D54" s="89"/>
      <c r="E54" s="4"/>
      <c r="F54" s="89"/>
    </row>
    <row r="55" spans="3:198">
      <c r="C55" s="89"/>
      <c r="D55" s="89"/>
      <c r="E55" s="4"/>
      <c r="F55" s="89"/>
    </row>
    <row r="63" spans="3:198" s="66" customFormat="1">
      <c r="E63" s="67"/>
      <c r="G63" s="67"/>
      <c r="H63" s="67"/>
      <c r="I63" s="67"/>
      <c r="J63" s="67"/>
      <c r="K63" s="67"/>
      <c r="L63" s="67"/>
      <c r="M63" s="67"/>
      <c r="N63" s="67"/>
      <c r="O63" s="78"/>
      <c r="P63" s="78"/>
      <c r="S63" s="78"/>
      <c r="T63" s="78"/>
      <c r="U63" s="79"/>
      <c r="V63" s="65"/>
      <c r="Y63" s="78"/>
      <c r="Z63" s="78"/>
      <c r="AA63" s="78"/>
      <c r="AB63" s="78"/>
      <c r="AC63" s="78"/>
      <c r="AD63" s="78"/>
      <c r="AE63" s="78"/>
      <c r="AF63" s="78"/>
      <c r="AG63" s="79"/>
      <c r="AH63" s="65"/>
      <c r="AJ63" s="161"/>
      <c r="AK63" s="78"/>
      <c r="AL63" s="78"/>
      <c r="AM63" s="78"/>
      <c r="AN63" s="78"/>
      <c r="AO63" s="78"/>
      <c r="AP63" s="78"/>
      <c r="AQ63" s="79"/>
      <c r="AR63" s="65"/>
      <c r="AT63" s="161"/>
      <c r="AU63" s="78"/>
      <c r="AV63" s="78"/>
      <c r="AW63" s="78"/>
      <c r="AX63" s="78"/>
      <c r="AY63" s="78"/>
      <c r="AZ63" s="79"/>
      <c r="BA63" s="65"/>
      <c r="BC63" s="161"/>
      <c r="BD63" s="78"/>
      <c r="BE63" s="78"/>
      <c r="BF63" s="78"/>
      <c r="BG63" s="78"/>
      <c r="BH63" s="78"/>
      <c r="BI63" s="78"/>
      <c r="BJ63" s="79"/>
      <c r="BK63" s="65"/>
      <c r="CU63" s="67"/>
      <c r="EC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67"/>
      <c r="GA63" s="67"/>
      <c r="GB63" s="67"/>
      <c r="GC63" s="67"/>
      <c r="GD63" s="67"/>
      <c r="GE63" s="67"/>
      <c r="GF63" s="67"/>
      <c r="GG63" s="67"/>
      <c r="GH63" s="67"/>
      <c r="GI63" s="67"/>
      <c r="GJ63" s="67"/>
      <c r="GK63" s="67"/>
      <c r="GL63" s="67"/>
      <c r="GM63" s="67"/>
      <c r="GN63" s="67"/>
      <c r="GO63" s="67"/>
      <c r="GP63" s="67"/>
    </row>
    <row r="64" spans="3:198" s="66" customFormat="1">
      <c r="E64" s="67"/>
      <c r="G64" s="67"/>
      <c r="H64" s="67"/>
      <c r="I64" s="67"/>
      <c r="J64" s="67"/>
      <c r="K64" s="67"/>
      <c r="L64" s="67"/>
      <c r="M64" s="67"/>
      <c r="N64" s="67"/>
      <c r="O64" s="78"/>
      <c r="P64" s="78"/>
      <c r="S64" s="78"/>
      <c r="T64" s="78"/>
      <c r="U64" s="79"/>
      <c r="V64" s="65"/>
      <c r="Y64" s="78"/>
      <c r="Z64" s="78"/>
      <c r="AA64" s="78"/>
      <c r="AB64" s="78"/>
      <c r="AC64" s="78"/>
      <c r="AD64" s="78"/>
      <c r="AE64" s="78"/>
      <c r="AF64" s="78"/>
      <c r="AG64" s="79"/>
      <c r="AH64" s="65"/>
      <c r="AJ64" s="161"/>
      <c r="AK64" s="78"/>
      <c r="AL64" s="78"/>
      <c r="AM64" s="78"/>
      <c r="AN64" s="78"/>
      <c r="AO64" s="78"/>
      <c r="AP64" s="78"/>
      <c r="AQ64" s="79"/>
      <c r="AR64" s="65"/>
      <c r="AT64" s="161"/>
      <c r="AU64" s="78"/>
      <c r="AV64" s="78"/>
      <c r="AW64" s="78"/>
      <c r="AX64" s="78"/>
      <c r="AY64" s="78"/>
      <c r="AZ64" s="79"/>
      <c r="BA64" s="65"/>
      <c r="BC64" s="161"/>
      <c r="BD64" s="78"/>
      <c r="BE64" s="78"/>
      <c r="BF64" s="78"/>
      <c r="BG64" s="78"/>
      <c r="BH64" s="78"/>
      <c r="BI64" s="78"/>
      <c r="BJ64" s="79"/>
      <c r="BK64" s="65"/>
      <c r="CU64" s="67"/>
      <c r="EC64" s="67"/>
      <c r="FK64" s="67"/>
      <c r="FL64" s="67"/>
      <c r="FM64" s="67"/>
      <c r="FN64" s="67"/>
      <c r="FO64" s="67"/>
      <c r="FP64" s="67"/>
      <c r="FQ64" s="67"/>
      <c r="FR64" s="67"/>
      <c r="FS64" s="67"/>
      <c r="FT64" s="67"/>
      <c r="FU64" s="67"/>
      <c r="FV64" s="67"/>
      <c r="FW64" s="67"/>
      <c r="FX64" s="67"/>
      <c r="FY64" s="67"/>
      <c r="FZ64" s="67"/>
      <c r="GA64" s="67"/>
      <c r="GB64" s="67"/>
      <c r="GC64" s="67"/>
      <c r="GD64" s="67"/>
      <c r="GE64" s="67"/>
      <c r="GF64" s="67"/>
      <c r="GG64" s="67"/>
      <c r="GH64" s="67"/>
      <c r="GI64" s="67"/>
      <c r="GJ64" s="67"/>
      <c r="GK64" s="67"/>
      <c r="GL64" s="67"/>
      <c r="GM64" s="67"/>
      <c r="GN64" s="67"/>
      <c r="GO64" s="67"/>
      <c r="GP64" s="67"/>
    </row>
    <row r="65" spans="5:198" s="66" customFormat="1">
      <c r="E65" s="67"/>
      <c r="G65" s="67"/>
      <c r="H65" s="67"/>
      <c r="I65" s="67"/>
      <c r="J65" s="67"/>
      <c r="K65" s="67"/>
      <c r="L65" s="67"/>
      <c r="M65" s="67"/>
      <c r="N65" s="67"/>
      <c r="O65" s="78"/>
      <c r="P65" s="78"/>
      <c r="S65" s="78"/>
      <c r="T65" s="78"/>
      <c r="U65" s="79"/>
      <c r="V65" s="65"/>
      <c r="Y65" s="78"/>
      <c r="Z65" s="78"/>
      <c r="AA65" s="78"/>
      <c r="AB65" s="78"/>
      <c r="AC65" s="78"/>
      <c r="AD65" s="78"/>
      <c r="AE65" s="78"/>
      <c r="AF65" s="78"/>
      <c r="AG65" s="79"/>
      <c r="AH65" s="65"/>
      <c r="AJ65" s="161"/>
      <c r="AK65" s="78"/>
      <c r="AL65" s="78"/>
      <c r="AM65" s="78"/>
      <c r="AN65" s="78"/>
      <c r="AO65" s="78"/>
      <c r="AP65" s="78"/>
      <c r="AQ65" s="79"/>
      <c r="AR65" s="65"/>
      <c r="AT65" s="161"/>
      <c r="AU65" s="78"/>
      <c r="AV65" s="78"/>
      <c r="AW65" s="78"/>
      <c r="AX65" s="78"/>
      <c r="AY65" s="78"/>
      <c r="AZ65" s="79"/>
      <c r="BA65" s="65"/>
      <c r="BC65" s="161"/>
      <c r="BD65" s="78"/>
      <c r="BE65" s="78"/>
      <c r="BF65" s="78"/>
      <c r="BG65" s="78"/>
      <c r="BH65" s="78"/>
      <c r="BI65" s="78"/>
      <c r="BJ65" s="79"/>
      <c r="BK65" s="65"/>
      <c r="CU65" s="67"/>
      <c r="EC65" s="67"/>
      <c r="FK65" s="67"/>
      <c r="FL65" s="67"/>
      <c r="FM65" s="67"/>
      <c r="FN65" s="67"/>
      <c r="FO65" s="67"/>
      <c r="FP65" s="67"/>
      <c r="FQ65" s="67"/>
      <c r="FR65" s="67"/>
      <c r="FS65" s="67"/>
      <c r="FT65" s="67"/>
      <c r="FU65" s="67"/>
      <c r="FV65" s="67"/>
      <c r="FW65" s="67"/>
      <c r="FX65" s="67"/>
      <c r="FY65" s="67"/>
      <c r="FZ65" s="67"/>
      <c r="GA65" s="67"/>
      <c r="GB65" s="67"/>
      <c r="GC65" s="67"/>
      <c r="GD65" s="67"/>
      <c r="GE65" s="67"/>
      <c r="GF65" s="67"/>
      <c r="GG65" s="67"/>
      <c r="GH65" s="67"/>
      <c r="GI65" s="67"/>
      <c r="GJ65" s="67"/>
      <c r="GK65" s="67"/>
      <c r="GL65" s="67"/>
      <c r="GM65" s="67"/>
      <c r="GN65" s="67"/>
      <c r="GO65" s="67"/>
      <c r="GP65" s="67"/>
    </row>
    <row r="66" spans="5:198" s="66" customFormat="1">
      <c r="E66" s="67"/>
      <c r="G66" s="67"/>
      <c r="H66" s="67"/>
      <c r="I66" s="67"/>
      <c r="J66" s="67"/>
      <c r="K66" s="67"/>
      <c r="L66" s="67"/>
      <c r="M66" s="67"/>
      <c r="N66" s="67"/>
      <c r="O66" s="78"/>
      <c r="P66" s="78"/>
      <c r="S66" s="78"/>
      <c r="T66" s="78"/>
      <c r="U66" s="79"/>
      <c r="V66" s="65"/>
      <c r="Y66" s="78"/>
      <c r="Z66" s="78"/>
      <c r="AA66" s="78"/>
      <c r="AB66" s="78"/>
      <c r="AC66" s="78"/>
      <c r="AD66" s="78"/>
      <c r="AE66" s="78"/>
      <c r="AF66" s="78"/>
      <c r="AG66" s="79"/>
      <c r="AH66" s="65"/>
      <c r="AJ66" s="161"/>
      <c r="AK66" s="78"/>
      <c r="AL66" s="78"/>
      <c r="AM66" s="78"/>
      <c r="AN66" s="78"/>
      <c r="AO66" s="78"/>
      <c r="AP66" s="78"/>
      <c r="AQ66" s="79"/>
      <c r="AR66" s="65"/>
      <c r="AT66" s="161"/>
      <c r="AU66" s="78"/>
      <c r="AV66" s="78"/>
      <c r="AW66" s="78"/>
      <c r="AX66" s="78"/>
      <c r="AY66" s="78"/>
      <c r="AZ66" s="79"/>
      <c r="BA66" s="65"/>
      <c r="BC66" s="161"/>
      <c r="BD66" s="78"/>
      <c r="BE66" s="78"/>
      <c r="BF66" s="78"/>
      <c r="BG66" s="78"/>
      <c r="BH66" s="78"/>
      <c r="BI66" s="78"/>
      <c r="BJ66" s="79"/>
      <c r="BK66" s="65"/>
      <c r="CU66" s="67"/>
      <c r="EC66" s="67"/>
      <c r="FK66" s="67"/>
      <c r="FL66" s="67"/>
      <c r="FM66" s="67"/>
      <c r="FN66" s="67"/>
      <c r="FO66" s="67"/>
      <c r="FP66" s="67"/>
      <c r="FQ66" s="67"/>
      <c r="FR66" s="67"/>
      <c r="FS66" s="67"/>
      <c r="FT66" s="67"/>
      <c r="FU66" s="67"/>
      <c r="FV66" s="67"/>
      <c r="FW66" s="67"/>
      <c r="FX66" s="67"/>
      <c r="FY66" s="67"/>
      <c r="FZ66" s="67"/>
      <c r="GA66" s="67"/>
      <c r="GB66" s="67"/>
      <c r="GC66" s="67"/>
      <c r="GD66" s="67"/>
      <c r="GE66" s="67"/>
      <c r="GF66" s="67"/>
      <c r="GG66" s="67"/>
      <c r="GH66" s="67"/>
      <c r="GI66" s="67"/>
      <c r="GJ66" s="67"/>
      <c r="GK66" s="67"/>
      <c r="GL66" s="67"/>
      <c r="GM66" s="67"/>
      <c r="GN66" s="67"/>
      <c r="GO66" s="67"/>
      <c r="GP66" s="67"/>
    </row>
    <row r="67" spans="5:198" s="66" customFormat="1">
      <c r="E67" s="67"/>
      <c r="G67" s="67"/>
      <c r="H67" s="67"/>
      <c r="I67" s="67"/>
      <c r="J67" s="67"/>
      <c r="K67" s="67"/>
      <c r="L67" s="67"/>
      <c r="M67" s="67"/>
      <c r="N67" s="67"/>
      <c r="O67" s="78"/>
      <c r="P67" s="78"/>
      <c r="S67" s="78"/>
      <c r="T67" s="78"/>
      <c r="U67" s="79"/>
      <c r="V67" s="65"/>
      <c r="Y67" s="78"/>
      <c r="Z67" s="78"/>
      <c r="AA67" s="78"/>
      <c r="AB67" s="78"/>
      <c r="AC67" s="78"/>
      <c r="AD67" s="78"/>
      <c r="AE67" s="78"/>
      <c r="AF67" s="78"/>
      <c r="AG67" s="79"/>
      <c r="AH67" s="65"/>
      <c r="AJ67" s="161"/>
      <c r="AK67" s="78"/>
      <c r="AL67" s="78"/>
      <c r="AM67" s="78"/>
      <c r="AN67" s="78"/>
      <c r="AO67" s="78"/>
      <c r="AP67" s="78"/>
      <c r="AQ67" s="79"/>
      <c r="AR67" s="65"/>
      <c r="AT67" s="161"/>
      <c r="AU67" s="78"/>
      <c r="AV67" s="78"/>
      <c r="AW67" s="78"/>
      <c r="AX67" s="78"/>
      <c r="AY67" s="78"/>
      <c r="AZ67" s="79"/>
      <c r="BA67" s="65"/>
      <c r="BC67" s="161"/>
      <c r="BD67" s="78"/>
      <c r="BE67" s="78"/>
      <c r="BF67" s="78"/>
      <c r="BG67" s="78"/>
      <c r="BH67" s="78"/>
      <c r="BI67" s="78"/>
      <c r="BJ67" s="79"/>
      <c r="BK67" s="65"/>
      <c r="CU67" s="67"/>
      <c r="EC67" s="67"/>
      <c r="FK67" s="67"/>
      <c r="FL67" s="67"/>
      <c r="FM67" s="67"/>
      <c r="FN67" s="67"/>
      <c r="FO67" s="67"/>
      <c r="FP67" s="67"/>
      <c r="FQ67" s="67"/>
      <c r="FR67" s="67"/>
      <c r="FS67" s="67"/>
      <c r="FT67" s="67"/>
      <c r="FU67" s="67"/>
      <c r="FV67" s="67"/>
      <c r="FW67" s="67"/>
      <c r="FX67" s="67"/>
      <c r="FY67" s="67"/>
      <c r="FZ67" s="67"/>
      <c r="GA67" s="67"/>
      <c r="GB67" s="67"/>
      <c r="GC67" s="67"/>
      <c r="GD67" s="67"/>
      <c r="GE67" s="67"/>
      <c r="GF67" s="67"/>
      <c r="GG67" s="67"/>
      <c r="GH67" s="67"/>
      <c r="GI67" s="67"/>
      <c r="GJ67" s="67"/>
      <c r="GK67" s="67"/>
      <c r="GL67" s="67"/>
      <c r="GM67" s="67"/>
      <c r="GN67" s="67"/>
      <c r="GO67" s="67"/>
      <c r="GP67" s="67"/>
    </row>
    <row r="68" spans="5:198" s="66" customFormat="1">
      <c r="E68" s="67"/>
      <c r="G68" s="67"/>
      <c r="H68" s="67"/>
      <c r="I68" s="67"/>
      <c r="J68" s="67"/>
      <c r="K68" s="67"/>
      <c r="L68" s="67"/>
      <c r="M68" s="67"/>
      <c r="N68" s="67"/>
      <c r="O68" s="78"/>
      <c r="P68" s="78"/>
      <c r="S68" s="78"/>
      <c r="T68" s="78"/>
      <c r="U68" s="79"/>
      <c r="V68" s="65"/>
      <c r="Y68" s="78"/>
      <c r="Z68" s="78"/>
      <c r="AA68" s="78"/>
      <c r="AB68" s="78"/>
      <c r="AC68" s="78"/>
      <c r="AD68" s="78"/>
      <c r="AE68" s="78"/>
      <c r="AF68" s="78"/>
      <c r="AG68" s="79"/>
      <c r="AH68" s="65"/>
      <c r="AJ68" s="161"/>
      <c r="AK68" s="78"/>
      <c r="AL68" s="78"/>
      <c r="AM68" s="78"/>
      <c r="AN68" s="78"/>
      <c r="AO68" s="78"/>
      <c r="AP68" s="78"/>
      <c r="AQ68" s="79"/>
      <c r="AR68" s="65"/>
      <c r="AT68" s="161"/>
      <c r="AU68" s="78"/>
      <c r="AV68" s="78"/>
      <c r="AW68" s="78"/>
      <c r="AX68" s="78"/>
      <c r="AY68" s="78"/>
      <c r="AZ68" s="79"/>
      <c r="BA68" s="65"/>
      <c r="BC68" s="161"/>
      <c r="BD68" s="78"/>
      <c r="BE68" s="78"/>
      <c r="BF68" s="78"/>
      <c r="BG68" s="78"/>
      <c r="BH68" s="78"/>
      <c r="BI68" s="78"/>
      <c r="BJ68" s="79"/>
      <c r="BK68" s="65"/>
      <c r="CU68" s="67"/>
      <c r="EC68" s="67"/>
      <c r="FK68" s="67"/>
      <c r="FL68" s="67"/>
      <c r="FM68" s="67"/>
      <c r="FN68" s="67"/>
      <c r="FO68" s="67"/>
      <c r="FP68" s="67"/>
      <c r="FQ68" s="67"/>
      <c r="FR68" s="67"/>
      <c r="FS68" s="67"/>
      <c r="FT68" s="67"/>
      <c r="FU68" s="67"/>
      <c r="FV68" s="67"/>
      <c r="FW68" s="67"/>
      <c r="FX68" s="67"/>
      <c r="FY68" s="67"/>
      <c r="FZ68" s="67"/>
      <c r="GA68" s="67"/>
      <c r="GB68" s="67"/>
      <c r="GC68" s="67"/>
      <c r="GD68" s="67"/>
      <c r="GE68" s="67"/>
      <c r="GF68" s="67"/>
      <c r="GG68" s="67"/>
      <c r="GH68" s="67"/>
      <c r="GI68" s="67"/>
      <c r="GJ68" s="67"/>
      <c r="GK68" s="67"/>
      <c r="GL68" s="67"/>
      <c r="GM68" s="67"/>
      <c r="GN68" s="67"/>
      <c r="GO68" s="67"/>
      <c r="GP68" s="67"/>
    </row>
    <row r="69" spans="5:198" s="66" customFormat="1">
      <c r="E69" s="67"/>
      <c r="G69" s="67"/>
      <c r="H69" s="67"/>
      <c r="I69" s="67"/>
      <c r="J69" s="67"/>
      <c r="K69" s="67"/>
      <c r="L69" s="67"/>
      <c r="M69" s="67"/>
      <c r="N69" s="67"/>
      <c r="O69" s="78"/>
      <c r="P69" s="78"/>
      <c r="S69" s="78"/>
      <c r="T69" s="78"/>
      <c r="U69" s="79"/>
      <c r="V69" s="65"/>
      <c r="Y69" s="78"/>
      <c r="Z69" s="78"/>
      <c r="AA69" s="78"/>
      <c r="AB69" s="78"/>
      <c r="AC69" s="78"/>
      <c r="AD69" s="78"/>
      <c r="AE69" s="78"/>
      <c r="AF69" s="78"/>
      <c r="AG69" s="79"/>
      <c r="AH69" s="65"/>
      <c r="AJ69" s="161"/>
      <c r="AK69" s="78"/>
      <c r="AL69" s="78"/>
      <c r="AM69" s="78"/>
      <c r="AN69" s="78"/>
      <c r="AO69" s="78"/>
      <c r="AP69" s="78"/>
      <c r="AQ69" s="79"/>
      <c r="AR69" s="65"/>
      <c r="AT69" s="161"/>
      <c r="AU69" s="78"/>
      <c r="AV69" s="78"/>
      <c r="AW69" s="78"/>
      <c r="AX69" s="78"/>
      <c r="AY69" s="78"/>
      <c r="AZ69" s="79"/>
      <c r="BA69" s="65"/>
      <c r="BC69" s="161"/>
      <c r="BD69" s="78"/>
      <c r="BE69" s="78"/>
      <c r="BF69" s="78"/>
      <c r="BG69" s="78"/>
      <c r="BH69" s="78"/>
      <c r="BI69" s="78"/>
      <c r="BJ69" s="79"/>
      <c r="BK69" s="65"/>
      <c r="CU69" s="67"/>
      <c r="EC69" s="67"/>
      <c r="FK69" s="67"/>
      <c r="FL69" s="67"/>
      <c r="FM69" s="67"/>
      <c r="FN69" s="67"/>
      <c r="FO69" s="67"/>
      <c r="FP69" s="67"/>
      <c r="FQ69" s="67"/>
      <c r="FR69" s="67"/>
      <c r="FS69" s="67"/>
      <c r="FT69" s="67"/>
      <c r="FU69" s="67"/>
      <c r="FV69" s="67"/>
      <c r="FW69" s="67"/>
      <c r="FX69" s="67"/>
      <c r="FY69" s="67"/>
      <c r="FZ69" s="67"/>
      <c r="GA69" s="67"/>
      <c r="GB69" s="67"/>
      <c r="GC69" s="67"/>
      <c r="GD69" s="67"/>
      <c r="GE69" s="67"/>
      <c r="GF69" s="67"/>
      <c r="GG69" s="67"/>
      <c r="GH69" s="67"/>
      <c r="GI69" s="67"/>
      <c r="GJ69" s="67"/>
      <c r="GK69" s="67"/>
      <c r="GL69" s="67"/>
      <c r="GM69" s="67"/>
      <c r="GN69" s="67"/>
      <c r="GO69" s="67"/>
      <c r="GP69" s="67"/>
    </row>
    <row r="70" spans="5:198" s="66" customFormat="1">
      <c r="E70" s="67"/>
      <c r="G70" s="67"/>
      <c r="H70" s="67"/>
      <c r="I70" s="67"/>
      <c r="J70" s="67"/>
      <c r="K70" s="67"/>
      <c r="L70" s="67"/>
      <c r="M70" s="67"/>
      <c r="N70" s="67"/>
      <c r="O70" s="78"/>
      <c r="P70" s="78"/>
      <c r="S70" s="78"/>
      <c r="T70" s="78"/>
      <c r="U70" s="79"/>
      <c r="V70" s="65"/>
      <c r="Y70" s="78"/>
      <c r="Z70" s="78"/>
      <c r="AA70" s="78"/>
      <c r="AB70" s="78"/>
      <c r="AC70" s="78"/>
      <c r="AD70" s="78"/>
      <c r="AE70" s="78"/>
      <c r="AF70" s="78"/>
      <c r="AG70" s="79"/>
      <c r="AH70" s="65"/>
      <c r="AJ70" s="161"/>
      <c r="AK70" s="78"/>
      <c r="AL70" s="78"/>
      <c r="AM70" s="78"/>
      <c r="AN70" s="78"/>
      <c r="AO70" s="78"/>
      <c r="AP70" s="78"/>
      <c r="AQ70" s="79"/>
      <c r="AR70" s="65"/>
      <c r="AT70" s="161"/>
      <c r="AU70" s="78"/>
      <c r="AV70" s="78"/>
      <c r="AW70" s="78"/>
      <c r="AX70" s="78"/>
      <c r="AY70" s="78"/>
      <c r="AZ70" s="79"/>
      <c r="BA70" s="65"/>
      <c r="BC70" s="161"/>
      <c r="BD70" s="78"/>
      <c r="BE70" s="78"/>
      <c r="BF70" s="78"/>
      <c r="BG70" s="78"/>
      <c r="BH70" s="78"/>
      <c r="BI70" s="78"/>
      <c r="BJ70" s="79"/>
      <c r="BK70" s="65"/>
      <c r="CU70" s="67"/>
      <c r="EC70" s="67"/>
      <c r="FK70" s="67"/>
      <c r="FL70" s="67"/>
      <c r="FM70" s="67"/>
      <c r="FN70" s="67"/>
      <c r="FO70" s="67"/>
      <c r="FP70" s="67"/>
      <c r="FQ70" s="67"/>
      <c r="FR70" s="67"/>
      <c r="FS70" s="67"/>
      <c r="FT70" s="67"/>
      <c r="FU70" s="67"/>
      <c r="FV70" s="67"/>
      <c r="FW70" s="67"/>
      <c r="FX70" s="67"/>
      <c r="FY70" s="67"/>
      <c r="FZ70" s="67"/>
      <c r="GA70" s="67"/>
      <c r="GB70" s="67"/>
      <c r="GC70" s="67"/>
      <c r="GD70" s="67"/>
      <c r="GE70" s="67"/>
      <c r="GF70" s="67"/>
      <c r="GG70" s="67"/>
      <c r="GH70" s="67"/>
      <c r="GI70" s="67"/>
      <c r="GJ70" s="67"/>
      <c r="GK70" s="67"/>
      <c r="GL70" s="67"/>
      <c r="GM70" s="67"/>
      <c r="GN70" s="67"/>
      <c r="GO70" s="67"/>
      <c r="GP70" s="67"/>
    </row>
    <row r="71" spans="5:198" s="66" customFormat="1">
      <c r="E71" s="67"/>
      <c r="G71" s="67"/>
      <c r="H71" s="67"/>
      <c r="I71" s="67"/>
      <c r="J71" s="67"/>
      <c r="K71" s="67"/>
      <c r="L71" s="67"/>
      <c r="M71" s="67"/>
      <c r="N71" s="67"/>
      <c r="O71" s="78"/>
      <c r="P71" s="78"/>
      <c r="S71" s="78"/>
      <c r="T71" s="78"/>
      <c r="U71" s="79"/>
      <c r="V71" s="65"/>
      <c r="Y71" s="78"/>
      <c r="Z71" s="78"/>
      <c r="AA71" s="78"/>
      <c r="AB71" s="78"/>
      <c r="AC71" s="78"/>
      <c r="AD71" s="78"/>
      <c r="AE71" s="78"/>
      <c r="AF71" s="78"/>
      <c r="AG71" s="79"/>
      <c r="AH71" s="65"/>
      <c r="AJ71" s="161"/>
      <c r="AK71" s="78"/>
      <c r="AL71" s="78"/>
      <c r="AM71" s="78"/>
      <c r="AN71" s="78"/>
      <c r="AO71" s="78"/>
      <c r="AP71" s="78"/>
      <c r="AQ71" s="79"/>
      <c r="AR71" s="65"/>
      <c r="AT71" s="161"/>
      <c r="AU71" s="78"/>
      <c r="AV71" s="78"/>
      <c r="AW71" s="78"/>
      <c r="AX71" s="78"/>
      <c r="AY71" s="78"/>
      <c r="AZ71" s="79"/>
      <c r="BA71" s="65"/>
      <c r="BC71" s="161"/>
      <c r="BD71" s="78"/>
      <c r="BE71" s="78"/>
      <c r="BF71" s="78"/>
      <c r="BG71" s="78"/>
      <c r="BH71" s="78"/>
      <c r="BI71" s="78"/>
      <c r="BJ71" s="79"/>
      <c r="BK71" s="65"/>
      <c r="CU71" s="67"/>
      <c r="EC71" s="67"/>
      <c r="FK71" s="67"/>
      <c r="FL71" s="67"/>
      <c r="FM71" s="67"/>
      <c r="FN71" s="67"/>
      <c r="FO71" s="67"/>
      <c r="FP71" s="67"/>
      <c r="FQ71" s="67"/>
      <c r="FR71" s="67"/>
      <c r="FS71" s="67"/>
      <c r="FT71" s="67"/>
      <c r="FU71" s="67"/>
      <c r="FV71" s="67"/>
      <c r="FW71" s="67"/>
      <c r="FX71" s="67"/>
      <c r="FY71" s="67"/>
      <c r="FZ71" s="67"/>
      <c r="GA71" s="67"/>
      <c r="GB71" s="67"/>
      <c r="GC71" s="67"/>
      <c r="GD71" s="67"/>
      <c r="GE71" s="67"/>
      <c r="GF71" s="67"/>
      <c r="GG71" s="67"/>
      <c r="GH71" s="67"/>
      <c r="GI71" s="67"/>
      <c r="GJ71" s="67"/>
      <c r="GK71" s="67"/>
      <c r="GL71" s="67"/>
      <c r="GM71" s="67"/>
      <c r="GN71" s="67"/>
      <c r="GO71" s="67"/>
      <c r="GP71" s="67"/>
    </row>
    <row r="72" spans="5:198" s="66" customFormat="1">
      <c r="E72" s="67"/>
      <c r="G72" s="67"/>
      <c r="H72" s="67"/>
      <c r="I72" s="67"/>
      <c r="J72" s="67"/>
      <c r="K72" s="67"/>
      <c r="L72" s="67"/>
      <c r="M72" s="67"/>
      <c r="N72" s="67"/>
      <c r="O72" s="78"/>
      <c r="P72" s="78"/>
      <c r="S72" s="78"/>
      <c r="T72" s="78"/>
      <c r="U72" s="79"/>
      <c r="V72" s="65"/>
      <c r="Y72" s="78"/>
      <c r="Z72" s="78"/>
      <c r="AA72" s="78"/>
      <c r="AB72" s="78"/>
      <c r="AC72" s="78"/>
      <c r="AD72" s="78"/>
      <c r="AE72" s="78"/>
      <c r="AF72" s="78"/>
      <c r="AG72" s="79"/>
      <c r="AH72" s="65"/>
      <c r="AJ72" s="161"/>
      <c r="AK72" s="78"/>
      <c r="AL72" s="78"/>
      <c r="AM72" s="78"/>
      <c r="AN72" s="78"/>
      <c r="AO72" s="78"/>
      <c r="AP72" s="78"/>
      <c r="AQ72" s="79"/>
      <c r="AR72" s="65"/>
      <c r="AT72" s="161"/>
      <c r="AU72" s="78"/>
      <c r="AV72" s="78"/>
      <c r="AW72" s="78"/>
      <c r="AX72" s="78"/>
      <c r="AY72" s="78"/>
      <c r="AZ72" s="79"/>
      <c r="BA72" s="65"/>
      <c r="BC72" s="161"/>
      <c r="BD72" s="78"/>
      <c r="BE72" s="78"/>
      <c r="BF72" s="78"/>
      <c r="BG72" s="78"/>
      <c r="BH72" s="78"/>
      <c r="BI72" s="78"/>
      <c r="BJ72" s="79"/>
      <c r="BK72" s="65"/>
      <c r="CU72" s="67"/>
      <c r="EC72" s="67"/>
      <c r="FK72" s="67"/>
      <c r="FL72" s="67"/>
      <c r="FM72" s="67"/>
      <c r="FN72" s="67"/>
      <c r="FO72" s="67"/>
      <c r="FP72" s="67"/>
      <c r="FQ72" s="67"/>
      <c r="FR72" s="67"/>
      <c r="FS72" s="67"/>
      <c r="FT72" s="67"/>
      <c r="FU72" s="67"/>
      <c r="FV72" s="67"/>
      <c r="FW72" s="67"/>
      <c r="FX72" s="67"/>
      <c r="FY72" s="67"/>
      <c r="FZ72" s="67"/>
      <c r="GA72" s="67"/>
      <c r="GB72" s="67"/>
      <c r="GC72" s="67"/>
      <c r="GD72" s="67"/>
      <c r="GE72" s="67"/>
      <c r="GF72" s="67"/>
      <c r="GG72" s="67"/>
      <c r="GH72" s="67"/>
      <c r="GI72" s="67"/>
      <c r="GJ72" s="67"/>
      <c r="GK72" s="67"/>
      <c r="GL72" s="67"/>
      <c r="GM72" s="67"/>
      <c r="GN72" s="67"/>
      <c r="GO72" s="67"/>
      <c r="GP72" s="67"/>
    </row>
    <row r="73" spans="5:198" s="66" customFormat="1">
      <c r="E73" s="67"/>
      <c r="G73" s="67"/>
      <c r="H73" s="67"/>
      <c r="I73" s="67"/>
      <c r="J73" s="67"/>
      <c r="K73" s="67"/>
      <c r="L73" s="67"/>
      <c r="M73" s="67"/>
      <c r="N73" s="67"/>
      <c r="O73" s="78"/>
      <c r="P73" s="78"/>
      <c r="S73" s="78"/>
      <c r="T73" s="78"/>
      <c r="U73" s="79"/>
      <c r="V73" s="65"/>
      <c r="Y73" s="78"/>
      <c r="Z73" s="78"/>
      <c r="AA73" s="78"/>
      <c r="AB73" s="78"/>
      <c r="AC73" s="78"/>
      <c r="AD73" s="78"/>
      <c r="AE73" s="78"/>
      <c r="AF73" s="78"/>
      <c r="AG73" s="79"/>
      <c r="AH73" s="65"/>
      <c r="AJ73" s="161"/>
      <c r="AK73" s="78"/>
      <c r="AL73" s="78"/>
      <c r="AM73" s="78"/>
      <c r="AN73" s="78"/>
      <c r="AO73" s="78"/>
      <c r="AP73" s="78"/>
      <c r="AQ73" s="79"/>
      <c r="AR73" s="65"/>
      <c r="AT73" s="161"/>
      <c r="AU73" s="78"/>
      <c r="AV73" s="78"/>
      <c r="AW73" s="78"/>
      <c r="AX73" s="78"/>
      <c r="AY73" s="78"/>
      <c r="AZ73" s="79"/>
      <c r="BA73" s="65"/>
      <c r="BC73" s="161"/>
      <c r="BD73" s="78"/>
      <c r="BE73" s="78"/>
      <c r="BF73" s="78"/>
      <c r="BG73" s="78"/>
      <c r="BH73" s="78"/>
      <c r="BI73" s="78"/>
      <c r="BJ73" s="79"/>
      <c r="BK73" s="65"/>
      <c r="CU73" s="67"/>
      <c r="EC73" s="67"/>
      <c r="FK73" s="67"/>
      <c r="FL73" s="67"/>
      <c r="FM73" s="67"/>
      <c r="FN73" s="67"/>
      <c r="FO73" s="67"/>
      <c r="FP73" s="67"/>
      <c r="FQ73" s="67"/>
      <c r="FR73" s="67"/>
      <c r="FS73" s="67"/>
      <c r="FT73" s="67"/>
      <c r="FU73" s="67"/>
      <c r="FV73" s="67"/>
      <c r="FW73" s="67"/>
      <c r="FX73" s="67"/>
      <c r="FY73" s="67"/>
      <c r="FZ73" s="67"/>
      <c r="GA73" s="67"/>
      <c r="GB73" s="67"/>
      <c r="GC73" s="67"/>
      <c r="GD73" s="67"/>
      <c r="GE73" s="67"/>
      <c r="GF73" s="67"/>
      <c r="GG73" s="67"/>
      <c r="GH73" s="67"/>
      <c r="GI73" s="67"/>
      <c r="GJ73" s="67"/>
      <c r="GK73" s="67"/>
      <c r="GL73" s="67"/>
      <c r="GM73" s="67"/>
      <c r="GN73" s="67"/>
      <c r="GO73" s="67"/>
      <c r="GP73" s="67"/>
    </row>
    <row r="74" spans="5:198" s="66" customFormat="1">
      <c r="E74" s="67"/>
      <c r="G74" s="67"/>
      <c r="H74" s="67"/>
      <c r="I74" s="67"/>
      <c r="J74" s="67"/>
      <c r="K74" s="67"/>
      <c r="L74" s="67"/>
      <c r="M74" s="67"/>
      <c r="N74" s="67"/>
      <c r="O74" s="78"/>
      <c r="P74" s="78"/>
      <c r="S74" s="78"/>
      <c r="T74" s="78"/>
      <c r="U74" s="79"/>
      <c r="V74" s="65"/>
      <c r="Y74" s="78"/>
      <c r="Z74" s="78"/>
      <c r="AA74" s="78"/>
      <c r="AB74" s="78"/>
      <c r="AC74" s="78"/>
      <c r="AD74" s="78"/>
      <c r="AE74" s="78"/>
      <c r="AF74" s="78"/>
      <c r="AG74" s="79"/>
      <c r="AH74" s="65"/>
      <c r="AJ74" s="161"/>
      <c r="AK74" s="78"/>
      <c r="AL74" s="78"/>
      <c r="AM74" s="78"/>
      <c r="AN74" s="78"/>
      <c r="AO74" s="78"/>
      <c r="AP74" s="78"/>
      <c r="AQ74" s="79"/>
      <c r="AR74" s="65"/>
      <c r="AT74" s="161"/>
      <c r="AU74" s="78"/>
      <c r="AV74" s="78"/>
      <c r="AW74" s="78"/>
      <c r="AX74" s="78"/>
      <c r="AY74" s="78"/>
      <c r="AZ74" s="79"/>
      <c r="BA74" s="65"/>
      <c r="BC74" s="161"/>
      <c r="BD74" s="78"/>
      <c r="BE74" s="78"/>
      <c r="BF74" s="78"/>
      <c r="BG74" s="78"/>
      <c r="BH74" s="78"/>
      <c r="BI74" s="78"/>
      <c r="BJ74" s="79"/>
      <c r="BK74" s="65"/>
      <c r="CU74" s="67"/>
      <c r="EC74" s="67"/>
      <c r="FK74" s="67"/>
      <c r="FL74" s="67"/>
      <c r="FM74" s="67"/>
      <c r="FN74" s="67"/>
      <c r="FO74" s="67"/>
      <c r="FP74" s="67"/>
      <c r="FQ74" s="67"/>
      <c r="FR74" s="67"/>
      <c r="FS74" s="67"/>
      <c r="FT74" s="67"/>
      <c r="FU74" s="67"/>
      <c r="FV74" s="67"/>
      <c r="FW74" s="67"/>
      <c r="FX74" s="67"/>
      <c r="FY74" s="67"/>
      <c r="FZ74" s="67"/>
      <c r="GA74" s="67"/>
      <c r="GB74" s="67"/>
      <c r="GC74" s="67"/>
      <c r="GD74" s="67"/>
      <c r="GE74" s="67"/>
      <c r="GF74" s="67"/>
      <c r="GG74" s="67"/>
      <c r="GH74" s="67"/>
      <c r="GI74" s="67"/>
      <c r="GJ74" s="67"/>
      <c r="GK74" s="67"/>
      <c r="GL74" s="67"/>
      <c r="GM74" s="67"/>
      <c r="GN74" s="67"/>
      <c r="GO74" s="67"/>
      <c r="GP74" s="67"/>
    </row>
    <row r="75" spans="5:198" s="66" customFormat="1">
      <c r="E75" s="67"/>
      <c r="G75" s="67"/>
      <c r="H75" s="67"/>
      <c r="I75" s="67"/>
      <c r="J75" s="67"/>
      <c r="K75" s="67"/>
      <c r="L75" s="67"/>
      <c r="M75" s="67"/>
      <c r="N75" s="67"/>
      <c r="O75" s="78"/>
      <c r="P75" s="78"/>
      <c r="S75" s="78"/>
      <c r="T75" s="78"/>
      <c r="U75" s="79"/>
      <c r="V75" s="65"/>
      <c r="Y75" s="78"/>
      <c r="Z75" s="78"/>
      <c r="AA75" s="78"/>
      <c r="AB75" s="78"/>
      <c r="AC75" s="78"/>
      <c r="AD75" s="78"/>
      <c r="AE75" s="78"/>
      <c r="AF75" s="78"/>
      <c r="AG75" s="79"/>
      <c r="AH75" s="65"/>
      <c r="AJ75" s="161"/>
      <c r="AK75" s="78"/>
      <c r="AL75" s="78"/>
      <c r="AM75" s="78"/>
      <c r="AN75" s="78"/>
      <c r="AO75" s="78"/>
      <c r="AP75" s="78"/>
      <c r="AQ75" s="79"/>
      <c r="AR75" s="65"/>
      <c r="AT75" s="161"/>
      <c r="AU75" s="78"/>
      <c r="AV75" s="78"/>
      <c r="AW75" s="78"/>
      <c r="AX75" s="78"/>
      <c r="AY75" s="78"/>
      <c r="AZ75" s="79"/>
      <c r="BA75" s="65"/>
      <c r="BC75" s="161"/>
      <c r="BD75" s="78"/>
      <c r="BE75" s="78"/>
      <c r="BF75" s="78"/>
      <c r="BG75" s="78"/>
      <c r="BH75" s="78"/>
      <c r="BI75" s="78"/>
      <c r="BJ75" s="79"/>
      <c r="BK75" s="65"/>
      <c r="CU75" s="67"/>
      <c r="EC75" s="67"/>
      <c r="FK75" s="67"/>
      <c r="FL75" s="67"/>
      <c r="FM75" s="67"/>
      <c r="FN75" s="67"/>
      <c r="FO75" s="67"/>
      <c r="FP75" s="67"/>
      <c r="FQ75" s="67"/>
      <c r="FR75" s="67"/>
      <c r="FS75" s="67"/>
      <c r="FT75" s="67"/>
      <c r="FU75" s="67"/>
      <c r="FV75" s="67"/>
      <c r="FW75" s="67"/>
      <c r="FX75" s="67"/>
      <c r="FY75" s="67"/>
      <c r="FZ75" s="67"/>
      <c r="GA75" s="67"/>
      <c r="GB75" s="67"/>
      <c r="GC75" s="67"/>
      <c r="GD75" s="67"/>
      <c r="GE75" s="67"/>
      <c r="GF75" s="67"/>
      <c r="GG75" s="67"/>
      <c r="GH75" s="67"/>
      <c r="GI75" s="67"/>
      <c r="GJ75" s="67"/>
      <c r="GK75" s="67"/>
      <c r="GL75" s="67"/>
      <c r="GM75" s="67"/>
      <c r="GN75" s="67"/>
      <c r="GO75" s="67"/>
      <c r="GP75" s="67"/>
    </row>
    <row r="76" spans="5:198" s="66" customFormat="1">
      <c r="E76" s="67"/>
      <c r="G76" s="67"/>
      <c r="H76" s="67"/>
      <c r="I76" s="67"/>
      <c r="J76" s="67"/>
      <c r="K76" s="67"/>
      <c r="L76" s="67"/>
      <c r="M76" s="67"/>
      <c r="N76" s="67"/>
      <c r="O76" s="78"/>
      <c r="P76" s="78"/>
      <c r="S76" s="78"/>
      <c r="T76" s="78"/>
      <c r="U76" s="79"/>
      <c r="V76" s="65"/>
      <c r="Y76" s="78"/>
      <c r="Z76" s="78"/>
      <c r="AA76" s="78"/>
      <c r="AB76" s="78"/>
      <c r="AC76" s="78"/>
      <c r="AD76" s="78"/>
      <c r="AE76" s="78"/>
      <c r="AF76" s="78"/>
      <c r="AG76" s="79"/>
      <c r="AH76" s="65"/>
      <c r="AJ76" s="161"/>
      <c r="AK76" s="78"/>
      <c r="AL76" s="78"/>
      <c r="AM76" s="78"/>
      <c r="AN76" s="78"/>
      <c r="AO76" s="78"/>
      <c r="AP76" s="78"/>
      <c r="AQ76" s="79"/>
      <c r="AR76" s="65"/>
      <c r="AT76" s="161"/>
      <c r="AU76" s="78"/>
      <c r="AV76" s="78"/>
      <c r="AW76" s="78"/>
      <c r="AX76" s="78"/>
      <c r="AY76" s="78"/>
      <c r="AZ76" s="79"/>
      <c r="BA76" s="65"/>
      <c r="BC76" s="161"/>
      <c r="BD76" s="78"/>
      <c r="BE76" s="78"/>
      <c r="BF76" s="78"/>
      <c r="BG76" s="78"/>
      <c r="BH76" s="78"/>
      <c r="BI76" s="78"/>
      <c r="BJ76" s="79"/>
      <c r="BK76" s="65"/>
      <c r="CU76" s="67"/>
      <c r="EC76" s="67"/>
      <c r="FK76" s="67"/>
      <c r="FL76" s="67"/>
      <c r="FM76" s="67"/>
      <c r="FN76" s="67"/>
      <c r="FO76" s="67"/>
      <c r="FP76" s="67"/>
      <c r="FQ76" s="67"/>
      <c r="FR76" s="67"/>
      <c r="FS76" s="67"/>
      <c r="FT76" s="67"/>
      <c r="FU76" s="67"/>
      <c r="FV76" s="67"/>
      <c r="FW76" s="67"/>
      <c r="FX76" s="67"/>
      <c r="FY76" s="67"/>
      <c r="FZ76" s="67"/>
      <c r="GA76" s="67"/>
      <c r="GB76" s="67"/>
      <c r="GC76" s="67"/>
      <c r="GD76" s="67"/>
      <c r="GE76" s="67"/>
      <c r="GF76" s="67"/>
      <c r="GG76" s="67"/>
      <c r="GH76" s="67"/>
      <c r="GI76" s="67"/>
      <c r="GJ76" s="67"/>
      <c r="GK76" s="67"/>
      <c r="GL76" s="67"/>
      <c r="GM76" s="67"/>
      <c r="GN76" s="67"/>
      <c r="GO76" s="67"/>
      <c r="GP76" s="67"/>
    </row>
    <row r="77" spans="5:198" s="66" customFormat="1">
      <c r="E77" s="67"/>
      <c r="G77" s="67"/>
      <c r="H77" s="67"/>
      <c r="I77" s="67"/>
      <c r="J77" s="67"/>
      <c r="K77" s="67"/>
      <c r="L77" s="67"/>
      <c r="M77" s="67"/>
      <c r="N77" s="67"/>
      <c r="O77" s="78"/>
      <c r="P77" s="78"/>
      <c r="S77" s="78"/>
      <c r="T77" s="78"/>
      <c r="U77" s="79"/>
      <c r="V77" s="65"/>
      <c r="Y77" s="78"/>
      <c r="Z77" s="78"/>
      <c r="AA77" s="78"/>
      <c r="AB77" s="78"/>
      <c r="AC77" s="78"/>
      <c r="AD77" s="78"/>
      <c r="AE77" s="78"/>
      <c r="AF77" s="78"/>
      <c r="AG77" s="79"/>
      <c r="AH77" s="65"/>
      <c r="AJ77" s="161"/>
      <c r="AK77" s="78"/>
      <c r="AL77" s="78"/>
      <c r="AM77" s="78"/>
      <c r="AN77" s="78"/>
      <c r="AO77" s="78"/>
      <c r="AP77" s="78"/>
      <c r="AQ77" s="79"/>
      <c r="AR77" s="65"/>
      <c r="AT77" s="161"/>
      <c r="AU77" s="78"/>
      <c r="AV77" s="78"/>
      <c r="AW77" s="78"/>
      <c r="AX77" s="78"/>
      <c r="AY77" s="78"/>
      <c r="AZ77" s="79"/>
      <c r="BA77" s="65"/>
      <c r="BC77" s="161"/>
      <c r="BD77" s="78"/>
      <c r="BE77" s="78"/>
      <c r="BF77" s="78"/>
      <c r="BG77" s="78"/>
      <c r="BH77" s="78"/>
      <c r="BI77" s="78"/>
      <c r="BJ77" s="79"/>
      <c r="BK77" s="65"/>
      <c r="CU77" s="67"/>
      <c r="EC77" s="67"/>
      <c r="FK77" s="67"/>
      <c r="FL77" s="67"/>
      <c r="FM77" s="67"/>
      <c r="FN77" s="67"/>
      <c r="FO77" s="67"/>
      <c r="FP77" s="67"/>
      <c r="FQ77" s="67"/>
      <c r="FR77" s="67"/>
      <c r="FS77" s="67"/>
      <c r="FT77" s="67"/>
      <c r="FU77" s="67"/>
      <c r="FV77" s="67"/>
      <c r="FW77" s="67"/>
      <c r="FX77" s="67"/>
      <c r="FY77" s="67"/>
      <c r="FZ77" s="67"/>
      <c r="GA77" s="67"/>
      <c r="GB77" s="67"/>
      <c r="GC77" s="67"/>
      <c r="GD77" s="67"/>
      <c r="GE77" s="67"/>
      <c r="GF77" s="67"/>
      <c r="GG77" s="67"/>
      <c r="GH77" s="67"/>
      <c r="GI77" s="67"/>
      <c r="GJ77" s="67"/>
      <c r="GK77" s="67"/>
      <c r="GL77" s="67"/>
      <c r="GM77" s="67"/>
      <c r="GN77" s="67"/>
      <c r="GO77" s="67"/>
      <c r="GP77" s="67"/>
    </row>
    <row r="78" spans="5:198" s="66" customFormat="1">
      <c r="E78" s="67"/>
      <c r="G78" s="67"/>
      <c r="H78" s="67"/>
      <c r="I78" s="67"/>
      <c r="J78" s="67"/>
      <c r="K78" s="67"/>
      <c r="L78" s="67"/>
      <c r="M78" s="67"/>
      <c r="N78" s="67"/>
      <c r="O78" s="78"/>
      <c r="P78" s="78"/>
      <c r="S78" s="78"/>
      <c r="T78" s="78"/>
      <c r="U78" s="79"/>
      <c r="V78" s="65"/>
      <c r="Y78" s="78"/>
      <c r="Z78" s="78"/>
      <c r="AA78" s="78"/>
      <c r="AB78" s="78"/>
      <c r="AC78" s="78"/>
      <c r="AD78" s="78"/>
      <c r="AE78" s="78"/>
      <c r="AF78" s="78"/>
      <c r="AG78" s="79"/>
      <c r="AH78" s="65"/>
      <c r="AJ78" s="161"/>
      <c r="AK78" s="78"/>
      <c r="AL78" s="78"/>
      <c r="AM78" s="78"/>
      <c r="AN78" s="78"/>
      <c r="AO78" s="78"/>
      <c r="AP78" s="78"/>
      <c r="AQ78" s="79"/>
      <c r="AR78" s="65"/>
      <c r="AT78" s="161"/>
      <c r="AU78" s="78"/>
      <c r="AV78" s="78"/>
      <c r="AW78" s="78"/>
      <c r="AX78" s="78"/>
      <c r="AY78" s="78"/>
      <c r="AZ78" s="79"/>
      <c r="BA78" s="65"/>
      <c r="BC78" s="161"/>
      <c r="BD78" s="78"/>
      <c r="BE78" s="78"/>
      <c r="BF78" s="78"/>
      <c r="BG78" s="78"/>
      <c r="BH78" s="78"/>
      <c r="BI78" s="78"/>
      <c r="BJ78" s="79"/>
      <c r="BK78" s="65"/>
      <c r="CU78" s="67"/>
      <c r="EC78" s="67"/>
      <c r="FK78" s="67"/>
      <c r="FL78" s="67"/>
      <c r="FM78" s="67"/>
      <c r="FN78" s="67"/>
      <c r="FO78" s="67"/>
      <c r="FP78" s="67"/>
      <c r="FQ78" s="67"/>
      <c r="FR78" s="67"/>
      <c r="FS78" s="67"/>
      <c r="FT78" s="67"/>
      <c r="FU78" s="67"/>
      <c r="FV78" s="67"/>
      <c r="FW78" s="67"/>
      <c r="FX78" s="67"/>
      <c r="FY78" s="67"/>
      <c r="FZ78" s="67"/>
      <c r="GA78" s="67"/>
      <c r="GB78" s="67"/>
      <c r="GC78" s="67"/>
      <c r="GD78" s="67"/>
      <c r="GE78" s="67"/>
      <c r="GF78" s="67"/>
      <c r="GG78" s="67"/>
      <c r="GH78" s="67"/>
      <c r="GI78" s="67"/>
      <c r="GJ78" s="67"/>
      <c r="GK78" s="67"/>
      <c r="GL78" s="67"/>
      <c r="GM78" s="67"/>
      <c r="GN78" s="67"/>
      <c r="GO78" s="67"/>
      <c r="GP78" s="67"/>
    </row>
    <row r="79" spans="5:198" s="66" customFormat="1">
      <c r="E79" s="67"/>
      <c r="G79" s="67"/>
      <c r="H79" s="67"/>
      <c r="I79" s="67"/>
      <c r="J79" s="67"/>
      <c r="K79" s="67"/>
      <c r="L79" s="67"/>
      <c r="M79" s="67"/>
      <c r="N79" s="67"/>
      <c r="O79" s="78"/>
      <c r="P79" s="78"/>
      <c r="S79" s="78"/>
      <c r="T79" s="78"/>
      <c r="U79" s="79"/>
      <c r="V79" s="65"/>
      <c r="Y79" s="78"/>
      <c r="Z79" s="78"/>
      <c r="AA79" s="78"/>
      <c r="AB79" s="78"/>
      <c r="AC79" s="78"/>
      <c r="AD79" s="78"/>
      <c r="AE79" s="78"/>
      <c r="AF79" s="78"/>
      <c r="AG79" s="79"/>
      <c r="AH79" s="65"/>
      <c r="AJ79" s="161"/>
      <c r="AK79" s="78"/>
      <c r="AL79" s="78"/>
      <c r="AM79" s="78"/>
      <c r="AN79" s="78"/>
      <c r="AO79" s="78"/>
      <c r="AP79" s="78"/>
      <c r="AQ79" s="79"/>
      <c r="AR79" s="65"/>
      <c r="AT79" s="161"/>
      <c r="AU79" s="78"/>
      <c r="AV79" s="78"/>
      <c r="AW79" s="78"/>
      <c r="AX79" s="78"/>
      <c r="AY79" s="78"/>
      <c r="AZ79" s="79"/>
      <c r="BA79" s="65"/>
      <c r="BC79" s="161"/>
      <c r="BD79" s="78"/>
      <c r="BE79" s="78"/>
      <c r="BF79" s="78"/>
      <c r="BG79" s="78"/>
      <c r="BH79" s="78"/>
      <c r="BI79" s="78"/>
      <c r="BJ79" s="79"/>
      <c r="BK79" s="65"/>
      <c r="CU79" s="67"/>
      <c r="EC79" s="67"/>
      <c r="FK79" s="67"/>
      <c r="FL79" s="67"/>
      <c r="FM79" s="67"/>
      <c r="FN79" s="67"/>
      <c r="FO79" s="67"/>
      <c r="FP79" s="67"/>
      <c r="FQ79" s="67"/>
      <c r="FR79" s="67"/>
      <c r="FS79" s="67"/>
      <c r="FT79" s="67"/>
      <c r="FU79" s="67"/>
      <c r="FV79" s="67"/>
      <c r="FW79" s="67"/>
      <c r="FX79" s="67"/>
      <c r="FY79" s="67"/>
      <c r="FZ79" s="67"/>
      <c r="GA79" s="67"/>
      <c r="GB79" s="67"/>
      <c r="GC79" s="67"/>
      <c r="GD79" s="67"/>
      <c r="GE79" s="67"/>
      <c r="GF79" s="67"/>
      <c r="GG79" s="67"/>
      <c r="GH79" s="67"/>
      <c r="GI79" s="67"/>
      <c r="GJ79" s="67"/>
      <c r="GK79" s="67"/>
      <c r="GL79" s="67"/>
      <c r="GM79" s="67"/>
      <c r="GN79" s="67"/>
      <c r="GO79" s="67"/>
      <c r="GP79" s="67"/>
    </row>
    <row r="80" spans="5:198" s="66" customFormat="1">
      <c r="E80" s="67"/>
      <c r="G80" s="67"/>
      <c r="H80" s="67"/>
      <c r="I80" s="67"/>
      <c r="J80" s="67"/>
      <c r="K80" s="67"/>
      <c r="L80" s="67"/>
      <c r="M80" s="67"/>
      <c r="N80" s="67"/>
      <c r="O80" s="78"/>
      <c r="P80" s="78"/>
      <c r="S80" s="78"/>
      <c r="T80" s="78"/>
      <c r="U80" s="79"/>
      <c r="V80" s="65"/>
      <c r="Y80" s="78"/>
      <c r="Z80" s="78"/>
      <c r="AA80" s="78"/>
      <c r="AB80" s="78"/>
      <c r="AC80" s="78"/>
      <c r="AD80" s="78"/>
      <c r="AE80" s="78"/>
      <c r="AF80" s="78"/>
      <c r="AG80" s="79"/>
      <c r="AH80" s="65"/>
      <c r="AJ80" s="161"/>
      <c r="AK80" s="78"/>
      <c r="AL80" s="78"/>
      <c r="AM80" s="78"/>
      <c r="AN80" s="78"/>
      <c r="AO80" s="78"/>
      <c r="AP80" s="78"/>
      <c r="AQ80" s="79"/>
      <c r="AR80" s="65"/>
      <c r="AT80" s="161"/>
      <c r="AU80" s="78"/>
      <c r="AV80" s="78"/>
      <c r="AW80" s="78"/>
      <c r="AX80" s="78"/>
      <c r="AY80" s="78"/>
      <c r="AZ80" s="79"/>
      <c r="BA80" s="65"/>
      <c r="BC80" s="161"/>
      <c r="BD80" s="78"/>
      <c r="BE80" s="78"/>
      <c r="BF80" s="78"/>
      <c r="BG80" s="78"/>
      <c r="BH80" s="78"/>
      <c r="BI80" s="78"/>
      <c r="BJ80" s="79"/>
      <c r="BK80" s="65"/>
      <c r="CU80" s="67"/>
      <c r="EC80" s="67"/>
      <c r="FK80" s="67"/>
      <c r="FL80" s="67"/>
      <c r="FM80" s="67"/>
      <c r="FN80" s="67"/>
      <c r="FO80" s="67"/>
      <c r="FP80" s="67"/>
      <c r="FQ80" s="67"/>
      <c r="FR80" s="67"/>
      <c r="FS80" s="67"/>
      <c r="FT80" s="67"/>
      <c r="FU80" s="67"/>
      <c r="FV80" s="67"/>
      <c r="FW80" s="67"/>
      <c r="FX80" s="67"/>
      <c r="FY80" s="67"/>
      <c r="FZ80" s="67"/>
      <c r="GA80" s="67"/>
      <c r="GB80" s="67"/>
      <c r="GC80" s="67"/>
      <c r="GD80" s="67"/>
      <c r="GE80" s="67"/>
      <c r="GF80" s="67"/>
      <c r="GG80" s="67"/>
      <c r="GH80" s="67"/>
      <c r="GI80" s="67"/>
      <c r="GJ80" s="67"/>
      <c r="GK80" s="67"/>
      <c r="GL80" s="67"/>
      <c r="GM80" s="67"/>
      <c r="GN80" s="67"/>
      <c r="GO80" s="67"/>
      <c r="GP80" s="67"/>
    </row>
    <row r="81" spans="5:198" s="66" customFormat="1">
      <c r="E81" s="67"/>
      <c r="G81" s="67"/>
      <c r="H81" s="67"/>
      <c r="I81" s="67"/>
      <c r="J81" s="67"/>
      <c r="K81" s="67"/>
      <c r="L81" s="67"/>
      <c r="M81" s="67"/>
      <c r="N81" s="67"/>
      <c r="O81" s="78"/>
      <c r="P81" s="78"/>
      <c r="S81" s="78"/>
      <c r="T81" s="78"/>
      <c r="U81" s="79"/>
      <c r="V81" s="65"/>
      <c r="Y81" s="78"/>
      <c r="Z81" s="78"/>
      <c r="AA81" s="78"/>
      <c r="AB81" s="78"/>
      <c r="AC81" s="78"/>
      <c r="AD81" s="78"/>
      <c r="AE81" s="78"/>
      <c r="AF81" s="78"/>
      <c r="AG81" s="79"/>
      <c r="AH81" s="65"/>
      <c r="AJ81" s="161"/>
      <c r="AK81" s="78"/>
      <c r="AL81" s="78"/>
      <c r="AM81" s="78"/>
      <c r="AN81" s="78"/>
      <c r="AO81" s="78"/>
      <c r="AP81" s="78"/>
      <c r="AQ81" s="79"/>
      <c r="AR81" s="65"/>
      <c r="AT81" s="161"/>
      <c r="AU81" s="78"/>
      <c r="AV81" s="78"/>
      <c r="AW81" s="78"/>
      <c r="AX81" s="78"/>
      <c r="AY81" s="78"/>
      <c r="AZ81" s="79"/>
      <c r="BA81" s="65"/>
      <c r="BC81" s="161"/>
      <c r="BD81" s="78"/>
      <c r="BE81" s="78"/>
      <c r="BF81" s="78"/>
      <c r="BG81" s="78"/>
      <c r="BH81" s="78"/>
      <c r="BI81" s="78"/>
      <c r="BJ81" s="79"/>
      <c r="BK81" s="65"/>
      <c r="CU81" s="67"/>
      <c r="EC81" s="67"/>
      <c r="FK81" s="67"/>
      <c r="FL81" s="67"/>
      <c r="FM81" s="67"/>
      <c r="FN81" s="67"/>
      <c r="FO81" s="67"/>
      <c r="FP81" s="67"/>
      <c r="FQ81" s="67"/>
      <c r="FR81" s="67"/>
      <c r="FS81" s="67"/>
      <c r="FT81" s="67"/>
      <c r="FU81" s="67"/>
      <c r="FV81" s="67"/>
      <c r="FW81" s="67"/>
      <c r="FX81" s="67"/>
      <c r="FY81" s="67"/>
      <c r="FZ81" s="67"/>
      <c r="GA81" s="67"/>
      <c r="GB81" s="67"/>
      <c r="GC81" s="67"/>
      <c r="GD81" s="67"/>
      <c r="GE81" s="67"/>
      <c r="GF81" s="67"/>
      <c r="GG81" s="67"/>
      <c r="GH81" s="67"/>
      <c r="GI81" s="67"/>
      <c r="GJ81" s="67"/>
      <c r="GK81" s="67"/>
      <c r="GL81" s="67"/>
      <c r="GM81" s="67"/>
      <c r="GN81" s="67"/>
      <c r="GO81" s="67"/>
      <c r="GP81" s="67"/>
    </row>
    <row r="82" spans="5:198" s="66" customFormat="1">
      <c r="E82" s="67"/>
      <c r="G82" s="67"/>
      <c r="H82" s="67"/>
      <c r="I82" s="67"/>
      <c r="J82" s="67"/>
      <c r="K82" s="67"/>
      <c r="L82" s="67"/>
      <c r="M82" s="67"/>
      <c r="N82" s="67"/>
      <c r="O82" s="78"/>
      <c r="P82" s="78"/>
      <c r="S82" s="78"/>
      <c r="T82" s="78"/>
      <c r="U82" s="79"/>
      <c r="V82" s="65"/>
      <c r="Y82" s="78"/>
      <c r="Z82" s="78"/>
      <c r="AA82" s="78"/>
      <c r="AB82" s="78"/>
      <c r="AC82" s="78"/>
      <c r="AD82" s="78"/>
      <c r="AE82" s="78"/>
      <c r="AF82" s="78"/>
      <c r="AG82" s="79"/>
      <c r="AH82" s="65"/>
      <c r="AJ82" s="161"/>
      <c r="AK82" s="78"/>
      <c r="AL82" s="78"/>
      <c r="AM82" s="78"/>
      <c r="AN82" s="78"/>
      <c r="AO82" s="78"/>
      <c r="AP82" s="78"/>
      <c r="AQ82" s="79"/>
      <c r="AR82" s="65"/>
      <c r="AT82" s="161"/>
      <c r="AU82" s="78"/>
      <c r="AV82" s="78"/>
      <c r="AW82" s="78"/>
      <c r="AX82" s="78"/>
      <c r="AY82" s="78"/>
      <c r="AZ82" s="79"/>
      <c r="BA82" s="65"/>
      <c r="BC82" s="161"/>
      <c r="BD82" s="78"/>
      <c r="BE82" s="78"/>
      <c r="BF82" s="78"/>
      <c r="BG82" s="78"/>
      <c r="BH82" s="78"/>
      <c r="BI82" s="78"/>
      <c r="BJ82" s="79"/>
      <c r="BK82" s="65"/>
      <c r="CU82" s="67"/>
      <c r="EC82" s="67"/>
      <c r="FK82" s="67"/>
      <c r="FL82" s="67"/>
      <c r="FM82" s="67"/>
      <c r="FN82" s="67"/>
      <c r="FO82" s="67"/>
      <c r="FP82" s="67"/>
      <c r="FQ82" s="67"/>
      <c r="FR82" s="67"/>
      <c r="FS82" s="67"/>
      <c r="FT82" s="67"/>
      <c r="FU82" s="67"/>
      <c r="FV82" s="67"/>
      <c r="FW82" s="67"/>
      <c r="FX82" s="67"/>
      <c r="FY82" s="67"/>
      <c r="FZ82" s="67"/>
      <c r="GA82" s="67"/>
      <c r="GB82" s="67"/>
      <c r="GC82" s="67"/>
      <c r="GD82" s="67"/>
      <c r="GE82" s="67"/>
      <c r="GF82" s="67"/>
      <c r="GG82" s="67"/>
      <c r="GH82" s="67"/>
      <c r="GI82" s="67"/>
      <c r="GJ82" s="67"/>
      <c r="GK82" s="67"/>
      <c r="GL82" s="67"/>
      <c r="GM82" s="67"/>
      <c r="GN82" s="67"/>
      <c r="GO82" s="67"/>
      <c r="GP82" s="67"/>
    </row>
    <row r="83" spans="5:198" s="66" customFormat="1">
      <c r="E83" s="67"/>
      <c r="G83" s="67"/>
      <c r="H83" s="67"/>
      <c r="I83" s="67"/>
      <c r="J83" s="67"/>
      <c r="K83" s="67"/>
      <c r="L83" s="67"/>
      <c r="M83" s="67"/>
      <c r="N83" s="67"/>
      <c r="O83" s="78"/>
      <c r="P83" s="78"/>
      <c r="S83" s="78"/>
      <c r="T83" s="78"/>
      <c r="U83" s="79"/>
      <c r="V83" s="65"/>
      <c r="Y83" s="78"/>
      <c r="Z83" s="78"/>
      <c r="AA83" s="78"/>
      <c r="AB83" s="78"/>
      <c r="AC83" s="78"/>
      <c r="AD83" s="78"/>
      <c r="AE83" s="78"/>
      <c r="AF83" s="78"/>
      <c r="AG83" s="79"/>
      <c r="AH83" s="65"/>
      <c r="AJ83" s="161"/>
      <c r="AK83" s="78"/>
      <c r="AL83" s="78"/>
      <c r="AM83" s="78"/>
      <c r="AN83" s="78"/>
      <c r="AO83" s="78"/>
      <c r="AP83" s="78"/>
      <c r="AQ83" s="79"/>
      <c r="AR83" s="65"/>
      <c r="AT83" s="161"/>
      <c r="AU83" s="78"/>
      <c r="AV83" s="78"/>
      <c r="AW83" s="78"/>
      <c r="AX83" s="78"/>
      <c r="AY83" s="78"/>
      <c r="AZ83" s="79"/>
      <c r="BA83" s="65"/>
      <c r="BC83" s="161"/>
      <c r="BD83" s="78"/>
      <c r="BE83" s="78"/>
      <c r="BF83" s="78"/>
      <c r="BG83" s="78"/>
      <c r="BH83" s="78"/>
      <c r="BI83" s="78"/>
      <c r="BJ83" s="79"/>
      <c r="BK83" s="65"/>
      <c r="CU83" s="67"/>
      <c r="EC83" s="67"/>
      <c r="FK83" s="67"/>
      <c r="FL83" s="67"/>
      <c r="FM83" s="67"/>
      <c r="FN83" s="67"/>
      <c r="FO83" s="67"/>
      <c r="FP83" s="67"/>
      <c r="FQ83" s="67"/>
      <c r="FR83" s="67"/>
      <c r="FS83" s="67"/>
      <c r="FT83" s="67"/>
      <c r="FU83" s="67"/>
      <c r="FV83" s="67"/>
      <c r="FW83" s="67"/>
      <c r="FX83" s="67"/>
      <c r="FY83" s="67"/>
      <c r="FZ83" s="67"/>
      <c r="GA83" s="67"/>
      <c r="GB83" s="67"/>
      <c r="GC83" s="67"/>
      <c r="GD83" s="67"/>
      <c r="GE83" s="67"/>
      <c r="GF83" s="67"/>
      <c r="GG83" s="67"/>
      <c r="GH83" s="67"/>
      <c r="GI83" s="67"/>
      <c r="GJ83" s="67"/>
      <c r="GK83" s="67"/>
      <c r="GL83" s="67"/>
      <c r="GM83" s="67"/>
      <c r="GN83" s="67"/>
      <c r="GO83" s="67"/>
      <c r="GP83" s="67"/>
    </row>
    <row r="84" spans="5:198" s="66" customFormat="1">
      <c r="E84" s="67"/>
      <c r="G84" s="67"/>
      <c r="H84" s="67"/>
      <c r="I84" s="67"/>
      <c r="J84" s="67"/>
      <c r="K84" s="67"/>
      <c r="L84" s="67"/>
      <c r="M84" s="67"/>
      <c r="N84" s="67"/>
      <c r="O84" s="78"/>
      <c r="P84" s="78"/>
      <c r="S84" s="78"/>
      <c r="T84" s="78"/>
      <c r="U84" s="79"/>
      <c r="V84" s="65"/>
      <c r="Y84" s="78"/>
      <c r="Z84" s="78"/>
      <c r="AA84" s="78"/>
      <c r="AB84" s="78"/>
      <c r="AC84" s="78"/>
      <c r="AD84" s="78"/>
      <c r="AE84" s="78"/>
      <c r="AF84" s="78"/>
      <c r="AG84" s="79"/>
      <c r="AH84" s="65"/>
      <c r="AJ84" s="161"/>
      <c r="AK84" s="78"/>
      <c r="AL84" s="78"/>
      <c r="AM84" s="78"/>
      <c r="AN84" s="78"/>
      <c r="AO84" s="78"/>
      <c r="AP84" s="78"/>
      <c r="AQ84" s="79"/>
      <c r="AR84" s="65"/>
      <c r="AT84" s="161"/>
      <c r="AU84" s="78"/>
      <c r="AV84" s="78"/>
      <c r="AW84" s="78"/>
      <c r="AX84" s="78"/>
      <c r="AY84" s="78"/>
      <c r="AZ84" s="79"/>
      <c r="BA84" s="65"/>
      <c r="BC84" s="161"/>
      <c r="BD84" s="78"/>
      <c r="BE84" s="78"/>
      <c r="BF84" s="78"/>
      <c r="BG84" s="78"/>
      <c r="BH84" s="78"/>
      <c r="BI84" s="78"/>
      <c r="BJ84" s="79"/>
      <c r="BK84" s="65"/>
      <c r="CU84" s="67"/>
      <c r="EC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</row>
    <row r="85" spans="5:198" s="66" customFormat="1">
      <c r="E85" s="67"/>
      <c r="G85" s="67"/>
      <c r="H85" s="67"/>
      <c r="I85" s="67"/>
      <c r="J85" s="67"/>
      <c r="K85" s="67"/>
      <c r="L85" s="67"/>
      <c r="M85" s="67"/>
      <c r="N85" s="67"/>
      <c r="O85" s="78"/>
      <c r="P85" s="78"/>
      <c r="S85" s="78"/>
      <c r="T85" s="78"/>
      <c r="U85" s="79"/>
      <c r="V85" s="65"/>
      <c r="Y85" s="78"/>
      <c r="Z85" s="78"/>
      <c r="AA85" s="78"/>
      <c r="AB85" s="78"/>
      <c r="AC85" s="78"/>
      <c r="AD85" s="78"/>
      <c r="AE85" s="78"/>
      <c r="AF85" s="78"/>
      <c r="AG85" s="79"/>
      <c r="AH85" s="65"/>
      <c r="AJ85" s="161"/>
      <c r="AK85" s="78"/>
      <c r="AL85" s="78"/>
      <c r="AM85" s="78"/>
      <c r="AN85" s="78"/>
      <c r="AO85" s="78"/>
      <c r="AP85" s="78"/>
      <c r="AQ85" s="79"/>
      <c r="AR85" s="65"/>
      <c r="AT85" s="161"/>
      <c r="AU85" s="78"/>
      <c r="AV85" s="78"/>
      <c r="AW85" s="78"/>
      <c r="AX85" s="78"/>
      <c r="AY85" s="78"/>
      <c r="AZ85" s="79"/>
      <c r="BA85" s="65"/>
      <c r="BC85" s="161"/>
      <c r="BD85" s="78"/>
      <c r="BE85" s="78"/>
      <c r="BF85" s="78"/>
      <c r="BG85" s="78"/>
      <c r="BH85" s="78"/>
      <c r="BI85" s="78"/>
      <c r="BJ85" s="79"/>
      <c r="BK85" s="65"/>
      <c r="CU85" s="67"/>
      <c r="EC85" s="67"/>
      <c r="FK85" s="67"/>
      <c r="FL85" s="67"/>
      <c r="FM85" s="67"/>
      <c r="FN85" s="67"/>
      <c r="FO85" s="67"/>
      <c r="FP85" s="67"/>
      <c r="FQ85" s="67"/>
      <c r="FR85" s="67"/>
      <c r="FS85" s="67"/>
      <c r="FT85" s="67"/>
      <c r="FU85" s="67"/>
      <c r="FV85" s="67"/>
      <c r="FW85" s="67"/>
      <c r="FX85" s="67"/>
      <c r="FY85" s="67"/>
      <c r="FZ85" s="67"/>
      <c r="GA85" s="67"/>
      <c r="GB85" s="67"/>
      <c r="GC85" s="67"/>
      <c r="GD85" s="67"/>
      <c r="GE85" s="67"/>
      <c r="GF85" s="67"/>
      <c r="GG85" s="67"/>
      <c r="GH85" s="67"/>
      <c r="GI85" s="67"/>
      <c r="GJ85" s="67"/>
      <c r="GK85" s="67"/>
      <c r="GL85" s="67"/>
      <c r="GM85" s="67"/>
      <c r="GN85" s="67"/>
      <c r="GO85" s="67"/>
      <c r="GP85" s="67"/>
    </row>
    <row r="86" spans="5:198" s="66" customFormat="1">
      <c r="E86" s="67"/>
      <c r="G86" s="67"/>
      <c r="H86" s="67"/>
      <c r="I86" s="67"/>
      <c r="J86" s="67"/>
      <c r="K86" s="67"/>
      <c r="L86" s="67"/>
      <c r="M86" s="67"/>
      <c r="N86" s="67"/>
      <c r="O86" s="78"/>
      <c r="P86" s="78"/>
      <c r="S86" s="78"/>
      <c r="T86" s="78"/>
      <c r="U86" s="79"/>
      <c r="V86" s="65"/>
      <c r="Y86" s="78"/>
      <c r="Z86" s="78"/>
      <c r="AA86" s="78"/>
      <c r="AB86" s="78"/>
      <c r="AC86" s="78"/>
      <c r="AD86" s="78"/>
      <c r="AE86" s="78"/>
      <c r="AF86" s="78"/>
      <c r="AG86" s="79"/>
      <c r="AH86" s="65"/>
      <c r="AJ86" s="161"/>
      <c r="AK86" s="78"/>
      <c r="AL86" s="78"/>
      <c r="AM86" s="78"/>
      <c r="AN86" s="78"/>
      <c r="AO86" s="78"/>
      <c r="AP86" s="78"/>
      <c r="AQ86" s="79"/>
      <c r="AR86" s="65"/>
      <c r="AT86" s="161"/>
      <c r="AU86" s="78"/>
      <c r="AV86" s="78"/>
      <c r="AW86" s="78"/>
      <c r="AX86" s="78"/>
      <c r="AY86" s="78"/>
      <c r="AZ86" s="79"/>
      <c r="BA86" s="65"/>
      <c r="BC86" s="161"/>
      <c r="BD86" s="78"/>
      <c r="BE86" s="78"/>
      <c r="BF86" s="78"/>
      <c r="BG86" s="78"/>
      <c r="BH86" s="78"/>
      <c r="BI86" s="78"/>
      <c r="BJ86" s="79"/>
      <c r="BK86" s="65"/>
      <c r="CU86" s="67"/>
      <c r="EC86" s="67"/>
      <c r="FK86" s="67"/>
      <c r="FL86" s="67"/>
      <c r="FM86" s="67"/>
      <c r="FN86" s="67"/>
      <c r="FO86" s="67"/>
      <c r="FP86" s="67"/>
      <c r="FQ86" s="67"/>
      <c r="FR86" s="67"/>
      <c r="FS86" s="67"/>
      <c r="FT86" s="67"/>
      <c r="FU86" s="67"/>
      <c r="FV86" s="67"/>
      <c r="FW86" s="67"/>
      <c r="FX86" s="67"/>
      <c r="FY86" s="67"/>
      <c r="FZ86" s="67"/>
      <c r="GA86" s="67"/>
      <c r="GB86" s="67"/>
      <c r="GC86" s="67"/>
      <c r="GD86" s="67"/>
      <c r="GE86" s="67"/>
      <c r="GF86" s="67"/>
      <c r="GG86" s="67"/>
      <c r="GH86" s="67"/>
      <c r="GI86" s="67"/>
      <c r="GJ86" s="67"/>
      <c r="GK86" s="67"/>
      <c r="GL86" s="67"/>
      <c r="GM86" s="67"/>
      <c r="GN86" s="67"/>
      <c r="GO86" s="67"/>
      <c r="GP86" s="67"/>
    </row>
    <row r="87" spans="5:198" s="66" customFormat="1">
      <c r="E87" s="67"/>
      <c r="G87" s="67"/>
      <c r="H87" s="67"/>
      <c r="I87" s="67"/>
      <c r="J87" s="67"/>
      <c r="K87" s="67"/>
      <c r="L87" s="67"/>
      <c r="M87" s="67"/>
      <c r="N87" s="67"/>
      <c r="O87" s="78"/>
      <c r="P87" s="78"/>
      <c r="S87" s="78"/>
      <c r="T87" s="78"/>
      <c r="U87" s="79"/>
      <c r="V87" s="65"/>
      <c r="Y87" s="78"/>
      <c r="Z87" s="78"/>
      <c r="AA87" s="78"/>
      <c r="AB87" s="78"/>
      <c r="AC87" s="78"/>
      <c r="AD87" s="78"/>
      <c r="AE87" s="78"/>
      <c r="AF87" s="78"/>
      <c r="AG87" s="79"/>
      <c r="AH87" s="65"/>
      <c r="AJ87" s="161"/>
      <c r="AK87" s="78"/>
      <c r="AL87" s="78"/>
      <c r="AM87" s="78"/>
      <c r="AN87" s="78"/>
      <c r="AO87" s="78"/>
      <c r="AP87" s="78"/>
      <c r="AQ87" s="79"/>
      <c r="AR87" s="65"/>
      <c r="AT87" s="161"/>
      <c r="AU87" s="78"/>
      <c r="AV87" s="78"/>
      <c r="AW87" s="78"/>
      <c r="AX87" s="78"/>
      <c r="AY87" s="78"/>
      <c r="AZ87" s="79"/>
      <c r="BA87" s="65"/>
      <c r="BC87" s="161"/>
      <c r="BD87" s="78"/>
      <c r="BE87" s="78"/>
      <c r="BF87" s="78"/>
      <c r="BG87" s="78"/>
      <c r="BH87" s="78"/>
      <c r="BI87" s="78"/>
      <c r="BJ87" s="79"/>
      <c r="BK87" s="65"/>
      <c r="CU87" s="67"/>
      <c r="EC87" s="67"/>
      <c r="FK87" s="67"/>
      <c r="FL87" s="67"/>
      <c r="FM87" s="67"/>
      <c r="FN87" s="67"/>
      <c r="FO87" s="67"/>
      <c r="FP87" s="67"/>
      <c r="FQ87" s="67"/>
      <c r="FR87" s="67"/>
      <c r="FS87" s="67"/>
      <c r="FT87" s="67"/>
      <c r="FU87" s="67"/>
      <c r="FV87" s="67"/>
      <c r="FW87" s="67"/>
      <c r="FX87" s="67"/>
      <c r="FY87" s="67"/>
      <c r="FZ87" s="67"/>
      <c r="GA87" s="67"/>
      <c r="GB87" s="67"/>
      <c r="GC87" s="67"/>
      <c r="GD87" s="67"/>
      <c r="GE87" s="67"/>
      <c r="GF87" s="67"/>
      <c r="GG87" s="67"/>
      <c r="GH87" s="67"/>
      <c r="GI87" s="67"/>
      <c r="GJ87" s="67"/>
      <c r="GK87" s="67"/>
      <c r="GL87" s="67"/>
      <c r="GM87" s="67"/>
      <c r="GN87" s="67"/>
      <c r="GO87" s="67"/>
      <c r="GP87" s="67"/>
    </row>
    <row r="88" spans="5:198" s="66" customFormat="1">
      <c r="E88" s="67"/>
      <c r="G88" s="67"/>
      <c r="H88" s="67"/>
      <c r="I88" s="67"/>
      <c r="J88" s="67"/>
      <c r="K88" s="67"/>
      <c r="L88" s="67"/>
      <c r="M88" s="67"/>
      <c r="N88" s="67"/>
      <c r="O88" s="78"/>
      <c r="P88" s="78"/>
      <c r="S88" s="78"/>
      <c r="T88" s="78"/>
      <c r="U88" s="79"/>
      <c r="V88" s="65"/>
      <c r="Y88" s="78"/>
      <c r="Z88" s="78"/>
      <c r="AA88" s="78"/>
      <c r="AB88" s="78"/>
      <c r="AC88" s="78"/>
      <c r="AD88" s="78"/>
      <c r="AE88" s="78"/>
      <c r="AF88" s="78"/>
      <c r="AG88" s="79"/>
      <c r="AH88" s="65"/>
      <c r="AJ88" s="161"/>
      <c r="AK88" s="78"/>
      <c r="AL88" s="78"/>
      <c r="AM88" s="78"/>
      <c r="AN88" s="78"/>
      <c r="AO88" s="78"/>
      <c r="AP88" s="78"/>
      <c r="AQ88" s="79"/>
      <c r="AR88" s="65"/>
      <c r="AT88" s="161"/>
      <c r="AU88" s="78"/>
      <c r="AV88" s="78"/>
      <c r="AW88" s="78"/>
      <c r="AX88" s="78"/>
      <c r="AY88" s="78"/>
      <c r="AZ88" s="79"/>
      <c r="BA88" s="65"/>
      <c r="BC88" s="161"/>
      <c r="BD88" s="78"/>
      <c r="BE88" s="78"/>
      <c r="BF88" s="78"/>
      <c r="BG88" s="78"/>
      <c r="BH88" s="78"/>
      <c r="BI88" s="78"/>
      <c r="BJ88" s="79"/>
      <c r="BK88" s="65"/>
      <c r="CU88" s="67"/>
      <c r="EC88" s="67"/>
      <c r="FK88" s="67"/>
      <c r="FL88" s="67"/>
      <c r="FM88" s="67"/>
      <c r="FN88" s="67"/>
      <c r="FO88" s="67"/>
      <c r="FP88" s="67"/>
      <c r="FQ88" s="67"/>
      <c r="FR88" s="67"/>
      <c r="FS88" s="67"/>
      <c r="FT88" s="67"/>
      <c r="FU88" s="67"/>
      <c r="FV88" s="67"/>
      <c r="FW88" s="67"/>
      <c r="FX88" s="67"/>
      <c r="FY88" s="67"/>
      <c r="FZ88" s="67"/>
      <c r="GA88" s="67"/>
      <c r="GB88" s="67"/>
      <c r="GC88" s="67"/>
      <c r="GD88" s="67"/>
      <c r="GE88" s="67"/>
      <c r="GF88" s="67"/>
      <c r="GG88" s="67"/>
      <c r="GH88" s="67"/>
      <c r="GI88" s="67"/>
      <c r="GJ88" s="67"/>
      <c r="GK88" s="67"/>
      <c r="GL88" s="67"/>
      <c r="GM88" s="67"/>
      <c r="GN88" s="67"/>
      <c r="GO88" s="67"/>
      <c r="GP88" s="67"/>
    </row>
    <row r="89" spans="5:198" s="66" customFormat="1">
      <c r="E89" s="67"/>
      <c r="G89" s="67"/>
      <c r="H89" s="67"/>
      <c r="I89" s="67"/>
      <c r="J89" s="67"/>
      <c r="K89" s="67"/>
      <c r="L89" s="67"/>
      <c r="M89" s="67"/>
      <c r="N89" s="67"/>
      <c r="O89" s="78"/>
      <c r="P89" s="78"/>
      <c r="S89" s="78"/>
      <c r="T89" s="78"/>
      <c r="U89" s="79"/>
      <c r="V89" s="65"/>
      <c r="Y89" s="78"/>
      <c r="Z89" s="78"/>
      <c r="AA89" s="78"/>
      <c r="AB89" s="78"/>
      <c r="AC89" s="78"/>
      <c r="AD89" s="78"/>
      <c r="AE89" s="78"/>
      <c r="AF89" s="78"/>
      <c r="AG89" s="79"/>
      <c r="AH89" s="65"/>
      <c r="AJ89" s="161"/>
      <c r="AK89" s="78"/>
      <c r="AL89" s="78"/>
      <c r="AM89" s="78"/>
      <c r="AN89" s="78"/>
      <c r="AO89" s="78"/>
      <c r="AP89" s="78"/>
      <c r="AQ89" s="79"/>
      <c r="AR89" s="65"/>
      <c r="AT89" s="161"/>
      <c r="AU89" s="78"/>
      <c r="AV89" s="78"/>
      <c r="AW89" s="78"/>
      <c r="AX89" s="78"/>
      <c r="AY89" s="78"/>
      <c r="AZ89" s="79"/>
      <c r="BA89" s="65"/>
      <c r="BC89" s="161"/>
      <c r="BD89" s="78"/>
      <c r="BE89" s="78"/>
      <c r="BF89" s="78"/>
      <c r="BG89" s="78"/>
      <c r="BH89" s="78"/>
      <c r="BI89" s="78"/>
      <c r="BJ89" s="79"/>
      <c r="BK89" s="65"/>
      <c r="CU89" s="67"/>
      <c r="EC89" s="67"/>
      <c r="FK89" s="67"/>
      <c r="FL89" s="67"/>
      <c r="FM89" s="67"/>
      <c r="FN89" s="67"/>
      <c r="FO89" s="67"/>
      <c r="FP89" s="67"/>
      <c r="FQ89" s="67"/>
      <c r="FR89" s="67"/>
      <c r="FS89" s="67"/>
      <c r="FT89" s="67"/>
      <c r="FU89" s="67"/>
      <c r="FV89" s="67"/>
      <c r="FW89" s="67"/>
      <c r="FX89" s="67"/>
      <c r="FY89" s="67"/>
      <c r="FZ89" s="67"/>
      <c r="GA89" s="67"/>
      <c r="GB89" s="67"/>
      <c r="GC89" s="67"/>
      <c r="GD89" s="67"/>
      <c r="GE89" s="67"/>
      <c r="GF89" s="67"/>
      <c r="GG89" s="67"/>
      <c r="GH89" s="67"/>
      <c r="GI89" s="67"/>
      <c r="GJ89" s="67"/>
      <c r="GK89" s="67"/>
      <c r="GL89" s="67"/>
      <c r="GM89" s="67"/>
      <c r="GN89" s="67"/>
      <c r="GO89" s="67"/>
      <c r="GP89" s="67"/>
    </row>
    <row r="90" spans="5:198" s="66" customFormat="1">
      <c r="E90" s="67"/>
      <c r="G90" s="67"/>
      <c r="H90" s="67"/>
      <c r="I90" s="67"/>
      <c r="J90" s="67"/>
      <c r="K90" s="67"/>
      <c r="L90" s="67"/>
      <c r="M90" s="67"/>
      <c r="N90" s="67"/>
      <c r="O90" s="78"/>
      <c r="P90" s="78"/>
      <c r="S90" s="78"/>
      <c r="T90" s="78"/>
      <c r="U90" s="79"/>
      <c r="V90" s="65"/>
      <c r="Y90" s="78"/>
      <c r="Z90" s="78"/>
      <c r="AA90" s="78"/>
      <c r="AB90" s="78"/>
      <c r="AC90" s="78"/>
      <c r="AD90" s="78"/>
      <c r="AE90" s="78"/>
      <c r="AF90" s="78"/>
      <c r="AG90" s="79"/>
      <c r="AH90" s="65"/>
      <c r="AJ90" s="161"/>
      <c r="AK90" s="78"/>
      <c r="AL90" s="78"/>
      <c r="AM90" s="78"/>
      <c r="AN90" s="78"/>
      <c r="AO90" s="78"/>
      <c r="AP90" s="78"/>
      <c r="AQ90" s="79"/>
      <c r="AR90" s="65"/>
      <c r="AT90" s="161"/>
      <c r="AU90" s="78"/>
      <c r="AV90" s="78"/>
      <c r="AW90" s="78"/>
      <c r="AX90" s="78"/>
      <c r="AY90" s="78"/>
      <c r="AZ90" s="79"/>
      <c r="BA90" s="65"/>
      <c r="BC90" s="161"/>
      <c r="BD90" s="78"/>
      <c r="BE90" s="78"/>
      <c r="BF90" s="78"/>
      <c r="BG90" s="78"/>
      <c r="BH90" s="78"/>
      <c r="BI90" s="78"/>
      <c r="BJ90" s="79"/>
      <c r="BK90" s="65"/>
      <c r="CU90" s="67"/>
      <c r="EC90" s="67"/>
      <c r="FK90" s="67"/>
      <c r="FL90" s="67"/>
      <c r="FM90" s="67"/>
      <c r="FN90" s="67"/>
      <c r="FO90" s="67"/>
      <c r="FP90" s="67"/>
      <c r="FQ90" s="67"/>
      <c r="FR90" s="67"/>
      <c r="FS90" s="67"/>
      <c r="FT90" s="67"/>
      <c r="FU90" s="67"/>
      <c r="FV90" s="67"/>
      <c r="FW90" s="67"/>
      <c r="FX90" s="67"/>
      <c r="FY90" s="67"/>
      <c r="FZ90" s="67"/>
      <c r="GA90" s="67"/>
      <c r="GB90" s="67"/>
      <c r="GC90" s="67"/>
      <c r="GD90" s="67"/>
      <c r="GE90" s="67"/>
      <c r="GF90" s="67"/>
      <c r="GG90" s="67"/>
      <c r="GH90" s="67"/>
      <c r="GI90" s="67"/>
      <c r="GJ90" s="67"/>
      <c r="GK90" s="67"/>
      <c r="GL90" s="67"/>
      <c r="GM90" s="67"/>
      <c r="GN90" s="67"/>
      <c r="GO90" s="67"/>
      <c r="GP90" s="67"/>
    </row>
    <row r="91" spans="5:198" s="66" customFormat="1">
      <c r="E91" s="67"/>
      <c r="G91" s="67"/>
      <c r="H91" s="67"/>
      <c r="I91" s="67"/>
      <c r="J91" s="67"/>
      <c r="K91" s="67"/>
      <c r="L91" s="67"/>
      <c r="M91" s="67"/>
      <c r="N91" s="67"/>
      <c r="O91" s="78"/>
      <c r="P91" s="78"/>
      <c r="S91" s="78"/>
      <c r="T91" s="78"/>
      <c r="U91" s="79"/>
      <c r="V91" s="65"/>
      <c r="Y91" s="78"/>
      <c r="Z91" s="78"/>
      <c r="AA91" s="78"/>
      <c r="AB91" s="78"/>
      <c r="AC91" s="78"/>
      <c r="AD91" s="78"/>
      <c r="AE91" s="78"/>
      <c r="AF91" s="78"/>
      <c r="AG91" s="79"/>
      <c r="AH91" s="65"/>
      <c r="AJ91" s="161"/>
      <c r="AK91" s="78"/>
      <c r="AL91" s="78"/>
      <c r="AM91" s="78"/>
      <c r="AN91" s="78"/>
      <c r="AO91" s="78"/>
      <c r="AP91" s="78"/>
      <c r="AQ91" s="79"/>
      <c r="AR91" s="65"/>
      <c r="AT91" s="161"/>
      <c r="AU91" s="78"/>
      <c r="AV91" s="78"/>
      <c r="AW91" s="78"/>
      <c r="AX91" s="78"/>
      <c r="AY91" s="78"/>
      <c r="AZ91" s="79"/>
      <c r="BA91" s="65"/>
      <c r="BC91" s="161"/>
      <c r="BD91" s="78"/>
      <c r="BE91" s="78"/>
      <c r="BF91" s="78"/>
      <c r="BG91" s="78"/>
      <c r="BH91" s="78"/>
      <c r="BI91" s="78"/>
      <c r="BJ91" s="79"/>
      <c r="BK91" s="65"/>
      <c r="CU91" s="67"/>
      <c r="EC91" s="67"/>
      <c r="FK91" s="67"/>
      <c r="FL91" s="67"/>
      <c r="FM91" s="67"/>
      <c r="FN91" s="67"/>
      <c r="FO91" s="67"/>
      <c r="FP91" s="67"/>
      <c r="FQ91" s="67"/>
      <c r="FR91" s="67"/>
      <c r="FS91" s="67"/>
      <c r="FT91" s="67"/>
      <c r="FU91" s="67"/>
      <c r="FV91" s="67"/>
      <c r="FW91" s="67"/>
      <c r="FX91" s="67"/>
      <c r="FY91" s="67"/>
      <c r="FZ91" s="67"/>
      <c r="GA91" s="67"/>
      <c r="GB91" s="67"/>
      <c r="GC91" s="67"/>
      <c r="GD91" s="67"/>
      <c r="GE91" s="67"/>
      <c r="GF91" s="67"/>
      <c r="GG91" s="67"/>
      <c r="GH91" s="67"/>
      <c r="GI91" s="67"/>
      <c r="GJ91" s="67"/>
      <c r="GK91" s="67"/>
      <c r="GL91" s="67"/>
      <c r="GM91" s="67"/>
      <c r="GN91" s="67"/>
      <c r="GO91" s="67"/>
      <c r="GP91" s="67"/>
    </row>
    <row r="92" spans="5:198" s="66" customFormat="1">
      <c r="E92" s="67"/>
      <c r="G92" s="67"/>
      <c r="H92" s="67"/>
      <c r="I92" s="67"/>
      <c r="J92" s="67"/>
      <c r="K92" s="67"/>
      <c r="L92" s="67"/>
      <c r="M92" s="67"/>
      <c r="N92" s="67"/>
      <c r="O92" s="78"/>
      <c r="P92" s="78"/>
      <c r="S92" s="78"/>
      <c r="T92" s="78"/>
      <c r="U92" s="79"/>
      <c r="V92" s="65"/>
      <c r="Y92" s="78"/>
      <c r="Z92" s="78"/>
      <c r="AA92" s="78"/>
      <c r="AB92" s="78"/>
      <c r="AC92" s="78"/>
      <c r="AD92" s="78"/>
      <c r="AE92" s="78"/>
      <c r="AF92" s="78"/>
      <c r="AG92" s="79"/>
      <c r="AH92" s="65"/>
      <c r="AJ92" s="161"/>
      <c r="AK92" s="78"/>
      <c r="AL92" s="78"/>
      <c r="AM92" s="78"/>
      <c r="AN92" s="78"/>
      <c r="AO92" s="78"/>
      <c r="AP92" s="78"/>
      <c r="AQ92" s="79"/>
      <c r="AR92" s="65"/>
      <c r="AT92" s="161"/>
      <c r="AU92" s="78"/>
      <c r="AV92" s="78"/>
      <c r="AW92" s="78"/>
      <c r="AX92" s="78"/>
      <c r="AY92" s="78"/>
      <c r="AZ92" s="79"/>
      <c r="BA92" s="65"/>
      <c r="BC92" s="161"/>
      <c r="BD92" s="78"/>
      <c r="BE92" s="78"/>
      <c r="BF92" s="78"/>
      <c r="BG92" s="78"/>
      <c r="BH92" s="78"/>
      <c r="BI92" s="78"/>
      <c r="BJ92" s="79"/>
      <c r="BK92" s="65"/>
      <c r="CU92" s="67"/>
      <c r="EC92" s="67"/>
      <c r="FK92" s="67"/>
      <c r="FL92" s="67"/>
      <c r="FM92" s="67"/>
      <c r="FN92" s="67"/>
      <c r="FO92" s="67"/>
      <c r="FP92" s="67"/>
      <c r="FQ92" s="67"/>
      <c r="FR92" s="67"/>
      <c r="FS92" s="67"/>
      <c r="FT92" s="67"/>
      <c r="FU92" s="67"/>
      <c r="FV92" s="67"/>
      <c r="FW92" s="67"/>
      <c r="FX92" s="67"/>
      <c r="FY92" s="67"/>
      <c r="FZ92" s="67"/>
      <c r="GA92" s="67"/>
      <c r="GB92" s="67"/>
      <c r="GC92" s="67"/>
      <c r="GD92" s="67"/>
      <c r="GE92" s="67"/>
      <c r="GF92" s="67"/>
      <c r="GG92" s="67"/>
      <c r="GH92" s="67"/>
      <c r="GI92" s="67"/>
      <c r="GJ92" s="67"/>
      <c r="GK92" s="67"/>
      <c r="GL92" s="67"/>
      <c r="GM92" s="67"/>
      <c r="GN92" s="67"/>
      <c r="GO92" s="67"/>
      <c r="GP92" s="67"/>
    </row>
    <row r="93" spans="5:198" s="66" customFormat="1">
      <c r="E93" s="67"/>
      <c r="G93" s="67"/>
      <c r="H93" s="67"/>
      <c r="I93" s="67"/>
      <c r="J93" s="67"/>
      <c r="K93" s="67"/>
      <c r="L93" s="67"/>
      <c r="M93" s="67"/>
      <c r="N93" s="67"/>
      <c r="O93" s="78"/>
      <c r="P93" s="78"/>
      <c r="S93" s="78"/>
      <c r="T93" s="78"/>
      <c r="U93" s="79"/>
      <c r="V93" s="65"/>
      <c r="Y93" s="78"/>
      <c r="Z93" s="78"/>
      <c r="AA93" s="78"/>
      <c r="AB93" s="78"/>
      <c r="AC93" s="78"/>
      <c r="AD93" s="78"/>
      <c r="AE93" s="78"/>
      <c r="AF93" s="78"/>
      <c r="AG93" s="79"/>
      <c r="AH93" s="65"/>
      <c r="AJ93" s="161"/>
      <c r="AK93" s="78"/>
      <c r="AL93" s="78"/>
      <c r="AM93" s="78"/>
      <c r="AN93" s="78"/>
      <c r="AO93" s="78"/>
      <c r="AP93" s="78"/>
      <c r="AQ93" s="79"/>
      <c r="AR93" s="65"/>
      <c r="AT93" s="161"/>
      <c r="AU93" s="78"/>
      <c r="AV93" s="78"/>
      <c r="AW93" s="78"/>
      <c r="AX93" s="78"/>
      <c r="AY93" s="78"/>
      <c r="AZ93" s="79"/>
      <c r="BA93" s="65"/>
      <c r="BC93" s="161"/>
      <c r="BD93" s="78"/>
      <c r="BE93" s="78"/>
      <c r="BF93" s="78"/>
      <c r="BG93" s="78"/>
      <c r="BH93" s="78"/>
      <c r="BI93" s="78"/>
      <c r="BJ93" s="79"/>
      <c r="BK93" s="65"/>
      <c r="CU93" s="67"/>
      <c r="EC93" s="67"/>
      <c r="FK93" s="67"/>
      <c r="FL93" s="67"/>
      <c r="FM93" s="67"/>
      <c r="FN93" s="67"/>
      <c r="FO93" s="67"/>
      <c r="FP93" s="67"/>
      <c r="FQ93" s="67"/>
      <c r="FR93" s="67"/>
      <c r="FS93" s="67"/>
      <c r="FT93" s="67"/>
      <c r="FU93" s="67"/>
      <c r="FV93" s="67"/>
      <c r="FW93" s="67"/>
      <c r="FX93" s="67"/>
      <c r="FY93" s="67"/>
      <c r="FZ93" s="67"/>
      <c r="GA93" s="67"/>
      <c r="GB93" s="67"/>
      <c r="GC93" s="67"/>
      <c r="GD93" s="67"/>
      <c r="GE93" s="67"/>
      <c r="GF93" s="67"/>
      <c r="GG93" s="67"/>
      <c r="GH93" s="67"/>
      <c r="GI93" s="67"/>
      <c r="GJ93" s="67"/>
      <c r="GK93" s="67"/>
      <c r="GL93" s="67"/>
      <c r="GM93" s="67"/>
      <c r="GN93" s="67"/>
      <c r="GO93" s="67"/>
      <c r="GP93" s="67"/>
    </row>
    <row r="94" spans="5:198" s="66" customFormat="1">
      <c r="E94" s="67"/>
      <c r="G94" s="67"/>
      <c r="H94" s="67"/>
      <c r="I94" s="67"/>
      <c r="J94" s="67"/>
      <c r="K94" s="67"/>
      <c r="L94" s="67"/>
      <c r="M94" s="67"/>
      <c r="N94" s="67"/>
      <c r="O94" s="78"/>
      <c r="P94" s="78"/>
      <c r="S94" s="78"/>
      <c r="T94" s="78"/>
      <c r="U94" s="79"/>
      <c r="V94" s="65"/>
      <c r="Y94" s="78"/>
      <c r="Z94" s="78"/>
      <c r="AA94" s="78"/>
      <c r="AB94" s="78"/>
      <c r="AC94" s="78"/>
      <c r="AD94" s="78"/>
      <c r="AE94" s="78"/>
      <c r="AF94" s="78"/>
      <c r="AG94" s="79"/>
      <c r="AH94" s="65"/>
      <c r="AJ94" s="161"/>
      <c r="AK94" s="78"/>
      <c r="AL94" s="78"/>
      <c r="AM94" s="78"/>
      <c r="AN94" s="78"/>
      <c r="AO94" s="78"/>
      <c r="AP94" s="78"/>
      <c r="AQ94" s="79"/>
      <c r="AR94" s="65"/>
      <c r="AT94" s="161"/>
      <c r="AU94" s="78"/>
      <c r="AV94" s="78"/>
      <c r="AW94" s="78"/>
      <c r="AX94" s="78"/>
      <c r="AY94" s="78"/>
      <c r="AZ94" s="79"/>
      <c r="BA94" s="65"/>
      <c r="BC94" s="161"/>
      <c r="BD94" s="78"/>
      <c r="BE94" s="78"/>
      <c r="BF94" s="78"/>
      <c r="BG94" s="78"/>
      <c r="BH94" s="78"/>
      <c r="BI94" s="78"/>
      <c r="BJ94" s="79"/>
      <c r="BK94" s="65"/>
      <c r="CU94" s="67"/>
      <c r="EC94" s="67"/>
      <c r="FK94" s="67"/>
      <c r="FL94" s="67"/>
      <c r="FM94" s="67"/>
      <c r="FN94" s="67"/>
      <c r="FO94" s="67"/>
      <c r="FP94" s="67"/>
      <c r="FQ94" s="67"/>
      <c r="FR94" s="67"/>
      <c r="FS94" s="67"/>
      <c r="FT94" s="67"/>
      <c r="FU94" s="67"/>
      <c r="FV94" s="67"/>
      <c r="FW94" s="67"/>
      <c r="FX94" s="67"/>
      <c r="FY94" s="67"/>
      <c r="FZ94" s="67"/>
      <c r="GA94" s="67"/>
      <c r="GB94" s="67"/>
      <c r="GC94" s="67"/>
      <c r="GD94" s="67"/>
      <c r="GE94" s="67"/>
      <c r="GF94" s="67"/>
      <c r="GG94" s="67"/>
      <c r="GH94" s="67"/>
      <c r="GI94" s="67"/>
      <c r="GJ94" s="67"/>
      <c r="GK94" s="67"/>
      <c r="GL94" s="67"/>
      <c r="GM94" s="67"/>
      <c r="GN94" s="67"/>
      <c r="GO94" s="67"/>
      <c r="GP94" s="67"/>
    </row>
    <row r="95" spans="5:198" s="66" customFormat="1">
      <c r="E95" s="67"/>
      <c r="G95" s="67"/>
      <c r="H95" s="67"/>
      <c r="I95" s="67"/>
      <c r="J95" s="67"/>
      <c r="K95" s="67"/>
      <c r="L95" s="67"/>
      <c r="M95" s="67"/>
      <c r="N95" s="67"/>
      <c r="O95" s="78"/>
      <c r="P95" s="78"/>
      <c r="S95" s="78"/>
      <c r="T95" s="78"/>
      <c r="U95" s="79"/>
      <c r="V95" s="65"/>
      <c r="Y95" s="78"/>
      <c r="Z95" s="78"/>
      <c r="AA95" s="78"/>
      <c r="AB95" s="78"/>
      <c r="AC95" s="78"/>
      <c r="AD95" s="78"/>
      <c r="AE95" s="78"/>
      <c r="AF95" s="78"/>
      <c r="AG95" s="79"/>
      <c r="AH95" s="65"/>
      <c r="AJ95" s="161"/>
      <c r="AK95" s="78"/>
      <c r="AL95" s="78"/>
      <c r="AM95" s="78"/>
      <c r="AN95" s="78"/>
      <c r="AO95" s="78"/>
      <c r="AP95" s="78"/>
      <c r="AQ95" s="79"/>
      <c r="AR95" s="65"/>
      <c r="AT95" s="161"/>
      <c r="AU95" s="78"/>
      <c r="AV95" s="78"/>
      <c r="AW95" s="78"/>
      <c r="AX95" s="78"/>
      <c r="AY95" s="78"/>
      <c r="AZ95" s="79"/>
      <c r="BA95" s="65"/>
      <c r="BC95" s="161"/>
      <c r="BD95" s="78"/>
      <c r="BE95" s="78"/>
      <c r="BF95" s="78"/>
      <c r="BG95" s="78"/>
      <c r="BH95" s="78"/>
      <c r="BI95" s="78"/>
      <c r="BJ95" s="79"/>
      <c r="BK95" s="65"/>
      <c r="CU95" s="67"/>
      <c r="EC95" s="67"/>
      <c r="FK95" s="67"/>
      <c r="FL95" s="67"/>
      <c r="FM95" s="67"/>
      <c r="FN95" s="67"/>
      <c r="FO95" s="67"/>
      <c r="FP95" s="67"/>
      <c r="FQ95" s="67"/>
      <c r="FR95" s="67"/>
      <c r="FS95" s="67"/>
      <c r="FT95" s="67"/>
      <c r="FU95" s="67"/>
      <c r="FV95" s="67"/>
      <c r="FW95" s="67"/>
      <c r="FX95" s="67"/>
      <c r="FY95" s="67"/>
      <c r="FZ95" s="67"/>
      <c r="GA95" s="67"/>
      <c r="GB95" s="67"/>
      <c r="GC95" s="67"/>
      <c r="GD95" s="67"/>
      <c r="GE95" s="67"/>
      <c r="GF95" s="67"/>
      <c r="GG95" s="67"/>
      <c r="GH95" s="67"/>
      <c r="GI95" s="67"/>
      <c r="GJ95" s="67"/>
      <c r="GK95" s="67"/>
      <c r="GL95" s="67"/>
      <c r="GM95" s="67"/>
      <c r="GN95" s="67"/>
      <c r="GO95" s="67"/>
      <c r="GP95" s="67"/>
    </row>
    <row r="96" spans="5:198" s="66" customFormat="1">
      <c r="E96" s="67"/>
      <c r="G96" s="67"/>
      <c r="H96" s="67"/>
      <c r="I96" s="67"/>
      <c r="J96" s="67"/>
      <c r="K96" s="67"/>
      <c r="L96" s="67"/>
      <c r="M96" s="67"/>
      <c r="N96" s="67"/>
      <c r="O96" s="78"/>
      <c r="P96" s="78"/>
      <c r="S96" s="78"/>
      <c r="T96" s="78"/>
      <c r="U96" s="79"/>
      <c r="V96" s="65"/>
      <c r="Y96" s="78"/>
      <c r="Z96" s="78"/>
      <c r="AA96" s="78"/>
      <c r="AB96" s="78"/>
      <c r="AC96" s="78"/>
      <c r="AD96" s="78"/>
      <c r="AE96" s="78"/>
      <c r="AF96" s="78"/>
      <c r="AG96" s="79"/>
      <c r="AH96" s="65"/>
      <c r="AJ96" s="161"/>
      <c r="AK96" s="78"/>
      <c r="AL96" s="78"/>
      <c r="AM96" s="78"/>
      <c r="AN96" s="78"/>
      <c r="AO96" s="78"/>
      <c r="AP96" s="78"/>
      <c r="AQ96" s="79"/>
      <c r="AR96" s="65"/>
      <c r="AT96" s="161"/>
      <c r="AU96" s="78"/>
      <c r="AV96" s="78"/>
      <c r="AW96" s="78"/>
      <c r="AX96" s="78"/>
      <c r="AY96" s="78"/>
      <c r="AZ96" s="79"/>
      <c r="BA96" s="65"/>
      <c r="BC96" s="161"/>
      <c r="BD96" s="78"/>
      <c r="BE96" s="78"/>
      <c r="BF96" s="78"/>
      <c r="BG96" s="78"/>
      <c r="BH96" s="78"/>
      <c r="BI96" s="78"/>
      <c r="BJ96" s="79"/>
      <c r="BK96" s="65"/>
      <c r="CU96" s="67"/>
      <c r="EC96" s="67"/>
      <c r="FK96" s="67"/>
      <c r="FL96" s="67"/>
      <c r="FM96" s="67"/>
      <c r="FN96" s="67"/>
      <c r="FO96" s="67"/>
      <c r="FP96" s="67"/>
      <c r="FQ96" s="67"/>
      <c r="FR96" s="67"/>
      <c r="FS96" s="67"/>
      <c r="FT96" s="67"/>
      <c r="FU96" s="67"/>
      <c r="FV96" s="67"/>
      <c r="FW96" s="67"/>
      <c r="FX96" s="67"/>
      <c r="FY96" s="67"/>
      <c r="FZ96" s="67"/>
      <c r="GA96" s="67"/>
      <c r="GB96" s="67"/>
      <c r="GC96" s="67"/>
      <c r="GD96" s="67"/>
      <c r="GE96" s="67"/>
      <c r="GF96" s="67"/>
      <c r="GG96" s="67"/>
      <c r="GH96" s="67"/>
      <c r="GI96" s="67"/>
      <c r="GJ96" s="67"/>
      <c r="GK96" s="67"/>
      <c r="GL96" s="67"/>
      <c r="GM96" s="67"/>
      <c r="GN96" s="67"/>
      <c r="GO96" s="67"/>
      <c r="GP96" s="67"/>
    </row>
    <row r="97" spans="5:198" s="66" customFormat="1">
      <c r="E97" s="67"/>
      <c r="G97" s="67"/>
      <c r="H97" s="67"/>
      <c r="I97" s="67"/>
      <c r="J97" s="67"/>
      <c r="K97" s="67"/>
      <c r="L97" s="67"/>
      <c r="M97" s="67"/>
      <c r="N97" s="67"/>
      <c r="O97" s="78"/>
      <c r="P97" s="78"/>
      <c r="S97" s="78"/>
      <c r="T97" s="78"/>
      <c r="U97" s="79"/>
      <c r="V97" s="65"/>
      <c r="Y97" s="78"/>
      <c r="Z97" s="78"/>
      <c r="AA97" s="78"/>
      <c r="AB97" s="78"/>
      <c r="AC97" s="78"/>
      <c r="AD97" s="78"/>
      <c r="AE97" s="78"/>
      <c r="AF97" s="78"/>
      <c r="AG97" s="79"/>
      <c r="AH97" s="65"/>
      <c r="AJ97" s="161"/>
      <c r="AK97" s="78"/>
      <c r="AL97" s="78"/>
      <c r="AM97" s="78"/>
      <c r="AN97" s="78"/>
      <c r="AO97" s="78"/>
      <c r="AP97" s="78"/>
      <c r="AQ97" s="79"/>
      <c r="AR97" s="65"/>
      <c r="AT97" s="161"/>
      <c r="AU97" s="78"/>
      <c r="AV97" s="78"/>
      <c r="AW97" s="78"/>
      <c r="AX97" s="78"/>
      <c r="AY97" s="78"/>
      <c r="AZ97" s="79"/>
      <c r="BA97" s="65"/>
      <c r="BC97" s="161"/>
      <c r="BD97" s="78"/>
      <c r="BE97" s="78"/>
      <c r="BF97" s="78"/>
      <c r="BG97" s="78"/>
      <c r="BH97" s="78"/>
      <c r="BI97" s="78"/>
      <c r="BJ97" s="79"/>
      <c r="BK97" s="65"/>
      <c r="CU97" s="67"/>
      <c r="EC97" s="67"/>
      <c r="FK97" s="67"/>
      <c r="FL97" s="67"/>
      <c r="FM97" s="67"/>
      <c r="FN97" s="67"/>
      <c r="FO97" s="67"/>
      <c r="FP97" s="67"/>
      <c r="FQ97" s="67"/>
      <c r="FR97" s="67"/>
      <c r="FS97" s="67"/>
      <c r="FT97" s="67"/>
      <c r="FU97" s="67"/>
      <c r="FV97" s="67"/>
      <c r="FW97" s="67"/>
      <c r="FX97" s="67"/>
      <c r="FY97" s="67"/>
      <c r="FZ97" s="67"/>
      <c r="GA97" s="67"/>
      <c r="GB97" s="67"/>
      <c r="GC97" s="67"/>
      <c r="GD97" s="67"/>
      <c r="GE97" s="67"/>
      <c r="GF97" s="67"/>
      <c r="GG97" s="67"/>
      <c r="GH97" s="67"/>
      <c r="GI97" s="67"/>
      <c r="GJ97" s="67"/>
      <c r="GK97" s="67"/>
      <c r="GL97" s="67"/>
      <c r="GM97" s="67"/>
      <c r="GN97" s="67"/>
      <c r="GO97" s="67"/>
      <c r="GP97" s="67"/>
    </row>
    <row r="98" spans="5:198" s="66" customFormat="1">
      <c r="E98" s="67"/>
      <c r="G98" s="67"/>
      <c r="H98" s="67"/>
      <c r="I98" s="67"/>
      <c r="J98" s="67"/>
      <c r="K98" s="67"/>
      <c r="L98" s="67"/>
      <c r="M98" s="67"/>
      <c r="N98" s="67"/>
      <c r="O98" s="78"/>
      <c r="P98" s="78"/>
      <c r="S98" s="78"/>
      <c r="T98" s="78"/>
      <c r="U98" s="79"/>
      <c r="V98" s="65"/>
      <c r="Y98" s="78"/>
      <c r="Z98" s="78"/>
      <c r="AA98" s="78"/>
      <c r="AB98" s="78"/>
      <c r="AC98" s="78"/>
      <c r="AD98" s="78"/>
      <c r="AE98" s="78"/>
      <c r="AF98" s="78"/>
      <c r="AG98" s="79"/>
      <c r="AH98" s="65"/>
      <c r="AJ98" s="161"/>
      <c r="AK98" s="78"/>
      <c r="AL98" s="78"/>
      <c r="AM98" s="78"/>
      <c r="AN98" s="78"/>
      <c r="AO98" s="78"/>
      <c r="AP98" s="78"/>
      <c r="AQ98" s="79"/>
      <c r="AR98" s="65"/>
      <c r="AT98" s="161"/>
      <c r="AU98" s="78"/>
      <c r="AV98" s="78"/>
      <c r="AW98" s="78"/>
      <c r="AX98" s="78"/>
      <c r="AY98" s="78"/>
      <c r="AZ98" s="79"/>
      <c r="BA98" s="65"/>
      <c r="BC98" s="161"/>
      <c r="BD98" s="78"/>
      <c r="BE98" s="78"/>
      <c r="BF98" s="78"/>
      <c r="BG98" s="78"/>
      <c r="BH98" s="78"/>
      <c r="BI98" s="78"/>
      <c r="BJ98" s="79"/>
      <c r="BK98" s="65"/>
      <c r="CU98" s="67"/>
      <c r="EC98" s="67"/>
      <c r="FK98" s="67"/>
      <c r="FL98" s="67"/>
      <c r="FM98" s="67"/>
      <c r="FN98" s="67"/>
      <c r="FO98" s="67"/>
      <c r="FP98" s="67"/>
      <c r="FQ98" s="67"/>
      <c r="FR98" s="67"/>
      <c r="FS98" s="67"/>
      <c r="FT98" s="67"/>
      <c r="FU98" s="67"/>
      <c r="FV98" s="67"/>
      <c r="FW98" s="67"/>
      <c r="FX98" s="67"/>
      <c r="FY98" s="67"/>
      <c r="FZ98" s="67"/>
      <c r="GA98" s="67"/>
      <c r="GB98" s="67"/>
      <c r="GC98" s="67"/>
      <c r="GD98" s="67"/>
      <c r="GE98" s="67"/>
      <c r="GF98" s="67"/>
      <c r="GG98" s="67"/>
      <c r="GH98" s="67"/>
      <c r="GI98" s="67"/>
      <c r="GJ98" s="67"/>
      <c r="GK98" s="67"/>
      <c r="GL98" s="67"/>
      <c r="GM98" s="67"/>
      <c r="GN98" s="67"/>
      <c r="GO98" s="67"/>
      <c r="GP98" s="67"/>
    </row>
    <row r="99" spans="5:198" s="66" customFormat="1">
      <c r="E99" s="67"/>
      <c r="G99" s="67"/>
      <c r="H99" s="67"/>
      <c r="I99" s="67"/>
      <c r="J99" s="67"/>
      <c r="K99" s="67"/>
      <c r="L99" s="67"/>
      <c r="M99" s="67"/>
      <c r="N99" s="67"/>
      <c r="O99" s="78"/>
      <c r="P99" s="78"/>
      <c r="S99" s="78"/>
      <c r="T99" s="78"/>
      <c r="U99" s="79"/>
      <c r="V99" s="65"/>
      <c r="Y99" s="78"/>
      <c r="Z99" s="78"/>
      <c r="AA99" s="78"/>
      <c r="AB99" s="78"/>
      <c r="AC99" s="78"/>
      <c r="AD99" s="78"/>
      <c r="AE99" s="78"/>
      <c r="AF99" s="78"/>
      <c r="AG99" s="79"/>
      <c r="AH99" s="65"/>
      <c r="AJ99" s="161"/>
      <c r="AK99" s="78"/>
      <c r="AL99" s="78"/>
      <c r="AM99" s="78"/>
      <c r="AN99" s="78"/>
      <c r="AO99" s="78"/>
      <c r="AP99" s="78"/>
      <c r="AQ99" s="79"/>
      <c r="AR99" s="65"/>
      <c r="AT99" s="161"/>
      <c r="AU99" s="78"/>
      <c r="AV99" s="78"/>
      <c r="AW99" s="78"/>
      <c r="AX99" s="78"/>
      <c r="AY99" s="78"/>
      <c r="AZ99" s="79"/>
      <c r="BA99" s="65"/>
      <c r="BC99" s="161"/>
      <c r="BD99" s="78"/>
      <c r="BE99" s="78"/>
      <c r="BF99" s="78"/>
      <c r="BG99" s="78"/>
      <c r="BH99" s="78"/>
      <c r="BI99" s="78"/>
      <c r="BJ99" s="79"/>
      <c r="BK99" s="65"/>
      <c r="CU99" s="67"/>
      <c r="EC99" s="67"/>
      <c r="FK99" s="67"/>
      <c r="FL99" s="67"/>
      <c r="FM99" s="67"/>
      <c r="FN99" s="67"/>
      <c r="FO99" s="67"/>
      <c r="FP99" s="67"/>
      <c r="FQ99" s="67"/>
      <c r="FR99" s="67"/>
      <c r="FS99" s="67"/>
      <c r="FT99" s="67"/>
      <c r="FU99" s="67"/>
      <c r="FV99" s="67"/>
      <c r="FW99" s="67"/>
      <c r="FX99" s="67"/>
      <c r="FY99" s="67"/>
      <c r="FZ99" s="67"/>
      <c r="GA99" s="67"/>
      <c r="GB99" s="67"/>
      <c r="GC99" s="67"/>
      <c r="GD99" s="67"/>
      <c r="GE99" s="67"/>
      <c r="GF99" s="67"/>
      <c r="GG99" s="67"/>
      <c r="GH99" s="67"/>
      <c r="GI99" s="67"/>
      <c r="GJ99" s="67"/>
      <c r="GK99" s="67"/>
      <c r="GL99" s="67"/>
      <c r="GM99" s="67"/>
      <c r="GN99" s="67"/>
      <c r="GO99" s="67"/>
      <c r="GP99" s="67"/>
    </row>
    <row r="100" spans="5:198" s="66" customFormat="1">
      <c r="E100" s="67"/>
      <c r="G100" s="67"/>
      <c r="H100" s="67"/>
      <c r="I100" s="67"/>
      <c r="J100" s="67"/>
      <c r="K100" s="67"/>
      <c r="L100" s="67"/>
      <c r="M100" s="67"/>
      <c r="N100" s="67"/>
      <c r="O100" s="78"/>
      <c r="P100" s="78"/>
      <c r="S100" s="78"/>
      <c r="T100" s="78"/>
      <c r="U100" s="79"/>
      <c r="V100" s="65"/>
      <c r="Y100" s="78"/>
      <c r="Z100" s="78"/>
      <c r="AA100" s="78"/>
      <c r="AB100" s="78"/>
      <c r="AC100" s="78"/>
      <c r="AD100" s="78"/>
      <c r="AE100" s="78"/>
      <c r="AF100" s="78"/>
      <c r="AG100" s="79"/>
      <c r="AH100" s="65"/>
      <c r="AJ100" s="161"/>
      <c r="AK100" s="78"/>
      <c r="AL100" s="78"/>
      <c r="AM100" s="78"/>
      <c r="AN100" s="78"/>
      <c r="AO100" s="78"/>
      <c r="AP100" s="78"/>
      <c r="AQ100" s="79"/>
      <c r="AR100" s="65"/>
      <c r="AT100" s="161"/>
      <c r="AU100" s="78"/>
      <c r="AV100" s="78"/>
      <c r="AW100" s="78"/>
      <c r="AX100" s="78"/>
      <c r="AY100" s="78"/>
      <c r="AZ100" s="79"/>
      <c r="BA100" s="65"/>
      <c r="BC100" s="161"/>
      <c r="BD100" s="78"/>
      <c r="BE100" s="78"/>
      <c r="BF100" s="78"/>
      <c r="BG100" s="78"/>
      <c r="BH100" s="78"/>
      <c r="BI100" s="78"/>
      <c r="BJ100" s="79"/>
      <c r="BK100" s="65"/>
      <c r="CU100" s="67"/>
      <c r="EC100" s="67"/>
      <c r="FK100" s="67"/>
      <c r="FL100" s="67"/>
      <c r="FM100" s="67"/>
      <c r="FN100" s="67"/>
      <c r="FO100" s="67"/>
      <c r="FP100" s="67"/>
      <c r="FQ100" s="67"/>
      <c r="FR100" s="67"/>
      <c r="FS100" s="67"/>
      <c r="FT100" s="67"/>
      <c r="FU100" s="67"/>
      <c r="FV100" s="67"/>
      <c r="FW100" s="67"/>
      <c r="FX100" s="67"/>
      <c r="FY100" s="67"/>
      <c r="FZ100" s="67"/>
      <c r="GA100" s="67"/>
      <c r="GB100" s="67"/>
      <c r="GC100" s="67"/>
      <c r="GD100" s="67"/>
      <c r="GE100" s="67"/>
      <c r="GF100" s="67"/>
      <c r="GG100" s="67"/>
      <c r="GH100" s="67"/>
      <c r="GI100" s="67"/>
      <c r="GJ100" s="67"/>
      <c r="GK100" s="67"/>
      <c r="GL100" s="67"/>
      <c r="GM100" s="67"/>
      <c r="GN100" s="67"/>
      <c r="GO100" s="67"/>
      <c r="GP100" s="67"/>
    </row>
    <row r="101" spans="5:198" s="66" customFormat="1">
      <c r="E101" s="67"/>
      <c r="G101" s="67"/>
      <c r="H101" s="67"/>
      <c r="I101" s="67"/>
      <c r="J101" s="67"/>
      <c r="K101" s="67"/>
      <c r="L101" s="67"/>
      <c r="M101" s="67"/>
      <c r="N101" s="67"/>
      <c r="O101" s="78"/>
      <c r="P101" s="78"/>
      <c r="S101" s="78"/>
      <c r="T101" s="78"/>
      <c r="U101" s="79"/>
      <c r="V101" s="65"/>
      <c r="Y101" s="78"/>
      <c r="Z101" s="78"/>
      <c r="AA101" s="78"/>
      <c r="AB101" s="78"/>
      <c r="AC101" s="78"/>
      <c r="AD101" s="78"/>
      <c r="AE101" s="78"/>
      <c r="AF101" s="78"/>
      <c r="AG101" s="79"/>
      <c r="AH101" s="65"/>
      <c r="AJ101" s="161"/>
      <c r="AK101" s="78"/>
      <c r="AL101" s="78"/>
      <c r="AM101" s="78"/>
      <c r="AN101" s="78"/>
      <c r="AO101" s="78"/>
      <c r="AP101" s="78"/>
      <c r="AQ101" s="79"/>
      <c r="AR101" s="65"/>
      <c r="AT101" s="161"/>
      <c r="AU101" s="78"/>
      <c r="AV101" s="78"/>
      <c r="AW101" s="78"/>
      <c r="AX101" s="78"/>
      <c r="AY101" s="78"/>
      <c r="AZ101" s="79"/>
      <c r="BA101" s="65"/>
      <c r="BC101" s="161"/>
      <c r="BD101" s="78"/>
      <c r="BE101" s="78"/>
      <c r="BF101" s="78"/>
      <c r="BG101" s="78"/>
      <c r="BH101" s="78"/>
      <c r="BI101" s="78"/>
      <c r="BJ101" s="79"/>
      <c r="BK101" s="65"/>
      <c r="CU101" s="67"/>
      <c r="EC101" s="67"/>
      <c r="FK101" s="67"/>
      <c r="FL101" s="67"/>
      <c r="FM101" s="67"/>
      <c r="FN101" s="67"/>
      <c r="FO101" s="67"/>
      <c r="FP101" s="67"/>
      <c r="FQ101" s="67"/>
      <c r="FR101" s="67"/>
      <c r="FS101" s="67"/>
      <c r="FT101" s="67"/>
      <c r="FU101" s="67"/>
      <c r="FV101" s="67"/>
      <c r="FW101" s="67"/>
      <c r="FX101" s="67"/>
      <c r="FY101" s="67"/>
      <c r="FZ101" s="67"/>
      <c r="GA101" s="67"/>
      <c r="GB101" s="67"/>
      <c r="GC101" s="67"/>
      <c r="GD101" s="67"/>
      <c r="GE101" s="67"/>
      <c r="GF101" s="67"/>
      <c r="GG101" s="67"/>
      <c r="GH101" s="67"/>
      <c r="GI101" s="67"/>
      <c r="GJ101" s="67"/>
      <c r="GK101" s="67"/>
      <c r="GL101" s="67"/>
      <c r="GM101" s="67"/>
      <c r="GN101" s="67"/>
      <c r="GO101" s="67"/>
      <c r="GP101" s="67"/>
    </row>
    <row r="102" spans="5:198" s="66" customFormat="1">
      <c r="E102" s="67"/>
      <c r="G102" s="67"/>
      <c r="H102" s="67"/>
      <c r="I102" s="67"/>
      <c r="J102" s="67"/>
      <c r="K102" s="67"/>
      <c r="L102" s="67"/>
      <c r="M102" s="67"/>
      <c r="N102" s="67"/>
      <c r="O102" s="78"/>
      <c r="P102" s="78"/>
      <c r="S102" s="78"/>
      <c r="T102" s="78"/>
      <c r="U102" s="79"/>
      <c r="V102" s="65"/>
      <c r="Y102" s="78"/>
      <c r="Z102" s="78"/>
      <c r="AA102" s="78"/>
      <c r="AB102" s="78"/>
      <c r="AC102" s="78"/>
      <c r="AD102" s="78"/>
      <c r="AE102" s="78"/>
      <c r="AF102" s="78"/>
      <c r="AG102" s="79"/>
      <c r="AH102" s="65"/>
      <c r="AJ102" s="85"/>
      <c r="AK102" s="78"/>
      <c r="AL102" s="78"/>
      <c r="AM102" s="78"/>
      <c r="AN102" s="78"/>
      <c r="AO102" s="78"/>
      <c r="AP102" s="78"/>
      <c r="AQ102" s="79"/>
      <c r="AR102" s="65"/>
      <c r="AT102" s="85"/>
      <c r="AU102" s="78"/>
      <c r="AV102" s="78"/>
      <c r="AW102" s="78"/>
      <c r="AX102" s="78"/>
      <c r="AY102" s="78"/>
      <c r="AZ102" s="79"/>
      <c r="BA102" s="65"/>
      <c r="BC102" s="85"/>
      <c r="BD102" s="78"/>
      <c r="BE102" s="78"/>
      <c r="BF102" s="78"/>
      <c r="BG102" s="78"/>
      <c r="BH102" s="78"/>
      <c r="BI102" s="78"/>
      <c r="BJ102" s="79"/>
      <c r="BK102" s="65"/>
      <c r="CU102" s="67"/>
      <c r="EC102" s="67"/>
      <c r="FK102" s="67"/>
      <c r="FL102" s="67"/>
      <c r="FM102" s="67"/>
      <c r="FN102" s="67"/>
      <c r="FO102" s="67"/>
      <c r="FP102" s="67"/>
      <c r="FQ102" s="67"/>
      <c r="FR102" s="67"/>
      <c r="FS102" s="67"/>
      <c r="FT102" s="67"/>
      <c r="FU102" s="67"/>
      <c r="FV102" s="67"/>
      <c r="FW102" s="67"/>
      <c r="FX102" s="67"/>
      <c r="FY102" s="67"/>
      <c r="FZ102" s="67"/>
      <c r="GA102" s="67"/>
      <c r="GB102" s="67"/>
      <c r="GC102" s="67"/>
      <c r="GD102" s="67"/>
      <c r="GE102" s="67"/>
      <c r="GF102" s="67"/>
      <c r="GG102" s="67"/>
      <c r="GH102" s="67"/>
      <c r="GI102" s="67"/>
      <c r="GJ102" s="67"/>
      <c r="GK102" s="67"/>
      <c r="GL102" s="67"/>
      <c r="GM102" s="67"/>
      <c r="GN102" s="67"/>
      <c r="GO102" s="67"/>
      <c r="GP102" s="67"/>
    </row>
    <row r="103" spans="5:198" s="66" customFormat="1">
      <c r="E103" s="67"/>
      <c r="G103" s="67"/>
      <c r="H103" s="67"/>
      <c r="I103" s="67"/>
      <c r="J103" s="67"/>
      <c r="K103" s="67"/>
      <c r="L103" s="67"/>
      <c r="M103" s="67"/>
      <c r="N103" s="67"/>
      <c r="O103" s="78"/>
      <c r="P103" s="78"/>
      <c r="S103" s="78"/>
      <c r="T103" s="78"/>
      <c r="U103" s="79"/>
      <c r="V103" s="65"/>
      <c r="Y103" s="78"/>
      <c r="Z103" s="78"/>
      <c r="AA103" s="78"/>
      <c r="AB103" s="78"/>
      <c r="AC103" s="78"/>
      <c r="AD103" s="78"/>
      <c r="AE103" s="78"/>
      <c r="AF103" s="78"/>
      <c r="AG103" s="79"/>
      <c r="AH103" s="65"/>
      <c r="AJ103" s="85"/>
      <c r="AK103" s="78"/>
      <c r="AL103" s="78"/>
      <c r="AM103" s="78"/>
      <c r="AN103" s="78"/>
      <c r="AO103" s="78"/>
      <c r="AP103" s="78"/>
      <c r="AQ103" s="79"/>
      <c r="AR103" s="65"/>
      <c r="AT103" s="85"/>
      <c r="AU103" s="78"/>
      <c r="AV103" s="78"/>
      <c r="AW103" s="78"/>
      <c r="AX103" s="78"/>
      <c r="AY103" s="78"/>
      <c r="AZ103" s="79"/>
      <c r="BA103" s="65"/>
      <c r="BC103" s="85"/>
      <c r="BD103" s="78"/>
      <c r="BE103" s="78"/>
      <c r="BF103" s="78"/>
      <c r="BG103" s="78"/>
      <c r="BH103" s="78"/>
      <c r="BI103" s="78"/>
      <c r="BJ103" s="79"/>
      <c r="BK103" s="65"/>
      <c r="CU103" s="67"/>
      <c r="EC103" s="67"/>
      <c r="FK103" s="67"/>
      <c r="FL103" s="67"/>
      <c r="FM103" s="67"/>
      <c r="FN103" s="67"/>
      <c r="FO103" s="67"/>
      <c r="FP103" s="67"/>
      <c r="FQ103" s="67"/>
      <c r="FR103" s="67"/>
      <c r="FS103" s="67"/>
      <c r="FT103" s="67"/>
      <c r="FU103" s="67"/>
      <c r="FV103" s="67"/>
      <c r="FW103" s="67"/>
      <c r="FX103" s="67"/>
      <c r="FY103" s="67"/>
      <c r="FZ103" s="67"/>
      <c r="GA103" s="67"/>
      <c r="GB103" s="67"/>
      <c r="GC103" s="67"/>
      <c r="GD103" s="67"/>
      <c r="GE103" s="67"/>
      <c r="GF103" s="67"/>
      <c r="GG103" s="67"/>
      <c r="GH103" s="67"/>
      <c r="GI103" s="67"/>
      <c r="GJ103" s="67"/>
      <c r="GK103" s="67"/>
      <c r="GL103" s="67"/>
      <c r="GM103" s="67"/>
      <c r="GN103" s="67"/>
      <c r="GO103" s="67"/>
      <c r="GP103" s="67"/>
    </row>
    <row r="104" spans="5:198" s="66" customFormat="1">
      <c r="E104" s="67"/>
      <c r="G104" s="67"/>
      <c r="H104" s="67"/>
      <c r="I104" s="67"/>
      <c r="J104" s="67"/>
      <c r="K104" s="67"/>
      <c r="L104" s="67"/>
      <c r="M104" s="67"/>
      <c r="N104" s="67"/>
      <c r="O104" s="78"/>
      <c r="P104" s="78"/>
      <c r="S104" s="78"/>
      <c r="T104" s="78"/>
      <c r="U104" s="79"/>
      <c r="V104" s="65"/>
      <c r="Y104" s="78"/>
      <c r="Z104" s="78"/>
      <c r="AA104" s="78"/>
      <c r="AB104" s="78"/>
      <c r="AC104" s="78"/>
      <c r="AD104" s="78"/>
      <c r="AE104" s="78"/>
      <c r="AF104" s="78"/>
      <c r="AG104" s="79"/>
      <c r="AH104" s="65"/>
      <c r="AJ104" s="85"/>
      <c r="AK104" s="78"/>
      <c r="AL104" s="78"/>
      <c r="AM104" s="78"/>
      <c r="AN104" s="78"/>
      <c r="AO104" s="78"/>
      <c r="AP104" s="78"/>
      <c r="AQ104" s="79"/>
      <c r="AR104" s="65"/>
      <c r="AT104" s="85"/>
      <c r="AU104" s="78"/>
      <c r="AV104" s="78"/>
      <c r="AW104" s="78"/>
      <c r="AX104" s="78"/>
      <c r="AY104" s="78"/>
      <c r="AZ104" s="79"/>
      <c r="BA104" s="65"/>
      <c r="BC104" s="85"/>
      <c r="BD104" s="78"/>
      <c r="BE104" s="78"/>
      <c r="BF104" s="78"/>
      <c r="BG104" s="78"/>
      <c r="BH104" s="78"/>
      <c r="BI104" s="78"/>
      <c r="BJ104" s="79"/>
      <c r="BK104" s="65"/>
      <c r="CU104" s="67"/>
      <c r="EC104" s="67"/>
      <c r="FK104" s="67"/>
      <c r="FL104" s="67"/>
      <c r="FM104" s="67"/>
      <c r="FN104" s="67"/>
      <c r="FO104" s="67"/>
      <c r="FP104" s="67"/>
      <c r="FQ104" s="67"/>
      <c r="FR104" s="67"/>
      <c r="FS104" s="67"/>
      <c r="FT104" s="67"/>
      <c r="FU104" s="67"/>
      <c r="FV104" s="67"/>
      <c r="FW104" s="67"/>
      <c r="FX104" s="67"/>
      <c r="FY104" s="67"/>
      <c r="FZ104" s="67"/>
      <c r="GA104" s="67"/>
      <c r="GB104" s="67"/>
      <c r="GC104" s="67"/>
      <c r="GD104" s="67"/>
      <c r="GE104" s="67"/>
      <c r="GF104" s="67"/>
      <c r="GG104" s="67"/>
      <c r="GH104" s="67"/>
      <c r="GI104" s="67"/>
      <c r="GJ104" s="67"/>
      <c r="GK104" s="67"/>
      <c r="GL104" s="67"/>
      <c r="GM104" s="67"/>
      <c r="GN104" s="67"/>
      <c r="GO104" s="67"/>
      <c r="GP104" s="67"/>
    </row>
    <row r="105" spans="5:198" s="66" customFormat="1">
      <c r="E105" s="67"/>
      <c r="G105" s="67"/>
      <c r="H105" s="67"/>
      <c r="I105" s="67"/>
      <c r="J105" s="67"/>
      <c r="K105" s="67"/>
      <c r="L105" s="67"/>
      <c r="M105" s="67"/>
      <c r="N105" s="67"/>
      <c r="O105" s="78"/>
      <c r="P105" s="78"/>
      <c r="S105" s="78"/>
      <c r="T105" s="78"/>
      <c r="U105" s="79"/>
      <c r="V105" s="65"/>
      <c r="Y105" s="78"/>
      <c r="Z105" s="78"/>
      <c r="AA105" s="78"/>
      <c r="AB105" s="78"/>
      <c r="AC105" s="78"/>
      <c r="AD105" s="78"/>
      <c r="AE105" s="78"/>
      <c r="AF105" s="78"/>
      <c r="AG105" s="79"/>
      <c r="AH105" s="65"/>
      <c r="AJ105" s="85"/>
      <c r="AK105" s="78"/>
      <c r="AL105" s="78"/>
      <c r="AM105" s="78"/>
      <c r="AN105" s="78"/>
      <c r="AO105" s="78"/>
      <c r="AP105" s="78"/>
      <c r="AQ105" s="79"/>
      <c r="AR105" s="65"/>
      <c r="AT105" s="85"/>
      <c r="AU105" s="78"/>
      <c r="AV105" s="78"/>
      <c r="AW105" s="78"/>
      <c r="AX105" s="78"/>
      <c r="AY105" s="78"/>
      <c r="AZ105" s="79"/>
      <c r="BA105" s="65"/>
      <c r="BC105" s="85"/>
      <c r="BD105" s="78"/>
      <c r="BE105" s="78"/>
      <c r="BF105" s="78"/>
      <c r="BG105" s="78"/>
      <c r="BH105" s="78"/>
      <c r="BI105" s="78"/>
      <c r="BJ105" s="79"/>
      <c r="BK105" s="65"/>
      <c r="CU105" s="67"/>
      <c r="EC105" s="67"/>
      <c r="FK105" s="67"/>
      <c r="FL105" s="67"/>
      <c r="FM105" s="67"/>
      <c r="FN105" s="67"/>
      <c r="FO105" s="67"/>
      <c r="FP105" s="67"/>
      <c r="FQ105" s="67"/>
      <c r="FR105" s="67"/>
      <c r="FS105" s="67"/>
      <c r="FT105" s="67"/>
      <c r="FU105" s="67"/>
      <c r="FV105" s="67"/>
      <c r="FW105" s="67"/>
      <c r="FX105" s="67"/>
      <c r="FY105" s="67"/>
      <c r="FZ105" s="67"/>
      <c r="GA105" s="67"/>
      <c r="GB105" s="67"/>
      <c r="GC105" s="67"/>
      <c r="GD105" s="67"/>
      <c r="GE105" s="67"/>
      <c r="GF105" s="67"/>
      <c r="GG105" s="67"/>
      <c r="GH105" s="67"/>
      <c r="GI105" s="67"/>
      <c r="GJ105" s="67"/>
      <c r="GK105" s="67"/>
      <c r="GL105" s="67"/>
      <c r="GM105" s="67"/>
      <c r="GN105" s="67"/>
      <c r="GO105" s="67"/>
      <c r="GP105" s="67"/>
    </row>
    <row r="106" spans="5:198" s="66" customFormat="1">
      <c r="E106" s="67"/>
      <c r="G106" s="67"/>
      <c r="H106" s="67"/>
      <c r="I106" s="67"/>
      <c r="J106" s="67"/>
      <c r="K106" s="67"/>
      <c r="L106" s="67"/>
      <c r="M106" s="67"/>
      <c r="N106" s="67"/>
      <c r="O106" s="78"/>
      <c r="P106" s="78"/>
      <c r="S106" s="78"/>
      <c r="T106" s="78"/>
      <c r="U106" s="79"/>
      <c r="V106" s="65"/>
      <c r="Y106" s="78"/>
      <c r="Z106" s="78"/>
      <c r="AA106" s="78"/>
      <c r="AB106" s="78"/>
      <c r="AC106" s="78"/>
      <c r="AD106" s="78"/>
      <c r="AE106" s="78"/>
      <c r="AF106" s="78"/>
      <c r="AG106" s="79"/>
      <c r="AH106" s="65"/>
      <c r="AJ106" s="85"/>
      <c r="AK106" s="78"/>
      <c r="AL106" s="78"/>
      <c r="AM106" s="78"/>
      <c r="AN106" s="78"/>
      <c r="AO106" s="78"/>
      <c r="AP106" s="78"/>
      <c r="AQ106" s="79"/>
      <c r="AR106" s="65"/>
      <c r="AT106" s="85"/>
      <c r="AU106" s="78"/>
      <c r="AV106" s="78"/>
      <c r="AW106" s="78"/>
      <c r="AX106" s="78"/>
      <c r="AY106" s="78"/>
      <c r="AZ106" s="79"/>
      <c r="BA106" s="65"/>
      <c r="BC106" s="85"/>
      <c r="BD106" s="78"/>
      <c r="BE106" s="78"/>
      <c r="BF106" s="78"/>
      <c r="BG106" s="78"/>
      <c r="BH106" s="78"/>
      <c r="BI106" s="78"/>
      <c r="BJ106" s="79"/>
      <c r="BK106" s="65"/>
      <c r="CU106" s="67"/>
      <c r="EC106" s="67"/>
      <c r="FK106" s="67"/>
      <c r="FL106" s="67"/>
      <c r="FM106" s="67"/>
      <c r="FN106" s="67"/>
      <c r="FO106" s="67"/>
      <c r="FP106" s="67"/>
      <c r="FQ106" s="67"/>
      <c r="FR106" s="67"/>
      <c r="FS106" s="67"/>
      <c r="FT106" s="67"/>
      <c r="FU106" s="67"/>
      <c r="FV106" s="67"/>
      <c r="FW106" s="67"/>
      <c r="FX106" s="67"/>
      <c r="FY106" s="67"/>
      <c r="FZ106" s="67"/>
      <c r="GA106" s="67"/>
      <c r="GB106" s="67"/>
      <c r="GC106" s="67"/>
      <c r="GD106" s="67"/>
      <c r="GE106" s="67"/>
      <c r="GF106" s="67"/>
      <c r="GG106" s="67"/>
      <c r="GH106" s="67"/>
      <c r="GI106" s="67"/>
      <c r="GJ106" s="67"/>
      <c r="GK106" s="67"/>
      <c r="GL106" s="67"/>
      <c r="GM106" s="67"/>
      <c r="GN106" s="67"/>
      <c r="GO106" s="67"/>
      <c r="GP106" s="67"/>
    </row>
    <row r="107" spans="5:198" s="66" customFormat="1">
      <c r="E107" s="67"/>
      <c r="G107" s="67"/>
      <c r="H107" s="67"/>
      <c r="I107" s="67"/>
      <c r="J107" s="67"/>
      <c r="K107" s="67"/>
      <c r="L107" s="67"/>
      <c r="M107" s="67"/>
      <c r="N107" s="67"/>
      <c r="O107" s="78"/>
      <c r="P107" s="78"/>
      <c r="S107" s="78"/>
      <c r="T107" s="78"/>
      <c r="U107" s="79"/>
      <c r="V107" s="65"/>
      <c r="Y107" s="78"/>
      <c r="Z107" s="78"/>
      <c r="AA107" s="78"/>
      <c r="AB107" s="78"/>
      <c r="AC107" s="78"/>
      <c r="AD107" s="78"/>
      <c r="AE107" s="78"/>
      <c r="AF107" s="78"/>
      <c r="AG107" s="79"/>
      <c r="AH107" s="65"/>
      <c r="AJ107" s="85"/>
      <c r="AK107" s="78"/>
      <c r="AL107" s="78"/>
      <c r="AM107" s="78"/>
      <c r="AN107" s="78"/>
      <c r="AO107" s="78"/>
      <c r="AP107" s="78"/>
      <c r="AQ107" s="79"/>
      <c r="AR107" s="65"/>
      <c r="AT107" s="85"/>
      <c r="AU107" s="78"/>
      <c r="AV107" s="78"/>
      <c r="AW107" s="78"/>
      <c r="AX107" s="78"/>
      <c r="AY107" s="78"/>
      <c r="AZ107" s="79"/>
      <c r="BA107" s="65"/>
      <c r="BC107" s="85"/>
      <c r="BD107" s="78"/>
      <c r="BE107" s="78"/>
      <c r="BF107" s="78"/>
      <c r="BG107" s="78"/>
      <c r="BH107" s="78"/>
      <c r="BI107" s="78"/>
      <c r="BJ107" s="79"/>
      <c r="BK107" s="65"/>
      <c r="CU107" s="67"/>
      <c r="EC107" s="67"/>
      <c r="FK107" s="67"/>
      <c r="FL107" s="67"/>
      <c r="FM107" s="67"/>
      <c r="FN107" s="67"/>
      <c r="FO107" s="67"/>
      <c r="FP107" s="67"/>
      <c r="FQ107" s="67"/>
      <c r="FR107" s="67"/>
      <c r="FS107" s="67"/>
      <c r="FT107" s="67"/>
      <c r="FU107" s="67"/>
      <c r="FV107" s="67"/>
      <c r="FW107" s="67"/>
      <c r="FX107" s="67"/>
      <c r="FY107" s="67"/>
      <c r="FZ107" s="67"/>
      <c r="GA107" s="67"/>
      <c r="GB107" s="67"/>
      <c r="GC107" s="67"/>
      <c r="GD107" s="67"/>
      <c r="GE107" s="67"/>
      <c r="GF107" s="67"/>
      <c r="GG107" s="67"/>
      <c r="GH107" s="67"/>
      <c r="GI107" s="67"/>
      <c r="GJ107" s="67"/>
      <c r="GK107" s="67"/>
      <c r="GL107" s="67"/>
      <c r="GM107" s="67"/>
      <c r="GN107" s="67"/>
      <c r="GO107" s="67"/>
      <c r="GP107" s="67"/>
    </row>
    <row r="108" spans="5:198" s="66" customFormat="1">
      <c r="E108" s="67"/>
      <c r="G108" s="67"/>
      <c r="H108" s="67"/>
      <c r="I108" s="67"/>
      <c r="J108" s="67"/>
      <c r="K108" s="67"/>
      <c r="L108" s="67"/>
      <c r="M108" s="67"/>
      <c r="N108" s="67"/>
      <c r="O108" s="78"/>
      <c r="P108" s="78"/>
      <c r="S108" s="78"/>
      <c r="T108" s="78"/>
      <c r="U108" s="79"/>
      <c r="V108" s="65"/>
      <c r="Y108" s="78"/>
      <c r="Z108" s="78"/>
      <c r="AA108" s="78"/>
      <c r="AB108" s="78"/>
      <c r="AC108" s="78"/>
      <c r="AD108" s="78"/>
      <c r="AE108" s="78"/>
      <c r="AF108" s="78"/>
      <c r="AG108" s="79"/>
      <c r="AH108" s="65"/>
      <c r="AJ108" s="85"/>
      <c r="AK108" s="78"/>
      <c r="AL108" s="78"/>
      <c r="AM108" s="78"/>
      <c r="AN108" s="78"/>
      <c r="AO108" s="78"/>
      <c r="AP108" s="78"/>
      <c r="AQ108" s="79"/>
      <c r="AR108" s="65"/>
      <c r="AT108" s="85"/>
      <c r="AU108" s="78"/>
      <c r="AV108" s="78"/>
      <c r="AW108" s="78"/>
      <c r="AX108" s="78"/>
      <c r="AY108" s="78"/>
      <c r="AZ108" s="79"/>
      <c r="BA108" s="65"/>
      <c r="BC108" s="85"/>
      <c r="BD108" s="78"/>
      <c r="BE108" s="78"/>
      <c r="BF108" s="78"/>
      <c r="BG108" s="78"/>
      <c r="BH108" s="78"/>
      <c r="BI108" s="78"/>
      <c r="BJ108" s="79"/>
      <c r="BK108" s="65"/>
      <c r="CU108" s="67"/>
      <c r="EC108" s="67"/>
      <c r="FK108" s="67"/>
      <c r="FL108" s="67"/>
      <c r="FM108" s="67"/>
      <c r="FN108" s="67"/>
      <c r="FO108" s="67"/>
      <c r="FP108" s="67"/>
      <c r="FQ108" s="67"/>
      <c r="FR108" s="67"/>
      <c r="FS108" s="67"/>
      <c r="FT108" s="67"/>
      <c r="FU108" s="67"/>
      <c r="FV108" s="67"/>
      <c r="FW108" s="67"/>
      <c r="FX108" s="67"/>
      <c r="FY108" s="67"/>
      <c r="FZ108" s="67"/>
      <c r="GA108" s="67"/>
      <c r="GB108" s="67"/>
      <c r="GC108" s="67"/>
      <c r="GD108" s="67"/>
      <c r="GE108" s="67"/>
      <c r="GF108" s="67"/>
      <c r="GG108" s="67"/>
      <c r="GH108" s="67"/>
      <c r="GI108" s="67"/>
      <c r="GJ108" s="67"/>
      <c r="GK108" s="67"/>
      <c r="GL108" s="67"/>
      <c r="GM108" s="67"/>
      <c r="GN108" s="67"/>
      <c r="GO108" s="67"/>
      <c r="GP108" s="67"/>
    </row>
    <row r="109" spans="5:198" s="66" customFormat="1">
      <c r="E109" s="67"/>
      <c r="G109" s="67"/>
      <c r="H109" s="67"/>
      <c r="I109" s="67"/>
      <c r="J109" s="67"/>
      <c r="K109" s="67"/>
      <c r="L109" s="67"/>
      <c r="M109" s="67"/>
      <c r="N109" s="67"/>
      <c r="O109" s="78"/>
      <c r="P109" s="78"/>
      <c r="S109" s="78"/>
      <c r="T109" s="78"/>
      <c r="U109" s="79"/>
      <c r="V109" s="65"/>
      <c r="Y109" s="78"/>
      <c r="Z109" s="78"/>
      <c r="AA109" s="78"/>
      <c r="AB109" s="78"/>
      <c r="AC109" s="78"/>
      <c r="AD109" s="78"/>
      <c r="AE109" s="78"/>
      <c r="AF109" s="78"/>
      <c r="AG109" s="79"/>
      <c r="AH109" s="65"/>
      <c r="AJ109" s="85"/>
      <c r="AK109" s="78"/>
      <c r="AL109" s="78"/>
      <c r="AM109" s="78"/>
      <c r="AN109" s="78"/>
      <c r="AO109" s="78"/>
      <c r="AP109" s="78"/>
      <c r="AQ109" s="79"/>
      <c r="AR109" s="65"/>
      <c r="AT109" s="85"/>
      <c r="AU109" s="78"/>
      <c r="AV109" s="78"/>
      <c r="AW109" s="78"/>
      <c r="AX109" s="78"/>
      <c r="AY109" s="78"/>
      <c r="AZ109" s="79"/>
      <c r="BA109" s="65"/>
      <c r="BC109" s="85"/>
      <c r="BD109" s="78"/>
      <c r="BE109" s="78"/>
      <c r="BF109" s="78"/>
      <c r="BG109" s="78"/>
      <c r="BH109" s="78"/>
      <c r="BI109" s="78"/>
      <c r="BJ109" s="79"/>
      <c r="BK109" s="65"/>
      <c r="CU109" s="67"/>
      <c r="EC109" s="67"/>
      <c r="FK109" s="67"/>
      <c r="FL109" s="67"/>
      <c r="FM109" s="67"/>
      <c r="FN109" s="67"/>
      <c r="FO109" s="67"/>
      <c r="FP109" s="67"/>
      <c r="FQ109" s="67"/>
      <c r="FR109" s="67"/>
      <c r="FS109" s="67"/>
      <c r="FT109" s="67"/>
      <c r="FU109" s="67"/>
      <c r="FV109" s="67"/>
      <c r="FW109" s="67"/>
      <c r="FX109" s="67"/>
      <c r="FY109" s="67"/>
      <c r="FZ109" s="67"/>
      <c r="GA109" s="67"/>
      <c r="GB109" s="67"/>
      <c r="GC109" s="67"/>
      <c r="GD109" s="67"/>
      <c r="GE109" s="67"/>
      <c r="GF109" s="67"/>
      <c r="GG109" s="67"/>
      <c r="GH109" s="67"/>
      <c r="GI109" s="67"/>
      <c r="GJ109" s="67"/>
      <c r="GK109" s="67"/>
      <c r="GL109" s="67"/>
      <c r="GM109" s="67"/>
      <c r="GN109" s="67"/>
      <c r="GO109" s="67"/>
      <c r="GP109" s="67"/>
    </row>
    <row r="110" spans="5:198" s="66" customFormat="1">
      <c r="E110" s="67"/>
      <c r="G110" s="67"/>
      <c r="H110" s="67"/>
      <c r="I110" s="67"/>
      <c r="J110" s="67"/>
      <c r="K110" s="67"/>
      <c r="L110" s="67"/>
      <c r="M110" s="67"/>
      <c r="N110" s="67"/>
      <c r="O110" s="78"/>
      <c r="P110" s="78"/>
      <c r="S110" s="78"/>
      <c r="T110" s="78"/>
      <c r="U110" s="79"/>
      <c r="V110" s="65"/>
      <c r="Y110" s="78"/>
      <c r="Z110" s="78"/>
      <c r="AA110" s="78"/>
      <c r="AB110" s="78"/>
      <c r="AC110" s="78"/>
      <c r="AD110" s="78"/>
      <c r="AE110" s="78"/>
      <c r="AF110" s="78"/>
      <c r="AG110" s="79"/>
      <c r="AH110" s="65"/>
      <c r="AJ110" s="85"/>
      <c r="AK110" s="78"/>
      <c r="AL110" s="78"/>
      <c r="AM110" s="78"/>
      <c r="AN110" s="78"/>
      <c r="AO110" s="78"/>
      <c r="AP110" s="78"/>
      <c r="AQ110" s="79"/>
      <c r="AR110" s="65"/>
      <c r="AT110" s="85"/>
      <c r="AU110" s="78"/>
      <c r="AV110" s="78"/>
      <c r="AW110" s="78"/>
      <c r="AX110" s="78"/>
      <c r="AY110" s="78"/>
      <c r="AZ110" s="79"/>
      <c r="BA110" s="65"/>
      <c r="BC110" s="85"/>
      <c r="BD110" s="78"/>
      <c r="BE110" s="78"/>
      <c r="BF110" s="78"/>
      <c r="BG110" s="78"/>
      <c r="BH110" s="78"/>
      <c r="BI110" s="78"/>
      <c r="BJ110" s="79"/>
      <c r="BK110" s="65"/>
      <c r="CU110" s="67"/>
      <c r="EC110" s="67"/>
      <c r="FK110" s="67"/>
      <c r="FL110" s="67"/>
      <c r="FM110" s="67"/>
      <c r="FN110" s="67"/>
      <c r="FO110" s="67"/>
      <c r="FP110" s="67"/>
      <c r="FQ110" s="67"/>
      <c r="FR110" s="67"/>
      <c r="FS110" s="67"/>
      <c r="FT110" s="67"/>
      <c r="FU110" s="67"/>
      <c r="FV110" s="67"/>
      <c r="FW110" s="67"/>
      <c r="FX110" s="67"/>
      <c r="FY110" s="67"/>
      <c r="FZ110" s="67"/>
      <c r="GA110" s="67"/>
      <c r="GB110" s="67"/>
      <c r="GC110" s="67"/>
      <c r="GD110" s="67"/>
      <c r="GE110" s="67"/>
      <c r="GF110" s="67"/>
      <c r="GG110" s="67"/>
      <c r="GH110" s="67"/>
      <c r="GI110" s="67"/>
      <c r="GJ110" s="67"/>
      <c r="GK110" s="67"/>
      <c r="GL110" s="67"/>
      <c r="GM110" s="67"/>
      <c r="GN110" s="67"/>
      <c r="GO110" s="67"/>
      <c r="GP110" s="67"/>
    </row>
    <row r="111" spans="5:198" s="66" customFormat="1">
      <c r="E111" s="67"/>
      <c r="G111" s="67"/>
      <c r="H111" s="67"/>
      <c r="I111" s="67"/>
      <c r="J111" s="67"/>
      <c r="K111" s="67"/>
      <c r="L111" s="67"/>
      <c r="M111" s="67"/>
      <c r="N111" s="67"/>
      <c r="O111" s="78"/>
      <c r="P111" s="78"/>
      <c r="S111" s="78"/>
      <c r="T111" s="78"/>
      <c r="U111" s="79"/>
      <c r="V111" s="65"/>
      <c r="Y111" s="78"/>
      <c r="Z111" s="78"/>
      <c r="AA111" s="78"/>
      <c r="AB111" s="78"/>
      <c r="AC111" s="78"/>
      <c r="AD111" s="78"/>
      <c r="AE111" s="78"/>
      <c r="AF111" s="78"/>
      <c r="AG111" s="79"/>
      <c r="AH111" s="65"/>
      <c r="AJ111" s="85"/>
      <c r="AK111" s="78"/>
      <c r="AL111" s="78"/>
      <c r="AM111" s="78"/>
      <c r="AN111" s="78"/>
      <c r="AO111" s="78"/>
      <c r="AP111" s="78"/>
      <c r="AQ111" s="79"/>
      <c r="AR111" s="65"/>
      <c r="AT111" s="85"/>
      <c r="AU111" s="78"/>
      <c r="AV111" s="78"/>
      <c r="AW111" s="78"/>
      <c r="AX111" s="78"/>
      <c r="AY111" s="78"/>
      <c r="AZ111" s="79"/>
      <c r="BA111" s="65"/>
      <c r="BC111" s="85"/>
      <c r="BD111" s="78"/>
      <c r="BE111" s="78"/>
      <c r="BF111" s="78"/>
      <c r="BG111" s="78"/>
      <c r="BH111" s="78"/>
      <c r="BI111" s="78"/>
      <c r="BJ111" s="79"/>
      <c r="BK111" s="65"/>
      <c r="CU111" s="67"/>
      <c r="EC111" s="67"/>
      <c r="FK111" s="67"/>
      <c r="FL111" s="67"/>
      <c r="FM111" s="67"/>
      <c r="FN111" s="67"/>
      <c r="FO111" s="67"/>
      <c r="FP111" s="67"/>
      <c r="FQ111" s="67"/>
      <c r="FR111" s="67"/>
      <c r="FS111" s="67"/>
      <c r="FT111" s="67"/>
      <c r="FU111" s="67"/>
      <c r="FV111" s="67"/>
      <c r="FW111" s="67"/>
      <c r="FX111" s="67"/>
      <c r="FY111" s="67"/>
      <c r="FZ111" s="67"/>
      <c r="GA111" s="67"/>
      <c r="GB111" s="67"/>
      <c r="GC111" s="67"/>
      <c r="GD111" s="67"/>
      <c r="GE111" s="67"/>
      <c r="GF111" s="67"/>
      <c r="GG111" s="67"/>
      <c r="GH111" s="67"/>
      <c r="GI111" s="67"/>
      <c r="GJ111" s="67"/>
      <c r="GK111" s="67"/>
      <c r="GL111" s="67"/>
      <c r="GM111" s="67"/>
      <c r="GN111" s="67"/>
      <c r="GO111" s="67"/>
      <c r="GP111" s="67"/>
    </row>
    <row r="112" spans="5:198" s="66" customFormat="1">
      <c r="E112" s="67"/>
      <c r="G112" s="67"/>
      <c r="H112" s="67"/>
      <c r="I112" s="67"/>
      <c r="J112" s="67"/>
      <c r="K112" s="67"/>
      <c r="L112" s="67"/>
      <c r="M112" s="67"/>
      <c r="N112" s="67"/>
      <c r="O112" s="78"/>
      <c r="P112" s="78"/>
      <c r="S112" s="78"/>
      <c r="T112" s="78"/>
      <c r="U112" s="79"/>
      <c r="V112" s="65"/>
      <c r="Y112" s="78"/>
      <c r="Z112" s="78"/>
      <c r="AA112" s="78"/>
      <c r="AB112" s="78"/>
      <c r="AC112" s="78"/>
      <c r="AD112" s="78"/>
      <c r="AE112" s="78"/>
      <c r="AF112" s="78"/>
      <c r="AG112" s="79"/>
      <c r="AH112" s="65"/>
      <c r="AJ112" s="85"/>
      <c r="AK112" s="78"/>
      <c r="AL112" s="78"/>
      <c r="AM112" s="78"/>
      <c r="AN112" s="78"/>
      <c r="AO112" s="78"/>
      <c r="AP112" s="78"/>
      <c r="AQ112" s="79"/>
      <c r="AR112" s="65"/>
      <c r="AT112" s="85"/>
      <c r="AU112" s="78"/>
      <c r="AV112" s="78"/>
      <c r="AW112" s="78"/>
      <c r="AX112" s="78"/>
      <c r="AY112" s="78"/>
      <c r="AZ112" s="79"/>
      <c r="BA112" s="65"/>
      <c r="BC112" s="85"/>
      <c r="BD112" s="78"/>
      <c r="BE112" s="78"/>
      <c r="BF112" s="78"/>
      <c r="BG112" s="78"/>
      <c r="BH112" s="78"/>
      <c r="BI112" s="78"/>
      <c r="BJ112" s="79"/>
      <c r="BK112" s="65"/>
      <c r="CU112" s="67"/>
      <c r="EC112" s="67"/>
      <c r="FK112" s="67"/>
      <c r="FL112" s="67"/>
      <c r="FM112" s="67"/>
      <c r="FN112" s="67"/>
      <c r="FO112" s="67"/>
      <c r="FP112" s="67"/>
      <c r="FQ112" s="67"/>
      <c r="FR112" s="67"/>
      <c r="FS112" s="67"/>
      <c r="FT112" s="67"/>
      <c r="FU112" s="67"/>
      <c r="FV112" s="67"/>
      <c r="FW112" s="67"/>
      <c r="FX112" s="67"/>
      <c r="FY112" s="67"/>
      <c r="FZ112" s="67"/>
      <c r="GA112" s="67"/>
      <c r="GB112" s="67"/>
      <c r="GC112" s="67"/>
      <c r="GD112" s="67"/>
      <c r="GE112" s="67"/>
      <c r="GF112" s="67"/>
      <c r="GG112" s="67"/>
      <c r="GH112" s="67"/>
      <c r="GI112" s="67"/>
      <c r="GJ112" s="67"/>
      <c r="GK112" s="67"/>
      <c r="GL112" s="67"/>
      <c r="GM112" s="67"/>
      <c r="GN112" s="67"/>
      <c r="GO112" s="67"/>
      <c r="GP112" s="67"/>
    </row>
    <row r="113" spans="5:198" s="66" customFormat="1">
      <c r="E113" s="67"/>
      <c r="G113" s="67"/>
      <c r="H113" s="67"/>
      <c r="I113" s="67"/>
      <c r="J113" s="67"/>
      <c r="K113" s="67"/>
      <c r="L113" s="67"/>
      <c r="M113" s="67"/>
      <c r="N113" s="67"/>
      <c r="O113" s="78"/>
      <c r="P113" s="78"/>
      <c r="S113" s="78"/>
      <c r="T113" s="78"/>
      <c r="U113" s="79"/>
      <c r="V113" s="65"/>
      <c r="Y113" s="78"/>
      <c r="Z113" s="78"/>
      <c r="AA113" s="78"/>
      <c r="AB113" s="78"/>
      <c r="AC113" s="78"/>
      <c r="AD113" s="78"/>
      <c r="AE113" s="78"/>
      <c r="AF113" s="78"/>
      <c r="AG113" s="79"/>
      <c r="AH113" s="65"/>
      <c r="AJ113" s="85"/>
      <c r="AK113" s="78"/>
      <c r="AL113" s="78"/>
      <c r="AM113" s="78"/>
      <c r="AN113" s="78"/>
      <c r="AO113" s="78"/>
      <c r="AP113" s="78"/>
      <c r="AQ113" s="79"/>
      <c r="AR113" s="65"/>
      <c r="AT113" s="85"/>
      <c r="AU113" s="78"/>
      <c r="AV113" s="78"/>
      <c r="AW113" s="78"/>
      <c r="AX113" s="78"/>
      <c r="AY113" s="78"/>
      <c r="AZ113" s="79"/>
      <c r="BA113" s="65"/>
      <c r="BC113" s="85"/>
      <c r="BD113" s="78"/>
      <c r="BE113" s="78"/>
      <c r="BF113" s="78"/>
      <c r="BG113" s="78"/>
      <c r="BH113" s="78"/>
      <c r="BI113" s="78"/>
      <c r="BJ113" s="79"/>
      <c r="BK113" s="65"/>
      <c r="CU113" s="67"/>
      <c r="EC113" s="67"/>
      <c r="FK113" s="67"/>
      <c r="FL113" s="67"/>
      <c r="FM113" s="67"/>
      <c r="FN113" s="67"/>
      <c r="FO113" s="67"/>
      <c r="FP113" s="67"/>
      <c r="FQ113" s="67"/>
      <c r="FR113" s="67"/>
      <c r="FS113" s="67"/>
      <c r="FT113" s="67"/>
      <c r="FU113" s="67"/>
      <c r="FV113" s="67"/>
      <c r="FW113" s="67"/>
      <c r="FX113" s="67"/>
      <c r="FY113" s="67"/>
      <c r="FZ113" s="67"/>
      <c r="GA113" s="67"/>
      <c r="GB113" s="67"/>
      <c r="GC113" s="67"/>
      <c r="GD113" s="67"/>
      <c r="GE113" s="67"/>
      <c r="GF113" s="67"/>
      <c r="GG113" s="67"/>
      <c r="GH113" s="67"/>
      <c r="GI113" s="67"/>
      <c r="GJ113" s="67"/>
      <c r="GK113" s="67"/>
      <c r="GL113" s="67"/>
      <c r="GM113" s="67"/>
      <c r="GN113" s="67"/>
      <c r="GO113" s="67"/>
      <c r="GP113" s="67"/>
    </row>
    <row r="114" spans="5:198" s="66" customFormat="1">
      <c r="E114" s="67"/>
      <c r="G114" s="67"/>
      <c r="H114" s="67"/>
      <c r="I114" s="67"/>
      <c r="J114" s="67"/>
      <c r="K114" s="67"/>
      <c r="L114" s="67"/>
      <c r="M114" s="67"/>
      <c r="N114" s="67"/>
      <c r="O114" s="78"/>
      <c r="P114" s="78"/>
      <c r="S114" s="78"/>
      <c r="T114" s="78"/>
      <c r="U114" s="79"/>
      <c r="V114" s="65"/>
      <c r="Y114" s="78"/>
      <c r="Z114" s="78"/>
      <c r="AA114" s="78"/>
      <c r="AB114" s="78"/>
      <c r="AC114" s="78"/>
      <c r="AD114" s="78"/>
      <c r="AE114" s="78"/>
      <c r="AF114" s="78"/>
      <c r="AG114" s="79"/>
      <c r="AH114" s="65"/>
      <c r="AJ114" s="85"/>
      <c r="AK114" s="78"/>
      <c r="AL114" s="78"/>
      <c r="AM114" s="78"/>
      <c r="AN114" s="78"/>
      <c r="AO114" s="78"/>
      <c r="AP114" s="78"/>
      <c r="AQ114" s="79"/>
      <c r="AR114" s="65"/>
      <c r="AT114" s="85"/>
      <c r="AU114" s="78"/>
      <c r="AV114" s="78"/>
      <c r="AW114" s="78"/>
      <c r="AX114" s="78"/>
      <c r="AY114" s="78"/>
      <c r="AZ114" s="79"/>
      <c r="BA114" s="65"/>
      <c r="BC114" s="85"/>
      <c r="BD114" s="78"/>
      <c r="BE114" s="78"/>
      <c r="BF114" s="78"/>
      <c r="BG114" s="78"/>
      <c r="BH114" s="78"/>
      <c r="BI114" s="78"/>
      <c r="BJ114" s="79"/>
      <c r="BK114" s="65"/>
      <c r="CU114" s="67"/>
      <c r="EC114" s="67"/>
      <c r="FK114" s="67"/>
      <c r="FL114" s="67"/>
      <c r="FM114" s="67"/>
      <c r="FN114" s="67"/>
      <c r="FO114" s="67"/>
      <c r="FP114" s="67"/>
      <c r="FQ114" s="67"/>
      <c r="FR114" s="67"/>
      <c r="FS114" s="67"/>
      <c r="FT114" s="67"/>
      <c r="FU114" s="67"/>
      <c r="FV114" s="67"/>
      <c r="FW114" s="67"/>
      <c r="FX114" s="67"/>
      <c r="FY114" s="67"/>
      <c r="FZ114" s="67"/>
      <c r="GA114" s="67"/>
      <c r="GB114" s="67"/>
      <c r="GC114" s="67"/>
      <c r="GD114" s="67"/>
      <c r="GE114" s="67"/>
      <c r="GF114" s="67"/>
      <c r="GG114" s="67"/>
      <c r="GH114" s="67"/>
      <c r="GI114" s="67"/>
      <c r="GJ114" s="67"/>
      <c r="GK114" s="67"/>
      <c r="GL114" s="67"/>
      <c r="GM114" s="67"/>
      <c r="GN114" s="67"/>
      <c r="GO114" s="67"/>
      <c r="GP114" s="67"/>
    </row>
    <row r="115" spans="5:198" s="66" customFormat="1">
      <c r="E115" s="67"/>
      <c r="G115" s="67"/>
      <c r="H115" s="67"/>
      <c r="I115" s="67"/>
      <c r="J115" s="67"/>
      <c r="K115" s="67"/>
      <c r="L115" s="67"/>
      <c r="M115" s="67"/>
      <c r="N115" s="67"/>
      <c r="O115" s="78"/>
      <c r="P115" s="78"/>
      <c r="S115" s="78"/>
      <c r="T115" s="78"/>
      <c r="U115" s="79"/>
      <c r="V115" s="65"/>
      <c r="Y115" s="78"/>
      <c r="Z115" s="78"/>
      <c r="AA115" s="78"/>
      <c r="AB115" s="78"/>
      <c r="AC115" s="78"/>
      <c r="AD115" s="78"/>
      <c r="AE115" s="78"/>
      <c r="AF115" s="78"/>
      <c r="AG115" s="79"/>
      <c r="AH115" s="65"/>
      <c r="AJ115" s="85"/>
      <c r="AK115" s="78"/>
      <c r="AL115" s="78"/>
      <c r="AM115" s="78"/>
      <c r="AN115" s="78"/>
      <c r="AO115" s="78"/>
      <c r="AP115" s="78"/>
      <c r="AQ115" s="79"/>
      <c r="AR115" s="65"/>
      <c r="AT115" s="85"/>
      <c r="AU115" s="78"/>
      <c r="AV115" s="78"/>
      <c r="AW115" s="78"/>
      <c r="AX115" s="78"/>
      <c r="AY115" s="78"/>
      <c r="AZ115" s="79"/>
      <c r="BA115" s="65"/>
      <c r="BC115" s="85"/>
      <c r="BD115" s="78"/>
      <c r="BE115" s="78"/>
      <c r="BF115" s="78"/>
      <c r="BG115" s="78"/>
      <c r="BH115" s="78"/>
      <c r="BI115" s="78"/>
      <c r="BJ115" s="79"/>
      <c r="BK115" s="65"/>
      <c r="CU115" s="67"/>
      <c r="EC115" s="67"/>
      <c r="FK115" s="67"/>
      <c r="FL115" s="67"/>
      <c r="FM115" s="67"/>
      <c r="FN115" s="67"/>
      <c r="FO115" s="67"/>
      <c r="FP115" s="67"/>
      <c r="FQ115" s="67"/>
      <c r="FR115" s="67"/>
      <c r="FS115" s="67"/>
      <c r="FT115" s="67"/>
      <c r="FU115" s="67"/>
      <c r="FV115" s="67"/>
      <c r="FW115" s="67"/>
      <c r="FX115" s="67"/>
      <c r="FY115" s="67"/>
      <c r="FZ115" s="67"/>
      <c r="GA115" s="67"/>
      <c r="GB115" s="67"/>
      <c r="GC115" s="67"/>
      <c r="GD115" s="67"/>
      <c r="GE115" s="67"/>
      <c r="GF115" s="67"/>
      <c r="GG115" s="67"/>
      <c r="GH115" s="67"/>
      <c r="GI115" s="67"/>
      <c r="GJ115" s="67"/>
      <c r="GK115" s="67"/>
      <c r="GL115" s="67"/>
      <c r="GM115" s="67"/>
      <c r="GN115" s="67"/>
      <c r="GO115" s="67"/>
      <c r="GP115" s="67"/>
    </row>
    <row r="116" spans="5:198" s="66" customFormat="1">
      <c r="E116" s="67"/>
      <c r="G116" s="67"/>
      <c r="H116" s="67"/>
      <c r="I116" s="67"/>
      <c r="J116" s="67"/>
      <c r="K116" s="67"/>
      <c r="L116" s="67"/>
      <c r="M116" s="67"/>
      <c r="N116" s="67"/>
      <c r="O116" s="78"/>
      <c r="P116" s="78"/>
      <c r="S116" s="78"/>
      <c r="T116" s="78"/>
      <c r="U116" s="79"/>
      <c r="V116" s="65"/>
      <c r="Y116" s="78"/>
      <c r="Z116" s="78"/>
      <c r="AA116" s="78"/>
      <c r="AB116" s="78"/>
      <c r="AC116" s="78"/>
      <c r="AD116" s="78"/>
      <c r="AE116" s="78"/>
      <c r="AF116" s="78"/>
      <c r="AG116" s="79"/>
      <c r="AH116" s="65"/>
      <c r="AJ116" s="85"/>
      <c r="AK116" s="78"/>
      <c r="AL116" s="78"/>
      <c r="AM116" s="78"/>
      <c r="AN116" s="78"/>
      <c r="AO116" s="78"/>
      <c r="AP116" s="78"/>
      <c r="AQ116" s="79"/>
      <c r="AR116" s="65"/>
      <c r="AT116" s="85"/>
      <c r="AU116" s="78"/>
      <c r="AV116" s="78"/>
      <c r="AW116" s="78"/>
      <c r="AX116" s="78"/>
      <c r="AY116" s="78"/>
      <c r="AZ116" s="79"/>
      <c r="BA116" s="65"/>
      <c r="BC116" s="85"/>
      <c r="BD116" s="78"/>
      <c r="BE116" s="78"/>
      <c r="BF116" s="78"/>
      <c r="BG116" s="78"/>
      <c r="BH116" s="78"/>
      <c r="BI116" s="78"/>
      <c r="BJ116" s="79"/>
      <c r="BK116" s="65"/>
      <c r="CU116" s="67"/>
      <c r="EC116" s="67"/>
      <c r="FK116" s="67"/>
      <c r="FL116" s="67"/>
      <c r="FM116" s="67"/>
      <c r="FN116" s="67"/>
      <c r="FO116" s="67"/>
      <c r="FP116" s="67"/>
      <c r="FQ116" s="67"/>
      <c r="FR116" s="67"/>
      <c r="FS116" s="67"/>
      <c r="FT116" s="67"/>
      <c r="FU116" s="67"/>
      <c r="FV116" s="67"/>
      <c r="FW116" s="67"/>
      <c r="FX116" s="67"/>
      <c r="FY116" s="67"/>
      <c r="FZ116" s="67"/>
      <c r="GA116" s="67"/>
      <c r="GB116" s="67"/>
      <c r="GC116" s="67"/>
      <c r="GD116" s="67"/>
      <c r="GE116" s="67"/>
      <c r="GF116" s="67"/>
      <c r="GG116" s="67"/>
      <c r="GH116" s="67"/>
      <c r="GI116" s="67"/>
      <c r="GJ116" s="67"/>
      <c r="GK116" s="67"/>
      <c r="GL116" s="67"/>
      <c r="GM116" s="67"/>
      <c r="GN116" s="67"/>
      <c r="GO116" s="67"/>
      <c r="GP116" s="67"/>
    </row>
    <row r="117" spans="5:198" s="66" customFormat="1">
      <c r="E117" s="67"/>
      <c r="G117" s="67"/>
      <c r="H117" s="67"/>
      <c r="I117" s="67"/>
      <c r="J117" s="67"/>
      <c r="K117" s="67"/>
      <c r="L117" s="67"/>
      <c r="M117" s="67"/>
      <c r="N117" s="67"/>
      <c r="O117" s="78"/>
      <c r="P117" s="78"/>
      <c r="S117" s="78"/>
      <c r="T117" s="78"/>
      <c r="U117" s="79"/>
      <c r="V117" s="65"/>
      <c r="Y117" s="78"/>
      <c r="Z117" s="78"/>
      <c r="AA117" s="78"/>
      <c r="AB117" s="78"/>
      <c r="AC117" s="78"/>
      <c r="AD117" s="78"/>
      <c r="AE117" s="78"/>
      <c r="AF117" s="78"/>
      <c r="AG117" s="79"/>
      <c r="AH117" s="65"/>
      <c r="AJ117" s="85"/>
      <c r="AK117" s="78"/>
      <c r="AL117" s="78"/>
      <c r="AM117" s="78"/>
      <c r="AN117" s="78"/>
      <c r="AO117" s="78"/>
      <c r="AP117" s="78"/>
      <c r="AQ117" s="79"/>
      <c r="AR117" s="65"/>
      <c r="AT117" s="85"/>
      <c r="AU117" s="78"/>
      <c r="AV117" s="78"/>
      <c r="AW117" s="78"/>
      <c r="AX117" s="78"/>
      <c r="AY117" s="78"/>
      <c r="AZ117" s="79"/>
      <c r="BA117" s="65"/>
      <c r="BC117" s="85"/>
      <c r="BD117" s="78"/>
      <c r="BE117" s="78"/>
      <c r="BF117" s="78"/>
      <c r="BG117" s="78"/>
      <c r="BH117" s="78"/>
      <c r="BI117" s="78"/>
      <c r="BJ117" s="79"/>
      <c r="BK117" s="65"/>
      <c r="CU117" s="67"/>
      <c r="EC117" s="67"/>
      <c r="FK117" s="67"/>
      <c r="FL117" s="67"/>
      <c r="FM117" s="67"/>
      <c r="FN117" s="67"/>
      <c r="FO117" s="67"/>
      <c r="FP117" s="67"/>
      <c r="FQ117" s="67"/>
      <c r="FR117" s="67"/>
      <c r="FS117" s="67"/>
      <c r="FT117" s="67"/>
      <c r="FU117" s="67"/>
      <c r="FV117" s="67"/>
      <c r="FW117" s="67"/>
      <c r="FX117" s="67"/>
      <c r="FY117" s="67"/>
      <c r="FZ117" s="67"/>
      <c r="GA117" s="67"/>
      <c r="GB117" s="67"/>
      <c r="GC117" s="67"/>
      <c r="GD117" s="67"/>
      <c r="GE117" s="67"/>
      <c r="GF117" s="67"/>
      <c r="GG117" s="67"/>
      <c r="GH117" s="67"/>
      <c r="GI117" s="67"/>
      <c r="GJ117" s="67"/>
      <c r="GK117" s="67"/>
      <c r="GL117" s="67"/>
      <c r="GM117" s="67"/>
      <c r="GN117" s="67"/>
      <c r="GO117" s="67"/>
      <c r="GP117" s="67"/>
    </row>
    <row r="118" spans="5:198" s="66" customFormat="1">
      <c r="E118" s="67"/>
      <c r="G118" s="67"/>
      <c r="H118" s="67"/>
      <c r="I118" s="67"/>
      <c r="J118" s="67"/>
      <c r="K118" s="67"/>
      <c r="L118" s="67"/>
      <c r="M118" s="67"/>
      <c r="N118" s="67"/>
      <c r="O118" s="78"/>
      <c r="P118" s="78"/>
      <c r="S118" s="78"/>
      <c r="T118" s="78"/>
      <c r="U118" s="79"/>
      <c r="V118" s="65"/>
      <c r="Y118" s="78"/>
      <c r="Z118" s="78"/>
      <c r="AA118" s="78"/>
      <c r="AB118" s="78"/>
      <c r="AC118" s="78"/>
      <c r="AD118" s="78"/>
      <c r="AE118" s="78"/>
      <c r="AF118" s="78"/>
      <c r="AG118" s="79"/>
      <c r="AH118" s="65"/>
      <c r="AJ118" s="85"/>
      <c r="AK118" s="78"/>
      <c r="AL118" s="78"/>
      <c r="AM118" s="78"/>
      <c r="AN118" s="78"/>
      <c r="AO118" s="78"/>
      <c r="AP118" s="78"/>
      <c r="AQ118" s="79"/>
      <c r="AR118" s="65"/>
      <c r="AT118" s="85"/>
      <c r="AU118" s="78"/>
      <c r="AV118" s="78"/>
      <c r="AW118" s="78"/>
      <c r="AX118" s="78"/>
      <c r="AY118" s="78"/>
      <c r="AZ118" s="79"/>
      <c r="BA118" s="65"/>
      <c r="BC118" s="85"/>
      <c r="BD118" s="78"/>
      <c r="BE118" s="78"/>
      <c r="BF118" s="78"/>
      <c r="BG118" s="78"/>
      <c r="BH118" s="78"/>
      <c r="BI118" s="78"/>
      <c r="BJ118" s="79"/>
      <c r="BK118" s="65"/>
      <c r="CU118" s="67"/>
      <c r="EC118" s="67"/>
      <c r="FK118" s="67"/>
      <c r="FL118" s="67"/>
      <c r="FM118" s="67"/>
      <c r="FN118" s="67"/>
      <c r="FO118" s="67"/>
      <c r="FP118" s="67"/>
      <c r="FQ118" s="67"/>
      <c r="FR118" s="67"/>
      <c r="FS118" s="67"/>
      <c r="FT118" s="67"/>
      <c r="FU118" s="67"/>
      <c r="FV118" s="67"/>
      <c r="FW118" s="67"/>
      <c r="FX118" s="67"/>
      <c r="FY118" s="67"/>
      <c r="FZ118" s="67"/>
      <c r="GA118" s="67"/>
      <c r="GB118" s="67"/>
      <c r="GC118" s="67"/>
      <c r="GD118" s="67"/>
      <c r="GE118" s="67"/>
      <c r="GF118" s="67"/>
      <c r="GG118" s="67"/>
      <c r="GH118" s="67"/>
      <c r="GI118" s="67"/>
      <c r="GJ118" s="67"/>
      <c r="GK118" s="67"/>
      <c r="GL118" s="67"/>
      <c r="GM118" s="67"/>
      <c r="GN118" s="67"/>
      <c r="GO118" s="67"/>
      <c r="GP118" s="67"/>
    </row>
    <row r="119" spans="5:198" s="66" customFormat="1">
      <c r="E119" s="67"/>
      <c r="G119" s="67"/>
      <c r="H119" s="67"/>
      <c r="I119" s="67"/>
      <c r="J119" s="67"/>
      <c r="K119" s="67"/>
      <c r="L119" s="67"/>
      <c r="M119" s="67"/>
      <c r="N119" s="67"/>
      <c r="O119" s="78"/>
      <c r="P119" s="78"/>
      <c r="S119" s="78"/>
      <c r="T119" s="78"/>
      <c r="U119" s="79"/>
      <c r="V119" s="65"/>
      <c r="Y119" s="78"/>
      <c r="Z119" s="78"/>
      <c r="AA119" s="78"/>
      <c r="AB119" s="78"/>
      <c r="AC119" s="78"/>
      <c r="AD119" s="78"/>
      <c r="AE119" s="78"/>
      <c r="AF119" s="78"/>
      <c r="AG119" s="79"/>
      <c r="AH119" s="65"/>
      <c r="AJ119" s="85"/>
      <c r="AK119" s="78"/>
      <c r="AL119" s="78"/>
      <c r="AM119" s="78"/>
      <c r="AN119" s="78"/>
      <c r="AO119" s="78"/>
      <c r="AP119" s="78"/>
      <c r="AQ119" s="79"/>
      <c r="AR119" s="65"/>
      <c r="AT119" s="85"/>
      <c r="AU119" s="78"/>
      <c r="AV119" s="78"/>
      <c r="AW119" s="78"/>
      <c r="AX119" s="78"/>
      <c r="AY119" s="78"/>
      <c r="AZ119" s="79"/>
      <c r="BA119" s="65"/>
      <c r="BC119" s="85"/>
      <c r="BD119" s="78"/>
      <c r="BE119" s="78"/>
      <c r="BF119" s="78"/>
      <c r="BG119" s="78"/>
      <c r="BH119" s="78"/>
      <c r="BI119" s="78"/>
      <c r="BJ119" s="79"/>
      <c r="BK119" s="65"/>
      <c r="CU119" s="67"/>
      <c r="EC119" s="67"/>
      <c r="FK119" s="67"/>
      <c r="FL119" s="67"/>
      <c r="FM119" s="67"/>
      <c r="FN119" s="67"/>
      <c r="FO119" s="67"/>
      <c r="FP119" s="67"/>
      <c r="FQ119" s="67"/>
      <c r="FR119" s="67"/>
      <c r="FS119" s="67"/>
      <c r="FT119" s="67"/>
      <c r="FU119" s="67"/>
      <c r="FV119" s="67"/>
      <c r="FW119" s="67"/>
      <c r="FX119" s="67"/>
      <c r="FY119" s="67"/>
      <c r="FZ119" s="67"/>
      <c r="GA119" s="67"/>
      <c r="GB119" s="67"/>
      <c r="GC119" s="67"/>
      <c r="GD119" s="67"/>
      <c r="GE119" s="67"/>
      <c r="GF119" s="67"/>
      <c r="GG119" s="67"/>
      <c r="GH119" s="67"/>
      <c r="GI119" s="67"/>
      <c r="GJ119" s="67"/>
      <c r="GK119" s="67"/>
      <c r="GL119" s="67"/>
      <c r="GM119" s="67"/>
      <c r="GN119" s="67"/>
      <c r="GO119" s="67"/>
      <c r="GP119" s="67"/>
    </row>
    <row r="120" spans="5:198" s="66" customFormat="1">
      <c r="E120" s="67"/>
      <c r="G120" s="67"/>
      <c r="H120" s="67"/>
      <c r="I120" s="67"/>
      <c r="J120" s="67"/>
      <c r="K120" s="67"/>
      <c r="L120" s="67"/>
      <c r="M120" s="67"/>
      <c r="N120" s="67"/>
      <c r="O120" s="78"/>
      <c r="P120" s="78"/>
      <c r="S120" s="78"/>
      <c r="T120" s="78"/>
      <c r="U120" s="79"/>
      <c r="V120" s="65"/>
      <c r="Y120" s="78"/>
      <c r="Z120" s="78"/>
      <c r="AA120" s="78"/>
      <c r="AB120" s="78"/>
      <c r="AC120" s="78"/>
      <c r="AD120" s="78"/>
      <c r="AE120" s="78"/>
      <c r="AF120" s="78"/>
      <c r="AG120" s="79"/>
      <c r="AH120" s="65"/>
      <c r="AJ120" s="85"/>
      <c r="AK120" s="78"/>
      <c r="AL120" s="78"/>
      <c r="AM120" s="78"/>
      <c r="AN120" s="78"/>
      <c r="AO120" s="78"/>
      <c r="AP120" s="78"/>
      <c r="AQ120" s="79"/>
      <c r="AR120" s="65"/>
      <c r="AT120" s="85"/>
      <c r="AU120" s="78"/>
      <c r="AV120" s="78"/>
      <c r="AW120" s="78"/>
      <c r="AX120" s="78"/>
      <c r="AY120" s="78"/>
      <c r="AZ120" s="79"/>
      <c r="BA120" s="65"/>
      <c r="BC120" s="85"/>
      <c r="BD120" s="78"/>
      <c r="BE120" s="78"/>
      <c r="BF120" s="78"/>
      <c r="BG120" s="78"/>
      <c r="BH120" s="78"/>
      <c r="BI120" s="78"/>
      <c r="BJ120" s="79"/>
      <c r="BK120" s="65"/>
      <c r="CU120" s="67"/>
      <c r="EC120" s="67"/>
      <c r="FK120" s="67"/>
      <c r="FL120" s="67"/>
      <c r="FM120" s="67"/>
      <c r="FN120" s="67"/>
      <c r="FO120" s="67"/>
      <c r="FP120" s="67"/>
      <c r="FQ120" s="67"/>
      <c r="FR120" s="67"/>
      <c r="FS120" s="67"/>
      <c r="FT120" s="67"/>
      <c r="FU120" s="67"/>
      <c r="FV120" s="67"/>
      <c r="FW120" s="67"/>
      <c r="FX120" s="67"/>
      <c r="FY120" s="67"/>
      <c r="FZ120" s="67"/>
      <c r="GA120" s="67"/>
      <c r="GB120" s="67"/>
      <c r="GC120" s="67"/>
      <c r="GD120" s="67"/>
      <c r="GE120" s="67"/>
      <c r="GF120" s="67"/>
      <c r="GG120" s="67"/>
      <c r="GH120" s="67"/>
      <c r="GI120" s="67"/>
      <c r="GJ120" s="67"/>
      <c r="GK120" s="67"/>
      <c r="GL120" s="67"/>
      <c r="GM120" s="67"/>
      <c r="GN120" s="67"/>
      <c r="GO120" s="67"/>
      <c r="GP120" s="67"/>
    </row>
    <row r="121" spans="5:198" s="66" customFormat="1">
      <c r="E121" s="67"/>
      <c r="G121" s="67"/>
      <c r="H121" s="67"/>
      <c r="I121" s="67"/>
      <c r="J121" s="67"/>
      <c r="K121" s="67"/>
      <c r="L121" s="67"/>
      <c r="M121" s="67"/>
      <c r="N121" s="67"/>
      <c r="O121" s="78"/>
      <c r="P121" s="78"/>
      <c r="S121" s="78"/>
      <c r="T121" s="78"/>
      <c r="U121" s="79"/>
      <c r="V121" s="65"/>
      <c r="Y121" s="78"/>
      <c r="Z121" s="78"/>
      <c r="AA121" s="78"/>
      <c r="AB121" s="78"/>
      <c r="AC121" s="78"/>
      <c r="AD121" s="78"/>
      <c r="AE121" s="78"/>
      <c r="AF121" s="78"/>
      <c r="AG121" s="79"/>
      <c r="AH121" s="65"/>
      <c r="AJ121" s="85"/>
      <c r="AK121" s="78"/>
      <c r="AL121" s="78"/>
      <c r="AM121" s="78"/>
      <c r="AN121" s="78"/>
      <c r="AO121" s="78"/>
      <c r="AP121" s="78"/>
      <c r="AQ121" s="79"/>
      <c r="AR121" s="65"/>
      <c r="AT121" s="85"/>
      <c r="AU121" s="78"/>
      <c r="AV121" s="78"/>
      <c r="AW121" s="78"/>
      <c r="AX121" s="78"/>
      <c r="AY121" s="78"/>
      <c r="AZ121" s="79"/>
      <c r="BA121" s="65"/>
      <c r="BC121" s="85"/>
      <c r="BD121" s="78"/>
      <c r="BE121" s="78"/>
      <c r="BF121" s="78"/>
      <c r="BG121" s="78"/>
      <c r="BH121" s="78"/>
      <c r="BI121" s="78"/>
      <c r="BJ121" s="79"/>
      <c r="BK121" s="65"/>
      <c r="CU121" s="67"/>
      <c r="EC121" s="67"/>
      <c r="FK121" s="67"/>
      <c r="FL121" s="67"/>
      <c r="FM121" s="67"/>
      <c r="FN121" s="67"/>
      <c r="FO121" s="67"/>
      <c r="FP121" s="67"/>
      <c r="FQ121" s="67"/>
      <c r="FR121" s="67"/>
      <c r="FS121" s="67"/>
      <c r="FT121" s="67"/>
      <c r="FU121" s="67"/>
      <c r="FV121" s="67"/>
      <c r="FW121" s="67"/>
      <c r="FX121" s="67"/>
      <c r="FY121" s="67"/>
      <c r="FZ121" s="67"/>
      <c r="GA121" s="67"/>
      <c r="GB121" s="67"/>
      <c r="GC121" s="67"/>
      <c r="GD121" s="67"/>
      <c r="GE121" s="67"/>
      <c r="GF121" s="67"/>
      <c r="GG121" s="67"/>
      <c r="GH121" s="67"/>
      <c r="GI121" s="67"/>
      <c r="GJ121" s="67"/>
      <c r="GK121" s="67"/>
      <c r="GL121" s="67"/>
      <c r="GM121" s="67"/>
      <c r="GN121" s="67"/>
      <c r="GO121" s="67"/>
      <c r="GP121" s="67"/>
    </row>
    <row r="122" spans="5:198" s="66" customFormat="1">
      <c r="E122" s="67"/>
      <c r="G122" s="67"/>
      <c r="H122" s="67"/>
      <c r="I122" s="67"/>
      <c r="J122" s="67"/>
      <c r="K122" s="67"/>
      <c r="L122" s="67"/>
      <c r="M122" s="67"/>
      <c r="N122" s="67"/>
      <c r="O122" s="78"/>
      <c r="P122" s="78"/>
      <c r="S122" s="78"/>
      <c r="T122" s="78"/>
      <c r="U122" s="79"/>
      <c r="V122" s="65"/>
      <c r="Y122" s="78"/>
      <c r="Z122" s="78"/>
      <c r="AA122" s="78"/>
      <c r="AB122" s="78"/>
      <c r="AC122" s="78"/>
      <c r="AD122" s="78"/>
      <c r="AE122" s="78"/>
      <c r="AF122" s="78"/>
      <c r="AG122" s="79"/>
      <c r="AH122" s="65"/>
      <c r="AJ122" s="85"/>
      <c r="AK122" s="78"/>
      <c r="AL122" s="78"/>
      <c r="AM122" s="78"/>
      <c r="AN122" s="78"/>
      <c r="AO122" s="78"/>
      <c r="AP122" s="78"/>
      <c r="AQ122" s="79"/>
      <c r="AR122" s="65"/>
      <c r="AT122" s="85"/>
      <c r="AU122" s="78"/>
      <c r="AV122" s="78"/>
      <c r="AW122" s="78"/>
      <c r="AX122" s="78"/>
      <c r="AY122" s="78"/>
      <c r="AZ122" s="79"/>
      <c r="BA122" s="65"/>
      <c r="BC122" s="85"/>
      <c r="BD122" s="78"/>
      <c r="BE122" s="78"/>
      <c r="BF122" s="78"/>
      <c r="BG122" s="78"/>
      <c r="BH122" s="78"/>
      <c r="BI122" s="78"/>
      <c r="BJ122" s="79"/>
      <c r="BK122" s="65"/>
      <c r="CU122" s="67"/>
      <c r="EC122" s="67"/>
      <c r="FK122" s="67"/>
      <c r="FL122" s="67"/>
      <c r="FM122" s="67"/>
      <c r="FN122" s="67"/>
      <c r="FO122" s="67"/>
      <c r="FP122" s="67"/>
      <c r="FQ122" s="67"/>
      <c r="FR122" s="67"/>
      <c r="FS122" s="67"/>
      <c r="FT122" s="67"/>
      <c r="FU122" s="67"/>
      <c r="FV122" s="67"/>
      <c r="FW122" s="67"/>
      <c r="FX122" s="67"/>
      <c r="FY122" s="67"/>
      <c r="FZ122" s="67"/>
      <c r="GA122" s="67"/>
      <c r="GB122" s="67"/>
      <c r="GC122" s="67"/>
      <c r="GD122" s="67"/>
      <c r="GE122" s="67"/>
      <c r="GF122" s="67"/>
      <c r="GG122" s="67"/>
      <c r="GH122" s="67"/>
      <c r="GI122" s="67"/>
      <c r="GJ122" s="67"/>
      <c r="GK122" s="67"/>
      <c r="GL122" s="67"/>
      <c r="GM122" s="67"/>
      <c r="GN122" s="67"/>
      <c r="GO122" s="67"/>
      <c r="GP122" s="67"/>
    </row>
    <row r="123" spans="5:198" s="66" customFormat="1">
      <c r="E123" s="67"/>
      <c r="G123" s="67"/>
      <c r="H123" s="67"/>
      <c r="I123" s="67"/>
      <c r="J123" s="67"/>
      <c r="K123" s="67"/>
      <c r="L123" s="67"/>
      <c r="M123" s="67"/>
      <c r="N123" s="67"/>
      <c r="O123" s="78"/>
      <c r="P123" s="78"/>
      <c r="S123" s="78"/>
      <c r="T123" s="78"/>
      <c r="U123" s="79"/>
      <c r="V123" s="65"/>
      <c r="Y123" s="78"/>
      <c r="Z123" s="78"/>
      <c r="AA123" s="78"/>
      <c r="AB123" s="78"/>
      <c r="AC123" s="78"/>
      <c r="AD123" s="78"/>
      <c r="AE123" s="78"/>
      <c r="AF123" s="78"/>
      <c r="AG123" s="79"/>
      <c r="AH123" s="65"/>
      <c r="AJ123" s="85"/>
      <c r="AK123" s="78"/>
      <c r="AL123" s="78"/>
      <c r="AM123" s="78"/>
      <c r="AN123" s="78"/>
      <c r="AO123" s="78"/>
      <c r="AP123" s="78"/>
      <c r="AQ123" s="79"/>
      <c r="AR123" s="65"/>
      <c r="AT123" s="85"/>
      <c r="AU123" s="78"/>
      <c r="AV123" s="78"/>
      <c r="AW123" s="78"/>
      <c r="AX123" s="78"/>
      <c r="AY123" s="78"/>
      <c r="AZ123" s="79"/>
      <c r="BA123" s="65"/>
      <c r="BC123" s="85"/>
      <c r="BD123" s="78"/>
      <c r="BE123" s="78"/>
      <c r="BF123" s="78"/>
      <c r="BG123" s="78"/>
      <c r="BH123" s="78"/>
      <c r="BI123" s="78"/>
      <c r="BJ123" s="79"/>
      <c r="BK123" s="65"/>
      <c r="CU123" s="67"/>
      <c r="EC123" s="67"/>
      <c r="FK123" s="67"/>
      <c r="FL123" s="67"/>
      <c r="FM123" s="67"/>
      <c r="FN123" s="67"/>
      <c r="FO123" s="67"/>
      <c r="FP123" s="67"/>
      <c r="FQ123" s="67"/>
      <c r="FR123" s="67"/>
      <c r="FS123" s="67"/>
      <c r="FT123" s="67"/>
      <c r="FU123" s="67"/>
      <c r="FV123" s="67"/>
      <c r="FW123" s="67"/>
      <c r="FX123" s="67"/>
      <c r="FY123" s="67"/>
      <c r="FZ123" s="67"/>
      <c r="GA123" s="67"/>
      <c r="GB123" s="67"/>
      <c r="GC123" s="67"/>
      <c r="GD123" s="67"/>
      <c r="GE123" s="67"/>
      <c r="GF123" s="67"/>
      <c r="GG123" s="67"/>
      <c r="GH123" s="67"/>
      <c r="GI123" s="67"/>
      <c r="GJ123" s="67"/>
      <c r="GK123" s="67"/>
      <c r="GL123" s="67"/>
      <c r="GM123" s="67"/>
      <c r="GN123" s="67"/>
      <c r="GO123" s="67"/>
      <c r="GP123" s="67"/>
    </row>
    <row r="124" spans="5:198" s="66" customFormat="1">
      <c r="E124" s="67"/>
      <c r="G124" s="67"/>
      <c r="H124" s="67"/>
      <c r="I124" s="67"/>
      <c r="J124" s="67"/>
      <c r="K124" s="67"/>
      <c r="L124" s="67"/>
      <c r="M124" s="67"/>
      <c r="N124" s="67"/>
      <c r="O124" s="78"/>
      <c r="P124" s="78"/>
      <c r="S124" s="78"/>
      <c r="T124" s="78"/>
      <c r="U124" s="79"/>
      <c r="V124" s="65"/>
      <c r="Y124" s="78"/>
      <c r="Z124" s="78"/>
      <c r="AA124" s="78"/>
      <c r="AB124" s="78"/>
      <c r="AC124" s="78"/>
      <c r="AD124" s="78"/>
      <c r="AE124" s="78"/>
      <c r="AF124" s="78"/>
      <c r="AG124" s="79"/>
      <c r="AH124" s="65"/>
      <c r="AJ124" s="85"/>
      <c r="AK124" s="78"/>
      <c r="AL124" s="78"/>
      <c r="AM124" s="78"/>
      <c r="AN124" s="78"/>
      <c r="AO124" s="78"/>
      <c r="AP124" s="78"/>
      <c r="AQ124" s="79"/>
      <c r="AR124" s="65"/>
      <c r="AT124" s="85"/>
      <c r="AU124" s="78"/>
      <c r="AV124" s="78"/>
      <c r="AW124" s="78"/>
      <c r="AX124" s="78"/>
      <c r="AY124" s="78"/>
      <c r="AZ124" s="79"/>
      <c r="BA124" s="65"/>
      <c r="BC124" s="85"/>
      <c r="BD124" s="78"/>
      <c r="BE124" s="78"/>
      <c r="BF124" s="78"/>
      <c r="BG124" s="78"/>
      <c r="BH124" s="78"/>
      <c r="BI124" s="78"/>
      <c r="BJ124" s="79"/>
      <c r="BK124" s="65"/>
      <c r="CU124" s="67"/>
      <c r="EC124" s="67"/>
      <c r="FK124" s="67"/>
      <c r="FL124" s="67"/>
      <c r="FM124" s="67"/>
      <c r="FN124" s="67"/>
      <c r="FO124" s="67"/>
      <c r="FP124" s="67"/>
      <c r="FQ124" s="67"/>
      <c r="FR124" s="67"/>
      <c r="FS124" s="67"/>
      <c r="FT124" s="67"/>
      <c r="FU124" s="67"/>
      <c r="FV124" s="67"/>
      <c r="FW124" s="67"/>
      <c r="FX124" s="67"/>
      <c r="FY124" s="67"/>
      <c r="FZ124" s="67"/>
      <c r="GA124" s="67"/>
      <c r="GB124" s="67"/>
      <c r="GC124" s="67"/>
      <c r="GD124" s="67"/>
      <c r="GE124" s="67"/>
      <c r="GF124" s="67"/>
      <c r="GG124" s="67"/>
      <c r="GH124" s="67"/>
      <c r="GI124" s="67"/>
      <c r="GJ124" s="67"/>
      <c r="GK124" s="67"/>
      <c r="GL124" s="67"/>
      <c r="GM124" s="67"/>
      <c r="GN124" s="67"/>
      <c r="GO124" s="67"/>
      <c r="GP124" s="67"/>
    </row>
    <row r="125" spans="5:198" s="66" customFormat="1">
      <c r="E125" s="67"/>
      <c r="G125" s="67"/>
      <c r="H125" s="67"/>
      <c r="I125" s="67"/>
      <c r="J125" s="67"/>
      <c r="K125" s="67"/>
      <c r="L125" s="67"/>
      <c r="M125" s="67"/>
      <c r="N125" s="67"/>
      <c r="O125" s="78"/>
      <c r="P125" s="78"/>
      <c r="S125" s="78"/>
      <c r="T125" s="78"/>
      <c r="U125" s="79"/>
      <c r="V125" s="65"/>
      <c r="Y125" s="78"/>
      <c r="Z125" s="78"/>
      <c r="AA125" s="78"/>
      <c r="AB125" s="78"/>
      <c r="AC125" s="78"/>
      <c r="AD125" s="78"/>
      <c r="AE125" s="78"/>
      <c r="AF125" s="78"/>
      <c r="AG125" s="79"/>
      <c r="AH125" s="65"/>
      <c r="AJ125" s="85"/>
      <c r="AK125" s="78"/>
      <c r="AL125" s="78"/>
      <c r="AM125" s="78"/>
      <c r="AN125" s="78"/>
      <c r="AO125" s="78"/>
      <c r="AP125" s="78"/>
      <c r="AQ125" s="79"/>
      <c r="AR125" s="65"/>
      <c r="AT125" s="85"/>
      <c r="AU125" s="78"/>
      <c r="AV125" s="78"/>
      <c r="AW125" s="78"/>
      <c r="AX125" s="78"/>
      <c r="AY125" s="78"/>
      <c r="AZ125" s="79"/>
      <c r="BA125" s="65"/>
      <c r="BC125" s="85"/>
      <c r="BD125" s="78"/>
      <c r="BE125" s="78"/>
      <c r="BF125" s="78"/>
      <c r="BG125" s="78"/>
      <c r="BH125" s="78"/>
      <c r="BI125" s="78"/>
      <c r="BJ125" s="79"/>
      <c r="BK125" s="65"/>
      <c r="CU125" s="67"/>
      <c r="EC125" s="67"/>
      <c r="FK125" s="67"/>
      <c r="FL125" s="67"/>
      <c r="FM125" s="67"/>
      <c r="FN125" s="67"/>
      <c r="FO125" s="67"/>
      <c r="FP125" s="67"/>
      <c r="FQ125" s="67"/>
      <c r="FR125" s="67"/>
      <c r="FS125" s="67"/>
      <c r="FT125" s="67"/>
      <c r="FU125" s="67"/>
      <c r="FV125" s="67"/>
      <c r="FW125" s="67"/>
      <c r="FX125" s="67"/>
      <c r="FY125" s="67"/>
      <c r="FZ125" s="67"/>
      <c r="GA125" s="67"/>
      <c r="GB125" s="67"/>
      <c r="GC125" s="67"/>
      <c r="GD125" s="67"/>
      <c r="GE125" s="67"/>
      <c r="GF125" s="67"/>
      <c r="GG125" s="67"/>
      <c r="GH125" s="67"/>
      <c r="GI125" s="67"/>
      <c r="GJ125" s="67"/>
      <c r="GK125" s="67"/>
      <c r="GL125" s="67"/>
      <c r="GM125" s="67"/>
      <c r="GN125" s="67"/>
      <c r="GO125" s="67"/>
      <c r="GP125" s="67"/>
    </row>
    <row r="126" spans="5:198" s="66" customFormat="1">
      <c r="E126" s="67"/>
      <c r="G126" s="67"/>
      <c r="H126" s="67"/>
      <c r="I126" s="67"/>
      <c r="J126" s="67"/>
      <c r="K126" s="67"/>
      <c r="L126" s="67"/>
      <c r="M126" s="67"/>
      <c r="N126" s="67"/>
      <c r="O126" s="78"/>
      <c r="P126" s="78"/>
      <c r="S126" s="78"/>
      <c r="T126" s="78"/>
      <c r="U126" s="79"/>
      <c r="V126" s="65"/>
      <c r="Y126" s="78"/>
      <c r="Z126" s="78"/>
      <c r="AA126" s="78"/>
      <c r="AB126" s="78"/>
      <c r="AC126" s="78"/>
      <c r="AD126" s="78"/>
      <c r="AE126" s="78"/>
      <c r="AF126" s="78"/>
      <c r="AG126" s="79"/>
      <c r="AH126" s="65"/>
      <c r="AJ126" s="85"/>
      <c r="AK126" s="78"/>
      <c r="AL126" s="78"/>
      <c r="AM126" s="78"/>
      <c r="AN126" s="78"/>
      <c r="AO126" s="78"/>
      <c r="AP126" s="78"/>
      <c r="AQ126" s="79"/>
      <c r="AR126" s="65"/>
      <c r="AT126" s="85"/>
      <c r="AU126" s="78"/>
      <c r="AV126" s="78"/>
      <c r="AW126" s="78"/>
      <c r="AX126" s="78"/>
      <c r="AY126" s="78"/>
      <c r="AZ126" s="79"/>
      <c r="BA126" s="65"/>
      <c r="BC126" s="85"/>
      <c r="BD126" s="78"/>
      <c r="BE126" s="78"/>
      <c r="BF126" s="78"/>
      <c r="BG126" s="78"/>
      <c r="BH126" s="78"/>
      <c r="BI126" s="78"/>
      <c r="BJ126" s="79"/>
      <c r="BK126" s="65"/>
      <c r="CU126" s="67"/>
      <c r="EC126" s="67"/>
      <c r="FK126" s="67"/>
      <c r="FL126" s="67"/>
      <c r="FM126" s="67"/>
      <c r="FN126" s="67"/>
      <c r="FO126" s="67"/>
      <c r="FP126" s="67"/>
      <c r="FQ126" s="67"/>
      <c r="FR126" s="67"/>
      <c r="FS126" s="67"/>
      <c r="FT126" s="67"/>
      <c r="FU126" s="67"/>
      <c r="FV126" s="67"/>
      <c r="FW126" s="67"/>
      <c r="FX126" s="67"/>
      <c r="FY126" s="67"/>
      <c r="FZ126" s="67"/>
      <c r="GA126" s="67"/>
      <c r="GB126" s="67"/>
      <c r="GC126" s="67"/>
      <c r="GD126" s="67"/>
      <c r="GE126" s="67"/>
      <c r="GF126" s="67"/>
      <c r="GG126" s="67"/>
      <c r="GH126" s="67"/>
      <c r="GI126" s="67"/>
      <c r="GJ126" s="67"/>
      <c r="GK126" s="67"/>
      <c r="GL126" s="67"/>
      <c r="GM126" s="67"/>
      <c r="GN126" s="67"/>
      <c r="GO126" s="67"/>
      <c r="GP126" s="67"/>
    </row>
    <row r="127" spans="5:198" s="66" customFormat="1">
      <c r="E127" s="67"/>
      <c r="G127" s="67"/>
      <c r="H127" s="67"/>
      <c r="I127" s="67"/>
      <c r="J127" s="67"/>
      <c r="K127" s="67"/>
      <c r="L127" s="67"/>
      <c r="M127" s="67"/>
      <c r="N127" s="67"/>
      <c r="O127" s="78"/>
      <c r="P127" s="78"/>
      <c r="S127" s="78"/>
      <c r="T127" s="78"/>
      <c r="U127" s="79"/>
      <c r="V127" s="65"/>
      <c r="Y127" s="78"/>
      <c r="Z127" s="78"/>
      <c r="AA127" s="78"/>
      <c r="AB127" s="78"/>
      <c r="AC127" s="78"/>
      <c r="AD127" s="78"/>
      <c r="AE127" s="78"/>
      <c r="AF127" s="78"/>
      <c r="AG127" s="79"/>
      <c r="AH127" s="65"/>
      <c r="AJ127" s="85"/>
      <c r="AK127" s="78"/>
      <c r="AL127" s="78"/>
      <c r="AM127" s="78"/>
      <c r="AN127" s="78"/>
      <c r="AO127" s="78"/>
      <c r="AP127" s="78"/>
      <c r="AQ127" s="79"/>
      <c r="AR127" s="65"/>
      <c r="AT127" s="85"/>
      <c r="AU127" s="78"/>
      <c r="AV127" s="78"/>
      <c r="AW127" s="78"/>
      <c r="AX127" s="78"/>
      <c r="AY127" s="78"/>
      <c r="AZ127" s="79"/>
      <c r="BA127" s="65"/>
      <c r="BC127" s="85"/>
      <c r="BD127" s="78"/>
      <c r="BE127" s="78"/>
      <c r="BF127" s="78"/>
      <c r="BG127" s="78"/>
      <c r="BH127" s="78"/>
      <c r="BI127" s="78"/>
      <c r="BJ127" s="79"/>
      <c r="BK127" s="65"/>
      <c r="CU127" s="67"/>
      <c r="EC127" s="67"/>
      <c r="FK127" s="67"/>
      <c r="FL127" s="67"/>
      <c r="FM127" s="67"/>
      <c r="FN127" s="67"/>
      <c r="FO127" s="67"/>
      <c r="FP127" s="67"/>
      <c r="FQ127" s="67"/>
      <c r="FR127" s="67"/>
      <c r="FS127" s="67"/>
      <c r="FT127" s="67"/>
      <c r="FU127" s="67"/>
      <c r="FV127" s="67"/>
      <c r="FW127" s="67"/>
      <c r="FX127" s="67"/>
      <c r="FY127" s="67"/>
      <c r="FZ127" s="67"/>
      <c r="GA127" s="67"/>
      <c r="GB127" s="67"/>
      <c r="GC127" s="67"/>
      <c r="GD127" s="67"/>
      <c r="GE127" s="67"/>
      <c r="GF127" s="67"/>
      <c r="GG127" s="67"/>
      <c r="GH127" s="67"/>
      <c r="GI127" s="67"/>
      <c r="GJ127" s="67"/>
      <c r="GK127" s="67"/>
      <c r="GL127" s="67"/>
      <c r="GM127" s="67"/>
      <c r="GN127" s="67"/>
      <c r="GO127" s="67"/>
      <c r="GP127" s="67"/>
    </row>
    <row r="128" spans="5:198" s="66" customFormat="1">
      <c r="E128" s="67"/>
      <c r="G128" s="67"/>
      <c r="H128" s="67"/>
      <c r="I128" s="67"/>
      <c r="J128" s="67"/>
      <c r="K128" s="67"/>
      <c r="L128" s="67"/>
      <c r="M128" s="67"/>
      <c r="N128" s="67"/>
      <c r="O128" s="78"/>
      <c r="P128" s="78"/>
      <c r="S128" s="78"/>
      <c r="T128" s="78"/>
      <c r="U128" s="79"/>
      <c r="V128" s="65"/>
      <c r="Y128" s="78"/>
      <c r="Z128" s="78"/>
      <c r="AA128" s="78"/>
      <c r="AB128" s="78"/>
      <c r="AC128" s="78"/>
      <c r="AD128" s="78"/>
      <c r="AE128" s="78"/>
      <c r="AF128" s="78"/>
      <c r="AG128" s="79"/>
      <c r="AH128" s="65"/>
      <c r="AJ128" s="85"/>
      <c r="AK128" s="78"/>
      <c r="AL128" s="78"/>
      <c r="AM128" s="78"/>
      <c r="AN128" s="78"/>
      <c r="AO128" s="78"/>
      <c r="AP128" s="78"/>
      <c r="AQ128" s="79"/>
      <c r="AR128" s="65"/>
      <c r="AT128" s="85"/>
      <c r="AU128" s="78"/>
      <c r="AV128" s="78"/>
      <c r="AW128" s="78"/>
      <c r="AX128" s="78"/>
      <c r="AY128" s="78"/>
      <c r="AZ128" s="79"/>
      <c r="BA128" s="65"/>
      <c r="BC128" s="85"/>
      <c r="BD128" s="78"/>
      <c r="BE128" s="78"/>
      <c r="BF128" s="78"/>
      <c r="BG128" s="78"/>
      <c r="BH128" s="78"/>
      <c r="BI128" s="78"/>
      <c r="BJ128" s="79"/>
      <c r="BK128" s="65"/>
      <c r="CU128" s="67"/>
      <c r="EC128" s="67"/>
      <c r="FK128" s="67"/>
      <c r="FL128" s="67"/>
      <c r="FM128" s="67"/>
      <c r="FN128" s="67"/>
      <c r="FO128" s="67"/>
      <c r="FP128" s="67"/>
      <c r="FQ128" s="67"/>
      <c r="FR128" s="67"/>
      <c r="FS128" s="67"/>
      <c r="FT128" s="67"/>
      <c r="FU128" s="67"/>
      <c r="FV128" s="67"/>
      <c r="FW128" s="67"/>
      <c r="FX128" s="67"/>
      <c r="FY128" s="67"/>
      <c r="FZ128" s="67"/>
      <c r="GA128" s="67"/>
      <c r="GB128" s="67"/>
      <c r="GC128" s="67"/>
      <c r="GD128" s="67"/>
      <c r="GE128" s="67"/>
      <c r="GF128" s="67"/>
      <c r="GG128" s="67"/>
      <c r="GH128" s="67"/>
      <c r="GI128" s="67"/>
      <c r="GJ128" s="67"/>
      <c r="GK128" s="67"/>
      <c r="GL128" s="67"/>
      <c r="GM128" s="67"/>
      <c r="GN128" s="67"/>
      <c r="GO128" s="67"/>
      <c r="GP128" s="67"/>
    </row>
    <row r="129" spans="5:198" s="66" customFormat="1">
      <c r="E129" s="67"/>
      <c r="G129" s="67"/>
      <c r="H129" s="67"/>
      <c r="I129" s="67"/>
      <c r="J129" s="67"/>
      <c r="K129" s="67"/>
      <c r="L129" s="67"/>
      <c r="M129" s="67"/>
      <c r="N129" s="67"/>
      <c r="O129" s="78"/>
      <c r="P129" s="78"/>
      <c r="S129" s="78"/>
      <c r="T129" s="78"/>
      <c r="U129" s="79"/>
      <c r="V129" s="65"/>
      <c r="Y129" s="78"/>
      <c r="Z129" s="78"/>
      <c r="AA129" s="78"/>
      <c r="AB129" s="78"/>
      <c r="AC129" s="78"/>
      <c r="AD129" s="78"/>
      <c r="AE129" s="78"/>
      <c r="AF129" s="78"/>
      <c r="AG129" s="79"/>
      <c r="AH129" s="65"/>
      <c r="AJ129" s="85"/>
      <c r="AK129" s="78"/>
      <c r="AL129" s="78"/>
      <c r="AM129" s="78"/>
      <c r="AN129" s="78"/>
      <c r="AO129" s="78"/>
      <c r="AP129" s="78"/>
      <c r="AQ129" s="79"/>
      <c r="AR129" s="65"/>
      <c r="AT129" s="85"/>
      <c r="AU129" s="78"/>
      <c r="AV129" s="78"/>
      <c r="AW129" s="78"/>
      <c r="AX129" s="78"/>
      <c r="AY129" s="78"/>
      <c r="AZ129" s="79"/>
      <c r="BA129" s="65"/>
      <c r="BC129" s="85"/>
      <c r="BD129" s="78"/>
      <c r="BE129" s="78"/>
      <c r="BF129" s="78"/>
      <c r="BG129" s="78"/>
      <c r="BH129" s="78"/>
      <c r="BI129" s="78"/>
      <c r="BJ129" s="79"/>
      <c r="BK129" s="65"/>
      <c r="CU129" s="67"/>
      <c r="EC129" s="67"/>
      <c r="FK129" s="67"/>
      <c r="FL129" s="67"/>
      <c r="FM129" s="67"/>
      <c r="FN129" s="67"/>
      <c r="FO129" s="67"/>
      <c r="FP129" s="67"/>
      <c r="FQ129" s="67"/>
      <c r="FR129" s="67"/>
      <c r="FS129" s="67"/>
      <c r="FT129" s="67"/>
      <c r="FU129" s="67"/>
      <c r="FV129" s="67"/>
      <c r="FW129" s="67"/>
      <c r="FX129" s="67"/>
      <c r="FY129" s="67"/>
      <c r="FZ129" s="67"/>
      <c r="GA129" s="67"/>
      <c r="GB129" s="67"/>
      <c r="GC129" s="67"/>
      <c r="GD129" s="67"/>
      <c r="GE129" s="67"/>
      <c r="GF129" s="67"/>
      <c r="GG129" s="67"/>
      <c r="GH129" s="67"/>
      <c r="GI129" s="67"/>
      <c r="GJ129" s="67"/>
      <c r="GK129" s="67"/>
      <c r="GL129" s="67"/>
      <c r="GM129" s="67"/>
      <c r="GN129" s="67"/>
      <c r="GO129" s="67"/>
      <c r="GP129" s="67"/>
    </row>
    <row r="130" spans="5:198" s="66" customFormat="1">
      <c r="E130" s="67"/>
      <c r="G130" s="67"/>
      <c r="H130" s="67"/>
      <c r="I130" s="67"/>
      <c r="J130" s="67"/>
      <c r="K130" s="67"/>
      <c r="L130" s="67"/>
      <c r="M130" s="67"/>
      <c r="N130" s="67"/>
      <c r="O130" s="78"/>
      <c r="P130" s="78"/>
      <c r="S130" s="78"/>
      <c r="T130" s="78"/>
      <c r="U130" s="79"/>
      <c r="V130" s="65"/>
      <c r="Y130" s="78"/>
      <c r="Z130" s="78"/>
      <c r="AA130" s="78"/>
      <c r="AB130" s="78"/>
      <c r="AC130" s="78"/>
      <c r="AD130" s="78"/>
      <c r="AE130" s="78"/>
      <c r="AF130" s="78"/>
      <c r="AG130" s="79"/>
      <c r="AH130" s="65"/>
      <c r="AJ130" s="85"/>
      <c r="AK130" s="78"/>
      <c r="AL130" s="78"/>
      <c r="AM130" s="78"/>
      <c r="AN130" s="78"/>
      <c r="AO130" s="78"/>
      <c r="AP130" s="78"/>
      <c r="AQ130" s="79"/>
      <c r="AR130" s="65"/>
      <c r="AT130" s="85"/>
      <c r="AU130" s="78"/>
      <c r="AV130" s="78"/>
      <c r="AW130" s="78"/>
      <c r="AX130" s="78"/>
      <c r="AY130" s="78"/>
      <c r="AZ130" s="79"/>
      <c r="BA130" s="65"/>
      <c r="BC130" s="85"/>
      <c r="BD130" s="78"/>
      <c r="BE130" s="78"/>
      <c r="BF130" s="78"/>
      <c r="BG130" s="78"/>
      <c r="BH130" s="78"/>
      <c r="BI130" s="78"/>
      <c r="BJ130" s="79"/>
      <c r="BK130" s="65"/>
      <c r="CU130" s="67"/>
      <c r="EC130" s="67"/>
      <c r="FK130" s="67"/>
      <c r="FL130" s="67"/>
      <c r="FM130" s="67"/>
      <c r="FN130" s="67"/>
      <c r="FO130" s="67"/>
      <c r="FP130" s="67"/>
      <c r="FQ130" s="67"/>
      <c r="FR130" s="67"/>
      <c r="FS130" s="67"/>
      <c r="FT130" s="67"/>
      <c r="FU130" s="67"/>
      <c r="FV130" s="67"/>
      <c r="FW130" s="67"/>
      <c r="FX130" s="67"/>
      <c r="FY130" s="67"/>
      <c r="FZ130" s="67"/>
      <c r="GA130" s="67"/>
      <c r="GB130" s="67"/>
      <c r="GC130" s="67"/>
      <c r="GD130" s="67"/>
      <c r="GE130" s="67"/>
      <c r="GF130" s="67"/>
      <c r="GG130" s="67"/>
      <c r="GH130" s="67"/>
      <c r="GI130" s="67"/>
      <c r="GJ130" s="67"/>
      <c r="GK130" s="67"/>
      <c r="GL130" s="67"/>
      <c r="GM130" s="67"/>
      <c r="GN130" s="67"/>
      <c r="GO130" s="67"/>
      <c r="GP130" s="67"/>
    </row>
    <row r="131" spans="5:198" s="66" customFormat="1">
      <c r="E131" s="67"/>
      <c r="G131" s="67"/>
      <c r="H131" s="67"/>
      <c r="I131" s="67"/>
      <c r="J131" s="67"/>
      <c r="K131" s="67"/>
      <c r="L131" s="67"/>
      <c r="M131" s="67"/>
      <c r="N131" s="67"/>
      <c r="O131" s="78"/>
      <c r="P131" s="78"/>
      <c r="S131" s="78"/>
      <c r="T131" s="78"/>
      <c r="U131" s="79"/>
      <c r="V131" s="65"/>
      <c r="Y131" s="78"/>
      <c r="Z131" s="78"/>
      <c r="AA131" s="78"/>
      <c r="AB131" s="78"/>
      <c r="AC131" s="78"/>
      <c r="AD131" s="78"/>
      <c r="AE131" s="78"/>
      <c r="AF131" s="78"/>
      <c r="AG131" s="79"/>
      <c r="AH131" s="65"/>
      <c r="AJ131" s="85"/>
      <c r="AK131" s="78"/>
      <c r="AL131" s="78"/>
      <c r="AM131" s="78"/>
      <c r="AN131" s="78"/>
      <c r="AO131" s="78"/>
      <c r="AP131" s="78"/>
      <c r="AQ131" s="79"/>
      <c r="AR131" s="65"/>
      <c r="AT131" s="85"/>
      <c r="AU131" s="78"/>
      <c r="AV131" s="78"/>
      <c r="AW131" s="78"/>
      <c r="AX131" s="78"/>
      <c r="AY131" s="78"/>
      <c r="AZ131" s="79"/>
      <c r="BA131" s="65"/>
      <c r="BC131" s="85"/>
      <c r="BD131" s="78"/>
      <c r="BE131" s="78"/>
      <c r="BF131" s="78"/>
      <c r="BG131" s="78"/>
      <c r="BH131" s="78"/>
      <c r="BI131" s="78"/>
      <c r="BJ131" s="79"/>
      <c r="BK131" s="65"/>
      <c r="CU131" s="67"/>
      <c r="EC131" s="67"/>
      <c r="FK131" s="67"/>
      <c r="FL131" s="67"/>
      <c r="FM131" s="67"/>
      <c r="FN131" s="67"/>
      <c r="FO131" s="67"/>
      <c r="FP131" s="67"/>
      <c r="FQ131" s="67"/>
      <c r="FR131" s="67"/>
      <c r="FS131" s="67"/>
      <c r="FT131" s="67"/>
      <c r="FU131" s="67"/>
      <c r="FV131" s="67"/>
      <c r="FW131" s="67"/>
      <c r="FX131" s="67"/>
      <c r="FY131" s="67"/>
      <c r="FZ131" s="67"/>
      <c r="GA131" s="67"/>
      <c r="GB131" s="67"/>
      <c r="GC131" s="67"/>
      <c r="GD131" s="67"/>
      <c r="GE131" s="67"/>
      <c r="GF131" s="67"/>
      <c r="GG131" s="67"/>
      <c r="GH131" s="67"/>
      <c r="GI131" s="67"/>
      <c r="GJ131" s="67"/>
      <c r="GK131" s="67"/>
      <c r="GL131" s="67"/>
      <c r="GM131" s="67"/>
      <c r="GN131" s="67"/>
      <c r="GO131" s="67"/>
      <c r="GP131" s="67"/>
    </row>
    <row r="132" spans="5:198" s="66" customFormat="1">
      <c r="E132" s="67"/>
      <c r="G132" s="67"/>
      <c r="H132" s="67"/>
      <c r="I132" s="67"/>
      <c r="J132" s="67"/>
      <c r="K132" s="67"/>
      <c r="L132" s="67"/>
      <c r="M132" s="67"/>
      <c r="N132" s="67"/>
      <c r="O132" s="78"/>
      <c r="P132" s="78"/>
      <c r="S132" s="78"/>
      <c r="T132" s="78"/>
      <c r="U132" s="79"/>
      <c r="V132" s="65"/>
      <c r="Y132" s="78"/>
      <c r="Z132" s="78"/>
      <c r="AA132" s="78"/>
      <c r="AB132" s="78"/>
      <c r="AC132" s="78"/>
      <c r="AD132" s="78"/>
      <c r="AE132" s="78"/>
      <c r="AF132" s="78"/>
      <c r="AG132" s="79"/>
      <c r="AH132" s="65"/>
      <c r="AJ132" s="85"/>
      <c r="AK132" s="78"/>
      <c r="AL132" s="78"/>
      <c r="AM132" s="78"/>
      <c r="AN132" s="78"/>
      <c r="AO132" s="78"/>
      <c r="AP132" s="78"/>
      <c r="AQ132" s="79"/>
      <c r="AR132" s="65"/>
      <c r="AT132" s="85"/>
      <c r="AU132" s="78"/>
      <c r="AV132" s="78"/>
      <c r="AW132" s="78"/>
      <c r="AX132" s="78"/>
      <c r="AY132" s="78"/>
      <c r="AZ132" s="79"/>
      <c r="BA132" s="65"/>
      <c r="BC132" s="85"/>
      <c r="BD132" s="78"/>
      <c r="BE132" s="78"/>
      <c r="BF132" s="78"/>
      <c r="BG132" s="78"/>
      <c r="BH132" s="78"/>
      <c r="BI132" s="78"/>
      <c r="BJ132" s="79"/>
      <c r="BK132" s="65"/>
      <c r="CU132" s="67"/>
      <c r="EC132" s="67"/>
      <c r="FK132" s="67"/>
      <c r="FL132" s="67"/>
      <c r="FM132" s="67"/>
      <c r="FN132" s="67"/>
      <c r="FO132" s="67"/>
      <c r="FP132" s="67"/>
      <c r="FQ132" s="67"/>
      <c r="FR132" s="67"/>
      <c r="FS132" s="67"/>
      <c r="FT132" s="67"/>
      <c r="FU132" s="67"/>
      <c r="FV132" s="67"/>
      <c r="FW132" s="67"/>
      <c r="FX132" s="67"/>
      <c r="FY132" s="67"/>
      <c r="FZ132" s="67"/>
      <c r="GA132" s="67"/>
      <c r="GB132" s="67"/>
      <c r="GC132" s="67"/>
      <c r="GD132" s="67"/>
      <c r="GE132" s="67"/>
      <c r="GF132" s="67"/>
      <c r="GG132" s="67"/>
      <c r="GH132" s="67"/>
      <c r="GI132" s="67"/>
      <c r="GJ132" s="67"/>
      <c r="GK132" s="67"/>
      <c r="GL132" s="67"/>
      <c r="GM132" s="67"/>
      <c r="GN132" s="67"/>
      <c r="GO132" s="67"/>
      <c r="GP132" s="67"/>
    </row>
    <row r="133" spans="5:198" s="66" customFormat="1">
      <c r="E133" s="67"/>
      <c r="G133" s="67"/>
      <c r="H133" s="67"/>
      <c r="I133" s="67"/>
      <c r="J133" s="67"/>
      <c r="K133" s="67"/>
      <c r="L133" s="67"/>
      <c r="M133" s="67"/>
      <c r="N133" s="67"/>
      <c r="O133" s="78"/>
      <c r="P133" s="78"/>
      <c r="S133" s="78"/>
      <c r="T133" s="78"/>
      <c r="U133" s="79"/>
      <c r="V133" s="65"/>
      <c r="Y133" s="78"/>
      <c r="Z133" s="78"/>
      <c r="AA133" s="78"/>
      <c r="AB133" s="78"/>
      <c r="AC133" s="78"/>
      <c r="AD133" s="78"/>
      <c r="AE133" s="78"/>
      <c r="AF133" s="78"/>
      <c r="AG133" s="79"/>
      <c r="AH133" s="65"/>
      <c r="AJ133" s="85"/>
      <c r="AK133" s="78"/>
      <c r="AL133" s="78"/>
      <c r="AM133" s="78"/>
      <c r="AN133" s="78"/>
      <c r="AO133" s="78"/>
      <c r="AP133" s="78"/>
      <c r="AQ133" s="79"/>
      <c r="AR133" s="65"/>
      <c r="AT133" s="85"/>
      <c r="AU133" s="78"/>
      <c r="AV133" s="78"/>
      <c r="AW133" s="78"/>
      <c r="AX133" s="78"/>
      <c r="AY133" s="78"/>
      <c r="AZ133" s="79"/>
      <c r="BA133" s="65"/>
      <c r="BC133" s="85"/>
      <c r="BD133" s="78"/>
      <c r="BE133" s="78"/>
      <c r="BF133" s="78"/>
      <c r="BG133" s="78"/>
      <c r="BH133" s="78"/>
      <c r="BI133" s="78"/>
      <c r="BJ133" s="79"/>
      <c r="BK133" s="65"/>
      <c r="CU133" s="67"/>
      <c r="EC133" s="67"/>
      <c r="FK133" s="67"/>
      <c r="FL133" s="67"/>
      <c r="FM133" s="67"/>
      <c r="FN133" s="67"/>
      <c r="FO133" s="67"/>
      <c r="FP133" s="67"/>
      <c r="FQ133" s="67"/>
      <c r="FR133" s="67"/>
      <c r="FS133" s="67"/>
      <c r="FT133" s="67"/>
      <c r="FU133" s="67"/>
      <c r="FV133" s="67"/>
      <c r="FW133" s="67"/>
      <c r="FX133" s="67"/>
      <c r="FY133" s="67"/>
      <c r="FZ133" s="67"/>
      <c r="GA133" s="67"/>
      <c r="GB133" s="67"/>
      <c r="GC133" s="67"/>
      <c r="GD133" s="67"/>
      <c r="GE133" s="67"/>
      <c r="GF133" s="67"/>
      <c r="GG133" s="67"/>
      <c r="GH133" s="67"/>
      <c r="GI133" s="67"/>
      <c r="GJ133" s="67"/>
      <c r="GK133" s="67"/>
      <c r="GL133" s="67"/>
      <c r="GM133" s="67"/>
      <c r="GN133" s="67"/>
      <c r="GO133" s="67"/>
      <c r="GP133" s="67"/>
    </row>
    <row r="134" spans="5:198" s="66" customFormat="1">
      <c r="E134" s="67"/>
      <c r="G134" s="67"/>
      <c r="H134" s="67"/>
      <c r="I134" s="67"/>
      <c r="J134" s="67"/>
      <c r="K134" s="67"/>
      <c r="L134" s="67"/>
      <c r="M134" s="67"/>
      <c r="N134" s="67"/>
      <c r="O134" s="78"/>
      <c r="P134" s="78"/>
      <c r="S134" s="78"/>
      <c r="T134" s="78"/>
      <c r="U134" s="79"/>
      <c r="V134" s="65"/>
      <c r="Y134" s="78"/>
      <c r="Z134" s="78"/>
      <c r="AA134" s="78"/>
      <c r="AB134" s="78"/>
      <c r="AC134" s="78"/>
      <c r="AD134" s="78"/>
      <c r="AE134" s="78"/>
      <c r="AF134" s="78"/>
      <c r="AG134" s="79"/>
      <c r="AH134" s="65"/>
      <c r="AJ134" s="85"/>
      <c r="AK134" s="78"/>
      <c r="AL134" s="78"/>
      <c r="AM134" s="78"/>
      <c r="AN134" s="78"/>
      <c r="AO134" s="78"/>
      <c r="AP134" s="78"/>
      <c r="AQ134" s="79"/>
      <c r="AR134" s="65"/>
      <c r="AT134" s="85"/>
      <c r="AU134" s="78"/>
      <c r="AV134" s="78"/>
      <c r="AW134" s="78"/>
      <c r="AX134" s="78"/>
      <c r="AY134" s="78"/>
      <c r="AZ134" s="79"/>
      <c r="BA134" s="65"/>
      <c r="BC134" s="85"/>
      <c r="BD134" s="78"/>
      <c r="BE134" s="78"/>
      <c r="BF134" s="78"/>
      <c r="BG134" s="78"/>
      <c r="BH134" s="78"/>
      <c r="BI134" s="78"/>
      <c r="BJ134" s="79"/>
      <c r="BK134" s="65"/>
      <c r="CU134" s="67"/>
      <c r="EC134" s="67"/>
      <c r="FK134" s="67"/>
      <c r="FL134" s="67"/>
      <c r="FM134" s="67"/>
      <c r="FN134" s="67"/>
      <c r="FO134" s="67"/>
      <c r="FP134" s="67"/>
      <c r="FQ134" s="67"/>
      <c r="FR134" s="67"/>
      <c r="FS134" s="67"/>
      <c r="FT134" s="67"/>
      <c r="FU134" s="67"/>
      <c r="FV134" s="67"/>
      <c r="FW134" s="67"/>
      <c r="FX134" s="67"/>
      <c r="FY134" s="67"/>
      <c r="FZ134" s="67"/>
      <c r="GA134" s="67"/>
      <c r="GB134" s="67"/>
      <c r="GC134" s="67"/>
      <c r="GD134" s="67"/>
      <c r="GE134" s="67"/>
      <c r="GF134" s="67"/>
      <c r="GG134" s="67"/>
      <c r="GH134" s="67"/>
      <c r="GI134" s="67"/>
      <c r="GJ134" s="67"/>
      <c r="GK134" s="67"/>
      <c r="GL134" s="67"/>
      <c r="GM134" s="67"/>
      <c r="GN134" s="67"/>
      <c r="GO134" s="67"/>
      <c r="GP134" s="67"/>
    </row>
    <row r="135" spans="5:198" s="66" customFormat="1">
      <c r="E135" s="67"/>
      <c r="G135" s="67"/>
      <c r="H135" s="67"/>
      <c r="I135" s="67"/>
      <c r="J135" s="67"/>
      <c r="K135" s="67"/>
      <c r="L135" s="67"/>
      <c r="M135" s="67"/>
      <c r="N135" s="67"/>
      <c r="O135" s="78"/>
      <c r="P135" s="78"/>
      <c r="S135" s="78"/>
      <c r="T135" s="78"/>
      <c r="U135" s="79"/>
      <c r="V135" s="65"/>
      <c r="Y135" s="78"/>
      <c r="Z135" s="78"/>
      <c r="AA135" s="78"/>
      <c r="AB135" s="78"/>
      <c r="AC135" s="78"/>
      <c r="AD135" s="78"/>
      <c r="AE135" s="78"/>
      <c r="AF135" s="78"/>
      <c r="AG135" s="79"/>
      <c r="AH135" s="65"/>
      <c r="AJ135" s="85"/>
      <c r="AK135" s="78"/>
      <c r="AL135" s="78"/>
      <c r="AM135" s="78"/>
      <c r="AN135" s="78"/>
      <c r="AO135" s="78"/>
      <c r="AP135" s="78"/>
      <c r="AQ135" s="79"/>
      <c r="AR135" s="65"/>
      <c r="AT135" s="85"/>
      <c r="AU135" s="78"/>
      <c r="AV135" s="78"/>
      <c r="AW135" s="78"/>
      <c r="AX135" s="78"/>
      <c r="AY135" s="78"/>
      <c r="AZ135" s="79"/>
      <c r="BA135" s="65"/>
      <c r="BC135" s="85"/>
      <c r="BD135" s="78"/>
      <c r="BE135" s="78"/>
      <c r="BF135" s="78"/>
      <c r="BG135" s="78"/>
      <c r="BH135" s="78"/>
      <c r="BI135" s="78"/>
      <c r="BJ135" s="79"/>
      <c r="BK135" s="65"/>
      <c r="CU135" s="67"/>
      <c r="EC135" s="67"/>
      <c r="FK135" s="67"/>
      <c r="FL135" s="67"/>
      <c r="FM135" s="67"/>
      <c r="FN135" s="67"/>
      <c r="FO135" s="67"/>
      <c r="FP135" s="67"/>
      <c r="FQ135" s="67"/>
      <c r="FR135" s="67"/>
      <c r="FS135" s="67"/>
      <c r="FT135" s="67"/>
      <c r="FU135" s="67"/>
      <c r="FV135" s="67"/>
      <c r="FW135" s="67"/>
      <c r="FX135" s="67"/>
      <c r="FY135" s="67"/>
      <c r="FZ135" s="67"/>
      <c r="GA135" s="67"/>
      <c r="GB135" s="67"/>
      <c r="GC135" s="67"/>
      <c r="GD135" s="67"/>
      <c r="GE135" s="67"/>
      <c r="GF135" s="67"/>
      <c r="GG135" s="67"/>
      <c r="GH135" s="67"/>
      <c r="GI135" s="67"/>
      <c r="GJ135" s="67"/>
      <c r="GK135" s="67"/>
      <c r="GL135" s="67"/>
      <c r="GM135" s="67"/>
      <c r="GN135" s="67"/>
      <c r="GO135" s="67"/>
      <c r="GP135" s="67"/>
    </row>
    <row r="136" spans="5:198" s="66" customFormat="1">
      <c r="E136" s="67"/>
      <c r="G136" s="67"/>
      <c r="H136" s="67"/>
      <c r="I136" s="67"/>
      <c r="J136" s="67"/>
      <c r="K136" s="67"/>
      <c r="L136" s="67"/>
      <c r="M136" s="67"/>
      <c r="N136" s="67"/>
      <c r="O136" s="78"/>
      <c r="P136" s="78"/>
      <c r="S136" s="78"/>
      <c r="T136" s="78"/>
      <c r="U136" s="79"/>
      <c r="V136" s="65"/>
      <c r="Y136" s="78"/>
      <c r="Z136" s="78"/>
      <c r="AA136" s="78"/>
      <c r="AB136" s="78"/>
      <c r="AC136" s="78"/>
      <c r="AD136" s="78"/>
      <c r="AE136" s="78"/>
      <c r="AF136" s="78"/>
      <c r="AG136" s="79"/>
      <c r="AH136" s="65"/>
      <c r="AJ136" s="85"/>
      <c r="AK136" s="78"/>
      <c r="AL136" s="78"/>
      <c r="AM136" s="78"/>
      <c r="AN136" s="78"/>
      <c r="AO136" s="78"/>
      <c r="AP136" s="78"/>
      <c r="AQ136" s="79"/>
      <c r="AR136" s="65"/>
      <c r="AT136" s="85"/>
      <c r="AU136" s="78"/>
      <c r="AV136" s="78"/>
      <c r="AW136" s="78"/>
      <c r="AX136" s="78"/>
      <c r="AY136" s="78"/>
      <c r="AZ136" s="79"/>
      <c r="BA136" s="65"/>
      <c r="BC136" s="85"/>
      <c r="BD136" s="78"/>
      <c r="BE136" s="78"/>
      <c r="BF136" s="78"/>
      <c r="BG136" s="78"/>
      <c r="BH136" s="78"/>
      <c r="BI136" s="78"/>
      <c r="BJ136" s="79"/>
      <c r="BK136" s="65"/>
      <c r="CU136" s="67"/>
      <c r="EC136" s="67"/>
      <c r="FK136" s="67"/>
      <c r="FL136" s="67"/>
      <c r="FM136" s="67"/>
      <c r="FN136" s="67"/>
      <c r="FO136" s="67"/>
      <c r="FP136" s="67"/>
      <c r="FQ136" s="67"/>
      <c r="FR136" s="67"/>
      <c r="FS136" s="67"/>
      <c r="FT136" s="67"/>
      <c r="FU136" s="67"/>
      <c r="FV136" s="67"/>
      <c r="FW136" s="67"/>
      <c r="FX136" s="67"/>
      <c r="FY136" s="67"/>
      <c r="FZ136" s="67"/>
      <c r="GA136" s="67"/>
      <c r="GB136" s="67"/>
      <c r="GC136" s="67"/>
      <c r="GD136" s="67"/>
      <c r="GE136" s="67"/>
      <c r="GF136" s="67"/>
      <c r="GG136" s="67"/>
      <c r="GH136" s="67"/>
      <c r="GI136" s="67"/>
      <c r="GJ136" s="67"/>
      <c r="GK136" s="67"/>
      <c r="GL136" s="67"/>
      <c r="GM136" s="67"/>
      <c r="GN136" s="67"/>
      <c r="GO136" s="67"/>
      <c r="GP136" s="67"/>
    </row>
    <row r="137" spans="5:198" s="66" customFormat="1">
      <c r="E137" s="67"/>
      <c r="G137" s="67"/>
      <c r="H137" s="67"/>
      <c r="I137" s="67"/>
      <c r="J137" s="67"/>
      <c r="K137" s="67"/>
      <c r="L137" s="67"/>
      <c r="M137" s="67"/>
      <c r="N137" s="67"/>
      <c r="O137" s="78"/>
      <c r="P137" s="78"/>
      <c r="S137" s="78"/>
      <c r="T137" s="78"/>
      <c r="U137" s="79"/>
      <c r="V137" s="65"/>
      <c r="Y137" s="78"/>
      <c r="Z137" s="78"/>
      <c r="AA137" s="78"/>
      <c r="AB137" s="78"/>
      <c r="AC137" s="78"/>
      <c r="AD137" s="78"/>
      <c r="AE137" s="78"/>
      <c r="AF137" s="78"/>
      <c r="AG137" s="79"/>
      <c r="AH137" s="65"/>
      <c r="AJ137" s="85"/>
      <c r="AK137" s="78"/>
      <c r="AL137" s="78"/>
      <c r="AM137" s="78"/>
      <c r="AN137" s="78"/>
      <c r="AO137" s="78"/>
      <c r="AP137" s="78"/>
      <c r="AQ137" s="79"/>
      <c r="AR137" s="65"/>
      <c r="AT137" s="85"/>
      <c r="AU137" s="78"/>
      <c r="AV137" s="78"/>
      <c r="AW137" s="78"/>
      <c r="AX137" s="78"/>
      <c r="AY137" s="78"/>
      <c r="AZ137" s="79"/>
      <c r="BA137" s="65"/>
      <c r="BC137" s="85"/>
      <c r="BD137" s="78"/>
      <c r="BE137" s="78"/>
      <c r="BF137" s="78"/>
      <c r="BG137" s="78"/>
      <c r="BH137" s="78"/>
      <c r="BI137" s="78"/>
      <c r="BJ137" s="79"/>
      <c r="BK137" s="65"/>
      <c r="CU137" s="67"/>
      <c r="EC137" s="67"/>
      <c r="FK137" s="67"/>
      <c r="FL137" s="67"/>
      <c r="FM137" s="67"/>
      <c r="FN137" s="67"/>
      <c r="FO137" s="67"/>
      <c r="FP137" s="67"/>
      <c r="FQ137" s="67"/>
      <c r="FR137" s="67"/>
      <c r="FS137" s="67"/>
      <c r="FT137" s="67"/>
      <c r="FU137" s="67"/>
      <c r="FV137" s="67"/>
      <c r="FW137" s="67"/>
      <c r="FX137" s="67"/>
      <c r="FY137" s="67"/>
      <c r="FZ137" s="67"/>
      <c r="GA137" s="67"/>
      <c r="GB137" s="67"/>
      <c r="GC137" s="67"/>
      <c r="GD137" s="67"/>
      <c r="GE137" s="67"/>
      <c r="GF137" s="67"/>
      <c r="GG137" s="67"/>
      <c r="GH137" s="67"/>
      <c r="GI137" s="67"/>
      <c r="GJ137" s="67"/>
      <c r="GK137" s="67"/>
      <c r="GL137" s="67"/>
      <c r="GM137" s="67"/>
      <c r="GN137" s="67"/>
      <c r="GO137" s="67"/>
      <c r="GP137" s="67"/>
    </row>
    <row r="138" spans="5:198" s="66" customFormat="1">
      <c r="E138" s="67"/>
      <c r="G138" s="67"/>
      <c r="H138" s="67"/>
      <c r="I138" s="67"/>
      <c r="J138" s="67"/>
      <c r="K138" s="67"/>
      <c r="L138" s="67"/>
      <c r="M138" s="67"/>
      <c r="N138" s="67"/>
      <c r="O138" s="78"/>
      <c r="P138" s="78"/>
      <c r="S138" s="78"/>
      <c r="T138" s="78"/>
      <c r="U138" s="79"/>
      <c r="V138" s="65"/>
      <c r="Y138" s="78"/>
      <c r="Z138" s="78"/>
      <c r="AA138" s="78"/>
      <c r="AB138" s="78"/>
      <c r="AC138" s="78"/>
      <c r="AD138" s="78"/>
      <c r="AE138" s="78"/>
      <c r="AF138" s="78"/>
      <c r="AG138" s="79"/>
      <c r="AH138" s="65"/>
      <c r="AJ138" s="85"/>
      <c r="AK138" s="78"/>
      <c r="AL138" s="78"/>
      <c r="AM138" s="78"/>
      <c r="AN138" s="78"/>
      <c r="AO138" s="78"/>
      <c r="AP138" s="78"/>
      <c r="AQ138" s="79"/>
      <c r="AR138" s="65"/>
      <c r="AT138" s="85"/>
      <c r="AU138" s="78"/>
      <c r="AV138" s="78"/>
      <c r="AW138" s="78"/>
      <c r="AX138" s="78"/>
      <c r="AY138" s="78"/>
      <c r="AZ138" s="79"/>
      <c r="BA138" s="65"/>
      <c r="BC138" s="85"/>
      <c r="BD138" s="78"/>
      <c r="BE138" s="78"/>
      <c r="BF138" s="78"/>
      <c r="BG138" s="78"/>
      <c r="BH138" s="78"/>
      <c r="BI138" s="78"/>
      <c r="BJ138" s="79"/>
      <c r="BK138" s="65"/>
      <c r="CU138" s="67"/>
      <c r="EC138" s="67"/>
      <c r="FK138" s="67"/>
      <c r="FL138" s="67"/>
      <c r="FM138" s="67"/>
      <c r="FN138" s="67"/>
      <c r="FO138" s="67"/>
      <c r="FP138" s="67"/>
      <c r="FQ138" s="67"/>
      <c r="FR138" s="67"/>
      <c r="FS138" s="67"/>
      <c r="FT138" s="67"/>
      <c r="FU138" s="67"/>
      <c r="FV138" s="67"/>
      <c r="FW138" s="67"/>
      <c r="FX138" s="67"/>
      <c r="FY138" s="67"/>
      <c r="FZ138" s="67"/>
      <c r="GA138" s="67"/>
      <c r="GB138" s="67"/>
      <c r="GC138" s="67"/>
      <c r="GD138" s="67"/>
      <c r="GE138" s="67"/>
      <c r="GF138" s="67"/>
      <c r="GG138" s="67"/>
      <c r="GH138" s="67"/>
      <c r="GI138" s="67"/>
      <c r="GJ138" s="67"/>
      <c r="GK138" s="67"/>
      <c r="GL138" s="67"/>
      <c r="GM138" s="67"/>
      <c r="GN138" s="67"/>
      <c r="GO138" s="67"/>
      <c r="GP138" s="67"/>
    </row>
    <row r="139" spans="5:198" s="66" customFormat="1">
      <c r="E139" s="67"/>
      <c r="G139" s="67"/>
      <c r="H139" s="67"/>
      <c r="I139" s="67"/>
      <c r="J139" s="67"/>
      <c r="K139" s="67"/>
      <c r="L139" s="67"/>
      <c r="M139" s="67"/>
      <c r="N139" s="67"/>
      <c r="O139" s="78"/>
      <c r="P139" s="78"/>
      <c r="S139" s="78"/>
      <c r="T139" s="78"/>
      <c r="U139" s="79"/>
      <c r="V139" s="65"/>
      <c r="Y139" s="78"/>
      <c r="Z139" s="78"/>
      <c r="AA139" s="78"/>
      <c r="AB139" s="78"/>
      <c r="AC139" s="78"/>
      <c r="AD139" s="78"/>
      <c r="AE139" s="78"/>
      <c r="AF139" s="78"/>
      <c r="AG139" s="79"/>
      <c r="AH139" s="65"/>
      <c r="AJ139" s="85"/>
      <c r="AK139" s="78"/>
      <c r="AL139" s="78"/>
      <c r="AM139" s="78"/>
      <c r="AN139" s="78"/>
      <c r="AO139" s="78"/>
      <c r="AP139" s="78"/>
      <c r="AQ139" s="79"/>
      <c r="AR139" s="65"/>
      <c r="AT139" s="85"/>
      <c r="AU139" s="78"/>
      <c r="AV139" s="78"/>
      <c r="AW139" s="78"/>
      <c r="AX139" s="78"/>
      <c r="AY139" s="78"/>
      <c r="AZ139" s="79"/>
      <c r="BA139" s="65"/>
      <c r="BC139" s="85"/>
      <c r="BD139" s="78"/>
      <c r="BE139" s="78"/>
      <c r="BF139" s="78"/>
      <c r="BG139" s="78"/>
      <c r="BH139" s="78"/>
      <c r="BI139" s="78"/>
      <c r="BJ139" s="79"/>
      <c r="BK139" s="65"/>
      <c r="CU139" s="67"/>
      <c r="EC139" s="67"/>
      <c r="FK139" s="67"/>
      <c r="FL139" s="67"/>
      <c r="FM139" s="67"/>
      <c r="FN139" s="67"/>
      <c r="FO139" s="67"/>
      <c r="FP139" s="67"/>
      <c r="FQ139" s="67"/>
      <c r="FR139" s="67"/>
      <c r="FS139" s="67"/>
      <c r="FT139" s="67"/>
      <c r="FU139" s="67"/>
      <c r="FV139" s="67"/>
      <c r="FW139" s="67"/>
      <c r="FX139" s="67"/>
      <c r="FY139" s="67"/>
      <c r="FZ139" s="67"/>
      <c r="GA139" s="67"/>
      <c r="GB139" s="67"/>
      <c r="GC139" s="67"/>
      <c r="GD139" s="67"/>
      <c r="GE139" s="67"/>
      <c r="GF139" s="67"/>
      <c r="GG139" s="67"/>
      <c r="GH139" s="67"/>
      <c r="GI139" s="67"/>
      <c r="GJ139" s="67"/>
      <c r="GK139" s="67"/>
      <c r="GL139" s="67"/>
      <c r="GM139" s="67"/>
      <c r="GN139" s="67"/>
      <c r="GO139" s="67"/>
      <c r="GP139" s="67"/>
    </row>
    <row r="140" spans="5:198" s="66" customFormat="1">
      <c r="E140" s="67"/>
      <c r="G140" s="67"/>
      <c r="H140" s="67"/>
      <c r="I140" s="67"/>
      <c r="J140" s="67"/>
      <c r="K140" s="67"/>
      <c r="L140" s="67"/>
      <c r="M140" s="67"/>
      <c r="N140" s="67"/>
      <c r="O140" s="78"/>
      <c r="P140" s="78"/>
      <c r="S140" s="78"/>
      <c r="T140" s="78"/>
      <c r="U140" s="79"/>
      <c r="V140" s="65"/>
      <c r="Y140" s="78"/>
      <c r="Z140" s="78"/>
      <c r="AA140" s="78"/>
      <c r="AB140" s="78"/>
      <c r="AC140" s="78"/>
      <c r="AD140" s="78"/>
      <c r="AE140" s="78"/>
      <c r="AF140" s="78"/>
      <c r="AG140" s="79"/>
      <c r="AH140" s="65"/>
      <c r="AJ140" s="85"/>
      <c r="AK140" s="78"/>
      <c r="AL140" s="78"/>
      <c r="AM140" s="78"/>
      <c r="AN140" s="78"/>
      <c r="AO140" s="78"/>
      <c r="AP140" s="78"/>
      <c r="AQ140" s="79"/>
      <c r="AR140" s="65"/>
      <c r="AT140" s="85"/>
      <c r="AU140" s="78"/>
      <c r="AV140" s="78"/>
      <c r="AW140" s="78"/>
      <c r="AX140" s="78"/>
      <c r="AY140" s="78"/>
      <c r="AZ140" s="79"/>
      <c r="BA140" s="65"/>
      <c r="BC140" s="85"/>
      <c r="BD140" s="78"/>
      <c r="BE140" s="78"/>
      <c r="BF140" s="78"/>
      <c r="BG140" s="78"/>
      <c r="BH140" s="78"/>
      <c r="BI140" s="78"/>
      <c r="BJ140" s="79"/>
      <c r="BK140" s="65"/>
      <c r="CU140" s="67"/>
      <c r="EC140" s="67"/>
      <c r="FK140" s="67"/>
      <c r="FL140" s="67"/>
      <c r="FM140" s="67"/>
      <c r="FN140" s="67"/>
      <c r="FO140" s="67"/>
      <c r="FP140" s="67"/>
      <c r="FQ140" s="67"/>
      <c r="FR140" s="67"/>
      <c r="FS140" s="67"/>
      <c r="FT140" s="67"/>
      <c r="FU140" s="67"/>
      <c r="FV140" s="67"/>
      <c r="FW140" s="67"/>
      <c r="FX140" s="67"/>
      <c r="FY140" s="67"/>
      <c r="FZ140" s="67"/>
      <c r="GA140" s="67"/>
      <c r="GB140" s="67"/>
      <c r="GC140" s="67"/>
      <c r="GD140" s="67"/>
      <c r="GE140" s="67"/>
      <c r="GF140" s="67"/>
      <c r="GG140" s="67"/>
      <c r="GH140" s="67"/>
      <c r="GI140" s="67"/>
      <c r="GJ140" s="67"/>
      <c r="GK140" s="67"/>
      <c r="GL140" s="67"/>
      <c r="GM140" s="67"/>
      <c r="GN140" s="67"/>
      <c r="GO140" s="67"/>
      <c r="GP140" s="67"/>
    </row>
    <row r="141" spans="5:198" s="66" customFormat="1">
      <c r="E141" s="67"/>
      <c r="G141" s="67"/>
      <c r="H141" s="67"/>
      <c r="I141" s="67"/>
      <c r="J141" s="67"/>
      <c r="K141" s="67"/>
      <c r="L141" s="67"/>
      <c r="M141" s="67"/>
      <c r="N141" s="67"/>
      <c r="O141" s="78"/>
      <c r="P141" s="78"/>
      <c r="S141" s="78"/>
      <c r="T141" s="78"/>
      <c r="U141" s="79"/>
      <c r="V141" s="65"/>
      <c r="Y141" s="78"/>
      <c r="Z141" s="78"/>
      <c r="AA141" s="78"/>
      <c r="AB141" s="78"/>
      <c r="AC141" s="78"/>
      <c r="AD141" s="78"/>
      <c r="AE141" s="78"/>
      <c r="AF141" s="78"/>
      <c r="AG141" s="79"/>
      <c r="AH141" s="65"/>
      <c r="AJ141" s="85"/>
      <c r="AK141" s="78"/>
      <c r="AL141" s="78"/>
      <c r="AM141" s="78"/>
      <c r="AN141" s="78"/>
      <c r="AO141" s="78"/>
      <c r="AP141" s="78"/>
      <c r="AQ141" s="79"/>
      <c r="AR141" s="65"/>
      <c r="AT141" s="85"/>
      <c r="AU141" s="78"/>
      <c r="AV141" s="78"/>
      <c r="AW141" s="78"/>
      <c r="AX141" s="78"/>
      <c r="AY141" s="78"/>
      <c r="AZ141" s="79"/>
      <c r="BA141" s="65"/>
      <c r="BC141" s="85"/>
      <c r="BD141" s="78"/>
      <c r="BE141" s="78"/>
      <c r="BF141" s="78"/>
      <c r="BG141" s="78"/>
      <c r="BH141" s="78"/>
      <c r="BI141" s="78"/>
      <c r="BJ141" s="79"/>
      <c r="BK141" s="65"/>
      <c r="CU141" s="67"/>
      <c r="EC141" s="67"/>
      <c r="FK141" s="67"/>
      <c r="FL141" s="67"/>
      <c r="FM141" s="67"/>
      <c r="FN141" s="67"/>
      <c r="FO141" s="67"/>
      <c r="FP141" s="67"/>
      <c r="FQ141" s="67"/>
      <c r="FR141" s="67"/>
      <c r="FS141" s="67"/>
      <c r="FT141" s="67"/>
      <c r="FU141" s="67"/>
      <c r="FV141" s="67"/>
      <c r="FW141" s="67"/>
      <c r="FX141" s="67"/>
      <c r="FY141" s="67"/>
      <c r="FZ141" s="67"/>
      <c r="GA141" s="67"/>
      <c r="GB141" s="67"/>
      <c r="GC141" s="67"/>
      <c r="GD141" s="67"/>
      <c r="GE141" s="67"/>
      <c r="GF141" s="67"/>
      <c r="GG141" s="67"/>
      <c r="GH141" s="67"/>
      <c r="GI141" s="67"/>
      <c r="GJ141" s="67"/>
      <c r="GK141" s="67"/>
      <c r="GL141" s="67"/>
      <c r="GM141" s="67"/>
      <c r="GN141" s="67"/>
      <c r="GO141" s="67"/>
      <c r="GP141" s="67"/>
    </row>
    <row r="142" spans="5:198" s="66" customFormat="1">
      <c r="E142" s="67"/>
      <c r="G142" s="67"/>
      <c r="H142" s="67"/>
      <c r="I142" s="67"/>
      <c r="J142" s="67"/>
      <c r="K142" s="67"/>
      <c r="L142" s="67"/>
      <c r="M142" s="67"/>
      <c r="N142" s="67"/>
      <c r="O142" s="78"/>
      <c r="P142" s="78"/>
      <c r="S142" s="78"/>
      <c r="T142" s="78"/>
      <c r="U142" s="79"/>
      <c r="V142" s="65"/>
      <c r="Y142" s="78"/>
      <c r="Z142" s="78"/>
      <c r="AA142" s="78"/>
      <c r="AB142" s="78"/>
      <c r="AC142" s="78"/>
      <c r="AD142" s="78"/>
      <c r="AE142" s="78"/>
      <c r="AF142" s="78"/>
      <c r="AG142" s="79"/>
      <c r="AH142" s="65"/>
      <c r="AJ142" s="85"/>
      <c r="AK142" s="78"/>
      <c r="AL142" s="78"/>
      <c r="AM142" s="78"/>
      <c r="AN142" s="78"/>
      <c r="AO142" s="78"/>
      <c r="AP142" s="78"/>
      <c r="AQ142" s="79"/>
      <c r="AR142" s="65"/>
      <c r="AT142" s="85"/>
      <c r="AU142" s="78"/>
      <c r="AV142" s="78"/>
      <c r="AW142" s="78"/>
      <c r="AX142" s="78"/>
      <c r="AY142" s="78"/>
      <c r="AZ142" s="79"/>
      <c r="BA142" s="65"/>
      <c r="BC142" s="85"/>
      <c r="BD142" s="78"/>
      <c r="BE142" s="78"/>
      <c r="BF142" s="78"/>
      <c r="BG142" s="78"/>
      <c r="BH142" s="78"/>
      <c r="BI142" s="78"/>
      <c r="BJ142" s="79"/>
      <c r="BK142" s="65"/>
      <c r="CU142" s="67"/>
      <c r="EC142" s="67"/>
      <c r="FK142" s="67"/>
      <c r="FL142" s="67"/>
      <c r="FM142" s="67"/>
      <c r="FN142" s="67"/>
      <c r="FO142" s="67"/>
      <c r="FP142" s="67"/>
      <c r="FQ142" s="67"/>
      <c r="FR142" s="67"/>
      <c r="FS142" s="67"/>
      <c r="FT142" s="67"/>
      <c r="FU142" s="67"/>
      <c r="FV142" s="67"/>
      <c r="FW142" s="67"/>
      <c r="FX142" s="67"/>
      <c r="FY142" s="67"/>
      <c r="FZ142" s="67"/>
      <c r="GA142" s="67"/>
      <c r="GB142" s="67"/>
      <c r="GC142" s="67"/>
      <c r="GD142" s="67"/>
      <c r="GE142" s="67"/>
      <c r="GF142" s="67"/>
      <c r="GG142" s="67"/>
      <c r="GH142" s="67"/>
      <c r="GI142" s="67"/>
      <c r="GJ142" s="67"/>
      <c r="GK142" s="67"/>
      <c r="GL142" s="67"/>
      <c r="GM142" s="67"/>
      <c r="GN142" s="67"/>
      <c r="GO142" s="67"/>
      <c r="GP142" s="67"/>
    </row>
    <row r="143" spans="5:198" s="66" customFormat="1">
      <c r="E143" s="67"/>
      <c r="G143" s="67"/>
      <c r="H143" s="67"/>
      <c r="I143" s="67"/>
      <c r="J143" s="67"/>
      <c r="K143" s="67"/>
      <c r="L143" s="67"/>
      <c r="M143" s="67"/>
      <c r="N143" s="67"/>
      <c r="O143" s="78"/>
      <c r="P143" s="78"/>
      <c r="S143" s="78"/>
      <c r="T143" s="78"/>
      <c r="U143" s="79"/>
      <c r="V143" s="65"/>
      <c r="Y143" s="78"/>
      <c r="Z143" s="78"/>
      <c r="AA143" s="78"/>
      <c r="AB143" s="78"/>
      <c r="AC143" s="78"/>
      <c r="AD143" s="78"/>
      <c r="AE143" s="78"/>
      <c r="AF143" s="78"/>
      <c r="AG143" s="79"/>
      <c r="AH143" s="65"/>
      <c r="AJ143" s="85"/>
      <c r="AK143" s="78"/>
      <c r="AL143" s="78"/>
      <c r="AM143" s="78"/>
      <c r="AN143" s="78"/>
      <c r="AO143" s="78"/>
      <c r="AP143" s="78"/>
      <c r="AQ143" s="79"/>
      <c r="AR143" s="65"/>
      <c r="AT143" s="85"/>
      <c r="AU143" s="78"/>
      <c r="AV143" s="78"/>
      <c r="AW143" s="78"/>
      <c r="AX143" s="78"/>
      <c r="AY143" s="78"/>
      <c r="AZ143" s="79"/>
      <c r="BA143" s="65"/>
      <c r="BC143" s="85"/>
      <c r="BD143" s="78"/>
      <c r="BE143" s="78"/>
      <c r="BF143" s="78"/>
      <c r="BG143" s="78"/>
      <c r="BH143" s="78"/>
      <c r="BI143" s="78"/>
      <c r="BJ143" s="79"/>
      <c r="BK143" s="65"/>
      <c r="CU143" s="67"/>
      <c r="EC143" s="67"/>
      <c r="FK143" s="67"/>
      <c r="FL143" s="67"/>
      <c r="FM143" s="67"/>
      <c r="FN143" s="67"/>
      <c r="FO143" s="67"/>
      <c r="FP143" s="67"/>
      <c r="FQ143" s="67"/>
      <c r="FR143" s="67"/>
      <c r="FS143" s="67"/>
      <c r="FT143" s="67"/>
      <c r="FU143" s="67"/>
      <c r="FV143" s="67"/>
      <c r="FW143" s="67"/>
      <c r="FX143" s="67"/>
      <c r="FY143" s="67"/>
      <c r="FZ143" s="67"/>
      <c r="GA143" s="67"/>
      <c r="GB143" s="67"/>
      <c r="GC143" s="67"/>
      <c r="GD143" s="67"/>
      <c r="GE143" s="67"/>
      <c r="GF143" s="67"/>
      <c r="GG143" s="67"/>
      <c r="GH143" s="67"/>
      <c r="GI143" s="67"/>
      <c r="GJ143" s="67"/>
      <c r="GK143" s="67"/>
      <c r="GL143" s="67"/>
      <c r="GM143" s="67"/>
      <c r="GN143" s="67"/>
      <c r="GO143" s="67"/>
      <c r="GP143" s="67"/>
    </row>
    <row r="144" spans="5:198" s="66" customFormat="1">
      <c r="E144" s="67"/>
      <c r="G144" s="67"/>
      <c r="H144" s="67"/>
      <c r="I144" s="67"/>
      <c r="J144" s="67"/>
      <c r="K144" s="67"/>
      <c r="L144" s="67"/>
      <c r="M144" s="67"/>
      <c r="N144" s="67"/>
      <c r="O144" s="78"/>
      <c r="P144" s="78"/>
      <c r="S144" s="78"/>
      <c r="T144" s="78"/>
      <c r="U144" s="79"/>
      <c r="V144" s="65"/>
      <c r="Y144" s="78"/>
      <c r="Z144" s="78"/>
      <c r="AA144" s="78"/>
      <c r="AB144" s="78"/>
      <c r="AC144" s="78"/>
      <c r="AD144" s="78"/>
      <c r="AE144" s="78"/>
      <c r="AF144" s="78"/>
      <c r="AG144" s="79"/>
      <c r="AH144" s="65"/>
      <c r="AJ144" s="85"/>
      <c r="AK144" s="78"/>
      <c r="AL144" s="78"/>
      <c r="AM144" s="78"/>
      <c r="AN144" s="78"/>
      <c r="AO144" s="78"/>
      <c r="AP144" s="78"/>
      <c r="AQ144" s="79"/>
      <c r="AR144" s="65"/>
      <c r="AT144" s="85"/>
      <c r="AU144" s="78"/>
      <c r="AV144" s="78"/>
      <c r="AW144" s="78"/>
      <c r="AX144" s="78"/>
      <c r="AY144" s="78"/>
      <c r="AZ144" s="79"/>
      <c r="BA144" s="65"/>
      <c r="BC144" s="85"/>
      <c r="BD144" s="78"/>
      <c r="BE144" s="78"/>
      <c r="BF144" s="78"/>
      <c r="BG144" s="78"/>
      <c r="BH144" s="78"/>
      <c r="BI144" s="78"/>
      <c r="BJ144" s="79"/>
      <c r="BK144" s="65"/>
      <c r="CU144" s="67"/>
      <c r="EC144" s="67"/>
      <c r="FK144" s="67"/>
      <c r="FL144" s="67"/>
      <c r="FM144" s="67"/>
      <c r="FN144" s="67"/>
      <c r="FO144" s="67"/>
      <c r="FP144" s="67"/>
      <c r="FQ144" s="67"/>
      <c r="FR144" s="67"/>
      <c r="FS144" s="67"/>
      <c r="FT144" s="67"/>
      <c r="FU144" s="67"/>
      <c r="FV144" s="67"/>
      <c r="FW144" s="67"/>
      <c r="FX144" s="67"/>
      <c r="FY144" s="67"/>
      <c r="FZ144" s="67"/>
      <c r="GA144" s="67"/>
      <c r="GB144" s="67"/>
      <c r="GC144" s="67"/>
      <c r="GD144" s="67"/>
      <c r="GE144" s="67"/>
      <c r="GF144" s="67"/>
      <c r="GG144" s="67"/>
      <c r="GH144" s="67"/>
      <c r="GI144" s="67"/>
      <c r="GJ144" s="67"/>
      <c r="GK144" s="67"/>
      <c r="GL144" s="67"/>
      <c r="GM144" s="67"/>
      <c r="GN144" s="67"/>
      <c r="GO144" s="67"/>
      <c r="GP144" s="67"/>
    </row>
    <row r="145" spans="5:198" s="66" customFormat="1">
      <c r="E145" s="67"/>
      <c r="G145" s="67"/>
      <c r="H145" s="67"/>
      <c r="I145" s="67"/>
      <c r="J145" s="67"/>
      <c r="K145" s="67"/>
      <c r="L145" s="67"/>
      <c r="M145" s="67"/>
      <c r="N145" s="67"/>
      <c r="O145" s="78"/>
      <c r="P145" s="78"/>
      <c r="S145" s="78"/>
      <c r="T145" s="78"/>
      <c r="U145" s="79"/>
      <c r="V145" s="65"/>
      <c r="Y145" s="78"/>
      <c r="Z145" s="78"/>
      <c r="AA145" s="78"/>
      <c r="AB145" s="78"/>
      <c r="AC145" s="78"/>
      <c r="AD145" s="78"/>
      <c r="AE145" s="78"/>
      <c r="AF145" s="78"/>
      <c r="AG145" s="79"/>
      <c r="AH145" s="65"/>
      <c r="AJ145" s="85"/>
      <c r="AK145" s="78"/>
      <c r="AL145" s="78"/>
      <c r="AM145" s="78"/>
      <c r="AN145" s="78"/>
      <c r="AO145" s="78"/>
      <c r="AP145" s="78"/>
      <c r="AQ145" s="79"/>
      <c r="AR145" s="65"/>
      <c r="AT145" s="85"/>
      <c r="AU145" s="78"/>
      <c r="AV145" s="78"/>
      <c r="AW145" s="78"/>
      <c r="AX145" s="78"/>
      <c r="AY145" s="78"/>
      <c r="AZ145" s="79"/>
      <c r="BA145" s="65"/>
      <c r="BC145" s="85"/>
      <c r="BD145" s="78"/>
      <c r="BE145" s="78"/>
      <c r="BF145" s="78"/>
      <c r="BG145" s="78"/>
      <c r="BH145" s="78"/>
      <c r="BI145" s="78"/>
      <c r="BJ145" s="79"/>
      <c r="BK145" s="65"/>
      <c r="CU145" s="67"/>
      <c r="EC145" s="67"/>
      <c r="FK145" s="67"/>
      <c r="FL145" s="67"/>
      <c r="FM145" s="67"/>
      <c r="FN145" s="67"/>
      <c r="FO145" s="67"/>
      <c r="FP145" s="67"/>
      <c r="FQ145" s="67"/>
      <c r="FR145" s="67"/>
      <c r="FS145" s="67"/>
      <c r="FT145" s="67"/>
      <c r="FU145" s="67"/>
      <c r="FV145" s="67"/>
      <c r="FW145" s="67"/>
      <c r="FX145" s="67"/>
      <c r="FY145" s="67"/>
      <c r="FZ145" s="67"/>
      <c r="GA145" s="67"/>
      <c r="GB145" s="67"/>
      <c r="GC145" s="67"/>
      <c r="GD145" s="67"/>
      <c r="GE145" s="67"/>
      <c r="GF145" s="67"/>
      <c r="GG145" s="67"/>
      <c r="GH145" s="67"/>
      <c r="GI145" s="67"/>
      <c r="GJ145" s="67"/>
      <c r="GK145" s="67"/>
      <c r="GL145" s="67"/>
      <c r="GM145" s="67"/>
      <c r="GN145" s="67"/>
      <c r="GO145" s="67"/>
      <c r="GP145" s="67"/>
    </row>
    <row r="146" spans="5:198" s="66" customFormat="1">
      <c r="E146" s="67"/>
      <c r="G146" s="67"/>
      <c r="H146" s="67"/>
      <c r="I146" s="67"/>
      <c r="J146" s="67"/>
      <c r="K146" s="67"/>
      <c r="L146" s="67"/>
      <c r="M146" s="67"/>
      <c r="N146" s="67"/>
      <c r="O146" s="78"/>
      <c r="P146" s="78"/>
      <c r="S146" s="78"/>
      <c r="T146" s="78"/>
      <c r="U146" s="79"/>
      <c r="V146" s="65"/>
      <c r="Y146" s="78"/>
      <c r="Z146" s="78"/>
      <c r="AA146" s="78"/>
      <c r="AB146" s="78"/>
      <c r="AC146" s="78"/>
      <c r="AD146" s="78"/>
      <c r="AE146" s="78"/>
      <c r="AF146" s="78"/>
      <c r="AG146" s="79"/>
      <c r="AH146" s="65"/>
      <c r="AJ146" s="85"/>
      <c r="AK146" s="78"/>
      <c r="AL146" s="78"/>
      <c r="AM146" s="78"/>
      <c r="AN146" s="78"/>
      <c r="AO146" s="78"/>
      <c r="AP146" s="78"/>
      <c r="AQ146" s="79"/>
      <c r="AR146" s="65"/>
      <c r="AT146" s="85"/>
      <c r="AU146" s="78"/>
      <c r="AV146" s="78"/>
      <c r="AW146" s="78"/>
      <c r="AX146" s="78"/>
      <c r="AY146" s="78"/>
      <c r="AZ146" s="79"/>
      <c r="BA146" s="65"/>
      <c r="BC146" s="85"/>
      <c r="BD146" s="78"/>
      <c r="BE146" s="78"/>
      <c r="BF146" s="78"/>
      <c r="BG146" s="78"/>
      <c r="BH146" s="78"/>
      <c r="BI146" s="78"/>
      <c r="BJ146" s="79"/>
      <c r="BK146" s="65"/>
      <c r="CU146" s="67"/>
      <c r="EC146" s="67"/>
      <c r="FK146" s="67"/>
      <c r="FL146" s="67"/>
      <c r="FM146" s="67"/>
      <c r="FN146" s="67"/>
      <c r="FO146" s="67"/>
      <c r="FP146" s="67"/>
      <c r="FQ146" s="67"/>
      <c r="FR146" s="67"/>
      <c r="FS146" s="67"/>
      <c r="FT146" s="67"/>
      <c r="FU146" s="67"/>
      <c r="FV146" s="67"/>
      <c r="FW146" s="67"/>
      <c r="FX146" s="67"/>
      <c r="FY146" s="67"/>
      <c r="FZ146" s="67"/>
      <c r="GA146" s="67"/>
      <c r="GB146" s="67"/>
      <c r="GC146" s="67"/>
      <c r="GD146" s="67"/>
      <c r="GE146" s="67"/>
      <c r="GF146" s="67"/>
      <c r="GG146" s="67"/>
      <c r="GH146" s="67"/>
      <c r="GI146" s="67"/>
      <c r="GJ146" s="67"/>
      <c r="GK146" s="67"/>
      <c r="GL146" s="67"/>
      <c r="GM146" s="67"/>
      <c r="GN146" s="67"/>
      <c r="GO146" s="67"/>
      <c r="GP146" s="67"/>
    </row>
    <row r="147" spans="5:198" s="66" customFormat="1">
      <c r="E147" s="67"/>
      <c r="G147" s="67"/>
      <c r="H147" s="67"/>
      <c r="I147" s="67"/>
      <c r="J147" s="67"/>
      <c r="K147" s="67"/>
      <c r="L147" s="67"/>
      <c r="M147" s="67"/>
      <c r="N147" s="67"/>
      <c r="O147" s="78"/>
      <c r="P147" s="78"/>
      <c r="S147" s="78"/>
      <c r="T147" s="78"/>
      <c r="U147" s="79"/>
      <c r="V147" s="65"/>
      <c r="Y147" s="78"/>
      <c r="Z147" s="78"/>
      <c r="AA147" s="78"/>
      <c r="AB147" s="78"/>
      <c r="AC147" s="78"/>
      <c r="AD147" s="78"/>
      <c r="AE147" s="78"/>
      <c r="AF147" s="78"/>
      <c r="AG147" s="79"/>
      <c r="AH147" s="65"/>
      <c r="AJ147" s="85"/>
      <c r="AK147" s="78"/>
      <c r="AL147" s="78"/>
      <c r="AM147" s="78"/>
      <c r="AN147" s="78"/>
      <c r="AO147" s="78"/>
      <c r="AP147" s="78"/>
      <c r="AQ147" s="79"/>
      <c r="AR147" s="65"/>
      <c r="AT147" s="85"/>
      <c r="AU147" s="78"/>
      <c r="AV147" s="78"/>
      <c r="AW147" s="78"/>
      <c r="AX147" s="78"/>
      <c r="AY147" s="78"/>
      <c r="AZ147" s="79"/>
      <c r="BA147" s="65"/>
      <c r="BC147" s="85"/>
      <c r="BD147" s="78"/>
      <c r="BE147" s="78"/>
      <c r="BF147" s="78"/>
      <c r="BG147" s="78"/>
      <c r="BH147" s="78"/>
      <c r="BI147" s="78"/>
      <c r="BJ147" s="79"/>
      <c r="BK147" s="65"/>
      <c r="CU147" s="67"/>
      <c r="EC147" s="67"/>
      <c r="FK147" s="67"/>
      <c r="FL147" s="67"/>
      <c r="FM147" s="67"/>
      <c r="FN147" s="67"/>
      <c r="FO147" s="67"/>
      <c r="FP147" s="67"/>
      <c r="FQ147" s="67"/>
      <c r="FR147" s="67"/>
      <c r="FS147" s="67"/>
      <c r="FT147" s="67"/>
      <c r="FU147" s="67"/>
      <c r="FV147" s="67"/>
      <c r="FW147" s="67"/>
      <c r="FX147" s="67"/>
      <c r="FY147" s="67"/>
      <c r="FZ147" s="67"/>
      <c r="GA147" s="67"/>
      <c r="GB147" s="67"/>
      <c r="GC147" s="67"/>
      <c r="GD147" s="67"/>
      <c r="GE147" s="67"/>
      <c r="GF147" s="67"/>
      <c r="GG147" s="67"/>
      <c r="GH147" s="67"/>
      <c r="GI147" s="67"/>
      <c r="GJ147" s="67"/>
      <c r="GK147" s="67"/>
      <c r="GL147" s="67"/>
      <c r="GM147" s="67"/>
      <c r="GN147" s="67"/>
      <c r="GO147" s="67"/>
      <c r="GP147" s="67"/>
    </row>
    <row r="148" spans="5:198" s="66" customFormat="1">
      <c r="E148" s="67"/>
      <c r="G148" s="67"/>
      <c r="H148" s="67"/>
      <c r="I148" s="67"/>
      <c r="J148" s="67"/>
      <c r="K148" s="67"/>
      <c r="L148" s="67"/>
      <c r="M148" s="67"/>
      <c r="N148" s="67"/>
      <c r="O148" s="78"/>
      <c r="P148" s="78"/>
      <c r="S148" s="78"/>
      <c r="T148" s="78"/>
      <c r="U148" s="79"/>
      <c r="V148" s="65"/>
      <c r="Y148" s="78"/>
      <c r="Z148" s="78"/>
      <c r="AA148" s="78"/>
      <c r="AB148" s="78"/>
      <c r="AC148" s="78"/>
      <c r="AD148" s="78"/>
      <c r="AE148" s="78"/>
      <c r="AF148" s="78"/>
      <c r="AG148" s="79"/>
      <c r="AH148" s="65"/>
      <c r="AJ148" s="85"/>
      <c r="AK148" s="78"/>
      <c r="AL148" s="78"/>
      <c r="AM148" s="78"/>
      <c r="AN148" s="78"/>
      <c r="AO148" s="78"/>
      <c r="AP148" s="78"/>
      <c r="AQ148" s="79"/>
      <c r="AR148" s="65"/>
      <c r="AT148" s="85"/>
      <c r="AU148" s="78"/>
      <c r="AV148" s="78"/>
      <c r="AW148" s="78"/>
      <c r="AX148" s="78"/>
      <c r="AY148" s="78"/>
      <c r="AZ148" s="79"/>
      <c r="BA148" s="65"/>
      <c r="BC148" s="85"/>
      <c r="BD148" s="78"/>
      <c r="BE148" s="78"/>
      <c r="BF148" s="78"/>
      <c r="BG148" s="78"/>
      <c r="BH148" s="78"/>
      <c r="BI148" s="78"/>
      <c r="BJ148" s="79"/>
      <c r="BK148" s="65"/>
      <c r="CU148" s="67"/>
      <c r="EC148" s="67"/>
      <c r="FK148" s="67"/>
      <c r="FL148" s="67"/>
      <c r="FM148" s="67"/>
      <c r="FN148" s="67"/>
      <c r="FO148" s="67"/>
      <c r="FP148" s="67"/>
      <c r="FQ148" s="67"/>
      <c r="FR148" s="67"/>
      <c r="FS148" s="67"/>
      <c r="FT148" s="67"/>
      <c r="FU148" s="67"/>
      <c r="FV148" s="67"/>
      <c r="FW148" s="67"/>
      <c r="FX148" s="67"/>
      <c r="FY148" s="67"/>
      <c r="FZ148" s="67"/>
      <c r="GA148" s="67"/>
      <c r="GB148" s="67"/>
      <c r="GC148" s="67"/>
      <c r="GD148" s="67"/>
      <c r="GE148" s="67"/>
      <c r="GF148" s="67"/>
      <c r="GG148" s="67"/>
      <c r="GH148" s="67"/>
      <c r="GI148" s="67"/>
      <c r="GJ148" s="67"/>
      <c r="GK148" s="67"/>
      <c r="GL148" s="67"/>
      <c r="GM148" s="67"/>
      <c r="GN148" s="67"/>
      <c r="GO148" s="67"/>
      <c r="GP148" s="67"/>
    </row>
    <row r="149" spans="5:198" s="66" customFormat="1">
      <c r="E149" s="67"/>
      <c r="G149" s="67"/>
      <c r="H149" s="67"/>
      <c r="I149" s="67"/>
      <c r="J149" s="67"/>
      <c r="K149" s="67"/>
      <c r="L149" s="67"/>
      <c r="M149" s="67"/>
      <c r="N149" s="67"/>
      <c r="O149" s="78"/>
      <c r="P149" s="78"/>
      <c r="S149" s="78"/>
      <c r="T149" s="78"/>
      <c r="U149" s="79"/>
      <c r="V149" s="65"/>
      <c r="Y149" s="78"/>
      <c r="Z149" s="78"/>
      <c r="AA149" s="78"/>
      <c r="AB149" s="78"/>
      <c r="AC149" s="78"/>
      <c r="AD149" s="78"/>
      <c r="AE149" s="78"/>
      <c r="AF149" s="78"/>
      <c r="AG149" s="79"/>
      <c r="AH149" s="65"/>
      <c r="AJ149" s="85"/>
      <c r="AK149" s="78"/>
      <c r="AL149" s="78"/>
      <c r="AM149" s="78"/>
      <c r="AN149" s="78"/>
      <c r="AO149" s="78"/>
      <c r="AP149" s="78"/>
      <c r="AQ149" s="79"/>
      <c r="AR149" s="65"/>
      <c r="AT149" s="85"/>
      <c r="AU149" s="78"/>
      <c r="AV149" s="78"/>
      <c r="AW149" s="78"/>
      <c r="AX149" s="78"/>
      <c r="AY149" s="78"/>
      <c r="AZ149" s="79"/>
      <c r="BA149" s="65"/>
      <c r="BC149" s="85"/>
      <c r="BD149" s="78"/>
      <c r="BE149" s="78"/>
      <c r="BF149" s="78"/>
      <c r="BG149" s="78"/>
      <c r="BH149" s="78"/>
      <c r="BI149" s="78"/>
      <c r="BJ149" s="79"/>
      <c r="BK149" s="65"/>
      <c r="CU149" s="67"/>
      <c r="EC149" s="67"/>
      <c r="FK149" s="67"/>
      <c r="FL149" s="67"/>
      <c r="FM149" s="67"/>
      <c r="FN149" s="67"/>
      <c r="FO149" s="67"/>
      <c r="FP149" s="67"/>
      <c r="FQ149" s="67"/>
      <c r="FR149" s="67"/>
      <c r="FS149" s="67"/>
      <c r="FT149" s="67"/>
      <c r="FU149" s="67"/>
      <c r="FV149" s="67"/>
      <c r="FW149" s="67"/>
      <c r="FX149" s="67"/>
      <c r="FY149" s="67"/>
      <c r="FZ149" s="67"/>
      <c r="GA149" s="67"/>
      <c r="GB149" s="67"/>
      <c r="GC149" s="67"/>
      <c r="GD149" s="67"/>
      <c r="GE149" s="67"/>
      <c r="GF149" s="67"/>
      <c r="GG149" s="67"/>
      <c r="GH149" s="67"/>
      <c r="GI149" s="67"/>
      <c r="GJ149" s="67"/>
      <c r="GK149" s="67"/>
      <c r="GL149" s="67"/>
      <c r="GM149" s="67"/>
      <c r="GN149" s="67"/>
      <c r="GO149" s="67"/>
      <c r="GP149" s="67"/>
    </row>
    <row r="150" spans="5:198" s="66" customFormat="1">
      <c r="E150" s="67"/>
      <c r="G150" s="67"/>
      <c r="H150" s="67"/>
      <c r="I150" s="67"/>
      <c r="J150" s="67"/>
      <c r="K150" s="67"/>
      <c r="L150" s="67"/>
      <c r="M150" s="67"/>
      <c r="N150" s="67"/>
      <c r="O150" s="78"/>
      <c r="P150" s="78"/>
      <c r="S150" s="78"/>
      <c r="T150" s="78"/>
      <c r="U150" s="79"/>
      <c r="V150" s="65"/>
      <c r="Y150" s="78"/>
      <c r="Z150" s="78"/>
      <c r="AA150" s="78"/>
      <c r="AB150" s="78"/>
      <c r="AC150" s="78"/>
      <c r="AD150" s="78"/>
      <c r="AE150" s="78"/>
      <c r="AF150" s="78"/>
      <c r="AG150" s="79"/>
      <c r="AH150" s="65"/>
      <c r="AJ150" s="85"/>
      <c r="AK150" s="78"/>
      <c r="AL150" s="78"/>
      <c r="AM150" s="78"/>
      <c r="AN150" s="78"/>
      <c r="AO150" s="78"/>
      <c r="AP150" s="78"/>
      <c r="AQ150" s="79"/>
      <c r="AR150" s="65"/>
      <c r="AT150" s="85"/>
      <c r="AU150" s="78"/>
      <c r="AV150" s="78"/>
      <c r="AW150" s="78"/>
      <c r="AX150" s="78"/>
      <c r="AY150" s="78"/>
      <c r="AZ150" s="79"/>
      <c r="BA150" s="65"/>
      <c r="BC150" s="85"/>
      <c r="BD150" s="78"/>
      <c r="BE150" s="78"/>
      <c r="BF150" s="78"/>
      <c r="BG150" s="78"/>
      <c r="BH150" s="78"/>
      <c r="BI150" s="78"/>
      <c r="BJ150" s="79"/>
      <c r="BK150" s="65"/>
      <c r="CU150" s="67"/>
      <c r="EC150" s="67"/>
      <c r="FK150" s="67"/>
      <c r="FL150" s="67"/>
      <c r="FM150" s="67"/>
      <c r="FN150" s="67"/>
      <c r="FO150" s="67"/>
      <c r="FP150" s="67"/>
      <c r="FQ150" s="67"/>
      <c r="FR150" s="67"/>
      <c r="FS150" s="67"/>
      <c r="FT150" s="67"/>
      <c r="FU150" s="67"/>
      <c r="FV150" s="67"/>
      <c r="FW150" s="67"/>
      <c r="FX150" s="67"/>
      <c r="FY150" s="67"/>
      <c r="FZ150" s="67"/>
      <c r="GA150" s="67"/>
      <c r="GB150" s="67"/>
      <c r="GC150" s="67"/>
      <c r="GD150" s="67"/>
      <c r="GE150" s="67"/>
      <c r="GF150" s="67"/>
      <c r="GG150" s="67"/>
      <c r="GH150" s="67"/>
      <c r="GI150" s="67"/>
      <c r="GJ150" s="67"/>
      <c r="GK150" s="67"/>
      <c r="GL150" s="67"/>
      <c r="GM150" s="67"/>
      <c r="GN150" s="67"/>
      <c r="GO150" s="67"/>
      <c r="GP150" s="67"/>
    </row>
    <row r="151" spans="5:198" s="66" customFormat="1">
      <c r="E151" s="67"/>
      <c r="G151" s="67"/>
      <c r="H151" s="67"/>
      <c r="I151" s="67"/>
      <c r="J151" s="67"/>
      <c r="K151" s="67"/>
      <c r="L151" s="67"/>
      <c r="M151" s="67"/>
      <c r="N151" s="67"/>
      <c r="O151" s="78"/>
      <c r="P151" s="78"/>
      <c r="S151" s="78"/>
      <c r="T151" s="78"/>
      <c r="U151" s="79"/>
      <c r="V151" s="65"/>
      <c r="Y151" s="78"/>
      <c r="Z151" s="78"/>
      <c r="AA151" s="78"/>
      <c r="AB151" s="78"/>
      <c r="AC151" s="78"/>
      <c r="AD151" s="78"/>
      <c r="AE151" s="78"/>
      <c r="AF151" s="78"/>
      <c r="AG151" s="79"/>
      <c r="AH151" s="65"/>
      <c r="AJ151" s="85"/>
      <c r="AK151" s="78"/>
      <c r="AL151" s="78"/>
      <c r="AM151" s="78"/>
      <c r="AN151" s="78"/>
      <c r="AO151" s="78"/>
      <c r="AP151" s="78"/>
      <c r="AQ151" s="79"/>
      <c r="AR151" s="65"/>
      <c r="AT151" s="85"/>
      <c r="AU151" s="78"/>
      <c r="AV151" s="78"/>
      <c r="AW151" s="78"/>
      <c r="AX151" s="78"/>
      <c r="AY151" s="78"/>
      <c r="AZ151" s="79"/>
      <c r="BA151" s="65"/>
      <c r="BC151" s="85"/>
      <c r="BD151" s="78"/>
      <c r="BE151" s="78"/>
      <c r="BF151" s="78"/>
      <c r="BG151" s="78"/>
      <c r="BH151" s="78"/>
      <c r="BI151" s="78"/>
      <c r="BJ151" s="79"/>
      <c r="BK151" s="65"/>
      <c r="CU151" s="67"/>
      <c r="EC151" s="67"/>
      <c r="FK151" s="67"/>
      <c r="FL151" s="67"/>
      <c r="FM151" s="67"/>
      <c r="FN151" s="67"/>
      <c r="FO151" s="67"/>
      <c r="FP151" s="67"/>
      <c r="FQ151" s="67"/>
      <c r="FR151" s="67"/>
      <c r="FS151" s="67"/>
      <c r="FT151" s="67"/>
      <c r="FU151" s="67"/>
      <c r="FV151" s="67"/>
      <c r="FW151" s="67"/>
      <c r="FX151" s="67"/>
      <c r="FY151" s="67"/>
      <c r="FZ151" s="67"/>
      <c r="GA151" s="67"/>
      <c r="GB151" s="67"/>
      <c r="GC151" s="67"/>
      <c r="GD151" s="67"/>
      <c r="GE151" s="67"/>
      <c r="GF151" s="67"/>
      <c r="GG151" s="67"/>
      <c r="GH151" s="67"/>
      <c r="GI151" s="67"/>
      <c r="GJ151" s="67"/>
      <c r="GK151" s="67"/>
      <c r="GL151" s="67"/>
      <c r="GM151" s="67"/>
      <c r="GN151" s="67"/>
      <c r="GO151" s="67"/>
      <c r="GP151" s="67"/>
    </row>
    <row r="152" spans="5:198" s="66" customFormat="1">
      <c r="E152" s="67"/>
      <c r="G152" s="67"/>
      <c r="H152" s="67"/>
      <c r="I152" s="67"/>
      <c r="J152" s="67"/>
      <c r="K152" s="67"/>
      <c r="L152" s="67"/>
      <c r="M152" s="67"/>
      <c r="N152" s="67"/>
      <c r="O152" s="78"/>
      <c r="P152" s="78"/>
      <c r="S152" s="78"/>
      <c r="T152" s="78"/>
      <c r="U152" s="79"/>
      <c r="V152" s="65"/>
      <c r="Y152" s="78"/>
      <c r="Z152" s="78"/>
      <c r="AA152" s="78"/>
      <c r="AB152" s="78"/>
      <c r="AC152" s="78"/>
      <c r="AD152" s="78"/>
      <c r="AE152" s="78"/>
      <c r="AF152" s="78"/>
      <c r="AG152" s="79"/>
      <c r="AH152" s="65"/>
      <c r="AJ152" s="85"/>
      <c r="AK152" s="78"/>
      <c r="AL152" s="78"/>
      <c r="AM152" s="78"/>
      <c r="AN152" s="78"/>
      <c r="AO152" s="78"/>
      <c r="AP152" s="78"/>
      <c r="AQ152" s="79"/>
      <c r="AR152" s="65"/>
      <c r="AT152" s="85"/>
      <c r="AU152" s="78"/>
      <c r="AV152" s="78"/>
      <c r="AW152" s="78"/>
      <c r="AX152" s="78"/>
      <c r="AY152" s="78"/>
      <c r="AZ152" s="79"/>
      <c r="BA152" s="65"/>
      <c r="BC152" s="85"/>
      <c r="BD152" s="78"/>
      <c r="BE152" s="78"/>
      <c r="BF152" s="78"/>
      <c r="BG152" s="78"/>
      <c r="BH152" s="78"/>
      <c r="BI152" s="78"/>
      <c r="BJ152" s="79"/>
      <c r="BK152" s="65"/>
      <c r="CU152" s="67"/>
      <c r="EC152" s="67"/>
      <c r="FK152" s="67"/>
      <c r="FL152" s="67"/>
      <c r="FM152" s="67"/>
      <c r="FN152" s="67"/>
      <c r="FO152" s="67"/>
      <c r="FP152" s="67"/>
      <c r="FQ152" s="67"/>
      <c r="FR152" s="67"/>
      <c r="FS152" s="67"/>
      <c r="FT152" s="67"/>
      <c r="FU152" s="67"/>
      <c r="FV152" s="67"/>
      <c r="FW152" s="67"/>
      <c r="FX152" s="67"/>
      <c r="FY152" s="67"/>
      <c r="FZ152" s="67"/>
      <c r="GA152" s="67"/>
      <c r="GB152" s="67"/>
      <c r="GC152" s="67"/>
      <c r="GD152" s="67"/>
      <c r="GE152" s="67"/>
      <c r="GF152" s="67"/>
      <c r="GG152" s="67"/>
      <c r="GH152" s="67"/>
      <c r="GI152" s="67"/>
      <c r="GJ152" s="67"/>
      <c r="GK152" s="67"/>
      <c r="GL152" s="67"/>
      <c r="GM152" s="67"/>
      <c r="GN152" s="67"/>
      <c r="GO152" s="67"/>
      <c r="GP152" s="67"/>
    </row>
    <row r="153" spans="5:198" s="66" customFormat="1">
      <c r="E153" s="67"/>
      <c r="G153" s="67"/>
      <c r="H153" s="67"/>
      <c r="I153" s="67"/>
      <c r="J153" s="67"/>
      <c r="K153" s="67"/>
      <c r="L153" s="67"/>
      <c r="M153" s="67"/>
      <c r="N153" s="67"/>
      <c r="O153" s="78"/>
      <c r="P153" s="78"/>
      <c r="S153" s="78"/>
      <c r="T153" s="78"/>
      <c r="U153" s="79"/>
      <c r="V153" s="65"/>
      <c r="Y153" s="78"/>
      <c r="Z153" s="78"/>
      <c r="AA153" s="78"/>
      <c r="AB153" s="78"/>
      <c r="AC153" s="78"/>
      <c r="AD153" s="78"/>
      <c r="AE153" s="78"/>
      <c r="AF153" s="78"/>
      <c r="AG153" s="79"/>
      <c r="AH153" s="65"/>
      <c r="AJ153" s="85"/>
      <c r="AK153" s="78"/>
      <c r="AL153" s="78"/>
      <c r="AM153" s="78"/>
      <c r="AN153" s="78"/>
      <c r="AO153" s="78"/>
      <c r="AP153" s="78"/>
      <c r="AQ153" s="79"/>
      <c r="AR153" s="65"/>
      <c r="AT153" s="85"/>
      <c r="AU153" s="78"/>
      <c r="AV153" s="78"/>
      <c r="AW153" s="78"/>
      <c r="AX153" s="78"/>
      <c r="AY153" s="78"/>
      <c r="AZ153" s="79"/>
      <c r="BA153" s="65"/>
      <c r="BC153" s="85"/>
      <c r="BD153" s="78"/>
      <c r="BE153" s="78"/>
      <c r="BF153" s="78"/>
      <c r="BG153" s="78"/>
      <c r="BH153" s="78"/>
      <c r="BI153" s="78"/>
      <c r="BJ153" s="79"/>
      <c r="BK153" s="65"/>
      <c r="CU153" s="67"/>
      <c r="EC153" s="67"/>
      <c r="FK153" s="67"/>
      <c r="FL153" s="67"/>
      <c r="FM153" s="67"/>
      <c r="FN153" s="67"/>
      <c r="FO153" s="67"/>
      <c r="FP153" s="67"/>
      <c r="FQ153" s="67"/>
      <c r="FR153" s="67"/>
      <c r="FS153" s="67"/>
      <c r="FT153" s="67"/>
      <c r="FU153" s="67"/>
      <c r="FV153" s="67"/>
      <c r="FW153" s="67"/>
      <c r="FX153" s="67"/>
      <c r="FY153" s="67"/>
      <c r="FZ153" s="67"/>
      <c r="GA153" s="67"/>
      <c r="GB153" s="67"/>
      <c r="GC153" s="67"/>
      <c r="GD153" s="67"/>
      <c r="GE153" s="67"/>
      <c r="GF153" s="67"/>
      <c r="GG153" s="67"/>
      <c r="GH153" s="67"/>
      <c r="GI153" s="67"/>
      <c r="GJ153" s="67"/>
      <c r="GK153" s="67"/>
      <c r="GL153" s="67"/>
      <c r="GM153" s="67"/>
      <c r="GN153" s="67"/>
      <c r="GO153" s="67"/>
      <c r="GP153" s="67"/>
    </row>
    <row r="154" spans="5:198" s="66" customFormat="1">
      <c r="E154" s="67"/>
      <c r="G154" s="67"/>
      <c r="H154" s="67"/>
      <c r="I154" s="67"/>
      <c r="J154" s="67"/>
      <c r="K154" s="67"/>
      <c r="L154" s="67"/>
      <c r="M154" s="67"/>
      <c r="N154" s="67"/>
      <c r="O154" s="78"/>
      <c r="P154" s="78"/>
      <c r="S154" s="78"/>
      <c r="T154" s="78"/>
      <c r="U154" s="79"/>
      <c r="V154" s="65"/>
      <c r="Y154" s="78"/>
      <c r="Z154" s="78"/>
      <c r="AA154" s="78"/>
      <c r="AB154" s="78"/>
      <c r="AC154" s="78"/>
      <c r="AD154" s="78"/>
      <c r="AE154" s="78"/>
      <c r="AF154" s="78"/>
      <c r="AG154" s="79"/>
      <c r="AH154" s="65"/>
      <c r="AJ154" s="85"/>
      <c r="AK154" s="78"/>
      <c r="AL154" s="78"/>
      <c r="AM154" s="78"/>
      <c r="AN154" s="78"/>
      <c r="AO154" s="78"/>
      <c r="AP154" s="78"/>
      <c r="AQ154" s="79"/>
      <c r="AR154" s="65"/>
      <c r="AT154" s="85"/>
      <c r="AU154" s="78"/>
      <c r="AV154" s="78"/>
      <c r="AW154" s="78"/>
      <c r="AX154" s="78"/>
      <c r="AY154" s="78"/>
      <c r="AZ154" s="79"/>
      <c r="BA154" s="65"/>
      <c r="BC154" s="85"/>
      <c r="BD154" s="78"/>
      <c r="BE154" s="78"/>
      <c r="BF154" s="78"/>
      <c r="BG154" s="78"/>
      <c r="BH154" s="78"/>
      <c r="BI154" s="78"/>
      <c r="BJ154" s="79"/>
      <c r="BK154" s="65"/>
      <c r="CU154" s="67"/>
      <c r="EC154" s="67"/>
      <c r="FK154" s="67"/>
      <c r="FL154" s="67"/>
      <c r="FM154" s="67"/>
      <c r="FN154" s="67"/>
      <c r="FO154" s="67"/>
      <c r="FP154" s="67"/>
      <c r="FQ154" s="67"/>
      <c r="FR154" s="67"/>
      <c r="FS154" s="67"/>
      <c r="FT154" s="67"/>
      <c r="FU154" s="67"/>
      <c r="FV154" s="67"/>
      <c r="FW154" s="67"/>
      <c r="FX154" s="67"/>
      <c r="FY154" s="67"/>
      <c r="FZ154" s="67"/>
      <c r="GA154" s="67"/>
      <c r="GB154" s="67"/>
      <c r="GC154" s="67"/>
      <c r="GD154" s="67"/>
      <c r="GE154" s="67"/>
      <c r="GF154" s="67"/>
      <c r="GG154" s="67"/>
      <c r="GH154" s="67"/>
      <c r="GI154" s="67"/>
      <c r="GJ154" s="67"/>
      <c r="GK154" s="67"/>
      <c r="GL154" s="67"/>
      <c r="GM154" s="67"/>
      <c r="GN154" s="67"/>
      <c r="GO154" s="67"/>
      <c r="GP154" s="67"/>
    </row>
    <row r="155" spans="5:198" s="66" customFormat="1">
      <c r="E155" s="67"/>
      <c r="G155" s="67"/>
      <c r="H155" s="67"/>
      <c r="I155" s="67"/>
      <c r="J155" s="67"/>
      <c r="K155" s="67"/>
      <c r="L155" s="67"/>
      <c r="M155" s="67"/>
      <c r="N155" s="67"/>
      <c r="O155" s="78"/>
      <c r="P155" s="78"/>
      <c r="S155" s="78"/>
      <c r="T155" s="78"/>
      <c r="U155" s="79"/>
      <c r="V155" s="65"/>
      <c r="Y155" s="78"/>
      <c r="Z155" s="78"/>
      <c r="AA155" s="78"/>
      <c r="AB155" s="78"/>
      <c r="AC155" s="78"/>
      <c r="AD155" s="78"/>
      <c r="AE155" s="78"/>
      <c r="AF155" s="78"/>
      <c r="AG155" s="79"/>
      <c r="AH155" s="65"/>
      <c r="AJ155" s="85"/>
      <c r="AK155" s="78"/>
      <c r="AL155" s="78"/>
      <c r="AM155" s="78"/>
      <c r="AN155" s="78"/>
      <c r="AO155" s="78"/>
      <c r="AP155" s="78"/>
      <c r="AQ155" s="79"/>
      <c r="AR155" s="65"/>
      <c r="AT155" s="85"/>
      <c r="AU155" s="78"/>
      <c r="AV155" s="78"/>
      <c r="AW155" s="78"/>
      <c r="AX155" s="78"/>
      <c r="AY155" s="78"/>
      <c r="AZ155" s="79"/>
      <c r="BA155" s="65"/>
      <c r="BC155" s="85"/>
      <c r="BD155" s="78"/>
      <c r="BE155" s="78"/>
      <c r="BF155" s="78"/>
      <c r="BG155" s="78"/>
      <c r="BH155" s="78"/>
      <c r="BI155" s="78"/>
      <c r="BJ155" s="79"/>
      <c r="BK155" s="65"/>
      <c r="CU155" s="67"/>
      <c r="EC155" s="67"/>
      <c r="FK155" s="67"/>
      <c r="FL155" s="67"/>
      <c r="FM155" s="67"/>
      <c r="FN155" s="67"/>
      <c r="FO155" s="67"/>
      <c r="FP155" s="67"/>
      <c r="FQ155" s="67"/>
      <c r="FR155" s="67"/>
      <c r="FS155" s="67"/>
      <c r="FT155" s="67"/>
      <c r="FU155" s="67"/>
      <c r="FV155" s="67"/>
      <c r="FW155" s="67"/>
      <c r="FX155" s="67"/>
      <c r="FY155" s="67"/>
      <c r="FZ155" s="67"/>
      <c r="GA155" s="67"/>
      <c r="GB155" s="67"/>
      <c r="GC155" s="67"/>
      <c r="GD155" s="67"/>
      <c r="GE155" s="67"/>
      <c r="GF155" s="67"/>
      <c r="GG155" s="67"/>
      <c r="GH155" s="67"/>
      <c r="GI155" s="67"/>
      <c r="GJ155" s="67"/>
      <c r="GK155" s="67"/>
      <c r="GL155" s="67"/>
      <c r="GM155" s="67"/>
      <c r="GN155" s="67"/>
      <c r="GO155" s="67"/>
      <c r="GP155" s="67"/>
    </row>
    <row r="156" spans="5:198" s="66" customFormat="1">
      <c r="E156" s="67"/>
      <c r="G156" s="67"/>
      <c r="H156" s="67"/>
      <c r="I156" s="67"/>
      <c r="J156" s="67"/>
      <c r="K156" s="67"/>
      <c r="L156" s="67"/>
      <c r="M156" s="67"/>
      <c r="N156" s="67"/>
      <c r="O156" s="78"/>
      <c r="P156" s="78"/>
      <c r="S156" s="78"/>
      <c r="T156" s="78"/>
      <c r="U156" s="79"/>
      <c r="V156" s="65"/>
      <c r="Y156" s="78"/>
      <c r="Z156" s="78"/>
      <c r="AA156" s="78"/>
      <c r="AB156" s="78"/>
      <c r="AC156" s="78"/>
      <c r="AD156" s="78"/>
      <c r="AE156" s="78"/>
      <c r="AF156" s="78"/>
      <c r="AG156" s="79"/>
      <c r="AH156" s="65"/>
      <c r="AJ156" s="85"/>
      <c r="AK156" s="78"/>
      <c r="AL156" s="78"/>
      <c r="AM156" s="78"/>
      <c r="AN156" s="78"/>
      <c r="AO156" s="78"/>
      <c r="AP156" s="78"/>
      <c r="AQ156" s="79"/>
      <c r="AR156" s="65"/>
      <c r="AT156" s="85"/>
      <c r="AU156" s="78"/>
      <c r="AV156" s="78"/>
      <c r="AW156" s="78"/>
      <c r="AX156" s="78"/>
      <c r="AY156" s="78"/>
      <c r="AZ156" s="79"/>
      <c r="BA156" s="65"/>
      <c r="BC156" s="85"/>
      <c r="BD156" s="78"/>
      <c r="BE156" s="78"/>
      <c r="BF156" s="78"/>
      <c r="BG156" s="78"/>
      <c r="BH156" s="78"/>
      <c r="BI156" s="78"/>
      <c r="BJ156" s="79"/>
      <c r="BK156" s="65"/>
      <c r="CU156" s="67"/>
      <c r="EC156" s="67"/>
      <c r="FK156" s="67"/>
      <c r="FL156" s="67"/>
      <c r="FM156" s="67"/>
      <c r="FN156" s="67"/>
      <c r="FO156" s="67"/>
      <c r="FP156" s="67"/>
      <c r="FQ156" s="67"/>
      <c r="FR156" s="67"/>
      <c r="FS156" s="67"/>
      <c r="FT156" s="67"/>
      <c r="FU156" s="67"/>
      <c r="FV156" s="67"/>
      <c r="FW156" s="67"/>
      <c r="FX156" s="67"/>
      <c r="FY156" s="67"/>
      <c r="FZ156" s="67"/>
      <c r="GA156" s="67"/>
      <c r="GB156" s="67"/>
      <c r="GC156" s="67"/>
      <c r="GD156" s="67"/>
      <c r="GE156" s="67"/>
      <c r="GF156" s="67"/>
      <c r="GG156" s="67"/>
      <c r="GH156" s="67"/>
      <c r="GI156" s="67"/>
      <c r="GJ156" s="67"/>
      <c r="GK156" s="67"/>
      <c r="GL156" s="67"/>
      <c r="GM156" s="67"/>
      <c r="GN156" s="67"/>
      <c r="GO156" s="67"/>
      <c r="GP156" s="67"/>
    </row>
    <row r="157" spans="5:198" s="66" customFormat="1">
      <c r="E157" s="67"/>
      <c r="G157" s="67"/>
      <c r="H157" s="67"/>
      <c r="I157" s="67"/>
      <c r="J157" s="67"/>
      <c r="K157" s="67"/>
      <c r="L157" s="67"/>
      <c r="M157" s="67"/>
      <c r="N157" s="67"/>
      <c r="O157" s="78"/>
      <c r="P157" s="78"/>
      <c r="S157" s="78"/>
      <c r="T157" s="78"/>
      <c r="U157" s="79"/>
      <c r="V157" s="65"/>
      <c r="Y157" s="78"/>
      <c r="Z157" s="78"/>
      <c r="AA157" s="78"/>
      <c r="AB157" s="78"/>
      <c r="AC157" s="78"/>
      <c r="AD157" s="78"/>
      <c r="AE157" s="78"/>
      <c r="AF157" s="78"/>
      <c r="AG157" s="79"/>
      <c r="AH157" s="65"/>
      <c r="AJ157" s="85"/>
      <c r="AK157" s="78"/>
      <c r="AL157" s="78"/>
      <c r="AM157" s="78"/>
      <c r="AN157" s="78"/>
      <c r="AO157" s="78"/>
      <c r="AP157" s="78"/>
      <c r="AQ157" s="79"/>
      <c r="AR157" s="65"/>
      <c r="AT157" s="85"/>
      <c r="AU157" s="78"/>
      <c r="AV157" s="78"/>
      <c r="AW157" s="78"/>
      <c r="AX157" s="78"/>
      <c r="AY157" s="78"/>
      <c r="AZ157" s="79"/>
      <c r="BA157" s="65"/>
      <c r="BC157" s="85"/>
      <c r="BD157" s="78"/>
      <c r="BE157" s="78"/>
      <c r="BF157" s="78"/>
      <c r="BG157" s="78"/>
      <c r="BH157" s="78"/>
      <c r="BI157" s="78"/>
      <c r="BJ157" s="79"/>
      <c r="BK157" s="65"/>
      <c r="CU157" s="67"/>
      <c r="EC157" s="67"/>
      <c r="FK157" s="67"/>
      <c r="FL157" s="67"/>
      <c r="FM157" s="67"/>
      <c r="FN157" s="67"/>
      <c r="FO157" s="67"/>
      <c r="FP157" s="67"/>
      <c r="FQ157" s="67"/>
      <c r="FR157" s="67"/>
      <c r="FS157" s="67"/>
      <c r="FT157" s="67"/>
      <c r="FU157" s="67"/>
      <c r="FV157" s="67"/>
      <c r="FW157" s="67"/>
      <c r="FX157" s="67"/>
      <c r="FY157" s="67"/>
      <c r="FZ157" s="67"/>
      <c r="GA157" s="67"/>
      <c r="GB157" s="67"/>
      <c r="GC157" s="67"/>
      <c r="GD157" s="67"/>
      <c r="GE157" s="67"/>
      <c r="GF157" s="67"/>
      <c r="GG157" s="67"/>
      <c r="GH157" s="67"/>
      <c r="GI157" s="67"/>
      <c r="GJ157" s="67"/>
      <c r="GK157" s="67"/>
      <c r="GL157" s="67"/>
      <c r="GM157" s="67"/>
      <c r="GN157" s="67"/>
      <c r="GO157" s="67"/>
      <c r="GP157" s="67"/>
    </row>
    <row r="158" spans="5:198" s="66" customFormat="1">
      <c r="E158" s="67"/>
      <c r="G158" s="67"/>
      <c r="H158" s="67"/>
      <c r="I158" s="67"/>
      <c r="J158" s="67"/>
      <c r="K158" s="67"/>
      <c r="L158" s="67"/>
      <c r="M158" s="67"/>
      <c r="N158" s="67"/>
      <c r="O158" s="78"/>
      <c r="P158" s="78"/>
      <c r="S158" s="78"/>
      <c r="T158" s="78"/>
      <c r="U158" s="79"/>
      <c r="V158" s="65"/>
      <c r="Y158" s="78"/>
      <c r="Z158" s="78"/>
      <c r="AA158" s="78"/>
      <c r="AB158" s="78"/>
      <c r="AC158" s="78"/>
      <c r="AD158" s="78"/>
      <c r="AE158" s="78"/>
      <c r="AF158" s="78"/>
      <c r="AG158" s="79"/>
      <c r="AH158" s="65"/>
      <c r="AJ158" s="85"/>
      <c r="AK158" s="78"/>
      <c r="AL158" s="78"/>
      <c r="AM158" s="78"/>
      <c r="AN158" s="78"/>
      <c r="AO158" s="78"/>
      <c r="AP158" s="78"/>
      <c r="AQ158" s="79"/>
      <c r="AR158" s="65"/>
      <c r="AT158" s="85"/>
      <c r="AU158" s="78"/>
      <c r="AV158" s="78"/>
      <c r="AW158" s="78"/>
      <c r="AX158" s="78"/>
      <c r="AY158" s="78"/>
      <c r="AZ158" s="79"/>
      <c r="BA158" s="65"/>
      <c r="BC158" s="85"/>
      <c r="BD158" s="78"/>
      <c r="BE158" s="78"/>
      <c r="BF158" s="78"/>
      <c r="BG158" s="78"/>
      <c r="BH158" s="78"/>
      <c r="BI158" s="78"/>
      <c r="BJ158" s="79"/>
      <c r="BK158" s="65"/>
      <c r="CU158" s="67"/>
      <c r="EC158" s="67"/>
      <c r="FK158" s="67"/>
      <c r="FL158" s="67"/>
      <c r="FM158" s="67"/>
      <c r="FN158" s="67"/>
      <c r="FO158" s="67"/>
      <c r="FP158" s="67"/>
      <c r="FQ158" s="67"/>
      <c r="FR158" s="67"/>
      <c r="FS158" s="67"/>
      <c r="FT158" s="67"/>
      <c r="FU158" s="67"/>
      <c r="FV158" s="67"/>
      <c r="FW158" s="67"/>
      <c r="FX158" s="67"/>
      <c r="FY158" s="67"/>
      <c r="FZ158" s="67"/>
      <c r="GA158" s="67"/>
      <c r="GB158" s="67"/>
      <c r="GC158" s="67"/>
      <c r="GD158" s="67"/>
      <c r="GE158" s="67"/>
      <c r="GF158" s="67"/>
      <c r="GG158" s="67"/>
      <c r="GH158" s="67"/>
      <c r="GI158" s="67"/>
      <c r="GJ158" s="67"/>
      <c r="GK158" s="67"/>
      <c r="GL158" s="67"/>
      <c r="GM158" s="67"/>
      <c r="GN158" s="67"/>
      <c r="GO158" s="67"/>
      <c r="GP158" s="67"/>
    </row>
    <row r="159" spans="5:198" s="66" customFormat="1">
      <c r="E159" s="67"/>
      <c r="G159" s="67"/>
      <c r="H159" s="67"/>
      <c r="I159" s="67"/>
      <c r="J159" s="67"/>
      <c r="K159" s="67"/>
      <c r="L159" s="67"/>
      <c r="M159" s="67"/>
      <c r="N159" s="67"/>
      <c r="O159" s="78"/>
      <c r="P159" s="78"/>
      <c r="S159" s="78"/>
      <c r="T159" s="78"/>
      <c r="U159" s="79"/>
      <c r="V159" s="65"/>
      <c r="Y159" s="78"/>
      <c r="Z159" s="78"/>
      <c r="AA159" s="78"/>
      <c r="AB159" s="78"/>
      <c r="AC159" s="78"/>
      <c r="AD159" s="78"/>
      <c r="AE159" s="78"/>
      <c r="AF159" s="78"/>
      <c r="AG159" s="79"/>
      <c r="AH159" s="65"/>
      <c r="AJ159" s="85"/>
      <c r="AK159" s="78"/>
      <c r="AL159" s="78"/>
      <c r="AM159" s="78"/>
      <c r="AN159" s="78"/>
      <c r="AO159" s="78"/>
      <c r="AP159" s="78"/>
      <c r="AQ159" s="79"/>
      <c r="AR159" s="65"/>
      <c r="AT159" s="85"/>
      <c r="AU159" s="78"/>
      <c r="AV159" s="78"/>
      <c r="AW159" s="78"/>
      <c r="AX159" s="78"/>
      <c r="AY159" s="78"/>
      <c r="AZ159" s="79"/>
      <c r="BA159" s="65"/>
      <c r="BC159" s="85"/>
      <c r="BD159" s="78"/>
      <c r="BE159" s="78"/>
      <c r="BF159" s="78"/>
      <c r="BG159" s="78"/>
      <c r="BH159" s="78"/>
      <c r="BI159" s="78"/>
      <c r="BJ159" s="79"/>
      <c r="BK159" s="65"/>
      <c r="CU159" s="67"/>
      <c r="EC159" s="67"/>
      <c r="FK159" s="67"/>
      <c r="FL159" s="67"/>
      <c r="FM159" s="67"/>
      <c r="FN159" s="67"/>
      <c r="FO159" s="67"/>
      <c r="FP159" s="67"/>
      <c r="FQ159" s="67"/>
      <c r="FR159" s="67"/>
      <c r="FS159" s="67"/>
      <c r="FT159" s="67"/>
      <c r="FU159" s="67"/>
      <c r="FV159" s="67"/>
      <c r="FW159" s="67"/>
      <c r="FX159" s="67"/>
      <c r="FY159" s="67"/>
      <c r="FZ159" s="67"/>
      <c r="GA159" s="67"/>
      <c r="GB159" s="67"/>
      <c r="GC159" s="67"/>
      <c r="GD159" s="67"/>
      <c r="GE159" s="67"/>
      <c r="GF159" s="67"/>
      <c r="GG159" s="67"/>
      <c r="GH159" s="67"/>
      <c r="GI159" s="67"/>
      <c r="GJ159" s="67"/>
      <c r="GK159" s="67"/>
      <c r="GL159" s="67"/>
      <c r="GM159" s="67"/>
      <c r="GN159" s="67"/>
      <c r="GO159" s="67"/>
      <c r="GP159" s="67"/>
    </row>
    <row r="160" spans="5:198" s="66" customFormat="1">
      <c r="E160" s="67"/>
      <c r="G160" s="67"/>
      <c r="H160" s="67"/>
      <c r="I160" s="67"/>
      <c r="J160" s="67"/>
      <c r="K160" s="67"/>
      <c r="L160" s="67"/>
      <c r="M160" s="67"/>
      <c r="N160" s="67"/>
      <c r="O160" s="78"/>
      <c r="P160" s="78"/>
      <c r="S160" s="78"/>
      <c r="T160" s="78"/>
      <c r="U160" s="79"/>
      <c r="V160" s="65"/>
      <c r="Y160" s="78"/>
      <c r="Z160" s="78"/>
      <c r="AA160" s="78"/>
      <c r="AB160" s="78"/>
      <c r="AC160" s="78"/>
      <c r="AD160" s="78"/>
      <c r="AE160" s="78"/>
      <c r="AF160" s="78"/>
      <c r="AG160" s="79"/>
      <c r="AH160" s="65"/>
      <c r="AJ160" s="85"/>
      <c r="AK160" s="78"/>
      <c r="AL160" s="78"/>
      <c r="AM160" s="78"/>
      <c r="AN160" s="78"/>
      <c r="AO160" s="78"/>
      <c r="AP160" s="78"/>
      <c r="AQ160" s="79"/>
      <c r="AR160" s="65"/>
      <c r="AT160" s="85"/>
      <c r="AU160" s="78"/>
      <c r="AV160" s="78"/>
      <c r="AW160" s="78"/>
      <c r="AX160" s="78"/>
      <c r="AY160" s="78"/>
      <c r="AZ160" s="79"/>
      <c r="BA160" s="65"/>
      <c r="BC160" s="85"/>
      <c r="BD160" s="78"/>
      <c r="BE160" s="78"/>
      <c r="BF160" s="78"/>
      <c r="BG160" s="78"/>
      <c r="BH160" s="78"/>
      <c r="BI160" s="78"/>
      <c r="BJ160" s="79"/>
      <c r="BK160" s="65"/>
      <c r="CU160" s="67"/>
      <c r="EC160" s="67"/>
      <c r="FK160" s="67"/>
      <c r="FL160" s="67"/>
      <c r="FM160" s="67"/>
      <c r="FN160" s="67"/>
      <c r="FO160" s="67"/>
      <c r="FP160" s="67"/>
      <c r="FQ160" s="67"/>
      <c r="FR160" s="67"/>
      <c r="FS160" s="67"/>
      <c r="FT160" s="67"/>
      <c r="FU160" s="67"/>
      <c r="FV160" s="67"/>
      <c r="FW160" s="67"/>
      <c r="FX160" s="67"/>
      <c r="FY160" s="67"/>
      <c r="FZ160" s="67"/>
      <c r="GA160" s="67"/>
      <c r="GB160" s="67"/>
      <c r="GC160" s="67"/>
      <c r="GD160" s="67"/>
      <c r="GE160" s="67"/>
      <c r="GF160" s="67"/>
      <c r="GG160" s="67"/>
      <c r="GH160" s="67"/>
      <c r="GI160" s="67"/>
      <c r="GJ160" s="67"/>
      <c r="GK160" s="67"/>
      <c r="GL160" s="67"/>
      <c r="GM160" s="67"/>
      <c r="GN160" s="67"/>
      <c r="GO160" s="67"/>
      <c r="GP160" s="67"/>
    </row>
    <row r="161" spans="5:198" s="66" customFormat="1">
      <c r="E161" s="67"/>
      <c r="G161" s="67"/>
      <c r="H161" s="67"/>
      <c r="I161" s="67"/>
      <c r="J161" s="67"/>
      <c r="K161" s="67"/>
      <c r="L161" s="67"/>
      <c r="M161" s="67"/>
      <c r="N161" s="67"/>
      <c r="O161" s="78"/>
      <c r="P161" s="78"/>
      <c r="S161" s="78"/>
      <c r="T161" s="78"/>
      <c r="U161" s="79"/>
      <c r="V161" s="65"/>
      <c r="Y161" s="78"/>
      <c r="Z161" s="78"/>
      <c r="AA161" s="78"/>
      <c r="AB161" s="78"/>
      <c r="AC161" s="78"/>
      <c r="AD161" s="78"/>
      <c r="AE161" s="78"/>
      <c r="AF161" s="78"/>
      <c r="AG161" s="79"/>
      <c r="AH161" s="65"/>
      <c r="AJ161" s="85"/>
      <c r="AK161" s="78"/>
      <c r="AL161" s="78"/>
      <c r="AM161" s="78"/>
      <c r="AN161" s="78"/>
      <c r="AO161" s="78"/>
      <c r="AP161" s="78"/>
      <c r="AQ161" s="79"/>
      <c r="AR161" s="65"/>
      <c r="AT161" s="85"/>
      <c r="AU161" s="78"/>
      <c r="AV161" s="78"/>
      <c r="AW161" s="78"/>
      <c r="AX161" s="78"/>
      <c r="AY161" s="78"/>
      <c r="AZ161" s="79"/>
      <c r="BA161" s="65"/>
      <c r="BC161" s="85"/>
      <c r="BD161" s="78"/>
      <c r="BE161" s="78"/>
      <c r="BF161" s="78"/>
      <c r="BG161" s="78"/>
      <c r="BH161" s="78"/>
      <c r="BI161" s="78"/>
      <c r="BJ161" s="79"/>
      <c r="BK161" s="65"/>
      <c r="CU161" s="67"/>
      <c r="EC161" s="67"/>
      <c r="FK161" s="67"/>
      <c r="FL161" s="67"/>
      <c r="FM161" s="67"/>
      <c r="FN161" s="67"/>
      <c r="FO161" s="67"/>
      <c r="FP161" s="67"/>
      <c r="FQ161" s="67"/>
      <c r="FR161" s="67"/>
      <c r="FS161" s="67"/>
      <c r="FT161" s="67"/>
      <c r="FU161" s="67"/>
      <c r="FV161" s="67"/>
      <c r="FW161" s="67"/>
      <c r="FX161" s="67"/>
      <c r="FY161" s="67"/>
      <c r="FZ161" s="67"/>
      <c r="GA161" s="67"/>
      <c r="GB161" s="67"/>
      <c r="GC161" s="67"/>
      <c r="GD161" s="67"/>
      <c r="GE161" s="67"/>
      <c r="GF161" s="67"/>
      <c r="GG161" s="67"/>
      <c r="GH161" s="67"/>
      <c r="GI161" s="67"/>
      <c r="GJ161" s="67"/>
      <c r="GK161" s="67"/>
      <c r="GL161" s="67"/>
      <c r="GM161" s="67"/>
      <c r="GN161" s="67"/>
      <c r="GO161" s="67"/>
      <c r="GP161" s="67"/>
    </row>
    <row r="162" spans="5:198" s="66" customFormat="1">
      <c r="E162" s="67"/>
      <c r="G162" s="67"/>
      <c r="H162" s="67"/>
      <c r="I162" s="67"/>
      <c r="J162" s="67"/>
      <c r="K162" s="67"/>
      <c r="L162" s="67"/>
      <c r="M162" s="67"/>
      <c r="N162" s="67"/>
      <c r="O162" s="78"/>
      <c r="P162" s="78"/>
      <c r="S162" s="78"/>
      <c r="T162" s="78"/>
      <c r="U162" s="79"/>
      <c r="V162" s="65"/>
      <c r="Y162" s="78"/>
      <c r="Z162" s="78"/>
      <c r="AA162" s="78"/>
      <c r="AB162" s="78"/>
      <c r="AC162" s="78"/>
      <c r="AD162" s="78"/>
      <c r="AE162" s="78"/>
      <c r="AF162" s="78"/>
      <c r="AG162" s="79"/>
      <c r="AH162" s="65"/>
      <c r="AJ162" s="85"/>
      <c r="AK162" s="78"/>
      <c r="AL162" s="78"/>
      <c r="AM162" s="78"/>
      <c r="AN162" s="78"/>
      <c r="AO162" s="78"/>
      <c r="AP162" s="78"/>
      <c r="AQ162" s="79"/>
      <c r="AR162" s="65"/>
      <c r="AT162" s="85"/>
      <c r="AU162" s="78"/>
      <c r="AV162" s="78"/>
      <c r="AW162" s="78"/>
      <c r="AX162" s="78"/>
      <c r="AY162" s="78"/>
      <c r="AZ162" s="79"/>
      <c r="BA162" s="65"/>
      <c r="BC162" s="85"/>
      <c r="BD162" s="78"/>
      <c r="BE162" s="78"/>
      <c r="BF162" s="78"/>
      <c r="BG162" s="78"/>
      <c r="BH162" s="78"/>
      <c r="BI162" s="78"/>
      <c r="BJ162" s="79"/>
      <c r="BK162" s="65"/>
      <c r="CU162" s="67"/>
      <c r="EC162" s="67"/>
      <c r="FK162" s="67"/>
      <c r="FL162" s="67"/>
      <c r="FM162" s="67"/>
      <c r="FN162" s="67"/>
      <c r="FO162" s="67"/>
      <c r="FP162" s="67"/>
      <c r="FQ162" s="67"/>
      <c r="FR162" s="67"/>
      <c r="FS162" s="67"/>
      <c r="FT162" s="67"/>
      <c r="FU162" s="67"/>
      <c r="FV162" s="67"/>
      <c r="FW162" s="67"/>
      <c r="FX162" s="67"/>
      <c r="FY162" s="67"/>
      <c r="FZ162" s="67"/>
      <c r="GA162" s="67"/>
      <c r="GB162" s="67"/>
      <c r="GC162" s="67"/>
      <c r="GD162" s="67"/>
      <c r="GE162" s="67"/>
      <c r="GF162" s="67"/>
      <c r="GG162" s="67"/>
      <c r="GH162" s="67"/>
      <c r="GI162" s="67"/>
      <c r="GJ162" s="67"/>
      <c r="GK162" s="67"/>
      <c r="GL162" s="67"/>
      <c r="GM162" s="67"/>
      <c r="GN162" s="67"/>
      <c r="GO162" s="67"/>
      <c r="GP162" s="67"/>
    </row>
    <row r="163" spans="5:198" s="66" customFormat="1">
      <c r="E163" s="67"/>
      <c r="G163" s="67"/>
      <c r="H163" s="67"/>
      <c r="I163" s="67"/>
      <c r="J163" s="67"/>
      <c r="K163" s="67"/>
      <c r="L163" s="67"/>
      <c r="M163" s="67"/>
      <c r="N163" s="67"/>
      <c r="O163" s="78"/>
      <c r="P163" s="78"/>
      <c r="S163" s="78"/>
      <c r="T163" s="78"/>
      <c r="U163" s="79"/>
      <c r="V163" s="65"/>
      <c r="Y163" s="78"/>
      <c r="Z163" s="78"/>
      <c r="AA163" s="78"/>
      <c r="AB163" s="78"/>
      <c r="AC163" s="78"/>
      <c r="AD163" s="78"/>
      <c r="AE163" s="78"/>
      <c r="AF163" s="78"/>
      <c r="AG163" s="79"/>
      <c r="AH163" s="65"/>
      <c r="AJ163" s="85"/>
      <c r="AK163" s="78"/>
      <c r="AL163" s="78"/>
      <c r="AM163" s="78"/>
      <c r="AN163" s="78"/>
      <c r="AO163" s="78"/>
      <c r="AP163" s="78"/>
      <c r="AQ163" s="79"/>
      <c r="AR163" s="65"/>
      <c r="AT163" s="85"/>
      <c r="AU163" s="78"/>
      <c r="AV163" s="78"/>
      <c r="AW163" s="78"/>
      <c r="AX163" s="78"/>
      <c r="AY163" s="78"/>
      <c r="AZ163" s="79"/>
      <c r="BA163" s="65"/>
      <c r="BC163" s="85"/>
      <c r="BD163" s="78"/>
      <c r="BE163" s="78"/>
      <c r="BF163" s="78"/>
      <c r="BG163" s="78"/>
      <c r="BH163" s="78"/>
      <c r="BI163" s="78"/>
      <c r="BJ163" s="79"/>
      <c r="BK163" s="65"/>
      <c r="CU163" s="67"/>
      <c r="EC163" s="67"/>
      <c r="FK163" s="67"/>
      <c r="FL163" s="67"/>
      <c r="FM163" s="67"/>
      <c r="FN163" s="67"/>
      <c r="FO163" s="67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67"/>
      <c r="GI163" s="67"/>
      <c r="GJ163" s="67"/>
      <c r="GK163" s="67"/>
      <c r="GL163" s="67"/>
      <c r="GM163" s="67"/>
      <c r="GN163" s="67"/>
      <c r="GO163" s="67"/>
      <c r="GP163" s="67"/>
    </row>
    <row r="164" spans="5:198" s="66" customFormat="1">
      <c r="E164" s="67"/>
      <c r="G164" s="67"/>
      <c r="H164" s="67"/>
      <c r="I164" s="67"/>
      <c r="J164" s="67"/>
      <c r="K164" s="67"/>
      <c r="L164" s="67"/>
      <c r="M164" s="67"/>
      <c r="N164" s="67"/>
      <c r="O164" s="78"/>
      <c r="P164" s="78"/>
      <c r="S164" s="78"/>
      <c r="T164" s="78"/>
      <c r="U164" s="79"/>
      <c r="V164" s="65"/>
      <c r="Y164" s="78"/>
      <c r="Z164" s="78"/>
      <c r="AA164" s="78"/>
      <c r="AB164" s="78"/>
      <c r="AC164" s="78"/>
      <c r="AD164" s="78"/>
      <c r="AE164" s="78"/>
      <c r="AF164" s="78"/>
      <c r="AG164" s="79"/>
      <c r="AH164" s="65"/>
      <c r="AJ164" s="85"/>
      <c r="AK164" s="78"/>
      <c r="AL164" s="78"/>
      <c r="AM164" s="78"/>
      <c r="AN164" s="78"/>
      <c r="AO164" s="78"/>
      <c r="AP164" s="78"/>
      <c r="AQ164" s="79"/>
      <c r="AR164" s="65"/>
      <c r="AT164" s="85"/>
      <c r="AU164" s="78"/>
      <c r="AV164" s="78"/>
      <c r="AW164" s="78"/>
      <c r="AX164" s="78"/>
      <c r="AY164" s="78"/>
      <c r="AZ164" s="79"/>
      <c r="BA164" s="65"/>
      <c r="BC164" s="85"/>
      <c r="BD164" s="78"/>
      <c r="BE164" s="78"/>
      <c r="BF164" s="78"/>
      <c r="BG164" s="78"/>
      <c r="BH164" s="78"/>
      <c r="BI164" s="78"/>
      <c r="BJ164" s="79"/>
      <c r="BK164" s="65"/>
      <c r="CU164" s="67"/>
      <c r="EC164" s="67"/>
      <c r="FK164" s="67"/>
      <c r="FL164" s="67"/>
      <c r="FM164" s="67"/>
      <c r="FN164" s="67"/>
      <c r="FO164" s="67"/>
      <c r="FP164" s="67"/>
      <c r="FQ164" s="67"/>
      <c r="FR164" s="67"/>
      <c r="FS164" s="67"/>
      <c r="FT164" s="67"/>
      <c r="FU164" s="67"/>
      <c r="FV164" s="67"/>
      <c r="FW164" s="67"/>
      <c r="FX164" s="67"/>
      <c r="FY164" s="67"/>
      <c r="FZ164" s="67"/>
      <c r="GA164" s="67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</row>
    <row r="165" spans="5:198" s="66" customFormat="1">
      <c r="E165" s="67"/>
      <c r="G165" s="67"/>
      <c r="H165" s="67"/>
      <c r="I165" s="67"/>
      <c r="J165" s="67"/>
      <c r="K165" s="67"/>
      <c r="L165" s="67"/>
      <c r="M165" s="67"/>
      <c r="N165" s="67"/>
      <c r="O165" s="78"/>
      <c r="P165" s="78"/>
      <c r="S165" s="78"/>
      <c r="T165" s="78"/>
      <c r="U165" s="79"/>
      <c r="V165" s="65"/>
      <c r="Y165" s="78"/>
      <c r="Z165" s="78"/>
      <c r="AA165" s="78"/>
      <c r="AB165" s="78"/>
      <c r="AC165" s="78"/>
      <c r="AD165" s="78"/>
      <c r="AE165" s="78"/>
      <c r="AF165" s="78"/>
      <c r="AG165" s="79"/>
      <c r="AH165" s="65"/>
      <c r="AJ165" s="85"/>
      <c r="AK165" s="78"/>
      <c r="AL165" s="78"/>
      <c r="AM165" s="78"/>
      <c r="AN165" s="78"/>
      <c r="AO165" s="78"/>
      <c r="AP165" s="78"/>
      <c r="AQ165" s="79"/>
      <c r="AR165" s="65"/>
      <c r="AT165" s="85"/>
      <c r="AU165" s="78"/>
      <c r="AV165" s="78"/>
      <c r="AW165" s="78"/>
      <c r="AX165" s="78"/>
      <c r="AY165" s="78"/>
      <c r="AZ165" s="79"/>
      <c r="BA165" s="65"/>
      <c r="BC165" s="85"/>
      <c r="BD165" s="78"/>
      <c r="BE165" s="78"/>
      <c r="BF165" s="78"/>
      <c r="BG165" s="78"/>
      <c r="BH165" s="78"/>
      <c r="BI165" s="78"/>
      <c r="BJ165" s="79"/>
      <c r="BK165" s="65"/>
      <c r="CU165" s="67"/>
      <c r="EC165" s="67"/>
      <c r="FK165" s="67"/>
      <c r="FL165" s="67"/>
      <c r="FM165" s="67"/>
      <c r="FN165" s="67"/>
      <c r="FO165" s="67"/>
      <c r="FP165" s="67"/>
      <c r="FQ165" s="67"/>
      <c r="FR165" s="67"/>
      <c r="FS165" s="67"/>
      <c r="FT165" s="67"/>
      <c r="FU165" s="67"/>
      <c r="FV165" s="67"/>
      <c r="FW165" s="67"/>
      <c r="FX165" s="67"/>
      <c r="FY165" s="67"/>
      <c r="FZ165" s="67"/>
      <c r="GA165" s="67"/>
      <c r="GB165" s="67"/>
      <c r="GC165" s="67"/>
      <c r="GD165" s="67"/>
      <c r="GE165" s="67"/>
      <c r="GF165" s="67"/>
      <c r="GG165" s="67"/>
      <c r="GH165" s="67"/>
      <c r="GI165" s="67"/>
      <c r="GJ165" s="67"/>
      <c r="GK165" s="67"/>
      <c r="GL165" s="67"/>
      <c r="GM165" s="67"/>
      <c r="GN165" s="67"/>
      <c r="GO165" s="67"/>
      <c r="GP165" s="67"/>
    </row>
    <row r="166" spans="5:198" s="66" customFormat="1">
      <c r="E166" s="67"/>
      <c r="G166" s="67"/>
      <c r="H166" s="67"/>
      <c r="I166" s="67"/>
      <c r="J166" s="67"/>
      <c r="K166" s="67"/>
      <c r="L166" s="67"/>
      <c r="M166" s="67"/>
      <c r="N166" s="67"/>
      <c r="O166" s="78"/>
      <c r="P166" s="78"/>
      <c r="S166" s="78"/>
      <c r="T166" s="78"/>
      <c r="U166" s="79"/>
      <c r="V166" s="65"/>
      <c r="Y166" s="78"/>
      <c r="Z166" s="78"/>
      <c r="AA166" s="78"/>
      <c r="AB166" s="78"/>
      <c r="AC166" s="78"/>
      <c r="AD166" s="78"/>
      <c r="AE166" s="78"/>
      <c r="AF166" s="78"/>
      <c r="AG166" s="79"/>
      <c r="AH166" s="65"/>
      <c r="AJ166" s="85"/>
      <c r="AK166" s="78"/>
      <c r="AL166" s="78"/>
      <c r="AM166" s="78"/>
      <c r="AN166" s="78"/>
      <c r="AO166" s="78"/>
      <c r="AP166" s="78"/>
      <c r="AQ166" s="79"/>
      <c r="AR166" s="65"/>
      <c r="AT166" s="85"/>
      <c r="AU166" s="78"/>
      <c r="AV166" s="78"/>
      <c r="AW166" s="78"/>
      <c r="AX166" s="78"/>
      <c r="AY166" s="78"/>
      <c r="AZ166" s="79"/>
      <c r="BA166" s="65"/>
      <c r="BC166" s="85"/>
      <c r="BD166" s="78"/>
      <c r="BE166" s="78"/>
      <c r="BF166" s="78"/>
      <c r="BG166" s="78"/>
      <c r="BH166" s="78"/>
      <c r="BI166" s="78"/>
      <c r="BJ166" s="79"/>
      <c r="BK166" s="65"/>
      <c r="CU166" s="67"/>
      <c r="EC166" s="67"/>
      <c r="FK166" s="67"/>
      <c r="FL166" s="67"/>
      <c r="FM166" s="67"/>
      <c r="FN166" s="67"/>
      <c r="FO166" s="67"/>
      <c r="FP166" s="67"/>
      <c r="FQ166" s="67"/>
      <c r="FR166" s="67"/>
      <c r="FS166" s="67"/>
      <c r="FT166" s="67"/>
      <c r="FU166" s="67"/>
      <c r="FV166" s="67"/>
      <c r="FW166" s="67"/>
      <c r="FX166" s="67"/>
      <c r="FY166" s="67"/>
      <c r="FZ166" s="67"/>
      <c r="GA166" s="67"/>
      <c r="GB166" s="67"/>
      <c r="GC166" s="67"/>
      <c r="GD166" s="67"/>
      <c r="GE166" s="67"/>
      <c r="GF166" s="67"/>
      <c r="GG166" s="67"/>
      <c r="GH166" s="67"/>
      <c r="GI166" s="67"/>
      <c r="GJ166" s="67"/>
      <c r="GK166" s="67"/>
      <c r="GL166" s="67"/>
      <c r="GM166" s="67"/>
      <c r="GN166" s="67"/>
      <c r="GO166" s="67"/>
      <c r="GP166" s="67"/>
    </row>
    <row r="167" spans="5:198" s="66" customFormat="1">
      <c r="E167" s="67"/>
      <c r="G167" s="67"/>
      <c r="H167" s="67"/>
      <c r="I167" s="67"/>
      <c r="J167" s="67"/>
      <c r="K167" s="67"/>
      <c r="L167" s="67"/>
      <c r="M167" s="67"/>
      <c r="N167" s="67"/>
      <c r="O167" s="78"/>
      <c r="P167" s="78"/>
      <c r="S167" s="78"/>
      <c r="T167" s="78"/>
      <c r="U167" s="79"/>
      <c r="V167" s="65"/>
      <c r="Y167" s="78"/>
      <c r="Z167" s="78"/>
      <c r="AA167" s="78"/>
      <c r="AB167" s="78"/>
      <c r="AC167" s="78"/>
      <c r="AD167" s="78"/>
      <c r="AE167" s="78"/>
      <c r="AF167" s="78"/>
      <c r="AG167" s="79"/>
      <c r="AH167" s="65"/>
      <c r="AJ167" s="85"/>
      <c r="AK167" s="78"/>
      <c r="AL167" s="78"/>
      <c r="AM167" s="78"/>
      <c r="AN167" s="78"/>
      <c r="AO167" s="78"/>
      <c r="AP167" s="78"/>
      <c r="AQ167" s="79"/>
      <c r="AR167" s="65"/>
      <c r="AT167" s="85"/>
      <c r="AU167" s="78"/>
      <c r="AV167" s="78"/>
      <c r="AW167" s="78"/>
      <c r="AX167" s="78"/>
      <c r="AY167" s="78"/>
      <c r="AZ167" s="79"/>
      <c r="BA167" s="65"/>
      <c r="BC167" s="85"/>
      <c r="BD167" s="78"/>
      <c r="BE167" s="78"/>
      <c r="BF167" s="78"/>
      <c r="BG167" s="78"/>
      <c r="BH167" s="78"/>
      <c r="BI167" s="78"/>
      <c r="BJ167" s="79"/>
      <c r="BK167" s="65"/>
      <c r="CU167" s="67"/>
      <c r="EC167" s="67"/>
      <c r="FK167" s="67"/>
      <c r="FL167" s="67"/>
      <c r="FM167" s="67"/>
      <c r="FN167" s="67"/>
      <c r="FO167" s="67"/>
      <c r="FP167" s="67"/>
      <c r="FQ167" s="67"/>
      <c r="FR167" s="67"/>
      <c r="FS167" s="67"/>
      <c r="FT167" s="67"/>
      <c r="FU167" s="67"/>
      <c r="FV167" s="67"/>
      <c r="FW167" s="67"/>
      <c r="FX167" s="67"/>
      <c r="FY167" s="67"/>
      <c r="FZ167" s="67"/>
      <c r="GA167" s="67"/>
      <c r="GB167" s="67"/>
      <c r="GC167" s="67"/>
      <c r="GD167" s="67"/>
      <c r="GE167" s="67"/>
      <c r="GF167" s="67"/>
      <c r="GG167" s="67"/>
      <c r="GH167" s="67"/>
      <c r="GI167" s="67"/>
      <c r="GJ167" s="67"/>
      <c r="GK167" s="67"/>
      <c r="GL167" s="67"/>
      <c r="GM167" s="67"/>
      <c r="GN167" s="67"/>
      <c r="GO167" s="67"/>
      <c r="GP167" s="67"/>
    </row>
    <row r="168" spans="5:198" s="66" customFormat="1">
      <c r="E168" s="67"/>
      <c r="G168" s="67"/>
      <c r="H168" s="67"/>
      <c r="I168" s="67"/>
      <c r="J168" s="67"/>
      <c r="K168" s="67"/>
      <c r="L168" s="67"/>
      <c r="M168" s="67"/>
      <c r="N168" s="67"/>
      <c r="O168" s="78"/>
      <c r="P168" s="78"/>
      <c r="S168" s="78"/>
      <c r="T168" s="78"/>
      <c r="U168" s="79"/>
      <c r="V168" s="65"/>
      <c r="Y168" s="78"/>
      <c r="Z168" s="78"/>
      <c r="AA168" s="78"/>
      <c r="AB168" s="78"/>
      <c r="AC168" s="78"/>
      <c r="AD168" s="78"/>
      <c r="AE168" s="78"/>
      <c r="AF168" s="78"/>
      <c r="AG168" s="79"/>
      <c r="AH168" s="65"/>
      <c r="AJ168" s="85"/>
      <c r="AK168" s="78"/>
      <c r="AL168" s="78"/>
      <c r="AM168" s="78"/>
      <c r="AN168" s="78"/>
      <c r="AO168" s="78"/>
      <c r="AP168" s="78"/>
      <c r="AQ168" s="79"/>
      <c r="AR168" s="65"/>
      <c r="AT168" s="85"/>
      <c r="AU168" s="78"/>
      <c r="AV168" s="78"/>
      <c r="AW168" s="78"/>
      <c r="AX168" s="78"/>
      <c r="AY168" s="78"/>
      <c r="AZ168" s="79"/>
      <c r="BA168" s="65"/>
      <c r="BC168" s="85"/>
      <c r="BD168" s="78"/>
      <c r="BE168" s="78"/>
      <c r="BF168" s="78"/>
      <c r="BG168" s="78"/>
      <c r="BH168" s="78"/>
      <c r="BI168" s="78"/>
      <c r="BJ168" s="79"/>
      <c r="BK168" s="65"/>
      <c r="CU168" s="67"/>
      <c r="EC168" s="67"/>
      <c r="FK168" s="67"/>
      <c r="FL168" s="67"/>
      <c r="FM168" s="67"/>
      <c r="FN168" s="67"/>
      <c r="FO168" s="67"/>
      <c r="FP168" s="67"/>
      <c r="FQ168" s="67"/>
      <c r="FR168" s="67"/>
      <c r="FS168" s="67"/>
      <c r="FT168" s="67"/>
      <c r="FU168" s="67"/>
      <c r="FV168" s="67"/>
      <c r="FW168" s="67"/>
      <c r="FX168" s="67"/>
      <c r="FY168" s="67"/>
      <c r="FZ168" s="67"/>
      <c r="GA168" s="67"/>
      <c r="GB168" s="67"/>
      <c r="GC168" s="67"/>
      <c r="GD168" s="67"/>
      <c r="GE168" s="67"/>
      <c r="GF168" s="67"/>
      <c r="GG168" s="67"/>
      <c r="GH168" s="67"/>
      <c r="GI168" s="67"/>
      <c r="GJ168" s="67"/>
      <c r="GK168" s="67"/>
      <c r="GL168" s="67"/>
      <c r="GM168" s="67"/>
      <c r="GN168" s="67"/>
      <c r="GO168" s="67"/>
      <c r="GP168" s="67"/>
    </row>
    <row r="169" spans="5:198" s="66" customFormat="1">
      <c r="E169" s="67"/>
      <c r="G169" s="67"/>
      <c r="H169" s="67"/>
      <c r="I169" s="67"/>
      <c r="J169" s="67"/>
      <c r="K169" s="67"/>
      <c r="L169" s="67"/>
      <c r="M169" s="67"/>
      <c r="N169" s="67"/>
      <c r="O169" s="78"/>
      <c r="P169" s="78"/>
      <c r="S169" s="78"/>
      <c r="T169" s="78"/>
      <c r="U169" s="79"/>
      <c r="V169" s="65"/>
      <c r="Y169" s="78"/>
      <c r="Z169" s="78"/>
      <c r="AA169" s="78"/>
      <c r="AB169" s="78"/>
      <c r="AC169" s="78"/>
      <c r="AD169" s="78"/>
      <c r="AE169" s="78"/>
      <c r="AF169" s="78"/>
      <c r="AG169" s="79"/>
      <c r="AH169" s="65"/>
      <c r="AJ169" s="85"/>
      <c r="AK169" s="78"/>
      <c r="AL169" s="78"/>
      <c r="AM169" s="78"/>
      <c r="AN169" s="78"/>
      <c r="AO169" s="78"/>
      <c r="AP169" s="78"/>
      <c r="AQ169" s="79"/>
      <c r="AR169" s="65"/>
      <c r="AT169" s="85"/>
      <c r="AU169" s="78"/>
      <c r="AV169" s="78"/>
      <c r="AW169" s="78"/>
      <c r="AX169" s="78"/>
      <c r="AY169" s="78"/>
      <c r="AZ169" s="79"/>
      <c r="BA169" s="65"/>
      <c r="BC169" s="85"/>
      <c r="BD169" s="78"/>
      <c r="BE169" s="78"/>
      <c r="BF169" s="78"/>
      <c r="BG169" s="78"/>
      <c r="BH169" s="78"/>
      <c r="BI169" s="78"/>
      <c r="BJ169" s="79"/>
      <c r="BK169" s="65"/>
      <c r="CU169" s="67"/>
      <c r="EC169" s="67"/>
      <c r="FK169" s="67"/>
      <c r="FL169" s="67"/>
      <c r="FM169" s="67"/>
      <c r="FN169" s="67"/>
      <c r="FO169" s="67"/>
      <c r="FP169" s="67"/>
      <c r="FQ169" s="67"/>
      <c r="FR169" s="67"/>
      <c r="FS169" s="67"/>
      <c r="FT169" s="67"/>
      <c r="FU169" s="67"/>
      <c r="FV169" s="67"/>
      <c r="FW169" s="67"/>
      <c r="FX169" s="67"/>
      <c r="FY169" s="67"/>
      <c r="FZ169" s="67"/>
      <c r="GA169" s="67"/>
      <c r="GB169" s="67"/>
      <c r="GC169" s="67"/>
      <c r="GD169" s="67"/>
      <c r="GE169" s="67"/>
      <c r="GF169" s="67"/>
      <c r="GG169" s="67"/>
      <c r="GH169" s="67"/>
      <c r="GI169" s="67"/>
      <c r="GJ169" s="67"/>
      <c r="GK169" s="67"/>
      <c r="GL169" s="67"/>
      <c r="GM169" s="67"/>
      <c r="GN169" s="67"/>
      <c r="GO169" s="67"/>
      <c r="GP169" s="67"/>
    </row>
    <row r="170" spans="5:198" s="66" customFormat="1">
      <c r="E170" s="67"/>
      <c r="G170" s="67"/>
      <c r="H170" s="67"/>
      <c r="I170" s="67"/>
      <c r="J170" s="67"/>
      <c r="K170" s="67"/>
      <c r="L170" s="67"/>
      <c r="M170" s="67"/>
      <c r="N170" s="67"/>
      <c r="O170" s="78"/>
      <c r="P170" s="78"/>
      <c r="S170" s="78"/>
      <c r="T170" s="78"/>
      <c r="U170" s="79"/>
      <c r="V170" s="65"/>
      <c r="Y170" s="78"/>
      <c r="Z170" s="78"/>
      <c r="AA170" s="78"/>
      <c r="AB170" s="78"/>
      <c r="AC170" s="78"/>
      <c r="AD170" s="78"/>
      <c r="AE170" s="78"/>
      <c r="AF170" s="78"/>
      <c r="AG170" s="79"/>
      <c r="AH170" s="65"/>
      <c r="AJ170" s="85"/>
      <c r="AK170" s="78"/>
      <c r="AL170" s="78"/>
      <c r="AM170" s="78"/>
      <c r="AN170" s="78"/>
      <c r="AO170" s="78"/>
      <c r="AP170" s="78"/>
      <c r="AQ170" s="79"/>
      <c r="AR170" s="65"/>
      <c r="AT170" s="85"/>
      <c r="AU170" s="78"/>
      <c r="AV170" s="78"/>
      <c r="AW170" s="78"/>
      <c r="AX170" s="78"/>
      <c r="AY170" s="78"/>
      <c r="AZ170" s="79"/>
      <c r="BA170" s="65"/>
      <c r="BC170" s="85"/>
      <c r="BD170" s="78"/>
      <c r="BE170" s="78"/>
      <c r="BF170" s="78"/>
      <c r="BG170" s="78"/>
      <c r="BH170" s="78"/>
      <c r="BI170" s="78"/>
      <c r="BJ170" s="79"/>
      <c r="BK170" s="65"/>
      <c r="CU170" s="67"/>
      <c r="EC170" s="67"/>
      <c r="FK170" s="67"/>
      <c r="FL170" s="67"/>
      <c r="FM170" s="67"/>
      <c r="FN170" s="67"/>
      <c r="FO170" s="67"/>
      <c r="FP170" s="67"/>
      <c r="FQ170" s="67"/>
      <c r="FR170" s="67"/>
      <c r="FS170" s="67"/>
      <c r="FT170" s="67"/>
      <c r="FU170" s="67"/>
      <c r="FV170" s="67"/>
      <c r="FW170" s="67"/>
      <c r="FX170" s="67"/>
      <c r="FY170" s="67"/>
      <c r="FZ170" s="67"/>
      <c r="GA170" s="67"/>
      <c r="GB170" s="67"/>
      <c r="GC170" s="67"/>
      <c r="GD170" s="67"/>
      <c r="GE170" s="67"/>
      <c r="GF170" s="67"/>
      <c r="GG170" s="67"/>
      <c r="GH170" s="67"/>
      <c r="GI170" s="67"/>
      <c r="GJ170" s="67"/>
      <c r="GK170" s="67"/>
      <c r="GL170" s="67"/>
      <c r="GM170" s="67"/>
      <c r="GN170" s="67"/>
      <c r="GO170" s="67"/>
      <c r="GP170" s="67"/>
    </row>
    <row r="171" spans="5:198" s="66" customFormat="1">
      <c r="E171" s="67"/>
      <c r="G171" s="67"/>
      <c r="H171" s="67"/>
      <c r="I171" s="67"/>
      <c r="J171" s="67"/>
      <c r="K171" s="67"/>
      <c r="L171" s="67"/>
      <c r="M171" s="67"/>
      <c r="N171" s="67"/>
      <c r="O171" s="78"/>
      <c r="P171" s="78"/>
      <c r="S171" s="78"/>
      <c r="T171" s="78"/>
      <c r="U171" s="79"/>
      <c r="V171" s="65"/>
      <c r="Y171" s="78"/>
      <c r="Z171" s="78"/>
      <c r="AA171" s="78"/>
      <c r="AB171" s="78"/>
      <c r="AC171" s="78"/>
      <c r="AD171" s="78"/>
      <c r="AE171" s="78"/>
      <c r="AF171" s="78"/>
      <c r="AG171" s="79"/>
      <c r="AH171" s="65"/>
      <c r="AJ171" s="85"/>
      <c r="AK171" s="78"/>
      <c r="AL171" s="78"/>
      <c r="AM171" s="78"/>
      <c r="AN171" s="78"/>
      <c r="AO171" s="78"/>
      <c r="AP171" s="78"/>
      <c r="AQ171" s="79"/>
      <c r="AR171" s="65"/>
      <c r="AT171" s="85"/>
      <c r="AU171" s="78"/>
      <c r="AV171" s="78"/>
      <c r="AW171" s="78"/>
      <c r="AX171" s="78"/>
      <c r="AY171" s="78"/>
      <c r="AZ171" s="79"/>
      <c r="BA171" s="65"/>
      <c r="BC171" s="85"/>
      <c r="BD171" s="78"/>
      <c r="BE171" s="78"/>
      <c r="BF171" s="78"/>
      <c r="BG171" s="78"/>
      <c r="BH171" s="78"/>
      <c r="BI171" s="78"/>
      <c r="BJ171" s="79"/>
      <c r="BK171" s="65"/>
      <c r="CU171" s="67"/>
      <c r="EC171" s="67"/>
      <c r="FK171" s="67"/>
      <c r="FL171" s="67"/>
      <c r="FM171" s="67"/>
      <c r="FN171" s="67"/>
      <c r="FO171" s="67"/>
      <c r="FP171" s="67"/>
      <c r="FQ171" s="67"/>
      <c r="FR171" s="67"/>
      <c r="FS171" s="67"/>
      <c r="FT171" s="67"/>
      <c r="FU171" s="67"/>
      <c r="FV171" s="67"/>
      <c r="FW171" s="67"/>
      <c r="FX171" s="67"/>
      <c r="FY171" s="67"/>
      <c r="FZ171" s="67"/>
      <c r="GA171" s="67"/>
      <c r="GB171" s="67"/>
      <c r="GC171" s="67"/>
      <c r="GD171" s="67"/>
      <c r="GE171" s="67"/>
      <c r="GF171" s="67"/>
      <c r="GG171" s="67"/>
      <c r="GH171" s="67"/>
      <c r="GI171" s="67"/>
      <c r="GJ171" s="67"/>
      <c r="GK171" s="67"/>
      <c r="GL171" s="67"/>
      <c r="GM171" s="67"/>
      <c r="GN171" s="67"/>
      <c r="GO171" s="67"/>
      <c r="GP171" s="67"/>
    </row>
    <row r="172" spans="5:198" s="66" customFormat="1">
      <c r="E172" s="67"/>
      <c r="G172" s="67"/>
      <c r="H172" s="67"/>
      <c r="I172" s="67"/>
      <c r="J172" s="67"/>
      <c r="K172" s="67"/>
      <c r="L172" s="67"/>
      <c r="M172" s="67"/>
      <c r="N172" s="67"/>
      <c r="O172" s="78"/>
      <c r="P172" s="78"/>
      <c r="S172" s="78"/>
      <c r="T172" s="78"/>
      <c r="U172" s="79"/>
      <c r="V172" s="65"/>
      <c r="Y172" s="78"/>
      <c r="Z172" s="78"/>
      <c r="AA172" s="78"/>
      <c r="AB172" s="78"/>
      <c r="AC172" s="78"/>
      <c r="AD172" s="78"/>
      <c r="AE172" s="78"/>
      <c r="AF172" s="78"/>
      <c r="AG172" s="79"/>
      <c r="AH172" s="65"/>
      <c r="AJ172" s="85"/>
      <c r="AK172" s="78"/>
      <c r="AL172" s="78"/>
      <c r="AM172" s="78"/>
      <c r="AN172" s="78"/>
      <c r="AO172" s="78"/>
      <c r="AP172" s="78"/>
      <c r="AQ172" s="79"/>
      <c r="AR172" s="65"/>
      <c r="AT172" s="85"/>
      <c r="AU172" s="78"/>
      <c r="AV172" s="78"/>
      <c r="AW172" s="78"/>
      <c r="AX172" s="78"/>
      <c r="AY172" s="78"/>
      <c r="AZ172" s="79"/>
      <c r="BA172" s="65"/>
      <c r="BC172" s="85"/>
      <c r="BD172" s="78"/>
      <c r="BE172" s="78"/>
      <c r="BF172" s="78"/>
      <c r="BG172" s="78"/>
      <c r="BH172" s="78"/>
      <c r="BI172" s="78"/>
      <c r="BJ172" s="79"/>
      <c r="BK172" s="65"/>
      <c r="CU172" s="67"/>
      <c r="EC172" s="67"/>
      <c r="FK172" s="67"/>
      <c r="FL172" s="67"/>
      <c r="FM172" s="67"/>
      <c r="FN172" s="67"/>
      <c r="FO172" s="67"/>
      <c r="FP172" s="67"/>
      <c r="FQ172" s="67"/>
      <c r="FR172" s="67"/>
      <c r="FS172" s="67"/>
      <c r="FT172" s="67"/>
      <c r="FU172" s="67"/>
      <c r="FV172" s="67"/>
      <c r="FW172" s="67"/>
      <c r="FX172" s="67"/>
      <c r="FY172" s="67"/>
      <c r="FZ172" s="67"/>
      <c r="GA172" s="67"/>
      <c r="GB172" s="67"/>
      <c r="GC172" s="67"/>
      <c r="GD172" s="67"/>
      <c r="GE172" s="67"/>
      <c r="GF172" s="67"/>
      <c r="GG172" s="67"/>
      <c r="GH172" s="67"/>
      <c r="GI172" s="67"/>
      <c r="GJ172" s="67"/>
      <c r="GK172" s="67"/>
      <c r="GL172" s="67"/>
      <c r="GM172" s="67"/>
      <c r="GN172" s="67"/>
      <c r="GO172" s="67"/>
      <c r="GP172" s="67"/>
    </row>
    <row r="173" spans="5:198" s="66" customFormat="1">
      <c r="E173" s="67"/>
      <c r="G173" s="67"/>
      <c r="H173" s="67"/>
      <c r="I173" s="67"/>
      <c r="J173" s="67"/>
      <c r="K173" s="67"/>
      <c r="L173" s="67"/>
      <c r="M173" s="67"/>
      <c r="N173" s="67"/>
      <c r="O173" s="78"/>
      <c r="P173" s="78"/>
      <c r="S173" s="78"/>
      <c r="T173" s="78"/>
      <c r="U173" s="79"/>
      <c r="V173" s="65"/>
      <c r="Y173" s="78"/>
      <c r="Z173" s="78"/>
      <c r="AA173" s="78"/>
      <c r="AB173" s="78"/>
      <c r="AC173" s="78"/>
      <c r="AD173" s="78"/>
      <c r="AE173" s="78"/>
      <c r="AF173" s="78"/>
      <c r="AG173" s="79"/>
      <c r="AH173" s="65"/>
      <c r="AJ173" s="85"/>
      <c r="AK173" s="78"/>
      <c r="AL173" s="78"/>
      <c r="AM173" s="78"/>
      <c r="AN173" s="78"/>
      <c r="AO173" s="78"/>
      <c r="AP173" s="78"/>
      <c r="AQ173" s="79"/>
      <c r="AR173" s="65"/>
      <c r="AT173" s="85"/>
      <c r="AU173" s="78"/>
      <c r="AV173" s="78"/>
      <c r="AW173" s="78"/>
      <c r="AX173" s="78"/>
      <c r="AY173" s="78"/>
      <c r="AZ173" s="79"/>
      <c r="BA173" s="65"/>
      <c r="BC173" s="85"/>
      <c r="BD173" s="78"/>
      <c r="BE173" s="78"/>
      <c r="BF173" s="78"/>
      <c r="BG173" s="78"/>
      <c r="BH173" s="78"/>
      <c r="BI173" s="78"/>
      <c r="BJ173" s="79"/>
      <c r="BK173" s="65"/>
      <c r="CU173" s="67"/>
      <c r="EC173" s="67"/>
      <c r="FK173" s="67"/>
      <c r="FL173" s="67"/>
      <c r="FM173" s="67"/>
      <c r="FN173" s="67"/>
      <c r="FO173" s="67"/>
      <c r="FP173" s="67"/>
      <c r="FQ173" s="67"/>
      <c r="FR173" s="67"/>
      <c r="FS173" s="67"/>
      <c r="FT173" s="67"/>
      <c r="FU173" s="67"/>
      <c r="FV173" s="67"/>
      <c r="FW173" s="67"/>
      <c r="FX173" s="67"/>
      <c r="FY173" s="67"/>
      <c r="FZ173" s="67"/>
      <c r="GA173" s="67"/>
      <c r="GB173" s="67"/>
      <c r="GC173" s="67"/>
      <c r="GD173" s="67"/>
      <c r="GE173" s="67"/>
      <c r="GF173" s="67"/>
      <c r="GG173" s="67"/>
      <c r="GH173" s="67"/>
      <c r="GI173" s="67"/>
      <c r="GJ173" s="67"/>
      <c r="GK173" s="67"/>
      <c r="GL173" s="67"/>
      <c r="GM173" s="67"/>
      <c r="GN173" s="67"/>
      <c r="GO173" s="67"/>
      <c r="GP173" s="67"/>
    </row>
    <row r="174" spans="5:198" s="66" customFormat="1">
      <c r="E174" s="67"/>
      <c r="G174" s="67"/>
      <c r="H174" s="67"/>
      <c r="I174" s="67"/>
      <c r="J174" s="67"/>
      <c r="K174" s="67"/>
      <c r="L174" s="67"/>
      <c r="M174" s="67"/>
      <c r="N174" s="67"/>
      <c r="O174" s="78"/>
      <c r="P174" s="78"/>
      <c r="S174" s="78"/>
      <c r="T174" s="78"/>
      <c r="U174" s="79"/>
      <c r="V174" s="65"/>
      <c r="Y174" s="78"/>
      <c r="Z174" s="78"/>
      <c r="AA174" s="78"/>
      <c r="AB174" s="78"/>
      <c r="AC174" s="78"/>
      <c r="AD174" s="78"/>
      <c r="AE174" s="78"/>
      <c r="AF174" s="78"/>
      <c r="AG174" s="79"/>
      <c r="AH174" s="65"/>
      <c r="AJ174" s="85"/>
      <c r="AK174" s="78"/>
      <c r="AL174" s="78"/>
      <c r="AM174" s="78"/>
      <c r="AN174" s="78"/>
      <c r="AO174" s="78"/>
      <c r="AP174" s="78"/>
      <c r="AQ174" s="79"/>
      <c r="AR174" s="65"/>
      <c r="AT174" s="85"/>
      <c r="AU174" s="78"/>
      <c r="AV174" s="78"/>
      <c r="AW174" s="78"/>
      <c r="AX174" s="78"/>
      <c r="AY174" s="78"/>
      <c r="AZ174" s="79"/>
      <c r="BA174" s="65"/>
      <c r="BC174" s="85"/>
      <c r="BD174" s="78"/>
      <c r="BE174" s="78"/>
      <c r="BF174" s="78"/>
      <c r="BG174" s="78"/>
      <c r="BH174" s="78"/>
      <c r="BI174" s="78"/>
      <c r="BJ174" s="79"/>
      <c r="BK174" s="65"/>
      <c r="CU174" s="67"/>
      <c r="EC174" s="67"/>
      <c r="FK174" s="67"/>
      <c r="FL174" s="67"/>
      <c r="FM174" s="67"/>
      <c r="FN174" s="67"/>
      <c r="FO174" s="67"/>
      <c r="FP174" s="67"/>
      <c r="FQ174" s="67"/>
      <c r="FR174" s="67"/>
      <c r="FS174" s="67"/>
      <c r="FT174" s="67"/>
      <c r="FU174" s="67"/>
      <c r="FV174" s="67"/>
      <c r="FW174" s="67"/>
      <c r="FX174" s="67"/>
      <c r="FY174" s="67"/>
      <c r="FZ174" s="67"/>
      <c r="GA174" s="67"/>
      <c r="GB174" s="67"/>
      <c r="GC174" s="67"/>
      <c r="GD174" s="67"/>
      <c r="GE174" s="67"/>
      <c r="GF174" s="67"/>
      <c r="GG174" s="67"/>
      <c r="GH174" s="67"/>
      <c r="GI174" s="67"/>
      <c r="GJ174" s="67"/>
      <c r="GK174" s="67"/>
      <c r="GL174" s="67"/>
      <c r="GM174" s="67"/>
      <c r="GN174" s="67"/>
      <c r="GO174" s="67"/>
      <c r="GP174" s="67"/>
    </row>
    <row r="175" spans="5:198" s="66" customFormat="1">
      <c r="E175" s="67"/>
      <c r="G175" s="67"/>
      <c r="H175" s="67"/>
      <c r="I175" s="67"/>
      <c r="J175" s="67"/>
      <c r="K175" s="67"/>
      <c r="L175" s="67"/>
      <c r="M175" s="67"/>
      <c r="N175" s="67"/>
      <c r="O175" s="78"/>
      <c r="P175" s="78"/>
      <c r="S175" s="78"/>
      <c r="T175" s="78"/>
      <c r="U175" s="79"/>
      <c r="V175" s="65"/>
      <c r="Y175" s="78"/>
      <c r="Z175" s="78"/>
      <c r="AA175" s="78"/>
      <c r="AB175" s="78"/>
      <c r="AC175" s="78"/>
      <c r="AD175" s="78"/>
      <c r="AE175" s="78"/>
      <c r="AF175" s="78"/>
      <c r="AG175" s="79"/>
      <c r="AH175" s="65"/>
      <c r="AJ175" s="85"/>
      <c r="AK175" s="78"/>
      <c r="AL175" s="78"/>
      <c r="AM175" s="78"/>
      <c r="AN175" s="78"/>
      <c r="AO175" s="78"/>
      <c r="AP175" s="78"/>
      <c r="AQ175" s="79"/>
      <c r="AR175" s="65"/>
      <c r="AT175" s="85"/>
      <c r="AU175" s="78"/>
      <c r="AV175" s="78"/>
      <c r="AW175" s="78"/>
      <c r="AX175" s="78"/>
      <c r="AY175" s="78"/>
      <c r="AZ175" s="79"/>
      <c r="BA175" s="65"/>
      <c r="BC175" s="85"/>
      <c r="BD175" s="78"/>
      <c r="BE175" s="78"/>
      <c r="BF175" s="78"/>
      <c r="BG175" s="78"/>
      <c r="BH175" s="78"/>
      <c r="BI175" s="78"/>
      <c r="BJ175" s="79"/>
      <c r="BK175" s="65"/>
      <c r="CU175" s="67"/>
      <c r="EC175" s="67"/>
      <c r="FK175" s="67"/>
      <c r="FL175" s="67"/>
      <c r="FM175" s="67"/>
      <c r="FN175" s="67"/>
      <c r="FO175" s="67"/>
      <c r="FP175" s="67"/>
      <c r="FQ175" s="67"/>
      <c r="FR175" s="67"/>
      <c r="FS175" s="67"/>
      <c r="FT175" s="67"/>
      <c r="FU175" s="67"/>
      <c r="FV175" s="67"/>
      <c r="FW175" s="67"/>
      <c r="FX175" s="67"/>
      <c r="FY175" s="67"/>
      <c r="FZ175" s="67"/>
      <c r="GA175" s="67"/>
      <c r="GB175" s="67"/>
      <c r="GC175" s="67"/>
      <c r="GD175" s="67"/>
      <c r="GE175" s="67"/>
      <c r="GF175" s="67"/>
      <c r="GG175" s="67"/>
      <c r="GH175" s="67"/>
      <c r="GI175" s="67"/>
      <c r="GJ175" s="67"/>
      <c r="GK175" s="67"/>
      <c r="GL175" s="67"/>
      <c r="GM175" s="67"/>
      <c r="GN175" s="67"/>
      <c r="GO175" s="67"/>
      <c r="GP175" s="67"/>
    </row>
    <row r="176" spans="5:198" s="66" customFormat="1">
      <c r="E176" s="67"/>
      <c r="G176" s="67"/>
      <c r="H176" s="67"/>
      <c r="I176" s="67"/>
      <c r="J176" s="67"/>
      <c r="K176" s="67"/>
      <c r="L176" s="67"/>
      <c r="M176" s="67"/>
      <c r="N176" s="67"/>
      <c r="O176" s="78"/>
      <c r="P176" s="78"/>
      <c r="S176" s="78"/>
      <c r="T176" s="78"/>
      <c r="U176" s="79"/>
      <c r="V176" s="65"/>
      <c r="Y176" s="78"/>
      <c r="Z176" s="78"/>
      <c r="AA176" s="78"/>
      <c r="AB176" s="78"/>
      <c r="AC176" s="78"/>
      <c r="AD176" s="78"/>
      <c r="AE176" s="78"/>
      <c r="AF176" s="78"/>
      <c r="AG176" s="79"/>
      <c r="AH176" s="65"/>
      <c r="AJ176" s="85"/>
      <c r="AK176" s="78"/>
      <c r="AL176" s="78"/>
      <c r="AM176" s="78"/>
      <c r="AN176" s="78"/>
      <c r="AO176" s="78"/>
      <c r="AP176" s="78"/>
      <c r="AQ176" s="79"/>
      <c r="AR176" s="65"/>
      <c r="AT176" s="85"/>
      <c r="AU176" s="78"/>
      <c r="AV176" s="78"/>
      <c r="AW176" s="78"/>
      <c r="AX176" s="78"/>
      <c r="AY176" s="78"/>
      <c r="AZ176" s="79"/>
      <c r="BA176" s="65"/>
      <c r="BC176" s="85"/>
      <c r="BD176" s="78"/>
      <c r="BE176" s="78"/>
      <c r="BF176" s="78"/>
      <c r="BG176" s="78"/>
      <c r="BH176" s="78"/>
      <c r="BI176" s="78"/>
      <c r="BJ176" s="79"/>
      <c r="BK176" s="65"/>
      <c r="CU176" s="67"/>
      <c r="EC176" s="67"/>
      <c r="FK176" s="67"/>
      <c r="FL176" s="67"/>
      <c r="FM176" s="67"/>
      <c r="FN176" s="67"/>
      <c r="FO176" s="67"/>
      <c r="FP176" s="67"/>
      <c r="FQ176" s="67"/>
      <c r="FR176" s="67"/>
      <c r="FS176" s="67"/>
      <c r="FT176" s="67"/>
      <c r="FU176" s="67"/>
      <c r="FV176" s="67"/>
      <c r="FW176" s="67"/>
      <c r="FX176" s="67"/>
      <c r="FY176" s="67"/>
      <c r="FZ176" s="67"/>
      <c r="GA176" s="67"/>
      <c r="GB176" s="67"/>
      <c r="GC176" s="67"/>
      <c r="GD176" s="67"/>
      <c r="GE176" s="67"/>
      <c r="GF176" s="67"/>
      <c r="GG176" s="67"/>
      <c r="GH176" s="67"/>
      <c r="GI176" s="67"/>
      <c r="GJ176" s="67"/>
      <c r="GK176" s="67"/>
      <c r="GL176" s="67"/>
      <c r="GM176" s="67"/>
      <c r="GN176" s="67"/>
      <c r="GO176" s="67"/>
      <c r="GP176" s="67"/>
    </row>
    <row r="177" spans="5:198" s="66" customFormat="1">
      <c r="E177" s="67"/>
      <c r="G177" s="67"/>
      <c r="H177" s="67"/>
      <c r="I177" s="67"/>
      <c r="J177" s="67"/>
      <c r="K177" s="67"/>
      <c r="L177" s="67"/>
      <c r="M177" s="67"/>
      <c r="N177" s="67"/>
      <c r="O177" s="78"/>
      <c r="P177" s="78"/>
      <c r="S177" s="78"/>
      <c r="T177" s="78"/>
      <c r="U177" s="79"/>
      <c r="V177" s="65"/>
      <c r="Y177" s="78"/>
      <c r="Z177" s="78"/>
      <c r="AA177" s="78"/>
      <c r="AB177" s="78"/>
      <c r="AC177" s="78"/>
      <c r="AD177" s="78"/>
      <c r="AE177" s="78"/>
      <c r="AF177" s="78"/>
      <c r="AG177" s="79"/>
      <c r="AH177" s="65"/>
      <c r="AJ177" s="85"/>
      <c r="AK177" s="78"/>
      <c r="AL177" s="78"/>
      <c r="AM177" s="78"/>
      <c r="AN177" s="78"/>
      <c r="AO177" s="78"/>
      <c r="AP177" s="78"/>
      <c r="AQ177" s="79"/>
      <c r="AR177" s="65"/>
      <c r="AT177" s="85"/>
      <c r="AU177" s="78"/>
      <c r="AV177" s="78"/>
      <c r="AW177" s="78"/>
      <c r="AX177" s="78"/>
      <c r="AY177" s="78"/>
      <c r="AZ177" s="79"/>
      <c r="BA177" s="65"/>
      <c r="BC177" s="85"/>
      <c r="BD177" s="78"/>
      <c r="BE177" s="78"/>
      <c r="BF177" s="78"/>
      <c r="BG177" s="78"/>
      <c r="BH177" s="78"/>
      <c r="BI177" s="78"/>
      <c r="BJ177" s="79"/>
      <c r="BK177" s="65"/>
      <c r="CU177" s="67"/>
      <c r="EC177" s="67"/>
      <c r="FK177" s="67"/>
      <c r="FL177" s="67"/>
      <c r="FM177" s="67"/>
      <c r="FN177" s="67"/>
      <c r="FO177" s="67"/>
      <c r="FP177" s="67"/>
      <c r="FQ177" s="67"/>
      <c r="FR177" s="67"/>
      <c r="FS177" s="67"/>
      <c r="FT177" s="67"/>
      <c r="FU177" s="67"/>
      <c r="FV177" s="67"/>
      <c r="FW177" s="67"/>
      <c r="FX177" s="67"/>
      <c r="FY177" s="67"/>
      <c r="FZ177" s="67"/>
      <c r="GA177" s="67"/>
      <c r="GB177" s="67"/>
      <c r="GC177" s="67"/>
      <c r="GD177" s="67"/>
      <c r="GE177" s="67"/>
      <c r="GF177" s="67"/>
      <c r="GG177" s="67"/>
      <c r="GH177" s="67"/>
      <c r="GI177" s="67"/>
      <c r="GJ177" s="67"/>
      <c r="GK177" s="67"/>
      <c r="GL177" s="67"/>
      <c r="GM177" s="67"/>
      <c r="GN177" s="67"/>
      <c r="GO177" s="67"/>
      <c r="GP177" s="67"/>
    </row>
    <row r="178" spans="5:198" s="66" customFormat="1">
      <c r="E178" s="67"/>
      <c r="G178" s="67"/>
      <c r="H178" s="67"/>
      <c r="I178" s="67"/>
      <c r="J178" s="67"/>
      <c r="K178" s="67"/>
      <c r="L178" s="67"/>
      <c r="M178" s="67"/>
      <c r="N178" s="67"/>
      <c r="O178" s="78"/>
      <c r="P178" s="78"/>
      <c r="S178" s="78"/>
      <c r="T178" s="78"/>
      <c r="U178" s="79"/>
      <c r="V178" s="65"/>
      <c r="Y178" s="78"/>
      <c r="Z178" s="78"/>
      <c r="AA178" s="78"/>
      <c r="AB178" s="78"/>
      <c r="AC178" s="78"/>
      <c r="AD178" s="78"/>
      <c r="AE178" s="78"/>
      <c r="AF178" s="78"/>
      <c r="AG178" s="79"/>
      <c r="AH178" s="65"/>
      <c r="AJ178" s="85"/>
      <c r="AK178" s="78"/>
      <c r="AL178" s="78"/>
      <c r="AM178" s="78"/>
      <c r="AN178" s="78"/>
      <c r="AO178" s="78"/>
      <c r="AP178" s="78"/>
      <c r="AQ178" s="79"/>
      <c r="AR178" s="65"/>
      <c r="AT178" s="85"/>
      <c r="AU178" s="78"/>
      <c r="AV178" s="78"/>
      <c r="AW178" s="78"/>
      <c r="AX178" s="78"/>
      <c r="AY178" s="78"/>
      <c r="AZ178" s="79"/>
      <c r="BA178" s="65"/>
      <c r="BC178" s="85"/>
      <c r="BD178" s="78"/>
      <c r="BE178" s="78"/>
      <c r="BF178" s="78"/>
      <c r="BG178" s="78"/>
      <c r="BH178" s="78"/>
      <c r="BI178" s="78"/>
      <c r="BJ178" s="79"/>
      <c r="BK178" s="65"/>
      <c r="CU178" s="67"/>
      <c r="EC178" s="67"/>
      <c r="FK178" s="67"/>
      <c r="FL178" s="67"/>
      <c r="FM178" s="67"/>
      <c r="FN178" s="67"/>
      <c r="FO178" s="67"/>
      <c r="FP178" s="67"/>
      <c r="FQ178" s="67"/>
      <c r="FR178" s="67"/>
      <c r="FS178" s="67"/>
      <c r="FT178" s="67"/>
      <c r="FU178" s="67"/>
      <c r="FV178" s="67"/>
      <c r="FW178" s="67"/>
      <c r="FX178" s="67"/>
      <c r="FY178" s="67"/>
      <c r="FZ178" s="67"/>
      <c r="GA178" s="67"/>
      <c r="GB178" s="67"/>
      <c r="GC178" s="67"/>
      <c r="GD178" s="67"/>
      <c r="GE178" s="67"/>
      <c r="GF178" s="67"/>
      <c r="GG178" s="67"/>
      <c r="GH178" s="67"/>
      <c r="GI178" s="67"/>
      <c r="GJ178" s="67"/>
      <c r="GK178" s="67"/>
      <c r="GL178" s="67"/>
      <c r="GM178" s="67"/>
      <c r="GN178" s="67"/>
      <c r="GO178" s="67"/>
      <c r="GP178" s="67"/>
    </row>
    <row r="179" spans="5:198" s="66" customFormat="1">
      <c r="E179" s="67"/>
      <c r="G179" s="67"/>
      <c r="H179" s="67"/>
      <c r="I179" s="67"/>
      <c r="J179" s="67"/>
      <c r="K179" s="67"/>
      <c r="L179" s="67"/>
      <c r="M179" s="67"/>
      <c r="N179" s="67"/>
      <c r="O179" s="78"/>
      <c r="P179" s="78"/>
      <c r="S179" s="78"/>
      <c r="T179" s="78"/>
      <c r="U179" s="79"/>
      <c r="V179" s="65"/>
      <c r="Y179" s="78"/>
      <c r="Z179" s="78"/>
      <c r="AA179" s="78"/>
      <c r="AB179" s="78"/>
      <c r="AC179" s="78"/>
      <c r="AD179" s="78"/>
      <c r="AE179" s="78"/>
      <c r="AF179" s="78"/>
      <c r="AG179" s="79"/>
      <c r="AH179" s="65"/>
      <c r="AJ179" s="85"/>
      <c r="AK179" s="78"/>
      <c r="AL179" s="78"/>
      <c r="AM179" s="78"/>
      <c r="AN179" s="78"/>
      <c r="AO179" s="78"/>
      <c r="AP179" s="78"/>
      <c r="AQ179" s="79"/>
      <c r="AR179" s="65"/>
      <c r="AT179" s="85"/>
      <c r="AU179" s="78"/>
      <c r="AV179" s="78"/>
      <c r="AW179" s="78"/>
      <c r="AX179" s="78"/>
      <c r="AY179" s="78"/>
      <c r="AZ179" s="79"/>
      <c r="BA179" s="65"/>
      <c r="BC179" s="85"/>
      <c r="BD179" s="78"/>
      <c r="BE179" s="78"/>
      <c r="BF179" s="78"/>
      <c r="BG179" s="78"/>
      <c r="BH179" s="78"/>
      <c r="BI179" s="78"/>
      <c r="BJ179" s="79"/>
      <c r="BK179" s="65"/>
      <c r="CU179" s="67"/>
      <c r="EC179" s="67"/>
      <c r="FK179" s="67"/>
      <c r="FL179" s="67"/>
      <c r="FM179" s="67"/>
      <c r="FN179" s="67"/>
      <c r="FO179" s="67"/>
      <c r="FP179" s="67"/>
      <c r="FQ179" s="67"/>
      <c r="FR179" s="67"/>
      <c r="FS179" s="67"/>
      <c r="FT179" s="67"/>
      <c r="FU179" s="67"/>
      <c r="FV179" s="67"/>
      <c r="FW179" s="67"/>
      <c r="FX179" s="67"/>
      <c r="FY179" s="67"/>
      <c r="FZ179" s="67"/>
      <c r="GA179" s="67"/>
      <c r="GB179" s="67"/>
      <c r="GC179" s="67"/>
      <c r="GD179" s="67"/>
      <c r="GE179" s="67"/>
      <c r="GF179" s="67"/>
      <c r="GG179" s="67"/>
      <c r="GH179" s="67"/>
      <c r="GI179" s="67"/>
      <c r="GJ179" s="67"/>
      <c r="GK179" s="67"/>
      <c r="GL179" s="67"/>
      <c r="GM179" s="67"/>
      <c r="GN179" s="67"/>
      <c r="GO179" s="67"/>
      <c r="GP179" s="67"/>
    </row>
    <row r="180" spans="5:198" s="66" customFormat="1">
      <c r="E180" s="67"/>
      <c r="G180" s="67"/>
      <c r="H180" s="67"/>
      <c r="I180" s="67"/>
      <c r="J180" s="67"/>
      <c r="K180" s="67"/>
      <c r="L180" s="67"/>
      <c r="M180" s="67"/>
      <c r="N180" s="67"/>
      <c r="O180" s="78"/>
      <c r="P180" s="78"/>
      <c r="S180" s="78"/>
      <c r="T180" s="78"/>
      <c r="U180" s="79"/>
      <c r="V180" s="65"/>
      <c r="Y180" s="78"/>
      <c r="Z180" s="78"/>
      <c r="AA180" s="78"/>
      <c r="AB180" s="78"/>
      <c r="AC180" s="78"/>
      <c r="AD180" s="78"/>
      <c r="AE180" s="78"/>
      <c r="AF180" s="78"/>
      <c r="AG180" s="79"/>
      <c r="AH180" s="65"/>
      <c r="AJ180" s="85"/>
      <c r="AK180" s="78"/>
      <c r="AL180" s="78"/>
      <c r="AM180" s="78"/>
      <c r="AN180" s="78"/>
      <c r="AO180" s="78"/>
      <c r="AP180" s="78"/>
      <c r="AQ180" s="79"/>
      <c r="AR180" s="65"/>
      <c r="AT180" s="85"/>
      <c r="AU180" s="78"/>
      <c r="AV180" s="78"/>
      <c r="AW180" s="78"/>
      <c r="AX180" s="78"/>
      <c r="AY180" s="78"/>
      <c r="AZ180" s="79"/>
      <c r="BA180" s="65"/>
      <c r="BC180" s="85"/>
      <c r="BD180" s="78"/>
      <c r="BE180" s="78"/>
      <c r="BF180" s="78"/>
      <c r="BG180" s="78"/>
      <c r="BH180" s="78"/>
      <c r="BI180" s="78"/>
      <c r="BJ180" s="79"/>
      <c r="BK180" s="65"/>
      <c r="CU180" s="67"/>
      <c r="EC180" s="67"/>
      <c r="FK180" s="67"/>
      <c r="FL180" s="67"/>
      <c r="FM180" s="67"/>
      <c r="FN180" s="67"/>
      <c r="FO180" s="67"/>
      <c r="FP180" s="67"/>
      <c r="FQ180" s="67"/>
      <c r="FR180" s="67"/>
      <c r="FS180" s="67"/>
      <c r="FT180" s="67"/>
      <c r="FU180" s="67"/>
      <c r="FV180" s="67"/>
      <c r="FW180" s="67"/>
      <c r="FX180" s="67"/>
      <c r="FY180" s="67"/>
      <c r="FZ180" s="67"/>
      <c r="GA180" s="67"/>
      <c r="GB180" s="67"/>
      <c r="GC180" s="67"/>
      <c r="GD180" s="67"/>
      <c r="GE180" s="67"/>
      <c r="GF180" s="67"/>
      <c r="GG180" s="67"/>
      <c r="GH180" s="67"/>
      <c r="GI180" s="67"/>
      <c r="GJ180" s="67"/>
      <c r="GK180" s="67"/>
      <c r="GL180" s="67"/>
      <c r="GM180" s="67"/>
      <c r="GN180" s="67"/>
      <c r="GO180" s="67"/>
      <c r="GP180" s="67"/>
    </row>
    <row r="181" spans="5:198" s="66" customFormat="1">
      <c r="E181" s="67"/>
      <c r="G181" s="67"/>
      <c r="H181" s="67"/>
      <c r="I181" s="67"/>
      <c r="J181" s="67"/>
      <c r="K181" s="67"/>
      <c r="L181" s="67"/>
      <c r="M181" s="67"/>
      <c r="N181" s="67"/>
      <c r="O181" s="78"/>
      <c r="P181" s="78"/>
      <c r="S181" s="78"/>
      <c r="T181" s="78"/>
      <c r="U181" s="79"/>
      <c r="V181" s="65"/>
      <c r="Y181" s="78"/>
      <c r="Z181" s="78"/>
      <c r="AA181" s="78"/>
      <c r="AB181" s="78"/>
      <c r="AC181" s="78"/>
      <c r="AD181" s="78"/>
      <c r="AE181" s="78"/>
      <c r="AF181" s="78"/>
      <c r="AG181" s="79"/>
      <c r="AH181" s="65"/>
      <c r="AJ181" s="85"/>
      <c r="AK181" s="78"/>
      <c r="AL181" s="78"/>
      <c r="AM181" s="78"/>
      <c r="AN181" s="78"/>
      <c r="AO181" s="78"/>
      <c r="AP181" s="78"/>
      <c r="AQ181" s="79"/>
      <c r="AR181" s="65"/>
      <c r="AT181" s="85"/>
      <c r="AU181" s="78"/>
      <c r="AV181" s="78"/>
      <c r="AW181" s="78"/>
      <c r="AX181" s="78"/>
      <c r="AY181" s="78"/>
      <c r="AZ181" s="79"/>
      <c r="BA181" s="65"/>
      <c r="BC181" s="85"/>
      <c r="BD181" s="78"/>
      <c r="BE181" s="78"/>
      <c r="BF181" s="78"/>
      <c r="BG181" s="78"/>
      <c r="BH181" s="78"/>
      <c r="BI181" s="78"/>
      <c r="BJ181" s="79"/>
      <c r="BK181" s="65"/>
      <c r="CU181" s="67"/>
      <c r="EC181" s="67"/>
      <c r="FK181" s="67"/>
      <c r="FL181" s="67"/>
      <c r="FM181" s="67"/>
      <c r="FN181" s="67"/>
      <c r="FO181" s="67"/>
      <c r="FP181" s="67"/>
      <c r="FQ181" s="67"/>
      <c r="FR181" s="67"/>
      <c r="FS181" s="67"/>
      <c r="FT181" s="67"/>
      <c r="FU181" s="67"/>
      <c r="FV181" s="67"/>
      <c r="FW181" s="67"/>
      <c r="FX181" s="67"/>
      <c r="FY181" s="67"/>
      <c r="FZ181" s="67"/>
      <c r="GA181" s="67"/>
      <c r="GB181" s="67"/>
      <c r="GC181" s="67"/>
      <c r="GD181" s="67"/>
      <c r="GE181" s="67"/>
      <c r="GF181" s="67"/>
      <c r="GG181" s="67"/>
      <c r="GH181" s="67"/>
      <c r="GI181" s="67"/>
      <c r="GJ181" s="67"/>
      <c r="GK181" s="67"/>
      <c r="GL181" s="67"/>
      <c r="GM181" s="67"/>
      <c r="GN181" s="67"/>
      <c r="GO181" s="67"/>
      <c r="GP181" s="67"/>
    </row>
    <row r="182" spans="5:198" s="66" customFormat="1">
      <c r="E182" s="67"/>
      <c r="G182" s="67"/>
      <c r="H182" s="67"/>
      <c r="I182" s="67"/>
      <c r="J182" s="67"/>
      <c r="K182" s="67"/>
      <c r="L182" s="67"/>
      <c r="M182" s="67"/>
      <c r="N182" s="67"/>
      <c r="O182" s="78"/>
      <c r="P182" s="78"/>
      <c r="S182" s="78"/>
      <c r="T182" s="78"/>
      <c r="U182" s="79"/>
      <c r="V182" s="65"/>
      <c r="Y182" s="78"/>
      <c r="Z182" s="78"/>
      <c r="AA182" s="78"/>
      <c r="AB182" s="78"/>
      <c r="AC182" s="78"/>
      <c r="AD182" s="78"/>
      <c r="AE182" s="78"/>
      <c r="AF182" s="78"/>
      <c r="AG182" s="79"/>
      <c r="AH182" s="65"/>
      <c r="AJ182" s="85"/>
      <c r="AK182" s="78"/>
      <c r="AL182" s="78"/>
      <c r="AM182" s="78"/>
      <c r="AN182" s="78"/>
      <c r="AO182" s="78"/>
      <c r="AP182" s="78"/>
      <c r="AQ182" s="79"/>
      <c r="AR182" s="65"/>
      <c r="AT182" s="85"/>
      <c r="AU182" s="78"/>
      <c r="AV182" s="78"/>
      <c r="AW182" s="78"/>
      <c r="AX182" s="78"/>
      <c r="AY182" s="78"/>
      <c r="AZ182" s="79"/>
      <c r="BA182" s="65"/>
      <c r="BC182" s="85"/>
      <c r="BD182" s="78"/>
      <c r="BE182" s="78"/>
      <c r="BF182" s="78"/>
      <c r="BG182" s="78"/>
      <c r="BH182" s="78"/>
      <c r="BI182" s="78"/>
      <c r="BJ182" s="79"/>
      <c r="BK182" s="65"/>
      <c r="CU182" s="67"/>
      <c r="EC182" s="67"/>
      <c r="FK182" s="67"/>
      <c r="FL182" s="67"/>
      <c r="FM182" s="67"/>
      <c r="FN182" s="67"/>
      <c r="FO182" s="67"/>
      <c r="FP182" s="67"/>
      <c r="FQ182" s="67"/>
      <c r="FR182" s="67"/>
      <c r="FS182" s="67"/>
      <c r="FT182" s="67"/>
      <c r="FU182" s="67"/>
      <c r="FV182" s="67"/>
      <c r="FW182" s="67"/>
      <c r="FX182" s="67"/>
      <c r="FY182" s="67"/>
      <c r="FZ182" s="67"/>
      <c r="GA182" s="67"/>
      <c r="GB182" s="67"/>
      <c r="GC182" s="67"/>
      <c r="GD182" s="67"/>
      <c r="GE182" s="67"/>
      <c r="GF182" s="67"/>
      <c r="GG182" s="67"/>
      <c r="GH182" s="67"/>
      <c r="GI182" s="67"/>
      <c r="GJ182" s="67"/>
      <c r="GK182" s="67"/>
      <c r="GL182" s="67"/>
      <c r="GM182" s="67"/>
      <c r="GN182" s="67"/>
      <c r="GO182" s="67"/>
      <c r="GP182" s="67"/>
    </row>
    <row r="183" spans="5:198" s="66" customFormat="1">
      <c r="E183" s="67"/>
      <c r="G183" s="67"/>
      <c r="H183" s="67"/>
      <c r="I183" s="67"/>
      <c r="J183" s="67"/>
      <c r="K183" s="67"/>
      <c r="L183" s="67"/>
      <c r="M183" s="67"/>
      <c r="N183" s="67"/>
      <c r="O183" s="78"/>
      <c r="P183" s="78"/>
      <c r="S183" s="78"/>
      <c r="T183" s="78"/>
      <c r="U183" s="79"/>
      <c r="V183" s="65"/>
      <c r="Y183" s="78"/>
      <c r="Z183" s="78"/>
      <c r="AA183" s="78"/>
      <c r="AB183" s="78"/>
      <c r="AC183" s="78"/>
      <c r="AD183" s="78"/>
      <c r="AE183" s="78"/>
      <c r="AF183" s="78"/>
      <c r="AG183" s="79"/>
      <c r="AH183" s="65"/>
      <c r="AJ183" s="85"/>
      <c r="AK183" s="78"/>
      <c r="AL183" s="78"/>
      <c r="AM183" s="78"/>
      <c r="AN183" s="78"/>
      <c r="AO183" s="78"/>
      <c r="AP183" s="78"/>
      <c r="AQ183" s="79"/>
      <c r="AR183" s="65"/>
      <c r="AT183" s="85"/>
      <c r="AU183" s="78"/>
      <c r="AV183" s="78"/>
      <c r="AW183" s="78"/>
      <c r="AX183" s="78"/>
      <c r="AY183" s="78"/>
      <c r="AZ183" s="79"/>
      <c r="BA183" s="65"/>
      <c r="BC183" s="85"/>
      <c r="BD183" s="78"/>
      <c r="BE183" s="78"/>
      <c r="BF183" s="78"/>
      <c r="BG183" s="78"/>
      <c r="BH183" s="78"/>
      <c r="BI183" s="78"/>
      <c r="BJ183" s="79"/>
      <c r="BK183" s="65"/>
      <c r="CU183" s="67"/>
      <c r="EC183" s="67"/>
      <c r="FK183" s="67"/>
      <c r="FL183" s="67"/>
      <c r="FM183" s="67"/>
      <c r="FN183" s="67"/>
      <c r="FO183" s="67"/>
      <c r="FP183" s="67"/>
      <c r="FQ183" s="67"/>
      <c r="FR183" s="67"/>
      <c r="FS183" s="67"/>
      <c r="FT183" s="67"/>
      <c r="FU183" s="67"/>
      <c r="FV183" s="67"/>
      <c r="FW183" s="67"/>
      <c r="FX183" s="67"/>
      <c r="FY183" s="67"/>
      <c r="FZ183" s="67"/>
      <c r="GA183" s="67"/>
      <c r="GB183" s="67"/>
      <c r="GC183" s="67"/>
      <c r="GD183" s="67"/>
      <c r="GE183" s="67"/>
      <c r="GF183" s="67"/>
      <c r="GG183" s="67"/>
      <c r="GH183" s="67"/>
      <c r="GI183" s="67"/>
      <c r="GJ183" s="67"/>
      <c r="GK183" s="67"/>
      <c r="GL183" s="67"/>
      <c r="GM183" s="67"/>
      <c r="GN183" s="67"/>
      <c r="GO183" s="67"/>
      <c r="GP183" s="67"/>
    </row>
    <row r="184" spans="5:198" s="66" customFormat="1">
      <c r="E184" s="67"/>
      <c r="G184" s="67"/>
      <c r="H184" s="67"/>
      <c r="I184" s="67"/>
      <c r="J184" s="67"/>
      <c r="K184" s="67"/>
      <c r="L184" s="67"/>
      <c r="M184" s="67"/>
      <c r="N184" s="67"/>
      <c r="O184" s="78"/>
      <c r="P184" s="78"/>
      <c r="S184" s="78"/>
      <c r="T184" s="78"/>
      <c r="U184" s="79"/>
      <c r="V184" s="65"/>
      <c r="Y184" s="78"/>
      <c r="Z184" s="78"/>
      <c r="AA184" s="78"/>
      <c r="AB184" s="78"/>
      <c r="AC184" s="78"/>
      <c r="AD184" s="78"/>
      <c r="AE184" s="78"/>
      <c r="AF184" s="78"/>
      <c r="AG184" s="79"/>
      <c r="AH184" s="65"/>
      <c r="AJ184" s="85"/>
      <c r="AK184" s="78"/>
      <c r="AL184" s="78"/>
      <c r="AM184" s="78"/>
      <c r="AN184" s="78"/>
      <c r="AO184" s="78"/>
      <c r="AP184" s="78"/>
      <c r="AQ184" s="79"/>
      <c r="AR184" s="65"/>
      <c r="AT184" s="85"/>
      <c r="AU184" s="78"/>
      <c r="AV184" s="78"/>
      <c r="AW184" s="78"/>
      <c r="AX184" s="78"/>
      <c r="AY184" s="78"/>
      <c r="AZ184" s="79"/>
      <c r="BA184" s="65"/>
      <c r="BC184" s="85"/>
      <c r="BD184" s="78"/>
      <c r="BE184" s="78"/>
      <c r="BF184" s="78"/>
      <c r="BG184" s="78"/>
      <c r="BH184" s="78"/>
      <c r="BI184" s="78"/>
      <c r="BJ184" s="79"/>
      <c r="BK184" s="65"/>
      <c r="CU184" s="67"/>
      <c r="EC184" s="67"/>
      <c r="FK184" s="67"/>
      <c r="FL184" s="67"/>
      <c r="FM184" s="67"/>
      <c r="FN184" s="67"/>
      <c r="FO184" s="67"/>
      <c r="FP184" s="67"/>
      <c r="FQ184" s="67"/>
      <c r="FR184" s="67"/>
      <c r="FS184" s="67"/>
      <c r="FT184" s="67"/>
      <c r="FU184" s="67"/>
      <c r="FV184" s="67"/>
      <c r="FW184" s="67"/>
      <c r="FX184" s="67"/>
      <c r="FY184" s="67"/>
      <c r="FZ184" s="67"/>
      <c r="GA184" s="67"/>
      <c r="GB184" s="67"/>
      <c r="GC184" s="67"/>
      <c r="GD184" s="67"/>
      <c r="GE184" s="67"/>
      <c r="GF184" s="67"/>
      <c r="GG184" s="67"/>
      <c r="GH184" s="67"/>
      <c r="GI184" s="67"/>
      <c r="GJ184" s="67"/>
      <c r="GK184" s="67"/>
      <c r="GL184" s="67"/>
      <c r="GM184" s="67"/>
      <c r="GN184" s="67"/>
      <c r="GO184" s="67"/>
      <c r="GP184" s="67"/>
    </row>
    <row r="185" spans="5:198" s="66" customFormat="1">
      <c r="E185" s="67"/>
      <c r="G185" s="67"/>
      <c r="H185" s="67"/>
      <c r="I185" s="67"/>
      <c r="J185" s="67"/>
      <c r="K185" s="67"/>
      <c r="L185" s="67"/>
      <c r="M185" s="67"/>
      <c r="N185" s="67"/>
      <c r="O185" s="78"/>
      <c r="P185" s="78"/>
      <c r="S185" s="78"/>
      <c r="T185" s="78"/>
      <c r="U185" s="79"/>
      <c r="V185" s="65"/>
      <c r="Y185" s="78"/>
      <c r="Z185" s="78"/>
      <c r="AA185" s="78"/>
      <c r="AB185" s="78"/>
      <c r="AC185" s="78"/>
      <c r="AD185" s="78"/>
      <c r="AE185" s="78"/>
      <c r="AF185" s="78"/>
      <c r="AG185" s="79"/>
      <c r="AH185" s="65"/>
      <c r="AJ185" s="85"/>
      <c r="AK185" s="78"/>
      <c r="AL185" s="78"/>
      <c r="AM185" s="78"/>
      <c r="AN185" s="78"/>
      <c r="AO185" s="78"/>
      <c r="AP185" s="78"/>
      <c r="AQ185" s="79"/>
      <c r="AR185" s="65"/>
      <c r="AT185" s="85"/>
      <c r="AU185" s="78"/>
      <c r="AV185" s="78"/>
      <c r="AW185" s="78"/>
      <c r="AX185" s="78"/>
      <c r="AY185" s="78"/>
      <c r="AZ185" s="79"/>
      <c r="BA185" s="65"/>
      <c r="BC185" s="85"/>
      <c r="BD185" s="78"/>
      <c r="BE185" s="78"/>
      <c r="BF185" s="78"/>
      <c r="BG185" s="78"/>
      <c r="BH185" s="78"/>
      <c r="BI185" s="78"/>
      <c r="BJ185" s="79"/>
      <c r="BK185" s="65"/>
      <c r="CU185" s="67"/>
      <c r="EC185" s="67"/>
      <c r="FK185" s="67"/>
      <c r="FL185" s="67"/>
      <c r="FM185" s="67"/>
      <c r="FN185" s="67"/>
      <c r="FO185" s="67"/>
      <c r="FP185" s="67"/>
      <c r="FQ185" s="67"/>
      <c r="FR185" s="67"/>
      <c r="FS185" s="67"/>
      <c r="FT185" s="67"/>
      <c r="FU185" s="67"/>
      <c r="FV185" s="67"/>
      <c r="FW185" s="67"/>
      <c r="FX185" s="67"/>
      <c r="FY185" s="67"/>
      <c r="FZ185" s="67"/>
      <c r="GA185" s="67"/>
      <c r="GB185" s="67"/>
      <c r="GC185" s="67"/>
      <c r="GD185" s="67"/>
      <c r="GE185" s="67"/>
      <c r="GF185" s="67"/>
      <c r="GG185" s="67"/>
      <c r="GH185" s="67"/>
      <c r="GI185" s="67"/>
      <c r="GJ185" s="67"/>
      <c r="GK185" s="67"/>
      <c r="GL185" s="67"/>
      <c r="GM185" s="67"/>
      <c r="GN185" s="67"/>
      <c r="GO185" s="67"/>
      <c r="GP185" s="67"/>
    </row>
    <row r="186" spans="5:198" s="66" customFormat="1">
      <c r="E186" s="67"/>
      <c r="G186" s="67"/>
      <c r="H186" s="67"/>
      <c r="I186" s="67"/>
      <c r="J186" s="67"/>
      <c r="K186" s="67"/>
      <c r="L186" s="67"/>
      <c r="M186" s="67"/>
      <c r="N186" s="67"/>
      <c r="O186" s="78"/>
      <c r="P186" s="78"/>
      <c r="S186" s="78"/>
      <c r="T186" s="78"/>
      <c r="U186" s="79"/>
      <c r="V186" s="65"/>
      <c r="Y186" s="78"/>
      <c r="Z186" s="78"/>
      <c r="AA186" s="78"/>
      <c r="AB186" s="78"/>
      <c r="AC186" s="78"/>
      <c r="AD186" s="78"/>
      <c r="AE186" s="78"/>
      <c r="AF186" s="78"/>
      <c r="AG186" s="79"/>
      <c r="AH186" s="65"/>
      <c r="AJ186" s="85"/>
      <c r="AK186" s="78"/>
      <c r="AL186" s="78"/>
      <c r="AM186" s="78"/>
      <c r="AN186" s="78"/>
      <c r="AO186" s="78"/>
      <c r="AP186" s="78"/>
      <c r="AQ186" s="79"/>
      <c r="AR186" s="65"/>
      <c r="AT186" s="85"/>
      <c r="AU186" s="78"/>
      <c r="AV186" s="78"/>
      <c r="AW186" s="78"/>
      <c r="AX186" s="78"/>
      <c r="AY186" s="78"/>
      <c r="AZ186" s="79"/>
      <c r="BA186" s="65"/>
      <c r="BC186" s="85"/>
      <c r="BD186" s="78"/>
      <c r="BE186" s="78"/>
      <c r="BF186" s="78"/>
      <c r="BG186" s="78"/>
      <c r="BH186" s="78"/>
      <c r="BI186" s="78"/>
      <c r="BJ186" s="79"/>
      <c r="BK186" s="65"/>
      <c r="CU186" s="67"/>
      <c r="EC186" s="67"/>
      <c r="FK186" s="67"/>
      <c r="FL186" s="67"/>
      <c r="FM186" s="67"/>
      <c r="FN186" s="67"/>
      <c r="FO186" s="67"/>
      <c r="FP186" s="67"/>
      <c r="FQ186" s="67"/>
      <c r="FR186" s="67"/>
      <c r="FS186" s="67"/>
      <c r="FT186" s="67"/>
      <c r="FU186" s="67"/>
      <c r="FV186" s="67"/>
      <c r="FW186" s="67"/>
      <c r="FX186" s="67"/>
      <c r="FY186" s="67"/>
      <c r="FZ186" s="67"/>
      <c r="GA186" s="67"/>
      <c r="GB186" s="67"/>
      <c r="GC186" s="67"/>
      <c r="GD186" s="67"/>
      <c r="GE186" s="67"/>
      <c r="GF186" s="67"/>
      <c r="GG186" s="67"/>
      <c r="GH186" s="67"/>
      <c r="GI186" s="67"/>
      <c r="GJ186" s="67"/>
      <c r="GK186" s="67"/>
      <c r="GL186" s="67"/>
      <c r="GM186" s="67"/>
      <c r="GN186" s="67"/>
      <c r="GO186" s="67"/>
      <c r="GP186" s="67"/>
    </row>
    <row r="187" spans="5:198" s="66" customFormat="1">
      <c r="E187" s="67"/>
      <c r="G187" s="67"/>
      <c r="H187" s="67"/>
      <c r="I187" s="67"/>
      <c r="J187" s="67"/>
      <c r="K187" s="67"/>
      <c r="L187" s="67"/>
      <c r="M187" s="67"/>
      <c r="N187" s="67"/>
      <c r="O187" s="78"/>
      <c r="P187" s="78"/>
      <c r="S187" s="78"/>
      <c r="T187" s="78"/>
      <c r="U187" s="79"/>
      <c r="V187" s="65"/>
      <c r="Y187" s="78"/>
      <c r="Z187" s="78"/>
      <c r="AA187" s="78"/>
      <c r="AB187" s="78"/>
      <c r="AC187" s="78"/>
      <c r="AD187" s="78"/>
      <c r="AE187" s="78"/>
      <c r="AF187" s="78"/>
      <c r="AG187" s="79"/>
      <c r="AH187" s="65"/>
      <c r="AJ187" s="85"/>
      <c r="AK187" s="78"/>
      <c r="AL187" s="78"/>
      <c r="AM187" s="78"/>
      <c r="AN187" s="78"/>
      <c r="AO187" s="78"/>
      <c r="AP187" s="78"/>
      <c r="AQ187" s="79"/>
      <c r="AR187" s="65"/>
      <c r="AT187" s="85"/>
      <c r="AU187" s="78"/>
      <c r="AV187" s="78"/>
      <c r="AW187" s="78"/>
      <c r="AX187" s="78"/>
      <c r="AY187" s="78"/>
      <c r="AZ187" s="79"/>
      <c r="BA187" s="65"/>
      <c r="BC187" s="85"/>
      <c r="BD187" s="78"/>
      <c r="BE187" s="78"/>
      <c r="BF187" s="78"/>
      <c r="BG187" s="78"/>
      <c r="BH187" s="78"/>
      <c r="BI187" s="78"/>
      <c r="BJ187" s="79"/>
      <c r="BK187" s="65"/>
      <c r="CU187" s="67"/>
      <c r="EC187" s="67"/>
      <c r="FK187" s="67"/>
      <c r="FL187" s="67"/>
      <c r="FM187" s="67"/>
      <c r="FN187" s="67"/>
      <c r="FO187" s="67"/>
      <c r="FP187" s="67"/>
      <c r="FQ187" s="67"/>
      <c r="FR187" s="67"/>
      <c r="FS187" s="67"/>
      <c r="FT187" s="67"/>
      <c r="FU187" s="67"/>
      <c r="FV187" s="67"/>
      <c r="FW187" s="67"/>
      <c r="FX187" s="67"/>
      <c r="FY187" s="67"/>
      <c r="FZ187" s="67"/>
      <c r="GA187" s="67"/>
      <c r="GB187" s="67"/>
      <c r="GC187" s="67"/>
      <c r="GD187" s="67"/>
      <c r="GE187" s="67"/>
      <c r="GF187" s="67"/>
      <c r="GG187" s="67"/>
      <c r="GH187" s="67"/>
      <c r="GI187" s="67"/>
      <c r="GJ187" s="67"/>
      <c r="GK187" s="67"/>
      <c r="GL187" s="67"/>
      <c r="GM187" s="67"/>
      <c r="GN187" s="67"/>
      <c r="GO187" s="67"/>
      <c r="GP187" s="67"/>
    </row>
    <row r="188" spans="5:198" s="66" customFormat="1">
      <c r="E188" s="67"/>
      <c r="G188" s="67"/>
      <c r="H188" s="67"/>
      <c r="I188" s="67"/>
      <c r="J188" s="67"/>
      <c r="K188" s="67"/>
      <c r="L188" s="67"/>
      <c r="M188" s="67"/>
      <c r="N188" s="67"/>
      <c r="O188" s="78"/>
      <c r="P188" s="78"/>
      <c r="S188" s="78"/>
      <c r="T188" s="78"/>
      <c r="U188" s="79"/>
      <c r="V188" s="65"/>
      <c r="Y188" s="78"/>
      <c r="Z188" s="78"/>
      <c r="AA188" s="78"/>
      <c r="AB188" s="78"/>
      <c r="AC188" s="78"/>
      <c r="AD188" s="78"/>
      <c r="AE188" s="78"/>
      <c r="AF188" s="78"/>
      <c r="AG188" s="79"/>
      <c r="AH188" s="65"/>
      <c r="AJ188" s="85"/>
      <c r="AK188" s="78"/>
      <c r="AL188" s="78"/>
      <c r="AM188" s="78"/>
      <c r="AN188" s="78"/>
      <c r="AO188" s="78"/>
      <c r="AP188" s="78"/>
      <c r="AQ188" s="79"/>
      <c r="AR188" s="65"/>
      <c r="AT188" s="85"/>
      <c r="AU188" s="78"/>
      <c r="AV188" s="78"/>
      <c r="AW188" s="78"/>
      <c r="AX188" s="78"/>
      <c r="AY188" s="78"/>
      <c r="AZ188" s="79"/>
      <c r="BA188" s="65"/>
      <c r="BC188" s="85"/>
      <c r="BD188" s="78"/>
      <c r="BE188" s="78"/>
      <c r="BF188" s="78"/>
      <c r="BG188" s="78"/>
      <c r="BH188" s="78"/>
      <c r="BI188" s="78"/>
      <c r="BJ188" s="79"/>
      <c r="BK188" s="65"/>
      <c r="CU188" s="67"/>
      <c r="EC188" s="67"/>
      <c r="FK188" s="67"/>
      <c r="FL188" s="67"/>
      <c r="FM188" s="67"/>
      <c r="FN188" s="67"/>
      <c r="FO188" s="67"/>
      <c r="FP188" s="67"/>
      <c r="FQ188" s="67"/>
      <c r="FR188" s="67"/>
      <c r="FS188" s="67"/>
      <c r="FT188" s="67"/>
      <c r="FU188" s="67"/>
      <c r="FV188" s="67"/>
      <c r="FW188" s="67"/>
      <c r="FX188" s="67"/>
      <c r="FY188" s="67"/>
      <c r="FZ188" s="67"/>
      <c r="GA188" s="67"/>
      <c r="GB188" s="67"/>
      <c r="GC188" s="67"/>
      <c r="GD188" s="67"/>
      <c r="GE188" s="67"/>
      <c r="GF188" s="67"/>
      <c r="GG188" s="67"/>
      <c r="GH188" s="67"/>
      <c r="GI188" s="67"/>
      <c r="GJ188" s="67"/>
      <c r="GK188" s="67"/>
      <c r="GL188" s="67"/>
      <c r="GM188" s="67"/>
      <c r="GN188" s="67"/>
      <c r="GO188" s="67"/>
      <c r="GP188" s="67"/>
    </row>
    <row r="189" spans="5:198" s="66" customFormat="1">
      <c r="E189" s="67"/>
      <c r="G189" s="67"/>
      <c r="H189" s="67"/>
      <c r="I189" s="67"/>
      <c r="J189" s="67"/>
      <c r="K189" s="67"/>
      <c r="L189" s="67"/>
      <c r="M189" s="67"/>
      <c r="N189" s="67"/>
      <c r="O189" s="78"/>
      <c r="P189" s="78"/>
      <c r="S189" s="78"/>
      <c r="T189" s="78"/>
      <c r="U189" s="79"/>
      <c r="V189" s="65"/>
      <c r="Y189" s="78"/>
      <c r="Z189" s="78"/>
      <c r="AA189" s="78"/>
      <c r="AB189" s="78"/>
      <c r="AC189" s="78"/>
      <c r="AD189" s="78"/>
      <c r="AE189" s="78"/>
      <c r="AF189" s="78"/>
      <c r="AG189" s="79"/>
      <c r="AH189" s="65"/>
      <c r="AJ189" s="85"/>
      <c r="AK189" s="78"/>
      <c r="AL189" s="78"/>
      <c r="AM189" s="78"/>
      <c r="AN189" s="78"/>
      <c r="AO189" s="78"/>
      <c r="AP189" s="78"/>
      <c r="AQ189" s="79"/>
      <c r="AR189" s="65"/>
      <c r="AT189" s="85"/>
      <c r="AU189" s="78"/>
      <c r="AV189" s="78"/>
      <c r="AW189" s="78"/>
      <c r="AX189" s="78"/>
      <c r="AY189" s="78"/>
      <c r="AZ189" s="79"/>
      <c r="BA189" s="65"/>
      <c r="BC189" s="85"/>
      <c r="BD189" s="78"/>
      <c r="BE189" s="78"/>
      <c r="BF189" s="78"/>
      <c r="BG189" s="78"/>
      <c r="BH189" s="78"/>
      <c r="BI189" s="78"/>
      <c r="BJ189" s="79"/>
      <c r="BK189" s="65"/>
      <c r="CU189" s="67"/>
      <c r="EC189" s="67"/>
      <c r="FK189" s="67"/>
      <c r="FL189" s="67"/>
      <c r="FM189" s="67"/>
      <c r="FN189" s="67"/>
      <c r="FO189" s="67"/>
      <c r="FP189" s="67"/>
      <c r="FQ189" s="67"/>
      <c r="FR189" s="67"/>
      <c r="FS189" s="67"/>
      <c r="FT189" s="67"/>
      <c r="FU189" s="67"/>
      <c r="FV189" s="67"/>
      <c r="FW189" s="67"/>
      <c r="FX189" s="67"/>
      <c r="FY189" s="67"/>
      <c r="FZ189" s="67"/>
      <c r="GA189" s="67"/>
      <c r="GB189" s="67"/>
      <c r="GC189" s="67"/>
      <c r="GD189" s="67"/>
      <c r="GE189" s="67"/>
      <c r="GF189" s="67"/>
      <c r="GG189" s="67"/>
      <c r="GH189" s="67"/>
      <c r="GI189" s="67"/>
      <c r="GJ189" s="67"/>
      <c r="GK189" s="67"/>
      <c r="GL189" s="67"/>
      <c r="GM189" s="67"/>
      <c r="GN189" s="67"/>
      <c r="GO189" s="67"/>
      <c r="GP189" s="67"/>
    </row>
    <row r="190" spans="5:198" s="66" customFormat="1">
      <c r="E190" s="67"/>
      <c r="G190" s="67"/>
      <c r="H190" s="67"/>
      <c r="I190" s="67"/>
      <c r="J190" s="67"/>
      <c r="K190" s="67"/>
      <c r="L190" s="67"/>
      <c r="M190" s="67"/>
      <c r="N190" s="67"/>
      <c r="O190" s="78"/>
      <c r="P190" s="78"/>
      <c r="S190" s="78"/>
      <c r="T190" s="78"/>
      <c r="U190" s="79"/>
      <c r="V190" s="65"/>
      <c r="Y190" s="78"/>
      <c r="Z190" s="78"/>
      <c r="AA190" s="78"/>
      <c r="AB190" s="78"/>
      <c r="AC190" s="78"/>
      <c r="AD190" s="78"/>
      <c r="AE190" s="78"/>
      <c r="AF190" s="78"/>
      <c r="AG190" s="79"/>
      <c r="AH190" s="65"/>
      <c r="AJ190" s="85"/>
      <c r="AK190" s="78"/>
      <c r="AL190" s="78"/>
      <c r="AM190" s="78"/>
      <c r="AN190" s="78"/>
      <c r="AO190" s="78"/>
      <c r="AP190" s="78"/>
      <c r="AQ190" s="79"/>
      <c r="AR190" s="65"/>
      <c r="AT190" s="85"/>
      <c r="AU190" s="78"/>
      <c r="AV190" s="78"/>
      <c r="AW190" s="78"/>
      <c r="AX190" s="78"/>
      <c r="AY190" s="78"/>
      <c r="AZ190" s="79"/>
      <c r="BA190" s="65"/>
      <c r="BC190" s="85"/>
      <c r="BD190" s="78"/>
      <c r="BE190" s="78"/>
      <c r="BF190" s="78"/>
      <c r="BG190" s="78"/>
      <c r="BH190" s="78"/>
      <c r="BI190" s="78"/>
      <c r="BJ190" s="79"/>
      <c r="BK190" s="65"/>
      <c r="CU190" s="67"/>
      <c r="EC190" s="67"/>
      <c r="FK190" s="67"/>
      <c r="FL190" s="67"/>
      <c r="FM190" s="67"/>
      <c r="FN190" s="67"/>
      <c r="FO190" s="67"/>
      <c r="FP190" s="67"/>
      <c r="FQ190" s="67"/>
      <c r="FR190" s="67"/>
      <c r="FS190" s="67"/>
      <c r="FT190" s="67"/>
      <c r="FU190" s="67"/>
      <c r="FV190" s="67"/>
      <c r="FW190" s="67"/>
      <c r="FX190" s="67"/>
      <c r="FY190" s="67"/>
      <c r="FZ190" s="67"/>
      <c r="GA190" s="67"/>
      <c r="GB190" s="67"/>
      <c r="GC190" s="67"/>
      <c r="GD190" s="67"/>
      <c r="GE190" s="67"/>
      <c r="GF190" s="67"/>
      <c r="GG190" s="67"/>
      <c r="GH190" s="67"/>
      <c r="GI190" s="67"/>
      <c r="GJ190" s="67"/>
      <c r="GK190" s="67"/>
      <c r="GL190" s="67"/>
      <c r="GM190" s="67"/>
      <c r="GN190" s="67"/>
      <c r="GO190" s="67"/>
      <c r="GP190" s="67"/>
    </row>
    <row r="191" spans="5:198" s="66" customFormat="1">
      <c r="E191" s="67"/>
      <c r="G191" s="67"/>
      <c r="H191" s="67"/>
      <c r="I191" s="67"/>
      <c r="J191" s="67"/>
      <c r="K191" s="67"/>
      <c r="L191" s="67"/>
      <c r="M191" s="67"/>
      <c r="N191" s="67"/>
      <c r="O191" s="78"/>
      <c r="P191" s="78"/>
      <c r="S191" s="78"/>
      <c r="T191" s="78"/>
      <c r="U191" s="79"/>
      <c r="V191" s="65"/>
      <c r="Y191" s="78"/>
      <c r="Z191" s="78"/>
      <c r="AA191" s="78"/>
      <c r="AB191" s="78"/>
      <c r="AC191" s="78"/>
      <c r="AD191" s="78"/>
      <c r="AE191" s="78"/>
      <c r="AF191" s="78"/>
      <c r="AG191" s="79"/>
      <c r="AH191" s="65"/>
      <c r="AJ191" s="85"/>
      <c r="AK191" s="78"/>
      <c r="AL191" s="78"/>
      <c r="AM191" s="78"/>
      <c r="AN191" s="78"/>
      <c r="AO191" s="78"/>
      <c r="AP191" s="78"/>
      <c r="AQ191" s="79"/>
      <c r="AR191" s="65"/>
      <c r="AT191" s="85"/>
      <c r="AU191" s="78"/>
      <c r="AV191" s="78"/>
      <c r="AW191" s="78"/>
      <c r="AX191" s="78"/>
      <c r="AY191" s="78"/>
      <c r="AZ191" s="79"/>
      <c r="BA191" s="65"/>
      <c r="BC191" s="85"/>
      <c r="BD191" s="78"/>
      <c r="BE191" s="78"/>
      <c r="BF191" s="78"/>
      <c r="BG191" s="78"/>
      <c r="BH191" s="78"/>
      <c r="BI191" s="78"/>
      <c r="BJ191" s="79"/>
      <c r="BK191" s="65"/>
      <c r="CU191" s="67"/>
      <c r="EC191" s="67"/>
      <c r="FK191" s="67"/>
      <c r="FL191" s="67"/>
      <c r="FM191" s="67"/>
      <c r="FN191" s="67"/>
      <c r="FO191" s="67"/>
      <c r="FP191" s="67"/>
      <c r="FQ191" s="67"/>
      <c r="FR191" s="67"/>
      <c r="FS191" s="67"/>
      <c r="FT191" s="67"/>
      <c r="FU191" s="67"/>
      <c r="FV191" s="67"/>
      <c r="FW191" s="67"/>
      <c r="FX191" s="67"/>
      <c r="FY191" s="67"/>
      <c r="FZ191" s="67"/>
      <c r="GA191" s="67"/>
      <c r="GB191" s="67"/>
      <c r="GC191" s="67"/>
      <c r="GD191" s="67"/>
      <c r="GE191" s="67"/>
      <c r="GF191" s="67"/>
      <c r="GG191" s="67"/>
      <c r="GH191" s="67"/>
      <c r="GI191" s="67"/>
      <c r="GJ191" s="67"/>
      <c r="GK191" s="67"/>
      <c r="GL191" s="67"/>
      <c r="GM191" s="67"/>
      <c r="GN191" s="67"/>
      <c r="GO191" s="67"/>
      <c r="GP191" s="67"/>
    </row>
    <row r="192" spans="5:198" s="66" customFormat="1">
      <c r="E192" s="67"/>
      <c r="G192" s="67"/>
      <c r="H192" s="67"/>
      <c r="I192" s="67"/>
      <c r="J192" s="67"/>
      <c r="K192" s="67"/>
      <c r="L192" s="67"/>
      <c r="M192" s="67"/>
      <c r="N192" s="67"/>
      <c r="O192" s="78"/>
      <c r="P192" s="78"/>
      <c r="S192" s="78"/>
      <c r="T192" s="78"/>
      <c r="U192" s="79"/>
      <c r="V192" s="65"/>
      <c r="Y192" s="78"/>
      <c r="Z192" s="78"/>
      <c r="AA192" s="78"/>
      <c r="AB192" s="78"/>
      <c r="AC192" s="78"/>
      <c r="AD192" s="78"/>
      <c r="AE192" s="78"/>
      <c r="AF192" s="78"/>
      <c r="AG192" s="79"/>
      <c r="AH192" s="65"/>
      <c r="AJ192" s="85"/>
      <c r="AK192" s="78"/>
      <c r="AL192" s="78"/>
      <c r="AM192" s="78"/>
      <c r="AN192" s="78"/>
      <c r="AO192" s="78"/>
      <c r="AP192" s="78"/>
      <c r="AQ192" s="79"/>
      <c r="AR192" s="65"/>
      <c r="AT192" s="85"/>
      <c r="AU192" s="78"/>
      <c r="AV192" s="78"/>
      <c r="AW192" s="78"/>
      <c r="AX192" s="78"/>
      <c r="AY192" s="78"/>
      <c r="AZ192" s="79"/>
      <c r="BA192" s="65"/>
      <c r="BC192" s="85"/>
      <c r="BD192" s="78"/>
      <c r="BE192" s="78"/>
      <c r="BF192" s="78"/>
      <c r="BG192" s="78"/>
      <c r="BH192" s="78"/>
      <c r="BI192" s="78"/>
      <c r="BJ192" s="79"/>
      <c r="BK192" s="65"/>
      <c r="CU192" s="67"/>
      <c r="EC192" s="67"/>
      <c r="FK192" s="67"/>
      <c r="FL192" s="67"/>
      <c r="FM192" s="67"/>
      <c r="FN192" s="67"/>
      <c r="FO192" s="67"/>
      <c r="FP192" s="67"/>
      <c r="FQ192" s="67"/>
      <c r="FR192" s="67"/>
      <c r="FS192" s="67"/>
      <c r="FT192" s="67"/>
      <c r="FU192" s="67"/>
      <c r="FV192" s="67"/>
      <c r="FW192" s="67"/>
      <c r="FX192" s="67"/>
      <c r="FY192" s="67"/>
      <c r="FZ192" s="67"/>
      <c r="GA192" s="67"/>
      <c r="GB192" s="67"/>
      <c r="GC192" s="67"/>
      <c r="GD192" s="67"/>
      <c r="GE192" s="67"/>
      <c r="GF192" s="67"/>
      <c r="GG192" s="67"/>
      <c r="GH192" s="67"/>
      <c r="GI192" s="67"/>
      <c r="GJ192" s="67"/>
      <c r="GK192" s="67"/>
      <c r="GL192" s="67"/>
      <c r="GM192" s="67"/>
      <c r="GN192" s="67"/>
      <c r="GO192" s="67"/>
      <c r="GP192" s="67"/>
    </row>
    <row r="193" spans="5:198" s="66" customFormat="1">
      <c r="E193" s="67"/>
      <c r="G193" s="67"/>
      <c r="H193" s="67"/>
      <c r="I193" s="67"/>
      <c r="J193" s="67"/>
      <c r="K193" s="67"/>
      <c r="L193" s="67"/>
      <c r="M193" s="67"/>
      <c r="N193" s="67"/>
      <c r="O193" s="78"/>
      <c r="P193" s="78"/>
      <c r="S193" s="78"/>
      <c r="T193" s="78"/>
      <c r="U193" s="79"/>
      <c r="V193" s="65"/>
      <c r="Y193" s="78"/>
      <c r="Z193" s="78"/>
      <c r="AA193" s="78"/>
      <c r="AB193" s="78"/>
      <c r="AC193" s="78"/>
      <c r="AD193" s="78"/>
      <c r="AE193" s="78"/>
      <c r="AF193" s="78"/>
      <c r="AG193" s="79"/>
      <c r="AH193" s="65"/>
      <c r="AJ193" s="85"/>
      <c r="AK193" s="78"/>
      <c r="AL193" s="78"/>
      <c r="AM193" s="78"/>
      <c r="AN193" s="78"/>
      <c r="AO193" s="78"/>
      <c r="AP193" s="78"/>
      <c r="AQ193" s="79"/>
      <c r="AR193" s="65"/>
      <c r="AT193" s="85"/>
      <c r="AU193" s="78"/>
      <c r="AV193" s="78"/>
      <c r="AW193" s="78"/>
      <c r="AX193" s="78"/>
      <c r="AY193" s="78"/>
      <c r="AZ193" s="79"/>
      <c r="BA193" s="65"/>
      <c r="BC193" s="85"/>
      <c r="BD193" s="78"/>
      <c r="BE193" s="78"/>
      <c r="BF193" s="78"/>
      <c r="BG193" s="78"/>
      <c r="BH193" s="78"/>
      <c r="BI193" s="78"/>
      <c r="BJ193" s="79"/>
      <c r="BK193" s="65"/>
      <c r="CU193" s="67"/>
      <c r="EC193" s="67"/>
      <c r="FK193" s="67"/>
      <c r="FL193" s="67"/>
      <c r="FM193" s="67"/>
      <c r="FN193" s="67"/>
      <c r="FO193" s="67"/>
      <c r="FP193" s="67"/>
      <c r="FQ193" s="67"/>
      <c r="FR193" s="67"/>
      <c r="FS193" s="67"/>
      <c r="FT193" s="67"/>
      <c r="FU193" s="67"/>
      <c r="FV193" s="67"/>
      <c r="FW193" s="67"/>
      <c r="FX193" s="67"/>
      <c r="FY193" s="67"/>
      <c r="FZ193" s="67"/>
      <c r="GA193" s="67"/>
      <c r="GB193" s="67"/>
      <c r="GC193" s="67"/>
      <c r="GD193" s="67"/>
      <c r="GE193" s="67"/>
      <c r="GF193" s="67"/>
      <c r="GG193" s="67"/>
      <c r="GH193" s="67"/>
      <c r="GI193" s="67"/>
      <c r="GJ193" s="67"/>
      <c r="GK193" s="67"/>
      <c r="GL193" s="67"/>
      <c r="GM193" s="67"/>
      <c r="GN193" s="67"/>
      <c r="GO193" s="67"/>
      <c r="GP193" s="67"/>
    </row>
    <row r="194" spans="5:198" s="66" customFormat="1">
      <c r="E194" s="67"/>
      <c r="G194" s="67"/>
      <c r="H194" s="67"/>
      <c r="I194" s="67"/>
      <c r="J194" s="67"/>
      <c r="K194" s="67"/>
      <c r="L194" s="67"/>
      <c r="M194" s="67"/>
      <c r="N194" s="67"/>
      <c r="O194" s="78"/>
      <c r="P194" s="78"/>
      <c r="S194" s="78"/>
      <c r="T194" s="78"/>
      <c r="U194" s="79"/>
      <c r="V194" s="65"/>
      <c r="Y194" s="78"/>
      <c r="Z194" s="78"/>
      <c r="AA194" s="78"/>
      <c r="AB194" s="78"/>
      <c r="AC194" s="78"/>
      <c r="AD194" s="78"/>
      <c r="AE194" s="78"/>
      <c r="AF194" s="78"/>
      <c r="AG194" s="79"/>
      <c r="AH194" s="65"/>
      <c r="AJ194" s="85"/>
      <c r="AK194" s="78"/>
      <c r="AL194" s="78"/>
      <c r="AM194" s="78"/>
      <c r="AN194" s="78"/>
      <c r="AO194" s="78"/>
      <c r="AP194" s="78"/>
      <c r="AQ194" s="79"/>
      <c r="AR194" s="65"/>
      <c r="AT194" s="85"/>
      <c r="AU194" s="78"/>
      <c r="AV194" s="78"/>
      <c r="AW194" s="78"/>
      <c r="AX194" s="78"/>
      <c r="AY194" s="78"/>
      <c r="AZ194" s="79"/>
      <c r="BA194" s="65"/>
      <c r="BC194" s="85"/>
      <c r="BD194" s="78"/>
      <c r="BE194" s="78"/>
      <c r="BF194" s="78"/>
      <c r="BG194" s="78"/>
      <c r="BH194" s="78"/>
      <c r="BI194" s="78"/>
      <c r="BJ194" s="79"/>
      <c r="BK194" s="65"/>
      <c r="CU194" s="67"/>
      <c r="EC194" s="67"/>
      <c r="FK194" s="67"/>
      <c r="FL194" s="67"/>
      <c r="FM194" s="67"/>
      <c r="FN194" s="67"/>
      <c r="FO194" s="67"/>
      <c r="FP194" s="67"/>
      <c r="FQ194" s="67"/>
      <c r="FR194" s="67"/>
      <c r="FS194" s="67"/>
      <c r="FT194" s="67"/>
      <c r="FU194" s="67"/>
      <c r="FV194" s="67"/>
      <c r="FW194" s="67"/>
      <c r="FX194" s="67"/>
      <c r="FY194" s="67"/>
      <c r="FZ194" s="67"/>
      <c r="GA194" s="67"/>
      <c r="GB194" s="67"/>
      <c r="GC194" s="67"/>
      <c r="GD194" s="67"/>
      <c r="GE194" s="67"/>
      <c r="GF194" s="67"/>
      <c r="GG194" s="67"/>
      <c r="GH194" s="67"/>
      <c r="GI194" s="67"/>
      <c r="GJ194" s="67"/>
      <c r="GK194" s="67"/>
      <c r="GL194" s="67"/>
      <c r="GM194" s="67"/>
      <c r="GN194" s="67"/>
      <c r="GO194" s="67"/>
      <c r="GP194" s="67"/>
    </row>
    <row r="195" spans="5:198" s="66" customFormat="1">
      <c r="E195" s="67"/>
      <c r="G195" s="67"/>
      <c r="H195" s="67"/>
      <c r="I195" s="67"/>
      <c r="J195" s="67"/>
      <c r="K195" s="67"/>
      <c r="L195" s="67"/>
      <c r="M195" s="67"/>
      <c r="N195" s="67"/>
      <c r="O195" s="78"/>
      <c r="P195" s="78"/>
      <c r="S195" s="78"/>
      <c r="T195" s="78"/>
      <c r="U195" s="79"/>
      <c r="V195" s="65"/>
      <c r="Y195" s="78"/>
      <c r="Z195" s="78"/>
      <c r="AA195" s="78"/>
      <c r="AB195" s="78"/>
      <c r="AC195" s="78"/>
      <c r="AD195" s="78"/>
      <c r="AE195" s="78"/>
      <c r="AF195" s="78"/>
      <c r="AG195" s="79"/>
      <c r="AH195" s="65"/>
      <c r="AJ195" s="85"/>
      <c r="AK195" s="78"/>
      <c r="AL195" s="78"/>
      <c r="AM195" s="78"/>
      <c r="AN195" s="78"/>
      <c r="AO195" s="78"/>
      <c r="AP195" s="78"/>
      <c r="AQ195" s="79"/>
      <c r="AR195" s="65"/>
      <c r="AT195" s="85"/>
      <c r="AU195" s="78"/>
      <c r="AV195" s="78"/>
      <c r="AW195" s="78"/>
      <c r="AX195" s="78"/>
      <c r="AY195" s="78"/>
      <c r="AZ195" s="79"/>
      <c r="BA195" s="65"/>
      <c r="BC195" s="85"/>
      <c r="BD195" s="78"/>
      <c r="BE195" s="78"/>
      <c r="BF195" s="78"/>
      <c r="BG195" s="78"/>
      <c r="BH195" s="78"/>
      <c r="BI195" s="78"/>
      <c r="BJ195" s="79"/>
      <c r="BK195" s="65"/>
      <c r="CU195" s="67"/>
      <c r="EC195" s="67"/>
      <c r="FK195" s="67"/>
      <c r="FL195" s="67"/>
      <c r="FM195" s="67"/>
      <c r="FN195" s="67"/>
      <c r="FO195" s="67"/>
      <c r="FP195" s="67"/>
      <c r="FQ195" s="67"/>
      <c r="FR195" s="67"/>
      <c r="FS195" s="67"/>
      <c r="FT195" s="67"/>
      <c r="FU195" s="67"/>
      <c r="FV195" s="67"/>
      <c r="FW195" s="67"/>
      <c r="FX195" s="67"/>
      <c r="FY195" s="67"/>
      <c r="FZ195" s="67"/>
      <c r="GA195" s="67"/>
      <c r="GB195" s="67"/>
      <c r="GC195" s="67"/>
      <c r="GD195" s="67"/>
      <c r="GE195" s="67"/>
      <c r="GF195" s="67"/>
      <c r="GG195" s="67"/>
      <c r="GH195" s="67"/>
      <c r="GI195" s="67"/>
      <c r="GJ195" s="67"/>
      <c r="GK195" s="67"/>
      <c r="GL195" s="67"/>
      <c r="GM195" s="67"/>
      <c r="GN195" s="67"/>
      <c r="GO195" s="67"/>
      <c r="GP195" s="67"/>
    </row>
    <row r="196" spans="5:198" s="66" customFormat="1">
      <c r="E196" s="67"/>
      <c r="G196" s="67"/>
      <c r="H196" s="67"/>
      <c r="I196" s="67"/>
      <c r="J196" s="67"/>
      <c r="K196" s="67"/>
      <c r="L196" s="67"/>
      <c r="M196" s="67"/>
      <c r="N196" s="67"/>
      <c r="O196" s="78"/>
      <c r="P196" s="78"/>
      <c r="S196" s="78"/>
      <c r="T196" s="78"/>
      <c r="U196" s="79"/>
      <c r="V196" s="65"/>
      <c r="Y196" s="78"/>
      <c r="Z196" s="78"/>
      <c r="AA196" s="78"/>
      <c r="AB196" s="78"/>
      <c r="AC196" s="78"/>
      <c r="AD196" s="78"/>
      <c r="AE196" s="78"/>
      <c r="AF196" s="78"/>
      <c r="AG196" s="79"/>
      <c r="AH196" s="65"/>
      <c r="AJ196" s="85"/>
      <c r="AK196" s="78"/>
      <c r="AL196" s="78"/>
      <c r="AM196" s="78"/>
      <c r="AN196" s="78"/>
      <c r="AO196" s="78"/>
      <c r="AP196" s="78"/>
      <c r="AQ196" s="79"/>
      <c r="AR196" s="65"/>
      <c r="AT196" s="85"/>
      <c r="AU196" s="78"/>
      <c r="AV196" s="78"/>
      <c r="AW196" s="78"/>
      <c r="AX196" s="78"/>
      <c r="AY196" s="78"/>
      <c r="AZ196" s="79"/>
      <c r="BA196" s="65"/>
      <c r="BC196" s="85"/>
      <c r="BD196" s="78"/>
      <c r="BE196" s="78"/>
      <c r="BF196" s="78"/>
      <c r="BG196" s="78"/>
      <c r="BH196" s="78"/>
      <c r="BI196" s="78"/>
      <c r="BJ196" s="79"/>
      <c r="BK196" s="65"/>
      <c r="CU196" s="67"/>
      <c r="EC196" s="67"/>
      <c r="FK196" s="67"/>
      <c r="FL196" s="67"/>
      <c r="FM196" s="67"/>
      <c r="FN196" s="67"/>
      <c r="FO196" s="67"/>
      <c r="FP196" s="67"/>
      <c r="FQ196" s="67"/>
      <c r="FR196" s="67"/>
      <c r="FS196" s="67"/>
      <c r="FT196" s="67"/>
      <c r="FU196" s="67"/>
      <c r="FV196" s="67"/>
      <c r="FW196" s="67"/>
      <c r="FX196" s="67"/>
      <c r="FY196" s="67"/>
      <c r="FZ196" s="67"/>
      <c r="GA196" s="67"/>
      <c r="GB196" s="67"/>
      <c r="GC196" s="67"/>
      <c r="GD196" s="67"/>
      <c r="GE196" s="67"/>
      <c r="GF196" s="67"/>
      <c r="GG196" s="67"/>
      <c r="GH196" s="67"/>
      <c r="GI196" s="67"/>
      <c r="GJ196" s="67"/>
      <c r="GK196" s="67"/>
      <c r="GL196" s="67"/>
      <c r="GM196" s="67"/>
      <c r="GN196" s="67"/>
      <c r="GO196" s="67"/>
      <c r="GP196" s="67"/>
    </row>
    <row r="197" spans="5:198" s="66" customFormat="1">
      <c r="E197" s="67"/>
      <c r="G197" s="67"/>
      <c r="H197" s="67"/>
      <c r="I197" s="67"/>
      <c r="J197" s="67"/>
      <c r="K197" s="67"/>
      <c r="L197" s="67"/>
      <c r="M197" s="67"/>
      <c r="N197" s="67"/>
      <c r="O197" s="78"/>
      <c r="P197" s="78"/>
      <c r="S197" s="78"/>
      <c r="T197" s="78"/>
      <c r="U197" s="79"/>
      <c r="V197" s="65"/>
      <c r="Y197" s="78"/>
      <c r="Z197" s="78"/>
      <c r="AA197" s="78"/>
      <c r="AB197" s="78"/>
      <c r="AC197" s="78"/>
      <c r="AD197" s="78"/>
      <c r="AE197" s="78"/>
      <c r="AF197" s="78"/>
      <c r="AG197" s="79"/>
      <c r="AH197" s="65"/>
      <c r="AJ197" s="85"/>
      <c r="AK197" s="78"/>
      <c r="AL197" s="78"/>
      <c r="AM197" s="78"/>
      <c r="AN197" s="78"/>
      <c r="AO197" s="78"/>
      <c r="AP197" s="78"/>
      <c r="AQ197" s="79"/>
      <c r="AR197" s="65"/>
      <c r="AT197" s="85"/>
      <c r="AU197" s="78"/>
      <c r="AV197" s="78"/>
      <c r="AW197" s="78"/>
      <c r="AX197" s="78"/>
      <c r="AY197" s="78"/>
      <c r="AZ197" s="79"/>
      <c r="BA197" s="65"/>
      <c r="BC197" s="85"/>
      <c r="BD197" s="78"/>
      <c r="BE197" s="78"/>
      <c r="BF197" s="78"/>
      <c r="BG197" s="78"/>
      <c r="BH197" s="78"/>
      <c r="BI197" s="78"/>
      <c r="BJ197" s="79"/>
      <c r="BK197" s="65"/>
      <c r="CU197" s="67"/>
      <c r="EC197" s="67"/>
      <c r="FK197" s="67"/>
      <c r="FL197" s="67"/>
      <c r="FM197" s="67"/>
      <c r="FN197" s="67"/>
      <c r="FO197" s="67"/>
      <c r="FP197" s="67"/>
      <c r="FQ197" s="67"/>
      <c r="FR197" s="67"/>
      <c r="FS197" s="67"/>
      <c r="FT197" s="67"/>
      <c r="FU197" s="67"/>
      <c r="FV197" s="67"/>
      <c r="FW197" s="67"/>
      <c r="FX197" s="67"/>
      <c r="FY197" s="67"/>
      <c r="FZ197" s="67"/>
      <c r="GA197" s="67"/>
      <c r="GB197" s="67"/>
      <c r="GC197" s="67"/>
      <c r="GD197" s="67"/>
      <c r="GE197" s="67"/>
      <c r="GF197" s="67"/>
      <c r="GG197" s="67"/>
      <c r="GH197" s="67"/>
      <c r="GI197" s="67"/>
      <c r="GJ197" s="67"/>
      <c r="GK197" s="67"/>
      <c r="GL197" s="67"/>
      <c r="GM197" s="67"/>
      <c r="GN197" s="67"/>
      <c r="GO197" s="67"/>
      <c r="GP197" s="67"/>
    </row>
    <row r="198" spans="5:198" s="66" customFormat="1">
      <c r="E198" s="67"/>
      <c r="G198" s="67"/>
      <c r="H198" s="67"/>
      <c r="I198" s="67"/>
      <c r="J198" s="67"/>
      <c r="K198" s="67"/>
      <c r="L198" s="67"/>
      <c r="M198" s="67"/>
      <c r="N198" s="67"/>
      <c r="O198" s="78"/>
      <c r="P198" s="78"/>
      <c r="S198" s="78"/>
      <c r="T198" s="78"/>
      <c r="U198" s="79"/>
      <c r="V198" s="65"/>
      <c r="Y198" s="78"/>
      <c r="Z198" s="78"/>
      <c r="AA198" s="78"/>
      <c r="AB198" s="78"/>
      <c r="AC198" s="78"/>
      <c r="AD198" s="78"/>
      <c r="AE198" s="78"/>
      <c r="AF198" s="78"/>
      <c r="AG198" s="79"/>
      <c r="AH198" s="65"/>
      <c r="AJ198" s="85"/>
      <c r="AK198" s="78"/>
      <c r="AL198" s="78"/>
      <c r="AM198" s="78"/>
      <c r="AN198" s="78"/>
      <c r="AO198" s="78"/>
      <c r="AP198" s="78"/>
      <c r="AQ198" s="79"/>
      <c r="AR198" s="65"/>
      <c r="AT198" s="85"/>
      <c r="AU198" s="78"/>
      <c r="AV198" s="78"/>
      <c r="AW198" s="78"/>
      <c r="AX198" s="78"/>
      <c r="AY198" s="78"/>
      <c r="AZ198" s="79"/>
      <c r="BA198" s="65"/>
      <c r="BC198" s="85"/>
      <c r="BD198" s="78"/>
      <c r="BE198" s="78"/>
      <c r="BF198" s="78"/>
      <c r="BG198" s="78"/>
      <c r="BH198" s="78"/>
      <c r="BI198" s="78"/>
      <c r="BJ198" s="79"/>
      <c r="BK198" s="65"/>
      <c r="CU198" s="67"/>
      <c r="EC198" s="67"/>
      <c r="FK198" s="67"/>
      <c r="FL198" s="67"/>
      <c r="FM198" s="67"/>
      <c r="FN198" s="67"/>
      <c r="FO198" s="67"/>
      <c r="FP198" s="67"/>
      <c r="FQ198" s="67"/>
      <c r="FR198" s="67"/>
      <c r="FS198" s="67"/>
      <c r="FT198" s="67"/>
      <c r="FU198" s="67"/>
      <c r="FV198" s="67"/>
      <c r="FW198" s="67"/>
      <c r="FX198" s="67"/>
      <c r="FY198" s="67"/>
      <c r="FZ198" s="67"/>
      <c r="GA198" s="67"/>
      <c r="GB198" s="67"/>
      <c r="GC198" s="67"/>
      <c r="GD198" s="67"/>
      <c r="GE198" s="67"/>
      <c r="GF198" s="67"/>
      <c r="GG198" s="67"/>
      <c r="GH198" s="67"/>
      <c r="GI198" s="67"/>
      <c r="GJ198" s="67"/>
      <c r="GK198" s="67"/>
      <c r="GL198" s="67"/>
      <c r="GM198" s="67"/>
      <c r="GN198" s="67"/>
      <c r="GO198" s="67"/>
      <c r="GP198" s="67"/>
    </row>
    <row r="199" spans="5:198" s="66" customFormat="1">
      <c r="E199" s="67"/>
      <c r="G199" s="67"/>
      <c r="H199" s="67"/>
      <c r="I199" s="67"/>
      <c r="J199" s="67"/>
      <c r="K199" s="67"/>
      <c r="L199" s="67"/>
      <c r="M199" s="67"/>
      <c r="N199" s="67"/>
      <c r="O199" s="78"/>
      <c r="P199" s="78"/>
      <c r="S199" s="78"/>
      <c r="T199" s="78"/>
      <c r="U199" s="79"/>
      <c r="V199" s="65"/>
      <c r="Y199" s="78"/>
      <c r="Z199" s="78"/>
      <c r="AA199" s="78"/>
      <c r="AB199" s="78"/>
      <c r="AC199" s="78"/>
      <c r="AD199" s="78"/>
      <c r="AE199" s="78"/>
      <c r="AF199" s="78"/>
      <c r="AG199" s="79"/>
      <c r="AH199" s="65"/>
      <c r="AJ199" s="85"/>
      <c r="AK199" s="78"/>
      <c r="AL199" s="78"/>
      <c r="AM199" s="78"/>
      <c r="AN199" s="78"/>
      <c r="AO199" s="78"/>
      <c r="AP199" s="78"/>
      <c r="AQ199" s="79"/>
      <c r="AR199" s="65"/>
      <c r="AT199" s="85"/>
      <c r="AU199" s="78"/>
      <c r="AV199" s="78"/>
      <c r="AW199" s="78"/>
      <c r="AX199" s="78"/>
      <c r="AY199" s="78"/>
      <c r="AZ199" s="79"/>
      <c r="BA199" s="65"/>
      <c r="BC199" s="85"/>
      <c r="BD199" s="78"/>
      <c r="BE199" s="78"/>
      <c r="BF199" s="78"/>
      <c r="BG199" s="78"/>
      <c r="BH199" s="78"/>
      <c r="BI199" s="78"/>
      <c r="BJ199" s="79"/>
      <c r="BK199" s="65"/>
      <c r="CU199" s="67"/>
      <c r="EC199" s="67"/>
      <c r="FK199" s="67"/>
      <c r="FL199" s="67"/>
      <c r="FM199" s="67"/>
      <c r="FN199" s="67"/>
      <c r="FO199" s="67"/>
      <c r="FP199" s="67"/>
      <c r="FQ199" s="67"/>
      <c r="FR199" s="67"/>
      <c r="FS199" s="67"/>
      <c r="FT199" s="67"/>
      <c r="FU199" s="67"/>
      <c r="FV199" s="67"/>
      <c r="FW199" s="67"/>
      <c r="FX199" s="67"/>
      <c r="FY199" s="67"/>
      <c r="FZ199" s="67"/>
      <c r="GA199" s="67"/>
      <c r="GB199" s="67"/>
      <c r="GC199" s="67"/>
      <c r="GD199" s="67"/>
      <c r="GE199" s="67"/>
      <c r="GF199" s="67"/>
      <c r="GG199" s="67"/>
      <c r="GH199" s="67"/>
      <c r="GI199" s="67"/>
      <c r="GJ199" s="67"/>
      <c r="GK199" s="67"/>
      <c r="GL199" s="67"/>
      <c r="GM199" s="67"/>
      <c r="GN199" s="67"/>
      <c r="GO199" s="67"/>
      <c r="GP199" s="67"/>
    </row>
    <row r="200" spans="5:198" s="66" customFormat="1">
      <c r="E200" s="67"/>
      <c r="G200" s="67"/>
      <c r="H200" s="67"/>
      <c r="I200" s="67"/>
      <c r="J200" s="67"/>
      <c r="K200" s="67"/>
      <c r="L200" s="67"/>
      <c r="M200" s="67"/>
      <c r="N200" s="67"/>
      <c r="O200" s="78"/>
      <c r="P200" s="78"/>
      <c r="S200" s="78"/>
      <c r="T200" s="78"/>
      <c r="U200" s="79"/>
      <c r="V200" s="65"/>
      <c r="Y200" s="78"/>
      <c r="Z200" s="78"/>
      <c r="AA200" s="78"/>
      <c r="AB200" s="78"/>
      <c r="AC200" s="78"/>
      <c r="AD200" s="78"/>
      <c r="AE200" s="78"/>
      <c r="AF200" s="78"/>
      <c r="AG200" s="79"/>
      <c r="AH200" s="65"/>
      <c r="AJ200" s="85"/>
      <c r="AK200" s="78"/>
      <c r="AL200" s="78"/>
      <c r="AM200" s="78"/>
      <c r="AN200" s="78"/>
      <c r="AO200" s="78"/>
      <c r="AP200" s="78"/>
      <c r="AQ200" s="79"/>
      <c r="AR200" s="65"/>
      <c r="AT200" s="85"/>
      <c r="AU200" s="78"/>
      <c r="AV200" s="78"/>
      <c r="AW200" s="78"/>
      <c r="AX200" s="78"/>
      <c r="AY200" s="78"/>
      <c r="AZ200" s="79"/>
      <c r="BA200" s="65"/>
      <c r="BC200" s="85"/>
      <c r="BD200" s="78"/>
      <c r="BE200" s="78"/>
      <c r="BF200" s="78"/>
      <c r="BG200" s="78"/>
      <c r="BH200" s="78"/>
      <c r="BI200" s="78"/>
      <c r="BJ200" s="79"/>
      <c r="BK200" s="65"/>
      <c r="CU200" s="67"/>
      <c r="EC200" s="67"/>
      <c r="FK200" s="67"/>
      <c r="FL200" s="67"/>
      <c r="FM200" s="67"/>
      <c r="FN200" s="67"/>
      <c r="FO200" s="67"/>
      <c r="FP200" s="67"/>
      <c r="FQ200" s="67"/>
      <c r="FR200" s="67"/>
      <c r="FS200" s="67"/>
      <c r="FT200" s="67"/>
      <c r="FU200" s="67"/>
      <c r="FV200" s="67"/>
      <c r="FW200" s="67"/>
      <c r="FX200" s="67"/>
      <c r="FY200" s="67"/>
      <c r="FZ200" s="67"/>
      <c r="GA200" s="67"/>
      <c r="GB200" s="67"/>
      <c r="GC200" s="67"/>
      <c r="GD200" s="67"/>
      <c r="GE200" s="67"/>
      <c r="GF200" s="67"/>
      <c r="GG200" s="67"/>
      <c r="GH200" s="67"/>
      <c r="GI200" s="67"/>
      <c r="GJ200" s="67"/>
      <c r="GK200" s="67"/>
      <c r="GL200" s="67"/>
      <c r="GM200" s="67"/>
      <c r="GN200" s="67"/>
      <c r="GO200" s="67"/>
      <c r="GP200" s="67"/>
    </row>
    <row r="201" spans="5:198" s="66" customFormat="1">
      <c r="E201" s="67"/>
      <c r="G201" s="67"/>
      <c r="H201" s="67"/>
      <c r="I201" s="67"/>
      <c r="J201" s="67"/>
      <c r="K201" s="67"/>
      <c r="L201" s="67"/>
      <c r="M201" s="67"/>
      <c r="N201" s="67"/>
      <c r="O201" s="78"/>
      <c r="P201" s="78"/>
      <c r="S201" s="78"/>
      <c r="T201" s="78"/>
      <c r="U201" s="79"/>
      <c r="V201" s="65"/>
      <c r="Y201" s="78"/>
      <c r="Z201" s="78"/>
      <c r="AA201" s="78"/>
      <c r="AB201" s="78"/>
      <c r="AC201" s="78"/>
      <c r="AD201" s="78"/>
      <c r="AE201" s="78"/>
      <c r="AF201" s="78"/>
      <c r="AG201" s="79"/>
      <c r="AH201" s="65"/>
      <c r="AJ201" s="85"/>
      <c r="AK201" s="78"/>
      <c r="AL201" s="78"/>
      <c r="AM201" s="78"/>
      <c r="AN201" s="78"/>
      <c r="AO201" s="78"/>
      <c r="AP201" s="78"/>
      <c r="AQ201" s="79"/>
      <c r="AR201" s="65"/>
      <c r="AT201" s="85"/>
      <c r="AU201" s="78"/>
      <c r="AV201" s="78"/>
      <c r="AW201" s="78"/>
      <c r="AX201" s="78"/>
      <c r="AY201" s="78"/>
      <c r="AZ201" s="79"/>
      <c r="BA201" s="65"/>
      <c r="BC201" s="85"/>
      <c r="BD201" s="78"/>
      <c r="BE201" s="78"/>
      <c r="BF201" s="78"/>
      <c r="BG201" s="78"/>
      <c r="BH201" s="78"/>
      <c r="BI201" s="78"/>
      <c r="BJ201" s="79"/>
      <c r="BK201" s="65"/>
      <c r="CU201" s="67"/>
      <c r="EC201" s="67"/>
      <c r="FK201" s="67"/>
      <c r="FL201" s="67"/>
      <c r="FM201" s="67"/>
      <c r="FN201" s="67"/>
      <c r="FO201" s="67"/>
      <c r="FP201" s="67"/>
      <c r="FQ201" s="67"/>
      <c r="FR201" s="67"/>
      <c r="FS201" s="67"/>
      <c r="FT201" s="67"/>
      <c r="FU201" s="67"/>
      <c r="FV201" s="67"/>
      <c r="FW201" s="67"/>
      <c r="FX201" s="67"/>
      <c r="FY201" s="67"/>
      <c r="FZ201" s="67"/>
      <c r="GA201" s="67"/>
      <c r="GB201" s="67"/>
      <c r="GC201" s="67"/>
      <c r="GD201" s="67"/>
      <c r="GE201" s="67"/>
      <c r="GF201" s="67"/>
      <c r="GG201" s="67"/>
      <c r="GH201" s="67"/>
      <c r="GI201" s="67"/>
      <c r="GJ201" s="67"/>
      <c r="GK201" s="67"/>
      <c r="GL201" s="67"/>
      <c r="GM201" s="67"/>
      <c r="GN201" s="67"/>
      <c r="GO201" s="67"/>
      <c r="GP201" s="67"/>
    </row>
    <row r="202" spans="5:198" s="66" customFormat="1">
      <c r="E202" s="67"/>
      <c r="G202" s="67"/>
      <c r="H202" s="67"/>
      <c r="I202" s="67"/>
      <c r="J202" s="67"/>
      <c r="K202" s="67"/>
      <c r="L202" s="67"/>
      <c r="M202" s="67"/>
      <c r="N202" s="67"/>
      <c r="O202" s="78"/>
      <c r="P202" s="78"/>
      <c r="S202" s="78"/>
      <c r="T202" s="78"/>
      <c r="U202" s="79"/>
      <c r="V202" s="65"/>
      <c r="Y202" s="78"/>
      <c r="Z202" s="78"/>
      <c r="AA202" s="78"/>
      <c r="AB202" s="78"/>
      <c r="AC202" s="78"/>
      <c r="AD202" s="78"/>
      <c r="AE202" s="78"/>
      <c r="AF202" s="78"/>
      <c r="AG202" s="79"/>
      <c r="AH202" s="65"/>
      <c r="AJ202" s="85"/>
      <c r="AK202" s="78"/>
      <c r="AL202" s="78"/>
      <c r="AM202" s="78"/>
      <c r="AN202" s="78"/>
      <c r="AO202" s="78"/>
      <c r="AP202" s="78"/>
      <c r="AQ202" s="79"/>
      <c r="AR202" s="65"/>
      <c r="AT202" s="85"/>
      <c r="AU202" s="78"/>
      <c r="AV202" s="78"/>
      <c r="AW202" s="78"/>
      <c r="AX202" s="78"/>
      <c r="AY202" s="78"/>
      <c r="AZ202" s="79"/>
      <c r="BA202" s="65"/>
      <c r="BC202" s="85"/>
      <c r="BD202" s="78"/>
      <c r="BE202" s="78"/>
      <c r="BF202" s="78"/>
      <c r="BG202" s="78"/>
      <c r="BH202" s="78"/>
      <c r="BI202" s="78"/>
      <c r="BJ202" s="79"/>
      <c r="BK202" s="65"/>
      <c r="CU202" s="67"/>
      <c r="EC202" s="67"/>
      <c r="FK202" s="67"/>
      <c r="FL202" s="67"/>
      <c r="FM202" s="67"/>
      <c r="FN202" s="67"/>
      <c r="FO202" s="67"/>
      <c r="FP202" s="67"/>
      <c r="FQ202" s="67"/>
      <c r="FR202" s="67"/>
      <c r="FS202" s="67"/>
      <c r="FT202" s="67"/>
      <c r="FU202" s="67"/>
      <c r="FV202" s="67"/>
      <c r="FW202" s="67"/>
      <c r="FX202" s="67"/>
      <c r="FY202" s="67"/>
      <c r="FZ202" s="67"/>
      <c r="GA202" s="67"/>
      <c r="GB202" s="67"/>
      <c r="GC202" s="67"/>
      <c r="GD202" s="67"/>
      <c r="GE202" s="67"/>
      <c r="GF202" s="67"/>
      <c r="GG202" s="67"/>
      <c r="GH202" s="67"/>
      <c r="GI202" s="67"/>
      <c r="GJ202" s="67"/>
      <c r="GK202" s="67"/>
      <c r="GL202" s="67"/>
      <c r="GM202" s="67"/>
      <c r="GN202" s="67"/>
      <c r="GO202" s="67"/>
      <c r="GP202" s="67"/>
    </row>
    <row r="203" spans="5:198" s="66" customFormat="1">
      <c r="E203" s="67"/>
      <c r="G203" s="67"/>
      <c r="H203" s="67"/>
      <c r="I203" s="67"/>
      <c r="J203" s="67"/>
      <c r="K203" s="67"/>
      <c r="L203" s="67"/>
      <c r="M203" s="67"/>
      <c r="N203" s="67"/>
      <c r="O203" s="78"/>
      <c r="P203" s="78"/>
      <c r="S203" s="78"/>
      <c r="T203" s="78"/>
      <c r="U203" s="79"/>
      <c r="V203" s="65"/>
      <c r="Y203" s="78"/>
      <c r="Z203" s="78"/>
      <c r="AA203" s="78"/>
      <c r="AB203" s="78"/>
      <c r="AC203" s="78"/>
      <c r="AD203" s="78"/>
      <c r="AE203" s="78"/>
      <c r="AF203" s="78"/>
      <c r="AG203" s="79"/>
      <c r="AH203" s="65"/>
      <c r="AJ203" s="85"/>
      <c r="AK203" s="78"/>
      <c r="AL203" s="78"/>
      <c r="AM203" s="78"/>
      <c r="AN203" s="78"/>
      <c r="AO203" s="78"/>
      <c r="AP203" s="78"/>
      <c r="AQ203" s="79"/>
      <c r="AR203" s="65"/>
      <c r="AT203" s="85"/>
      <c r="AU203" s="78"/>
      <c r="AV203" s="78"/>
      <c r="AW203" s="78"/>
      <c r="AX203" s="78"/>
      <c r="AY203" s="78"/>
      <c r="AZ203" s="79"/>
      <c r="BA203" s="65"/>
      <c r="BC203" s="85"/>
      <c r="BD203" s="78"/>
      <c r="BE203" s="78"/>
      <c r="BF203" s="78"/>
      <c r="BG203" s="78"/>
      <c r="BH203" s="78"/>
      <c r="BI203" s="78"/>
      <c r="BJ203" s="79"/>
      <c r="BK203" s="65"/>
      <c r="CU203" s="67"/>
      <c r="EC203" s="67"/>
      <c r="FK203" s="67"/>
      <c r="FL203" s="67"/>
      <c r="FM203" s="67"/>
      <c r="FN203" s="67"/>
      <c r="FO203" s="67"/>
      <c r="FP203" s="67"/>
      <c r="FQ203" s="67"/>
      <c r="FR203" s="67"/>
      <c r="FS203" s="67"/>
      <c r="FT203" s="67"/>
      <c r="FU203" s="67"/>
      <c r="FV203" s="67"/>
      <c r="FW203" s="67"/>
      <c r="FX203" s="67"/>
      <c r="FY203" s="67"/>
      <c r="FZ203" s="67"/>
      <c r="GA203" s="67"/>
      <c r="GB203" s="67"/>
      <c r="GC203" s="67"/>
      <c r="GD203" s="67"/>
      <c r="GE203" s="67"/>
      <c r="GF203" s="67"/>
      <c r="GG203" s="67"/>
      <c r="GH203" s="67"/>
      <c r="GI203" s="67"/>
      <c r="GJ203" s="67"/>
      <c r="GK203" s="67"/>
      <c r="GL203" s="67"/>
      <c r="GM203" s="67"/>
      <c r="GN203" s="67"/>
      <c r="GO203" s="67"/>
      <c r="GP203" s="67"/>
    </row>
    <row r="204" spans="5:198" s="66" customFormat="1">
      <c r="E204" s="67"/>
      <c r="G204" s="67"/>
      <c r="H204" s="67"/>
      <c r="I204" s="67"/>
      <c r="J204" s="67"/>
      <c r="K204" s="67"/>
      <c r="L204" s="67"/>
      <c r="M204" s="67"/>
      <c r="N204" s="67"/>
      <c r="O204" s="78"/>
      <c r="P204" s="78"/>
      <c r="S204" s="78"/>
      <c r="T204" s="78"/>
      <c r="U204" s="79"/>
      <c r="V204" s="65"/>
      <c r="Y204" s="78"/>
      <c r="Z204" s="78"/>
      <c r="AA204" s="78"/>
      <c r="AB204" s="78"/>
      <c r="AC204" s="78"/>
      <c r="AD204" s="78"/>
      <c r="AE204" s="78"/>
      <c r="AF204" s="78"/>
      <c r="AG204" s="79"/>
      <c r="AH204" s="65"/>
      <c r="AJ204" s="85"/>
      <c r="AK204" s="78"/>
      <c r="AL204" s="78"/>
      <c r="AM204" s="78"/>
      <c r="AN204" s="78"/>
      <c r="AO204" s="78"/>
      <c r="AP204" s="78"/>
      <c r="AQ204" s="79"/>
      <c r="AR204" s="65"/>
      <c r="AT204" s="85"/>
      <c r="AU204" s="78"/>
      <c r="AV204" s="78"/>
      <c r="AW204" s="78"/>
      <c r="AX204" s="78"/>
      <c r="AY204" s="78"/>
      <c r="AZ204" s="79"/>
      <c r="BA204" s="65"/>
      <c r="BC204" s="85"/>
      <c r="BD204" s="78"/>
      <c r="BE204" s="78"/>
      <c r="BF204" s="78"/>
      <c r="BG204" s="78"/>
      <c r="BH204" s="78"/>
      <c r="BI204" s="78"/>
      <c r="BJ204" s="79"/>
      <c r="BK204" s="65"/>
      <c r="CU204" s="67"/>
      <c r="EC204" s="67"/>
      <c r="FK204" s="67"/>
      <c r="FL204" s="67"/>
      <c r="FM204" s="67"/>
      <c r="FN204" s="67"/>
      <c r="FO204" s="67"/>
      <c r="FP204" s="67"/>
      <c r="FQ204" s="67"/>
      <c r="FR204" s="67"/>
      <c r="FS204" s="67"/>
      <c r="FT204" s="67"/>
      <c r="FU204" s="67"/>
      <c r="FV204" s="67"/>
      <c r="FW204" s="67"/>
      <c r="FX204" s="67"/>
      <c r="FY204" s="67"/>
      <c r="FZ204" s="67"/>
      <c r="GA204" s="67"/>
      <c r="GB204" s="67"/>
      <c r="GC204" s="67"/>
      <c r="GD204" s="67"/>
      <c r="GE204" s="67"/>
      <c r="GF204" s="67"/>
      <c r="GG204" s="67"/>
      <c r="GH204" s="67"/>
      <c r="GI204" s="67"/>
      <c r="GJ204" s="67"/>
      <c r="GK204" s="67"/>
      <c r="GL204" s="67"/>
      <c r="GM204" s="67"/>
      <c r="GN204" s="67"/>
      <c r="GO204" s="67"/>
      <c r="GP204" s="67"/>
    </row>
    <row r="205" spans="5:198" s="66" customFormat="1">
      <c r="E205" s="67"/>
      <c r="G205" s="67"/>
      <c r="H205" s="67"/>
      <c r="I205" s="67"/>
      <c r="J205" s="67"/>
      <c r="K205" s="67"/>
      <c r="L205" s="67"/>
      <c r="M205" s="67"/>
      <c r="N205" s="67"/>
      <c r="O205" s="78"/>
      <c r="P205" s="78"/>
      <c r="S205" s="78"/>
      <c r="T205" s="78"/>
      <c r="U205" s="79"/>
      <c r="V205" s="65"/>
      <c r="Y205" s="78"/>
      <c r="Z205" s="78"/>
      <c r="AA205" s="78"/>
      <c r="AB205" s="78"/>
      <c r="AC205" s="78"/>
      <c r="AD205" s="78"/>
      <c r="AE205" s="78"/>
      <c r="AF205" s="78"/>
      <c r="AG205" s="79"/>
      <c r="AH205" s="65"/>
      <c r="AJ205" s="85"/>
      <c r="AK205" s="78"/>
      <c r="AL205" s="78"/>
      <c r="AM205" s="78"/>
      <c r="AN205" s="78"/>
      <c r="AO205" s="78"/>
      <c r="AP205" s="78"/>
      <c r="AQ205" s="79"/>
      <c r="AR205" s="65"/>
      <c r="AT205" s="85"/>
      <c r="AU205" s="78"/>
      <c r="AV205" s="78"/>
      <c r="AW205" s="78"/>
      <c r="AX205" s="78"/>
      <c r="AY205" s="78"/>
      <c r="AZ205" s="79"/>
      <c r="BA205" s="65"/>
      <c r="BC205" s="85"/>
      <c r="BD205" s="78"/>
      <c r="BE205" s="78"/>
      <c r="BF205" s="78"/>
      <c r="BG205" s="78"/>
      <c r="BH205" s="78"/>
      <c r="BI205" s="78"/>
      <c r="BJ205" s="79"/>
      <c r="BK205" s="65"/>
      <c r="CU205" s="67"/>
      <c r="EC205" s="67"/>
      <c r="FK205" s="67"/>
      <c r="FL205" s="67"/>
      <c r="FM205" s="67"/>
      <c r="FN205" s="67"/>
      <c r="FO205" s="67"/>
      <c r="FP205" s="67"/>
      <c r="FQ205" s="67"/>
      <c r="FR205" s="67"/>
      <c r="FS205" s="67"/>
      <c r="FT205" s="67"/>
      <c r="FU205" s="67"/>
      <c r="FV205" s="67"/>
      <c r="FW205" s="67"/>
      <c r="FX205" s="67"/>
      <c r="FY205" s="67"/>
      <c r="FZ205" s="67"/>
      <c r="GA205" s="67"/>
      <c r="GB205" s="67"/>
      <c r="GC205" s="67"/>
      <c r="GD205" s="67"/>
      <c r="GE205" s="67"/>
      <c r="GF205" s="67"/>
      <c r="GG205" s="67"/>
      <c r="GH205" s="67"/>
      <c r="GI205" s="67"/>
      <c r="GJ205" s="67"/>
      <c r="GK205" s="67"/>
      <c r="GL205" s="67"/>
      <c r="GM205" s="67"/>
      <c r="GN205" s="67"/>
      <c r="GO205" s="67"/>
      <c r="GP205" s="67"/>
    </row>
    <row r="206" spans="5:198" s="66" customFormat="1">
      <c r="E206" s="67"/>
      <c r="G206" s="67"/>
      <c r="H206" s="67"/>
      <c r="I206" s="67"/>
      <c r="J206" s="67"/>
      <c r="K206" s="67"/>
      <c r="L206" s="67"/>
      <c r="M206" s="67"/>
      <c r="N206" s="67"/>
      <c r="O206" s="78"/>
      <c r="P206" s="78"/>
      <c r="S206" s="78"/>
      <c r="T206" s="78"/>
      <c r="U206" s="79"/>
      <c r="V206" s="65"/>
      <c r="Y206" s="78"/>
      <c r="Z206" s="78"/>
      <c r="AA206" s="78"/>
      <c r="AB206" s="78"/>
      <c r="AC206" s="78"/>
      <c r="AD206" s="78"/>
      <c r="AE206" s="78"/>
      <c r="AF206" s="78"/>
      <c r="AG206" s="79"/>
      <c r="AH206" s="65"/>
      <c r="AJ206" s="85"/>
      <c r="AK206" s="78"/>
      <c r="AL206" s="78"/>
      <c r="AM206" s="78"/>
      <c r="AN206" s="78"/>
      <c r="AO206" s="78"/>
      <c r="AP206" s="78"/>
      <c r="AQ206" s="79"/>
      <c r="AR206" s="65"/>
      <c r="AT206" s="85"/>
      <c r="AU206" s="78"/>
      <c r="AV206" s="78"/>
      <c r="AW206" s="78"/>
      <c r="AX206" s="78"/>
      <c r="AY206" s="78"/>
      <c r="AZ206" s="79"/>
      <c r="BA206" s="65"/>
      <c r="BC206" s="85"/>
      <c r="BD206" s="78"/>
      <c r="BE206" s="78"/>
      <c r="BF206" s="78"/>
      <c r="BG206" s="78"/>
      <c r="BH206" s="78"/>
      <c r="BI206" s="78"/>
      <c r="BJ206" s="79"/>
      <c r="BK206" s="65"/>
      <c r="CU206" s="67"/>
      <c r="EC206" s="67"/>
      <c r="FK206" s="67"/>
      <c r="FL206" s="67"/>
      <c r="FM206" s="67"/>
      <c r="FN206" s="67"/>
      <c r="FO206" s="67"/>
      <c r="FP206" s="67"/>
      <c r="FQ206" s="67"/>
      <c r="FR206" s="67"/>
      <c r="FS206" s="67"/>
      <c r="FT206" s="67"/>
      <c r="FU206" s="67"/>
      <c r="FV206" s="67"/>
      <c r="FW206" s="67"/>
      <c r="FX206" s="67"/>
      <c r="FY206" s="67"/>
      <c r="FZ206" s="67"/>
      <c r="GA206" s="67"/>
      <c r="GB206" s="67"/>
      <c r="GC206" s="67"/>
      <c r="GD206" s="67"/>
      <c r="GE206" s="67"/>
      <c r="GF206" s="67"/>
      <c r="GG206" s="67"/>
      <c r="GH206" s="67"/>
      <c r="GI206" s="67"/>
      <c r="GJ206" s="67"/>
      <c r="GK206" s="67"/>
      <c r="GL206" s="67"/>
      <c r="GM206" s="67"/>
      <c r="GN206" s="67"/>
      <c r="GO206" s="67"/>
      <c r="GP206" s="67"/>
    </row>
    <row r="207" spans="5:198" s="66" customFormat="1">
      <c r="E207" s="67"/>
      <c r="G207" s="67"/>
      <c r="H207" s="67"/>
      <c r="I207" s="67"/>
      <c r="J207" s="67"/>
      <c r="K207" s="67"/>
      <c r="L207" s="67"/>
      <c r="M207" s="67"/>
      <c r="N207" s="67"/>
      <c r="O207" s="78"/>
      <c r="P207" s="78"/>
      <c r="S207" s="78"/>
      <c r="T207" s="78"/>
      <c r="U207" s="79"/>
      <c r="V207" s="65"/>
      <c r="Y207" s="78"/>
      <c r="Z207" s="78"/>
      <c r="AA207" s="78"/>
      <c r="AB207" s="78"/>
      <c r="AC207" s="78"/>
      <c r="AD207" s="78"/>
      <c r="AE207" s="78"/>
      <c r="AF207" s="78"/>
      <c r="AG207" s="79"/>
      <c r="AH207" s="65"/>
      <c r="AJ207" s="85"/>
      <c r="AK207" s="78"/>
      <c r="AL207" s="78"/>
      <c r="AM207" s="78"/>
      <c r="AN207" s="78"/>
      <c r="AO207" s="78"/>
      <c r="AP207" s="78"/>
      <c r="AQ207" s="79"/>
      <c r="AR207" s="65"/>
      <c r="AT207" s="85"/>
      <c r="AU207" s="78"/>
      <c r="AV207" s="78"/>
      <c r="AW207" s="78"/>
      <c r="AX207" s="78"/>
      <c r="AY207" s="78"/>
      <c r="AZ207" s="79"/>
      <c r="BA207" s="65"/>
      <c r="BC207" s="85"/>
      <c r="BD207" s="78"/>
      <c r="BE207" s="78"/>
      <c r="BF207" s="78"/>
      <c r="BG207" s="78"/>
      <c r="BH207" s="78"/>
      <c r="BI207" s="78"/>
      <c r="BJ207" s="79"/>
      <c r="BK207" s="65"/>
      <c r="CU207" s="67"/>
      <c r="EC207" s="67"/>
      <c r="FK207" s="67"/>
      <c r="FL207" s="67"/>
      <c r="FM207" s="67"/>
      <c r="FN207" s="67"/>
      <c r="FO207" s="67"/>
      <c r="FP207" s="67"/>
      <c r="FQ207" s="67"/>
      <c r="FR207" s="67"/>
      <c r="FS207" s="67"/>
      <c r="FT207" s="67"/>
      <c r="FU207" s="67"/>
      <c r="FV207" s="67"/>
      <c r="FW207" s="67"/>
      <c r="FX207" s="67"/>
      <c r="FY207" s="67"/>
      <c r="FZ207" s="67"/>
      <c r="GA207" s="67"/>
      <c r="GB207" s="67"/>
      <c r="GC207" s="67"/>
      <c r="GD207" s="67"/>
      <c r="GE207" s="67"/>
      <c r="GF207" s="67"/>
      <c r="GG207" s="67"/>
      <c r="GH207" s="67"/>
      <c r="GI207" s="67"/>
      <c r="GJ207" s="67"/>
      <c r="GK207" s="67"/>
      <c r="GL207" s="67"/>
      <c r="GM207" s="67"/>
      <c r="GN207" s="67"/>
      <c r="GO207" s="67"/>
      <c r="GP207" s="67"/>
    </row>
    <row r="208" spans="5:198" s="66" customFormat="1">
      <c r="E208" s="67"/>
      <c r="G208" s="67"/>
      <c r="H208" s="67"/>
      <c r="I208" s="67"/>
      <c r="J208" s="67"/>
      <c r="K208" s="67"/>
      <c r="L208" s="67"/>
      <c r="M208" s="67"/>
      <c r="N208" s="67"/>
      <c r="O208" s="78"/>
      <c r="P208" s="78"/>
      <c r="S208" s="78"/>
      <c r="T208" s="78"/>
      <c r="U208" s="79"/>
      <c r="V208" s="65"/>
      <c r="Y208" s="78"/>
      <c r="Z208" s="78"/>
      <c r="AA208" s="78"/>
      <c r="AB208" s="78"/>
      <c r="AC208" s="78"/>
      <c r="AD208" s="78"/>
      <c r="AE208" s="78"/>
      <c r="AF208" s="78"/>
      <c r="AG208" s="79"/>
      <c r="AH208" s="65"/>
      <c r="AJ208" s="85"/>
      <c r="AK208" s="78"/>
      <c r="AL208" s="78"/>
      <c r="AM208" s="78"/>
      <c r="AN208" s="78"/>
      <c r="AO208" s="78"/>
      <c r="AP208" s="78"/>
      <c r="AQ208" s="79"/>
      <c r="AR208" s="65"/>
      <c r="AT208" s="85"/>
      <c r="AU208" s="78"/>
      <c r="AV208" s="78"/>
      <c r="AW208" s="78"/>
      <c r="AX208" s="78"/>
      <c r="AY208" s="78"/>
      <c r="AZ208" s="79"/>
      <c r="BA208" s="65"/>
      <c r="BC208" s="85"/>
      <c r="BD208" s="78"/>
      <c r="BE208" s="78"/>
      <c r="BF208" s="78"/>
      <c r="BG208" s="78"/>
      <c r="BH208" s="78"/>
      <c r="BI208" s="78"/>
      <c r="BJ208" s="79"/>
      <c r="BK208" s="65"/>
      <c r="CU208" s="67"/>
      <c r="EC208" s="67"/>
      <c r="FK208" s="67"/>
      <c r="FL208" s="67"/>
      <c r="FM208" s="67"/>
      <c r="FN208" s="67"/>
      <c r="FO208" s="67"/>
      <c r="FP208" s="67"/>
      <c r="FQ208" s="67"/>
      <c r="FR208" s="67"/>
      <c r="FS208" s="67"/>
      <c r="FT208" s="67"/>
      <c r="FU208" s="67"/>
      <c r="FV208" s="67"/>
      <c r="FW208" s="67"/>
      <c r="FX208" s="67"/>
      <c r="FY208" s="67"/>
      <c r="FZ208" s="67"/>
      <c r="GA208" s="67"/>
      <c r="GB208" s="67"/>
      <c r="GC208" s="67"/>
      <c r="GD208" s="67"/>
      <c r="GE208" s="67"/>
      <c r="GF208" s="67"/>
      <c r="GG208" s="67"/>
      <c r="GH208" s="67"/>
      <c r="GI208" s="67"/>
      <c r="GJ208" s="67"/>
      <c r="GK208" s="67"/>
      <c r="GL208" s="67"/>
      <c r="GM208" s="67"/>
      <c r="GN208" s="67"/>
      <c r="GO208" s="67"/>
      <c r="GP208" s="67"/>
    </row>
    <row r="209" spans="5:198" s="66" customFormat="1">
      <c r="E209" s="67"/>
      <c r="G209" s="67"/>
      <c r="H209" s="67"/>
      <c r="I209" s="67"/>
      <c r="J209" s="67"/>
      <c r="K209" s="67"/>
      <c r="L209" s="67"/>
      <c r="M209" s="67"/>
      <c r="N209" s="67"/>
      <c r="O209" s="78"/>
      <c r="P209" s="78"/>
      <c r="S209" s="78"/>
      <c r="T209" s="78"/>
      <c r="U209" s="79"/>
      <c r="V209" s="65"/>
      <c r="Y209" s="78"/>
      <c r="Z209" s="78"/>
      <c r="AA209" s="78"/>
      <c r="AB209" s="78"/>
      <c r="AC209" s="78"/>
      <c r="AD209" s="78"/>
      <c r="AE209" s="78"/>
      <c r="AF209" s="78"/>
      <c r="AG209" s="79"/>
      <c r="AH209" s="65"/>
      <c r="AJ209" s="85"/>
      <c r="AK209" s="78"/>
      <c r="AL209" s="78"/>
      <c r="AM209" s="78"/>
      <c r="AN209" s="78"/>
      <c r="AO209" s="78"/>
      <c r="AP209" s="78"/>
      <c r="AQ209" s="79"/>
      <c r="AR209" s="65"/>
      <c r="AT209" s="85"/>
      <c r="AU209" s="78"/>
      <c r="AV209" s="78"/>
      <c r="AW209" s="78"/>
      <c r="AX209" s="78"/>
      <c r="AY209" s="78"/>
      <c r="AZ209" s="79"/>
      <c r="BA209" s="65"/>
      <c r="BC209" s="85"/>
      <c r="BD209" s="78"/>
      <c r="BE209" s="78"/>
      <c r="BF209" s="78"/>
      <c r="BG209" s="78"/>
      <c r="BH209" s="78"/>
      <c r="BI209" s="78"/>
      <c r="BJ209" s="79"/>
      <c r="BK209" s="65"/>
      <c r="CU209" s="67"/>
      <c r="EC209" s="67"/>
      <c r="FK209" s="67"/>
      <c r="FL209" s="67"/>
      <c r="FM209" s="67"/>
      <c r="FN209" s="67"/>
      <c r="FO209" s="67"/>
      <c r="FP209" s="67"/>
      <c r="FQ209" s="67"/>
      <c r="FR209" s="67"/>
      <c r="FS209" s="67"/>
      <c r="FT209" s="67"/>
      <c r="FU209" s="67"/>
      <c r="FV209" s="67"/>
      <c r="FW209" s="67"/>
      <c r="FX209" s="67"/>
      <c r="FY209" s="67"/>
      <c r="FZ209" s="67"/>
      <c r="GA209" s="67"/>
      <c r="GB209" s="67"/>
      <c r="GC209" s="67"/>
      <c r="GD209" s="67"/>
      <c r="GE209" s="67"/>
      <c r="GF209" s="67"/>
      <c r="GG209" s="67"/>
      <c r="GH209" s="67"/>
      <c r="GI209" s="67"/>
      <c r="GJ209" s="67"/>
      <c r="GK209" s="67"/>
      <c r="GL209" s="67"/>
      <c r="GM209" s="67"/>
      <c r="GN209" s="67"/>
      <c r="GO209" s="67"/>
      <c r="GP209" s="67"/>
    </row>
    <row r="210" spans="5:198" s="66" customFormat="1">
      <c r="E210" s="67"/>
      <c r="G210" s="67"/>
      <c r="H210" s="67"/>
      <c r="I210" s="67"/>
      <c r="J210" s="67"/>
      <c r="K210" s="67"/>
      <c r="L210" s="67"/>
      <c r="M210" s="67"/>
      <c r="N210" s="67"/>
      <c r="O210" s="78"/>
      <c r="P210" s="78"/>
      <c r="S210" s="78"/>
      <c r="T210" s="78"/>
      <c r="U210" s="79"/>
      <c r="V210" s="65"/>
      <c r="Y210" s="78"/>
      <c r="Z210" s="78"/>
      <c r="AA210" s="78"/>
      <c r="AB210" s="78"/>
      <c r="AC210" s="78"/>
      <c r="AD210" s="78"/>
      <c r="AE210" s="78"/>
      <c r="AF210" s="78"/>
      <c r="AG210" s="79"/>
      <c r="AH210" s="65"/>
      <c r="AJ210" s="85"/>
      <c r="AK210" s="78"/>
      <c r="AL210" s="78"/>
      <c r="AM210" s="78"/>
      <c r="AN210" s="78"/>
      <c r="AO210" s="78"/>
      <c r="AP210" s="78"/>
      <c r="AQ210" s="79"/>
      <c r="AR210" s="65"/>
      <c r="AT210" s="85"/>
      <c r="AU210" s="78"/>
      <c r="AV210" s="78"/>
      <c r="AW210" s="78"/>
      <c r="AX210" s="78"/>
      <c r="AY210" s="78"/>
      <c r="AZ210" s="79"/>
      <c r="BA210" s="65"/>
      <c r="BC210" s="85"/>
      <c r="BD210" s="78"/>
      <c r="BE210" s="78"/>
      <c r="BF210" s="78"/>
      <c r="BG210" s="78"/>
      <c r="BH210" s="78"/>
      <c r="BI210" s="78"/>
      <c r="BJ210" s="79"/>
      <c r="BK210" s="65"/>
      <c r="CU210" s="67"/>
      <c r="EC210" s="67"/>
      <c r="FK210" s="67"/>
      <c r="FL210" s="67"/>
      <c r="FM210" s="67"/>
      <c r="FN210" s="67"/>
      <c r="FO210" s="67"/>
      <c r="FP210" s="67"/>
      <c r="FQ210" s="67"/>
      <c r="FR210" s="67"/>
      <c r="FS210" s="67"/>
      <c r="FT210" s="67"/>
      <c r="FU210" s="67"/>
      <c r="FV210" s="67"/>
      <c r="FW210" s="67"/>
      <c r="FX210" s="67"/>
      <c r="FY210" s="67"/>
      <c r="FZ210" s="67"/>
      <c r="GA210" s="67"/>
      <c r="GB210" s="67"/>
      <c r="GC210" s="67"/>
      <c r="GD210" s="67"/>
      <c r="GE210" s="67"/>
      <c r="GF210" s="67"/>
      <c r="GG210" s="67"/>
      <c r="GH210" s="67"/>
      <c r="GI210" s="67"/>
      <c r="GJ210" s="67"/>
      <c r="GK210" s="67"/>
      <c r="GL210" s="67"/>
      <c r="GM210" s="67"/>
      <c r="GN210" s="67"/>
      <c r="GO210" s="67"/>
      <c r="GP210" s="67"/>
    </row>
    <row r="211" spans="5:198" s="66" customFormat="1">
      <c r="E211" s="67"/>
      <c r="G211" s="67"/>
      <c r="H211" s="67"/>
      <c r="I211" s="67"/>
      <c r="J211" s="67"/>
      <c r="K211" s="67"/>
      <c r="L211" s="67"/>
      <c r="M211" s="67"/>
      <c r="N211" s="67"/>
      <c r="O211" s="78"/>
      <c r="P211" s="78"/>
      <c r="S211" s="78"/>
      <c r="T211" s="78"/>
      <c r="U211" s="79"/>
      <c r="V211" s="65"/>
      <c r="Y211" s="78"/>
      <c r="Z211" s="78"/>
      <c r="AA211" s="78"/>
      <c r="AB211" s="78"/>
      <c r="AC211" s="78"/>
      <c r="AD211" s="78"/>
      <c r="AE211" s="78"/>
      <c r="AF211" s="78"/>
      <c r="AG211" s="79"/>
      <c r="AH211" s="65"/>
      <c r="AJ211" s="85"/>
      <c r="AK211" s="78"/>
      <c r="AL211" s="78"/>
      <c r="AM211" s="78"/>
      <c r="AN211" s="78"/>
      <c r="AO211" s="78"/>
      <c r="AP211" s="78"/>
      <c r="AQ211" s="79"/>
      <c r="AR211" s="65"/>
      <c r="AT211" s="85"/>
      <c r="AU211" s="78"/>
      <c r="AV211" s="78"/>
      <c r="AW211" s="78"/>
      <c r="AX211" s="78"/>
      <c r="AY211" s="78"/>
      <c r="AZ211" s="79"/>
      <c r="BA211" s="65"/>
      <c r="BC211" s="85"/>
      <c r="BD211" s="78"/>
      <c r="BE211" s="78"/>
      <c r="BF211" s="78"/>
      <c r="BG211" s="78"/>
      <c r="BH211" s="78"/>
      <c r="BI211" s="78"/>
      <c r="BJ211" s="79"/>
      <c r="BK211" s="65"/>
      <c r="CU211" s="67"/>
      <c r="EC211" s="67"/>
      <c r="FK211" s="67"/>
      <c r="FL211" s="67"/>
      <c r="FM211" s="67"/>
      <c r="FN211" s="67"/>
      <c r="FO211" s="67"/>
      <c r="FP211" s="67"/>
      <c r="FQ211" s="67"/>
      <c r="FR211" s="67"/>
      <c r="FS211" s="67"/>
      <c r="FT211" s="67"/>
      <c r="FU211" s="67"/>
      <c r="FV211" s="67"/>
      <c r="FW211" s="67"/>
      <c r="FX211" s="67"/>
      <c r="FY211" s="67"/>
      <c r="FZ211" s="67"/>
      <c r="GA211" s="67"/>
      <c r="GB211" s="67"/>
      <c r="GC211" s="67"/>
      <c r="GD211" s="67"/>
      <c r="GE211" s="67"/>
      <c r="GF211" s="67"/>
      <c r="GG211" s="67"/>
      <c r="GH211" s="67"/>
      <c r="GI211" s="67"/>
      <c r="GJ211" s="67"/>
      <c r="GK211" s="67"/>
      <c r="GL211" s="67"/>
      <c r="GM211" s="67"/>
      <c r="GN211" s="67"/>
      <c r="GO211" s="67"/>
      <c r="GP211" s="67"/>
    </row>
    <row r="212" spans="5:198" s="66" customFormat="1">
      <c r="E212" s="67"/>
      <c r="G212" s="67"/>
      <c r="H212" s="67"/>
      <c r="I212" s="67"/>
      <c r="J212" s="67"/>
      <c r="K212" s="67"/>
      <c r="L212" s="67"/>
      <c r="M212" s="67"/>
      <c r="N212" s="67"/>
      <c r="O212" s="78"/>
      <c r="P212" s="78"/>
      <c r="S212" s="78"/>
      <c r="T212" s="78"/>
      <c r="U212" s="79"/>
      <c r="V212" s="65"/>
      <c r="Y212" s="78"/>
      <c r="Z212" s="78"/>
      <c r="AA212" s="78"/>
      <c r="AB212" s="78"/>
      <c r="AC212" s="78"/>
      <c r="AD212" s="78"/>
      <c r="AE212" s="78"/>
      <c r="AF212" s="78"/>
      <c r="AG212" s="79"/>
      <c r="AH212" s="65"/>
      <c r="AJ212" s="85"/>
      <c r="AK212" s="78"/>
      <c r="AL212" s="78"/>
      <c r="AM212" s="78"/>
      <c r="AN212" s="78"/>
      <c r="AO212" s="78"/>
      <c r="AP212" s="78"/>
      <c r="AQ212" s="79"/>
      <c r="AR212" s="65"/>
      <c r="AT212" s="85"/>
      <c r="AU212" s="78"/>
      <c r="AV212" s="78"/>
      <c r="AW212" s="78"/>
      <c r="AX212" s="78"/>
      <c r="AY212" s="78"/>
      <c r="AZ212" s="79"/>
      <c r="BA212" s="65"/>
      <c r="BC212" s="85"/>
      <c r="BD212" s="78"/>
      <c r="BE212" s="78"/>
      <c r="BF212" s="78"/>
      <c r="BG212" s="78"/>
      <c r="BH212" s="78"/>
      <c r="BI212" s="78"/>
      <c r="BJ212" s="79"/>
      <c r="BK212" s="65"/>
      <c r="CU212" s="67"/>
      <c r="EC212" s="67"/>
      <c r="FK212" s="67"/>
      <c r="FL212" s="67"/>
      <c r="FM212" s="67"/>
      <c r="FN212" s="67"/>
      <c r="FO212" s="67"/>
      <c r="FP212" s="67"/>
      <c r="FQ212" s="67"/>
      <c r="FR212" s="67"/>
      <c r="FS212" s="67"/>
      <c r="FT212" s="67"/>
      <c r="FU212" s="67"/>
      <c r="FV212" s="67"/>
      <c r="FW212" s="67"/>
      <c r="FX212" s="67"/>
      <c r="FY212" s="67"/>
      <c r="FZ212" s="67"/>
      <c r="GA212" s="67"/>
      <c r="GB212" s="67"/>
      <c r="GC212" s="67"/>
      <c r="GD212" s="67"/>
      <c r="GE212" s="67"/>
      <c r="GF212" s="67"/>
      <c r="GG212" s="67"/>
      <c r="GH212" s="67"/>
      <c r="GI212" s="67"/>
      <c r="GJ212" s="67"/>
      <c r="GK212" s="67"/>
      <c r="GL212" s="67"/>
      <c r="GM212" s="67"/>
      <c r="GN212" s="67"/>
      <c r="GO212" s="67"/>
      <c r="GP212" s="67"/>
    </row>
    <row r="213" spans="5:198" s="66" customFormat="1">
      <c r="E213" s="67"/>
      <c r="G213" s="67"/>
      <c r="H213" s="67"/>
      <c r="I213" s="67"/>
      <c r="J213" s="67"/>
      <c r="K213" s="67"/>
      <c r="L213" s="67"/>
      <c r="M213" s="67"/>
      <c r="N213" s="67"/>
      <c r="O213" s="78"/>
      <c r="P213" s="78"/>
      <c r="S213" s="78"/>
      <c r="T213" s="78"/>
      <c r="U213" s="79"/>
      <c r="V213" s="65"/>
      <c r="Y213" s="78"/>
      <c r="Z213" s="78"/>
      <c r="AA213" s="78"/>
      <c r="AB213" s="78"/>
      <c r="AC213" s="78"/>
      <c r="AD213" s="78"/>
      <c r="AE213" s="78"/>
      <c r="AF213" s="78"/>
      <c r="AG213" s="79"/>
      <c r="AH213" s="65"/>
      <c r="AJ213" s="85"/>
      <c r="AK213" s="78"/>
      <c r="AL213" s="78"/>
      <c r="AM213" s="78"/>
      <c r="AN213" s="78"/>
      <c r="AO213" s="78"/>
      <c r="AP213" s="78"/>
      <c r="AQ213" s="79"/>
      <c r="AR213" s="65"/>
      <c r="AT213" s="85"/>
      <c r="AU213" s="78"/>
      <c r="AV213" s="78"/>
      <c r="AW213" s="78"/>
      <c r="AX213" s="78"/>
      <c r="AY213" s="78"/>
      <c r="AZ213" s="79"/>
      <c r="BA213" s="65"/>
      <c r="BC213" s="85"/>
      <c r="BD213" s="78"/>
      <c r="BE213" s="78"/>
      <c r="BF213" s="78"/>
      <c r="BG213" s="78"/>
      <c r="BH213" s="78"/>
      <c r="BI213" s="78"/>
      <c r="BJ213" s="79"/>
      <c r="BK213" s="65"/>
      <c r="CU213" s="67"/>
      <c r="EC213" s="67"/>
      <c r="FK213" s="67"/>
      <c r="FL213" s="67"/>
      <c r="FM213" s="67"/>
      <c r="FN213" s="67"/>
      <c r="FO213" s="67"/>
      <c r="FP213" s="67"/>
      <c r="FQ213" s="67"/>
      <c r="FR213" s="67"/>
      <c r="FS213" s="67"/>
      <c r="FT213" s="67"/>
      <c r="FU213" s="67"/>
      <c r="FV213" s="67"/>
      <c r="FW213" s="67"/>
      <c r="FX213" s="67"/>
      <c r="FY213" s="67"/>
      <c r="FZ213" s="67"/>
      <c r="GA213" s="67"/>
      <c r="GB213" s="67"/>
      <c r="GC213" s="67"/>
      <c r="GD213" s="67"/>
      <c r="GE213" s="67"/>
      <c r="GF213" s="67"/>
      <c r="GG213" s="67"/>
      <c r="GH213" s="67"/>
      <c r="GI213" s="67"/>
      <c r="GJ213" s="67"/>
      <c r="GK213" s="67"/>
      <c r="GL213" s="67"/>
      <c r="GM213" s="67"/>
      <c r="GN213" s="67"/>
      <c r="GO213" s="67"/>
      <c r="GP213" s="67"/>
    </row>
    <row r="214" spans="5:198" s="66" customFormat="1">
      <c r="E214" s="67"/>
      <c r="G214" s="67"/>
      <c r="H214" s="67"/>
      <c r="I214" s="67"/>
      <c r="J214" s="67"/>
      <c r="K214" s="67"/>
      <c r="L214" s="67"/>
      <c r="M214" s="67"/>
      <c r="N214" s="67"/>
      <c r="O214" s="78"/>
      <c r="P214" s="78"/>
      <c r="S214" s="78"/>
      <c r="T214" s="78"/>
      <c r="U214" s="79"/>
      <c r="V214" s="65"/>
      <c r="Y214" s="78"/>
      <c r="Z214" s="78"/>
      <c r="AA214" s="78"/>
      <c r="AB214" s="78"/>
      <c r="AC214" s="78"/>
      <c r="AD214" s="78"/>
      <c r="AE214" s="78"/>
      <c r="AF214" s="78"/>
      <c r="AG214" s="79"/>
      <c r="AH214" s="65"/>
      <c r="AJ214" s="85"/>
      <c r="AK214" s="78"/>
      <c r="AL214" s="78"/>
      <c r="AM214" s="78"/>
      <c r="AN214" s="78"/>
      <c r="AO214" s="78"/>
      <c r="AP214" s="78"/>
      <c r="AQ214" s="79"/>
      <c r="AR214" s="65"/>
      <c r="AT214" s="85"/>
      <c r="AU214" s="78"/>
      <c r="AV214" s="78"/>
      <c r="AW214" s="78"/>
      <c r="AX214" s="78"/>
      <c r="AY214" s="78"/>
      <c r="AZ214" s="79"/>
      <c r="BA214" s="65"/>
      <c r="BC214" s="85"/>
      <c r="BD214" s="78"/>
      <c r="BE214" s="78"/>
      <c r="BF214" s="78"/>
      <c r="BG214" s="78"/>
      <c r="BH214" s="78"/>
      <c r="BI214" s="78"/>
      <c r="BJ214" s="79"/>
      <c r="BK214" s="65"/>
      <c r="CU214" s="67"/>
      <c r="EC214" s="67"/>
      <c r="FK214" s="67"/>
      <c r="FL214" s="67"/>
      <c r="FM214" s="67"/>
      <c r="FN214" s="67"/>
      <c r="FO214" s="67"/>
      <c r="FP214" s="67"/>
      <c r="FQ214" s="67"/>
      <c r="FR214" s="67"/>
      <c r="FS214" s="67"/>
      <c r="FT214" s="67"/>
      <c r="FU214" s="67"/>
      <c r="FV214" s="67"/>
      <c r="FW214" s="67"/>
      <c r="FX214" s="67"/>
      <c r="FY214" s="67"/>
      <c r="FZ214" s="67"/>
      <c r="GA214" s="67"/>
      <c r="GB214" s="67"/>
      <c r="GC214" s="67"/>
      <c r="GD214" s="67"/>
      <c r="GE214" s="67"/>
      <c r="GF214" s="67"/>
      <c r="GG214" s="67"/>
      <c r="GH214" s="67"/>
      <c r="GI214" s="67"/>
      <c r="GJ214" s="67"/>
      <c r="GK214" s="67"/>
      <c r="GL214" s="67"/>
      <c r="GM214" s="67"/>
      <c r="GN214" s="67"/>
      <c r="GO214" s="67"/>
      <c r="GP214" s="67"/>
    </row>
    <row r="215" spans="5:198" s="66" customFormat="1">
      <c r="E215" s="67"/>
      <c r="G215" s="67"/>
      <c r="H215" s="67"/>
      <c r="I215" s="67"/>
      <c r="J215" s="67"/>
      <c r="K215" s="67"/>
      <c r="L215" s="67"/>
      <c r="M215" s="67"/>
      <c r="N215" s="67"/>
      <c r="O215" s="78"/>
      <c r="P215" s="78"/>
      <c r="S215" s="78"/>
      <c r="T215" s="78"/>
      <c r="U215" s="79"/>
      <c r="V215" s="65"/>
      <c r="Y215" s="78"/>
      <c r="Z215" s="78"/>
      <c r="AA215" s="78"/>
      <c r="AB215" s="78"/>
      <c r="AC215" s="78"/>
      <c r="AD215" s="78"/>
      <c r="AE215" s="78"/>
      <c r="AF215" s="78"/>
      <c r="AG215" s="79"/>
      <c r="AH215" s="65"/>
      <c r="AJ215" s="85"/>
      <c r="AK215" s="78"/>
      <c r="AL215" s="78"/>
      <c r="AM215" s="78"/>
      <c r="AN215" s="78"/>
      <c r="AO215" s="78"/>
      <c r="AP215" s="78"/>
      <c r="AQ215" s="79"/>
      <c r="AR215" s="65"/>
      <c r="AT215" s="85"/>
      <c r="AU215" s="78"/>
      <c r="AV215" s="78"/>
      <c r="AW215" s="78"/>
      <c r="AX215" s="78"/>
      <c r="AY215" s="78"/>
      <c r="AZ215" s="79"/>
      <c r="BA215" s="65"/>
      <c r="BC215" s="85"/>
      <c r="BD215" s="78"/>
      <c r="BE215" s="78"/>
      <c r="BF215" s="78"/>
      <c r="BG215" s="78"/>
      <c r="BH215" s="78"/>
      <c r="BI215" s="78"/>
      <c r="BJ215" s="79"/>
      <c r="BK215" s="65"/>
      <c r="CU215" s="67"/>
      <c r="EC215" s="67"/>
      <c r="FK215" s="67"/>
      <c r="FL215" s="67"/>
      <c r="FM215" s="67"/>
      <c r="FN215" s="67"/>
      <c r="FO215" s="67"/>
      <c r="FP215" s="67"/>
      <c r="FQ215" s="67"/>
      <c r="FR215" s="67"/>
      <c r="FS215" s="67"/>
      <c r="FT215" s="67"/>
      <c r="FU215" s="67"/>
      <c r="FV215" s="67"/>
      <c r="FW215" s="67"/>
      <c r="FX215" s="67"/>
      <c r="FY215" s="67"/>
      <c r="FZ215" s="67"/>
      <c r="GA215" s="67"/>
      <c r="GB215" s="67"/>
      <c r="GC215" s="67"/>
      <c r="GD215" s="67"/>
      <c r="GE215" s="67"/>
      <c r="GF215" s="67"/>
      <c r="GG215" s="67"/>
      <c r="GH215" s="67"/>
      <c r="GI215" s="67"/>
      <c r="GJ215" s="67"/>
      <c r="GK215" s="67"/>
      <c r="GL215" s="67"/>
      <c r="GM215" s="67"/>
      <c r="GN215" s="67"/>
      <c r="GO215" s="67"/>
      <c r="GP215" s="67"/>
    </row>
    <row r="216" spans="5:198" s="66" customFormat="1">
      <c r="E216" s="67"/>
      <c r="G216" s="67"/>
      <c r="H216" s="67"/>
      <c r="I216" s="67"/>
      <c r="J216" s="67"/>
      <c r="K216" s="67"/>
      <c r="L216" s="67"/>
      <c r="M216" s="67"/>
      <c r="N216" s="67"/>
      <c r="O216" s="78"/>
      <c r="P216" s="78"/>
      <c r="S216" s="78"/>
      <c r="T216" s="78"/>
      <c r="U216" s="79"/>
      <c r="V216" s="65"/>
      <c r="Y216" s="78"/>
      <c r="Z216" s="78"/>
      <c r="AA216" s="78"/>
      <c r="AB216" s="78"/>
      <c r="AC216" s="78"/>
      <c r="AD216" s="78"/>
      <c r="AE216" s="78"/>
      <c r="AF216" s="78"/>
      <c r="AG216" s="79"/>
      <c r="AH216" s="65"/>
      <c r="AJ216" s="85"/>
      <c r="AK216" s="78"/>
      <c r="AL216" s="78"/>
      <c r="AM216" s="78"/>
      <c r="AN216" s="78"/>
      <c r="AO216" s="78"/>
      <c r="AP216" s="78"/>
      <c r="AQ216" s="79"/>
      <c r="AR216" s="65"/>
      <c r="AT216" s="85"/>
      <c r="AU216" s="78"/>
      <c r="AV216" s="78"/>
      <c r="AW216" s="78"/>
      <c r="AX216" s="78"/>
      <c r="AY216" s="78"/>
      <c r="AZ216" s="79"/>
      <c r="BA216" s="65"/>
      <c r="BC216" s="85"/>
      <c r="BD216" s="78"/>
      <c r="BE216" s="78"/>
      <c r="BF216" s="78"/>
      <c r="BG216" s="78"/>
      <c r="BH216" s="78"/>
      <c r="BI216" s="78"/>
      <c r="BJ216" s="79"/>
      <c r="BK216" s="65"/>
      <c r="CU216" s="67"/>
      <c r="EC216" s="67"/>
      <c r="FK216" s="67"/>
      <c r="FL216" s="67"/>
      <c r="FM216" s="67"/>
      <c r="FN216" s="67"/>
      <c r="FO216" s="67"/>
      <c r="FP216" s="67"/>
      <c r="FQ216" s="67"/>
      <c r="FR216" s="67"/>
      <c r="FS216" s="67"/>
      <c r="FT216" s="67"/>
      <c r="FU216" s="67"/>
      <c r="FV216" s="67"/>
      <c r="FW216" s="67"/>
      <c r="FX216" s="67"/>
      <c r="FY216" s="67"/>
      <c r="FZ216" s="67"/>
      <c r="GA216" s="67"/>
      <c r="GB216" s="67"/>
      <c r="GC216" s="67"/>
      <c r="GD216" s="67"/>
      <c r="GE216" s="67"/>
      <c r="GF216" s="67"/>
      <c r="GG216" s="67"/>
      <c r="GH216" s="67"/>
      <c r="GI216" s="67"/>
      <c r="GJ216" s="67"/>
      <c r="GK216" s="67"/>
      <c r="GL216" s="67"/>
      <c r="GM216" s="67"/>
      <c r="GN216" s="67"/>
      <c r="GO216" s="67"/>
      <c r="GP216" s="67"/>
    </row>
    <row r="217" spans="5:198" s="66" customFormat="1">
      <c r="E217" s="67"/>
      <c r="G217" s="67"/>
      <c r="H217" s="67"/>
      <c r="I217" s="67"/>
      <c r="J217" s="67"/>
      <c r="K217" s="67"/>
      <c r="L217" s="67"/>
      <c r="M217" s="67"/>
      <c r="N217" s="67"/>
      <c r="O217" s="78"/>
      <c r="P217" s="78"/>
      <c r="S217" s="78"/>
      <c r="T217" s="78"/>
      <c r="U217" s="79"/>
      <c r="V217" s="65"/>
      <c r="Y217" s="78"/>
      <c r="Z217" s="78"/>
      <c r="AA217" s="78"/>
      <c r="AB217" s="78"/>
      <c r="AC217" s="78"/>
      <c r="AD217" s="78"/>
      <c r="AE217" s="78"/>
      <c r="AF217" s="78"/>
      <c r="AG217" s="79"/>
      <c r="AH217" s="65"/>
      <c r="AJ217" s="85"/>
      <c r="AK217" s="78"/>
      <c r="AL217" s="78"/>
      <c r="AM217" s="78"/>
      <c r="AN217" s="78"/>
      <c r="AO217" s="78"/>
      <c r="AP217" s="78"/>
      <c r="AQ217" s="79"/>
      <c r="AR217" s="65"/>
      <c r="AT217" s="85"/>
      <c r="AU217" s="78"/>
      <c r="AV217" s="78"/>
      <c r="AW217" s="78"/>
      <c r="AX217" s="78"/>
      <c r="AY217" s="78"/>
      <c r="AZ217" s="79"/>
      <c r="BA217" s="65"/>
      <c r="BC217" s="85"/>
      <c r="BD217" s="78"/>
      <c r="BE217" s="78"/>
      <c r="BF217" s="78"/>
      <c r="BG217" s="78"/>
      <c r="BH217" s="78"/>
      <c r="BI217" s="78"/>
      <c r="BJ217" s="79"/>
      <c r="BK217" s="65"/>
      <c r="CU217" s="67"/>
      <c r="EC217" s="67"/>
      <c r="FK217" s="67"/>
      <c r="FL217" s="67"/>
      <c r="FM217" s="67"/>
      <c r="FN217" s="67"/>
      <c r="FO217" s="67"/>
      <c r="FP217" s="67"/>
      <c r="FQ217" s="67"/>
      <c r="FR217" s="67"/>
      <c r="FS217" s="67"/>
      <c r="FT217" s="67"/>
      <c r="FU217" s="67"/>
      <c r="FV217" s="67"/>
      <c r="FW217" s="67"/>
      <c r="FX217" s="67"/>
      <c r="FY217" s="67"/>
      <c r="FZ217" s="67"/>
      <c r="GA217" s="67"/>
      <c r="GB217" s="67"/>
      <c r="GC217" s="67"/>
      <c r="GD217" s="67"/>
      <c r="GE217" s="67"/>
      <c r="GF217" s="67"/>
      <c r="GG217" s="67"/>
      <c r="GH217" s="67"/>
      <c r="GI217" s="67"/>
      <c r="GJ217" s="67"/>
      <c r="GK217" s="67"/>
      <c r="GL217" s="67"/>
      <c r="GM217" s="67"/>
      <c r="GN217" s="67"/>
      <c r="GO217" s="67"/>
      <c r="GP217" s="67"/>
    </row>
    <row r="218" spans="5:198" s="66" customFormat="1">
      <c r="E218" s="67"/>
      <c r="G218" s="67"/>
      <c r="H218" s="67"/>
      <c r="I218" s="67"/>
      <c r="J218" s="67"/>
      <c r="K218" s="67"/>
      <c r="L218" s="67"/>
      <c r="M218" s="67"/>
      <c r="N218" s="67"/>
      <c r="O218" s="78"/>
      <c r="P218" s="78"/>
      <c r="S218" s="78"/>
      <c r="T218" s="78"/>
      <c r="U218" s="79"/>
      <c r="V218" s="65"/>
      <c r="Y218" s="78"/>
      <c r="Z218" s="78"/>
      <c r="AA218" s="78"/>
      <c r="AB218" s="78"/>
      <c r="AC218" s="78"/>
      <c r="AD218" s="78"/>
      <c r="AE218" s="78"/>
      <c r="AF218" s="78"/>
      <c r="AG218" s="79"/>
      <c r="AH218" s="65"/>
      <c r="AJ218" s="85"/>
      <c r="AK218" s="78"/>
      <c r="AL218" s="78"/>
      <c r="AM218" s="78"/>
      <c r="AN218" s="78"/>
      <c r="AO218" s="78"/>
      <c r="AP218" s="78"/>
      <c r="AQ218" s="79"/>
      <c r="AR218" s="65"/>
      <c r="AT218" s="85"/>
      <c r="AU218" s="78"/>
      <c r="AV218" s="78"/>
      <c r="AW218" s="78"/>
      <c r="AX218" s="78"/>
      <c r="AY218" s="78"/>
      <c r="AZ218" s="79"/>
      <c r="BA218" s="65"/>
      <c r="BC218" s="85"/>
      <c r="BD218" s="78"/>
      <c r="BE218" s="78"/>
      <c r="BF218" s="78"/>
      <c r="BG218" s="78"/>
      <c r="BH218" s="78"/>
      <c r="BI218" s="78"/>
      <c r="BJ218" s="79"/>
      <c r="BK218" s="65"/>
      <c r="CU218" s="67"/>
      <c r="EC218" s="67"/>
      <c r="FK218" s="67"/>
      <c r="FL218" s="67"/>
      <c r="FM218" s="67"/>
      <c r="FN218" s="67"/>
      <c r="FO218" s="67"/>
      <c r="FP218" s="67"/>
      <c r="FQ218" s="67"/>
      <c r="FR218" s="67"/>
      <c r="FS218" s="67"/>
      <c r="FT218" s="67"/>
      <c r="FU218" s="67"/>
      <c r="FV218" s="67"/>
      <c r="FW218" s="67"/>
      <c r="FX218" s="67"/>
      <c r="FY218" s="67"/>
      <c r="FZ218" s="67"/>
      <c r="GA218" s="67"/>
      <c r="GB218" s="67"/>
      <c r="GC218" s="67"/>
      <c r="GD218" s="67"/>
      <c r="GE218" s="67"/>
      <c r="GF218" s="67"/>
      <c r="GG218" s="67"/>
      <c r="GH218" s="67"/>
      <c r="GI218" s="67"/>
      <c r="GJ218" s="67"/>
      <c r="GK218" s="67"/>
      <c r="GL218" s="67"/>
      <c r="GM218" s="67"/>
      <c r="GN218" s="67"/>
      <c r="GO218" s="67"/>
      <c r="GP218" s="67"/>
    </row>
    <row r="219" spans="5:198" s="66" customFormat="1">
      <c r="E219" s="67"/>
      <c r="G219" s="67"/>
      <c r="H219" s="67"/>
      <c r="I219" s="67"/>
      <c r="J219" s="67"/>
      <c r="K219" s="67"/>
      <c r="L219" s="67"/>
      <c r="M219" s="67"/>
      <c r="N219" s="67"/>
      <c r="O219" s="78"/>
      <c r="P219" s="78"/>
      <c r="S219" s="78"/>
      <c r="T219" s="78"/>
      <c r="U219" s="79"/>
      <c r="V219" s="65"/>
      <c r="Y219" s="78"/>
      <c r="Z219" s="78"/>
      <c r="AA219" s="78"/>
      <c r="AB219" s="78"/>
      <c r="AC219" s="78"/>
      <c r="AD219" s="78"/>
      <c r="AE219" s="78"/>
      <c r="AF219" s="78"/>
      <c r="AG219" s="79"/>
      <c r="AH219" s="65"/>
      <c r="AJ219" s="85"/>
      <c r="AK219" s="78"/>
      <c r="AL219" s="78"/>
      <c r="AM219" s="78"/>
      <c r="AN219" s="78"/>
      <c r="AO219" s="78"/>
      <c r="AP219" s="78"/>
      <c r="AQ219" s="79"/>
      <c r="AR219" s="65"/>
      <c r="AT219" s="85"/>
      <c r="AU219" s="78"/>
      <c r="AV219" s="78"/>
      <c r="AW219" s="78"/>
      <c r="AX219" s="78"/>
      <c r="AY219" s="78"/>
      <c r="AZ219" s="79"/>
      <c r="BA219" s="65"/>
      <c r="BC219" s="85"/>
      <c r="BD219" s="78"/>
      <c r="BE219" s="78"/>
      <c r="BF219" s="78"/>
      <c r="BG219" s="78"/>
      <c r="BH219" s="78"/>
      <c r="BI219" s="78"/>
      <c r="BJ219" s="79"/>
      <c r="BK219" s="65"/>
      <c r="CU219" s="67"/>
      <c r="EC219" s="67"/>
      <c r="FK219" s="67"/>
      <c r="FL219" s="67"/>
      <c r="FM219" s="67"/>
      <c r="FN219" s="67"/>
      <c r="FO219" s="67"/>
      <c r="FP219" s="67"/>
      <c r="FQ219" s="67"/>
      <c r="FR219" s="67"/>
      <c r="FS219" s="67"/>
      <c r="FT219" s="67"/>
      <c r="FU219" s="67"/>
      <c r="FV219" s="67"/>
      <c r="FW219" s="67"/>
      <c r="FX219" s="67"/>
      <c r="FY219" s="67"/>
      <c r="FZ219" s="67"/>
      <c r="GA219" s="67"/>
      <c r="GB219" s="67"/>
      <c r="GC219" s="67"/>
      <c r="GD219" s="67"/>
      <c r="GE219" s="67"/>
      <c r="GF219" s="67"/>
      <c r="GG219" s="67"/>
      <c r="GH219" s="67"/>
      <c r="GI219" s="67"/>
      <c r="GJ219" s="67"/>
      <c r="GK219" s="67"/>
      <c r="GL219" s="67"/>
      <c r="GM219" s="67"/>
      <c r="GN219" s="67"/>
      <c r="GO219" s="67"/>
      <c r="GP219" s="67"/>
    </row>
    <row r="220" spans="5:198" s="66" customFormat="1">
      <c r="E220" s="67"/>
      <c r="G220" s="67"/>
      <c r="H220" s="67"/>
      <c r="I220" s="67"/>
      <c r="J220" s="67"/>
      <c r="K220" s="67"/>
      <c r="L220" s="67"/>
      <c r="M220" s="67"/>
      <c r="N220" s="67"/>
      <c r="O220" s="78"/>
      <c r="P220" s="78"/>
      <c r="S220" s="78"/>
      <c r="T220" s="78"/>
      <c r="U220" s="79"/>
      <c r="V220" s="65"/>
      <c r="Y220" s="78"/>
      <c r="Z220" s="78"/>
      <c r="AA220" s="78"/>
      <c r="AB220" s="78"/>
      <c r="AC220" s="78"/>
      <c r="AD220" s="78"/>
      <c r="AE220" s="78"/>
      <c r="AF220" s="78"/>
      <c r="AG220" s="79"/>
      <c r="AH220" s="65"/>
      <c r="AJ220" s="85"/>
      <c r="AK220" s="78"/>
      <c r="AL220" s="78"/>
      <c r="AM220" s="78"/>
      <c r="AN220" s="78"/>
      <c r="AO220" s="78"/>
      <c r="AP220" s="78"/>
      <c r="AQ220" s="79"/>
      <c r="AR220" s="65"/>
      <c r="AT220" s="85"/>
      <c r="AU220" s="78"/>
      <c r="AV220" s="78"/>
      <c r="AW220" s="78"/>
      <c r="AX220" s="78"/>
      <c r="AY220" s="78"/>
      <c r="AZ220" s="79"/>
      <c r="BA220" s="65"/>
      <c r="BC220" s="85"/>
      <c r="BD220" s="78"/>
      <c r="BE220" s="78"/>
      <c r="BF220" s="78"/>
      <c r="BG220" s="78"/>
      <c r="BH220" s="78"/>
      <c r="BI220" s="78"/>
      <c r="BJ220" s="79"/>
      <c r="BK220" s="65"/>
      <c r="CU220" s="67"/>
      <c r="EC220" s="67"/>
      <c r="FK220" s="67"/>
      <c r="FL220" s="67"/>
      <c r="FM220" s="67"/>
      <c r="FN220" s="67"/>
      <c r="FO220" s="67"/>
      <c r="FP220" s="67"/>
      <c r="FQ220" s="67"/>
      <c r="FR220" s="67"/>
      <c r="FS220" s="67"/>
      <c r="FT220" s="67"/>
      <c r="FU220" s="67"/>
      <c r="FV220" s="67"/>
      <c r="FW220" s="67"/>
      <c r="FX220" s="67"/>
      <c r="FY220" s="67"/>
      <c r="FZ220" s="67"/>
      <c r="GA220" s="67"/>
      <c r="GB220" s="67"/>
      <c r="GC220" s="67"/>
      <c r="GD220" s="67"/>
      <c r="GE220" s="67"/>
      <c r="GF220" s="67"/>
      <c r="GG220" s="67"/>
      <c r="GH220" s="67"/>
      <c r="GI220" s="67"/>
      <c r="GJ220" s="67"/>
      <c r="GK220" s="67"/>
      <c r="GL220" s="67"/>
      <c r="GM220" s="67"/>
      <c r="GN220" s="67"/>
      <c r="GO220" s="67"/>
      <c r="GP220" s="67"/>
    </row>
    <row r="221" spans="5:198" s="66" customFormat="1">
      <c r="E221" s="67"/>
      <c r="G221" s="67"/>
      <c r="H221" s="67"/>
      <c r="I221" s="67"/>
      <c r="J221" s="67"/>
      <c r="K221" s="67"/>
      <c r="L221" s="67"/>
      <c r="M221" s="67"/>
      <c r="N221" s="67"/>
      <c r="O221" s="78"/>
      <c r="P221" s="78"/>
      <c r="S221" s="78"/>
      <c r="T221" s="78"/>
      <c r="U221" s="79"/>
      <c r="V221" s="65"/>
      <c r="Y221" s="78"/>
      <c r="Z221" s="78"/>
      <c r="AA221" s="78"/>
      <c r="AB221" s="78"/>
      <c r="AC221" s="78"/>
      <c r="AD221" s="78"/>
      <c r="AE221" s="78"/>
      <c r="AF221" s="78"/>
      <c r="AG221" s="79"/>
      <c r="AH221" s="65"/>
      <c r="AJ221" s="85"/>
      <c r="AK221" s="78"/>
      <c r="AL221" s="78"/>
      <c r="AM221" s="78"/>
      <c r="AN221" s="78"/>
      <c r="AO221" s="78"/>
      <c r="AP221" s="78"/>
      <c r="AQ221" s="79"/>
      <c r="AR221" s="65"/>
      <c r="AT221" s="85"/>
      <c r="AU221" s="78"/>
      <c r="AV221" s="78"/>
      <c r="AW221" s="78"/>
      <c r="AX221" s="78"/>
      <c r="AY221" s="78"/>
      <c r="AZ221" s="79"/>
      <c r="BA221" s="65"/>
      <c r="BC221" s="85"/>
      <c r="BD221" s="78"/>
      <c r="BE221" s="78"/>
      <c r="BF221" s="78"/>
      <c r="BG221" s="78"/>
      <c r="BH221" s="78"/>
      <c r="BI221" s="78"/>
      <c r="BJ221" s="79"/>
      <c r="BK221" s="65"/>
      <c r="CU221" s="67"/>
      <c r="EC221" s="67"/>
      <c r="FK221" s="67"/>
      <c r="FL221" s="67"/>
      <c r="FM221" s="67"/>
      <c r="FN221" s="67"/>
      <c r="FO221" s="67"/>
      <c r="FP221" s="67"/>
      <c r="FQ221" s="67"/>
      <c r="FR221" s="67"/>
      <c r="FS221" s="67"/>
      <c r="FT221" s="67"/>
      <c r="FU221" s="67"/>
      <c r="FV221" s="67"/>
      <c r="FW221" s="67"/>
      <c r="FX221" s="67"/>
      <c r="FY221" s="67"/>
      <c r="FZ221" s="67"/>
      <c r="GA221" s="67"/>
      <c r="GB221" s="67"/>
      <c r="GC221" s="67"/>
      <c r="GD221" s="67"/>
      <c r="GE221" s="67"/>
      <c r="GF221" s="67"/>
      <c r="GG221" s="67"/>
      <c r="GH221" s="67"/>
      <c r="GI221" s="67"/>
      <c r="GJ221" s="67"/>
      <c r="GK221" s="67"/>
      <c r="GL221" s="67"/>
      <c r="GM221" s="67"/>
      <c r="GN221" s="67"/>
      <c r="GO221" s="67"/>
      <c r="GP221" s="67"/>
    </row>
    <row r="222" spans="5:198" s="66" customFormat="1">
      <c r="E222" s="67"/>
      <c r="G222" s="67"/>
      <c r="H222" s="67"/>
      <c r="I222" s="67"/>
      <c r="J222" s="67"/>
      <c r="K222" s="67"/>
      <c r="L222" s="67"/>
      <c r="M222" s="67"/>
      <c r="N222" s="67"/>
      <c r="O222" s="78"/>
      <c r="P222" s="78"/>
      <c r="S222" s="78"/>
      <c r="T222" s="78"/>
      <c r="U222" s="79"/>
      <c r="V222" s="65"/>
      <c r="Y222" s="78"/>
      <c r="Z222" s="78"/>
      <c r="AA222" s="78"/>
      <c r="AB222" s="78"/>
      <c r="AC222" s="78"/>
      <c r="AD222" s="78"/>
      <c r="AE222" s="78"/>
      <c r="AF222" s="78"/>
      <c r="AG222" s="79"/>
      <c r="AH222" s="65"/>
      <c r="AJ222" s="85"/>
      <c r="AK222" s="78"/>
      <c r="AL222" s="78"/>
      <c r="AM222" s="78"/>
      <c r="AN222" s="78"/>
      <c r="AO222" s="78"/>
      <c r="AP222" s="78"/>
      <c r="AQ222" s="79"/>
      <c r="AR222" s="65"/>
      <c r="AT222" s="85"/>
      <c r="AU222" s="78"/>
      <c r="AV222" s="78"/>
      <c r="AW222" s="78"/>
      <c r="AX222" s="78"/>
      <c r="AY222" s="78"/>
      <c r="AZ222" s="79"/>
      <c r="BA222" s="65"/>
      <c r="BC222" s="85"/>
      <c r="BD222" s="78"/>
      <c r="BE222" s="78"/>
      <c r="BF222" s="78"/>
      <c r="BG222" s="78"/>
      <c r="BH222" s="78"/>
      <c r="BI222" s="78"/>
      <c r="BJ222" s="79"/>
      <c r="BK222" s="65"/>
      <c r="CU222" s="67"/>
      <c r="EC222" s="67"/>
      <c r="FK222" s="67"/>
      <c r="FL222" s="67"/>
      <c r="FM222" s="67"/>
      <c r="FN222" s="67"/>
      <c r="FO222" s="67"/>
      <c r="FP222" s="67"/>
      <c r="FQ222" s="67"/>
      <c r="FR222" s="67"/>
      <c r="FS222" s="67"/>
      <c r="FT222" s="67"/>
      <c r="FU222" s="67"/>
      <c r="FV222" s="67"/>
      <c r="FW222" s="67"/>
      <c r="FX222" s="67"/>
      <c r="FY222" s="67"/>
      <c r="FZ222" s="67"/>
      <c r="GA222" s="67"/>
      <c r="GB222" s="67"/>
      <c r="GC222" s="67"/>
      <c r="GD222" s="67"/>
      <c r="GE222" s="67"/>
      <c r="GF222" s="67"/>
      <c r="GG222" s="67"/>
      <c r="GH222" s="67"/>
      <c r="GI222" s="67"/>
      <c r="GJ222" s="67"/>
      <c r="GK222" s="67"/>
      <c r="GL222" s="67"/>
      <c r="GM222" s="67"/>
      <c r="GN222" s="67"/>
      <c r="GO222" s="67"/>
      <c r="GP222" s="67"/>
    </row>
    <row r="223" spans="5:198" s="66" customFormat="1">
      <c r="E223" s="67"/>
      <c r="G223" s="67"/>
      <c r="H223" s="67"/>
      <c r="I223" s="67"/>
      <c r="J223" s="67"/>
      <c r="K223" s="67"/>
      <c r="L223" s="67"/>
      <c r="M223" s="67"/>
      <c r="N223" s="67"/>
      <c r="O223" s="78"/>
      <c r="P223" s="78"/>
      <c r="S223" s="78"/>
      <c r="T223" s="78"/>
      <c r="U223" s="79"/>
      <c r="V223" s="65"/>
      <c r="Y223" s="78"/>
      <c r="Z223" s="78"/>
      <c r="AA223" s="78"/>
      <c r="AB223" s="78"/>
      <c r="AC223" s="78"/>
      <c r="AD223" s="78"/>
      <c r="AE223" s="78"/>
      <c r="AF223" s="78"/>
      <c r="AG223" s="79"/>
      <c r="AH223" s="65"/>
      <c r="AJ223" s="85"/>
      <c r="AK223" s="78"/>
      <c r="AL223" s="78"/>
      <c r="AM223" s="78"/>
      <c r="AN223" s="78"/>
      <c r="AO223" s="78"/>
      <c r="AP223" s="78"/>
      <c r="AQ223" s="79"/>
      <c r="AR223" s="65"/>
      <c r="AT223" s="85"/>
      <c r="AU223" s="78"/>
      <c r="AV223" s="78"/>
      <c r="AW223" s="78"/>
      <c r="AX223" s="78"/>
      <c r="AY223" s="78"/>
      <c r="AZ223" s="79"/>
      <c r="BA223" s="65"/>
      <c r="BC223" s="85"/>
      <c r="BD223" s="78"/>
      <c r="BE223" s="78"/>
      <c r="BF223" s="78"/>
      <c r="BG223" s="78"/>
      <c r="BH223" s="78"/>
      <c r="BI223" s="78"/>
      <c r="BJ223" s="79"/>
      <c r="BK223" s="65"/>
      <c r="CU223" s="67"/>
      <c r="EC223" s="67"/>
      <c r="FK223" s="67"/>
      <c r="FL223" s="67"/>
      <c r="FM223" s="67"/>
      <c r="FN223" s="67"/>
      <c r="FO223" s="67"/>
      <c r="FP223" s="67"/>
      <c r="FQ223" s="67"/>
      <c r="FR223" s="67"/>
      <c r="FS223" s="67"/>
      <c r="FT223" s="67"/>
      <c r="FU223" s="67"/>
      <c r="FV223" s="67"/>
      <c r="FW223" s="67"/>
      <c r="FX223" s="67"/>
      <c r="FY223" s="67"/>
      <c r="FZ223" s="67"/>
      <c r="GA223" s="67"/>
      <c r="GB223" s="67"/>
      <c r="GC223" s="67"/>
      <c r="GD223" s="67"/>
      <c r="GE223" s="67"/>
      <c r="GF223" s="67"/>
      <c r="GG223" s="67"/>
      <c r="GH223" s="67"/>
      <c r="GI223" s="67"/>
      <c r="GJ223" s="67"/>
      <c r="GK223" s="67"/>
      <c r="GL223" s="67"/>
      <c r="GM223" s="67"/>
      <c r="GN223" s="67"/>
      <c r="GO223" s="67"/>
      <c r="GP223" s="67"/>
    </row>
    <row r="224" spans="5:198" s="66" customFormat="1">
      <c r="E224" s="67"/>
      <c r="G224" s="67"/>
      <c r="H224" s="67"/>
      <c r="I224" s="67"/>
      <c r="J224" s="67"/>
      <c r="K224" s="67"/>
      <c r="L224" s="67"/>
      <c r="M224" s="67"/>
      <c r="N224" s="67"/>
      <c r="O224" s="78"/>
      <c r="P224" s="78"/>
      <c r="S224" s="78"/>
      <c r="T224" s="78"/>
      <c r="U224" s="79"/>
      <c r="V224" s="65"/>
      <c r="Y224" s="78"/>
      <c r="Z224" s="78"/>
      <c r="AA224" s="78"/>
      <c r="AB224" s="78"/>
      <c r="AC224" s="78"/>
      <c r="AD224" s="78"/>
      <c r="AE224" s="78"/>
      <c r="AF224" s="78"/>
      <c r="AG224" s="79"/>
      <c r="AH224" s="65"/>
      <c r="AJ224" s="85"/>
      <c r="AK224" s="78"/>
      <c r="AL224" s="78"/>
      <c r="AM224" s="78"/>
      <c r="AN224" s="78"/>
      <c r="AO224" s="78"/>
      <c r="AP224" s="78"/>
      <c r="AQ224" s="79"/>
      <c r="AR224" s="65"/>
      <c r="AT224" s="85"/>
      <c r="AU224" s="78"/>
      <c r="AV224" s="78"/>
      <c r="AW224" s="78"/>
      <c r="AX224" s="78"/>
      <c r="AY224" s="78"/>
      <c r="AZ224" s="79"/>
      <c r="BA224" s="65"/>
      <c r="BC224" s="85"/>
      <c r="BD224" s="78"/>
      <c r="BE224" s="78"/>
      <c r="BF224" s="78"/>
      <c r="BG224" s="78"/>
      <c r="BH224" s="78"/>
      <c r="BI224" s="78"/>
      <c r="BJ224" s="79"/>
      <c r="BK224" s="65"/>
      <c r="CU224" s="67"/>
      <c r="EC224" s="67"/>
      <c r="FK224" s="67"/>
      <c r="FL224" s="67"/>
      <c r="FM224" s="67"/>
      <c r="FN224" s="67"/>
      <c r="FO224" s="67"/>
      <c r="FP224" s="67"/>
      <c r="FQ224" s="67"/>
      <c r="FR224" s="67"/>
      <c r="FS224" s="67"/>
      <c r="FT224" s="67"/>
      <c r="FU224" s="67"/>
      <c r="FV224" s="67"/>
      <c r="FW224" s="67"/>
      <c r="FX224" s="67"/>
      <c r="FY224" s="67"/>
      <c r="FZ224" s="67"/>
      <c r="GA224" s="67"/>
      <c r="GB224" s="67"/>
      <c r="GC224" s="67"/>
      <c r="GD224" s="67"/>
      <c r="GE224" s="67"/>
      <c r="GF224" s="67"/>
      <c r="GG224" s="67"/>
      <c r="GH224" s="67"/>
      <c r="GI224" s="67"/>
      <c r="GJ224" s="67"/>
      <c r="GK224" s="67"/>
      <c r="GL224" s="67"/>
      <c r="GM224" s="67"/>
      <c r="GN224" s="67"/>
      <c r="GO224" s="67"/>
      <c r="GP224" s="67"/>
    </row>
    <row r="225" spans="5:198" s="66" customFormat="1">
      <c r="E225" s="67"/>
      <c r="G225" s="67"/>
      <c r="H225" s="67"/>
      <c r="I225" s="67"/>
      <c r="J225" s="67"/>
      <c r="K225" s="67"/>
      <c r="L225" s="67"/>
      <c r="M225" s="67"/>
      <c r="N225" s="67"/>
      <c r="O225" s="78"/>
      <c r="P225" s="78"/>
      <c r="S225" s="78"/>
      <c r="T225" s="78"/>
      <c r="U225" s="79"/>
      <c r="V225" s="65"/>
      <c r="Y225" s="78"/>
      <c r="Z225" s="78"/>
      <c r="AA225" s="78"/>
      <c r="AB225" s="78"/>
      <c r="AC225" s="78"/>
      <c r="AD225" s="78"/>
      <c r="AE225" s="78"/>
      <c r="AF225" s="78"/>
      <c r="AG225" s="79"/>
      <c r="AH225" s="65"/>
      <c r="AJ225" s="85"/>
      <c r="AK225" s="78"/>
      <c r="AL225" s="78"/>
      <c r="AM225" s="78"/>
      <c r="AN225" s="78"/>
      <c r="AO225" s="78"/>
      <c r="AP225" s="78"/>
      <c r="AQ225" s="79"/>
      <c r="AR225" s="65"/>
      <c r="AT225" s="85"/>
      <c r="AU225" s="78"/>
      <c r="AV225" s="78"/>
      <c r="AW225" s="78"/>
      <c r="AX225" s="78"/>
      <c r="AY225" s="78"/>
      <c r="AZ225" s="79"/>
      <c r="BA225" s="65"/>
      <c r="BC225" s="85"/>
      <c r="BD225" s="78"/>
      <c r="BE225" s="78"/>
      <c r="BF225" s="78"/>
      <c r="BG225" s="78"/>
      <c r="BH225" s="78"/>
      <c r="BI225" s="78"/>
      <c r="BJ225" s="79"/>
      <c r="BK225" s="65"/>
      <c r="CU225" s="67"/>
      <c r="EC225" s="67"/>
      <c r="FK225" s="67"/>
      <c r="FL225" s="67"/>
      <c r="FM225" s="67"/>
      <c r="FN225" s="67"/>
      <c r="FO225" s="67"/>
      <c r="FP225" s="67"/>
      <c r="FQ225" s="67"/>
      <c r="FR225" s="67"/>
      <c r="FS225" s="67"/>
      <c r="FT225" s="67"/>
      <c r="FU225" s="67"/>
      <c r="FV225" s="67"/>
      <c r="FW225" s="67"/>
      <c r="FX225" s="67"/>
      <c r="FY225" s="67"/>
      <c r="FZ225" s="67"/>
      <c r="GA225" s="67"/>
      <c r="GB225" s="67"/>
      <c r="GC225" s="67"/>
      <c r="GD225" s="67"/>
      <c r="GE225" s="67"/>
      <c r="GF225" s="67"/>
      <c r="GG225" s="67"/>
      <c r="GH225" s="67"/>
      <c r="GI225" s="67"/>
      <c r="GJ225" s="67"/>
      <c r="GK225" s="67"/>
      <c r="GL225" s="67"/>
      <c r="GM225" s="67"/>
      <c r="GN225" s="67"/>
      <c r="GO225" s="67"/>
      <c r="GP225" s="67"/>
    </row>
    <row r="226" spans="5:198" s="66" customFormat="1">
      <c r="E226" s="67"/>
      <c r="G226" s="67"/>
      <c r="H226" s="67"/>
      <c r="I226" s="67"/>
      <c r="J226" s="67"/>
      <c r="K226" s="67"/>
      <c r="L226" s="67"/>
      <c r="M226" s="67"/>
      <c r="N226" s="67"/>
      <c r="O226" s="78"/>
      <c r="P226" s="78"/>
      <c r="S226" s="78"/>
      <c r="T226" s="78"/>
      <c r="U226" s="79"/>
      <c r="V226" s="65"/>
      <c r="Y226" s="78"/>
      <c r="Z226" s="78"/>
      <c r="AA226" s="78"/>
      <c r="AB226" s="78"/>
      <c r="AC226" s="78"/>
      <c r="AD226" s="78"/>
      <c r="AE226" s="78"/>
      <c r="AF226" s="78"/>
      <c r="AG226" s="79"/>
      <c r="AH226" s="65"/>
      <c r="AJ226" s="85"/>
      <c r="AK226" s="78"/>
      <c r="AL226" s="78"/>
      <c r="AM226" s="78"/>
      <c r="AN226" s="78"/>
      <c r="AO226" s="78"/>
      <c r="AP226" s="78"/>
      <c r="AQ226" s="79"/>
      <c r="AR226" s="65"/>
      <c r="AT226" s="85"/>
      <c r="AU226" s="78"/>
      <c r="AV226" s="78"/>
      <c r="AW226" s="78"/>
      <c r="AX226" s="78"/>
      <c r="AY226" s="78"/>
      <c r="AZ226" s="79"/>
      <c r="BA226" s="65"/>
      <c r="BC226" s="85"/>
      <c r="BD226" s="78"/>
      <c r="BE226" s="78"/>
      <c r="BF226" s="78"/>
      <c r="BG226" s="78"/>
      <c r="BH226" s="78"/>
      <c r="BI226" s="78"/>
      <c r="BJ226" s="79"/>
      <c r="BK226" s="65"/>
      <c r="CU226" s="67"/>
      <c r="EC226" s="67"/>
      <c r="FK226" s="67"/>
      <c r="FL226" s="67"/>
      <c r="FM226" s="67"/>
      <c r="FN226" s="67"/>
      <c r="FO226" s="67"/>
      <c r="FP226" s="67"/>
      <c r="FQ226" s="67"/>
      <c r="FR226" s="67"/>
      <c r="FS226" s="67"/>
      <c r="FT226" s="67"/>
      <c r="FU226" s="67"/>
      <c r="FV226" s="67"/>
      <c r="FW226" s="67"/>
      <c r="FX226" s="67"/>
      <c r="FY226" s="67"/>
      <c r="FZ226" s="67"/>
      <c r="GA226" s="67"/>
      <c r="GB226" s="67"/>
      <c r="GC226" s="67"/>
      <c r="GD226" s="67"/>
      <c r="GE226" s="67"/>
      <c r="GF226" s="67"/>
      <c r="GG226" s="67"/>
      <c r="GH226" s="67"/>
      <c r="GI226" s="67"/>
      <c r="GJ226" s="67"/>
      <c r="GK226" s="67"/>
      <c r="GL226" s="67"/>
      <c r="GM226" s="67"/>
      <c r="GN226" s="67"/>
      <c r="GO226" s="67"/>
      <c r="GP226" s="67"/>
    </row>
    <row r="227" spans="5:198" s="66" customFormat="1">
      <c r="E227" s="67"/>
      <c r="G227" s="67"/>
      <c r="H227" s="67"/>
      <c r="I227" s="67"/>
      <c r="J227" s="67"/>
      <c r="K227" s="67"/>
      <c r="L227" s="67"/>
      <c r="M227" s="67"/>
      <c r="N227" s="67"/>
      <c r="O227" s="78"/>
      <c r="P227" s="78"/>
      <c r="S227" s="78"/>
      <c r="T227" s="78"/>
      <c r="U227" s="79"/>
      <c r="V227" s="65"/>
      <c r="Y227" s="78"/>
      <c r="Z227" s="78"/>
      <c r="AA227" s="78"/>
      <c r="AB227" s="78"/>
      <c r="AC227" s="78"/>
      <c r="AD227" s="78"/>
      <c r="AE227" s="78"/>
      <c r="AF227" s="78"/>
      <c r="AG227" s="79"/>
      <c r="AH227" s="65"/>
      <c r="AJ227" s="85"/>
      <c r="AK227" s="78"/>
      <c r="AL227" s="78"/>
      <c r="AM227" s="78"/>
      <c r="AN227" s="78"/>
      <c r="AO227" s="78"/>
      <c r="AP227" s="78"/>
      <c r="AQ227" s="79"/>
      <c r="AR227" s="65"/>
      <c r="AT227" s="85"/>
      <c r="AU227" s="78"/>
      <c r="AV227" s="78"/>
      <c r="AW227" s="78"/>
      <c r="AX227" s="78"/>
      <c r="AY227" s="78"/>
      <c r="AZ227" s="79"/>
      <c r="BA227" s="65"/>
      <c r="BC227" s="85"/>
      <c r="BD227" s="78"/>
      <c r="BE227" s="78"/>
      <c r="BF227" s="78"/>
      <c r="BG227" s="78"/>
      <c r="BH227" s="78"/>
      <c r="BI227" s="78"/>
      <c r="BJ227" s="79"/>
      <c r="BK227" s="65"/>
      <c r="CU227" s="67"/>
      <c r="EC227" s="67"/>
      <c r="FK227" s="67"/>
      <c r="FL227" s="67"/>
      <c r="FM227" s="67"/>
      <c r="FN227" s="67"/>
      <c r="FO227" s="67"/>
      <c r="FP227" s="67"/>
      <c r="FQ227" s="67"/>
      <c r="FR227" s="67"/>
      <c r="FS227" s="67"/>
      <c r="FT227" s="67"/>
      <c r="FU227" s="67"/>
      <c r="FV227" s="67"/>
      <c r="FW227" s="67"/>
      <c r="FX227" s="67"/>
      <c r="FY227" s="67"/>
      <c r="FZ227" s="67"/>
      <c r="GA227" s="67"/>
      <c r="GB227" s="67"/>
      <c r="GC227" s="67"/>
      <c r="GD227" s="67"/>
      <c r="GE227" s="67"/>
      <c r="GF227" s="67"/>
      <c r="GG227" s="67"/>
      <c r="GH227" s="67"/>
      <c r="GI227" s="67"/>
      <c r="GJ227" s="67"/>
      <c r="GK227" s="67"/>
      <c r="GL227" s="67"/>
      <c r="GM227" s="67"/>
      <c r="GN227" s="67"/>
      <c r="GO227" s="67"/>
      <c r="GP227" s="67"/>
    </row>
    <row r="228" spans="5:198" s="66" customFormat="1">
      <c r="E228" s="67"/>
      <c r="G228" s="67"/>
      <c r="H228" s="67"/>
      <c r="I228" s="67"/>
      <c r="J228" s="67"/>
      <c r="K228" s="67"/>
      <c r="L228" s="67"/>
      <c r="M228" s="67"/>
      <c r="N228" s="67"/>
      <c r="O228" s="78"/>
      <c r="P228" s="78"/>
      <c r="S228" s="78"/>
      <c r="T228" s="78"/>
      <c r="U228" s="79"/>
      <c r="V228" s="65"/>
      <c r="Y228" s="78"/>
      <c r="Z228" s="78"/>
      <c r="AA228" s="78"/>
      <c r="AB228" s="78"/>
      <c r="AC228" s="78"/>
      <c r="AD228" s="78"/>
      <c r="AE228" s="78"/>
      <c r="AF228" s="78"/>
      <c r="AG228" s="79"/>
      <c r="AH228" s="65"/>
      <c r="AJ228" s="85"/>
      <c r="AK228" s="78"/>
      <c r="AL228" s="78"/>
      <c r="AM228" s="78"/>
      <c r="AN228" s="78"/>
      <c r="AO228" s="78"/>
      <c r="AP228" s="78"/>
      <c r="AQ228" s="79"/>
      <c r="AR228" s="65"/>
      <c r="AT228" s="85"/>
      <c r="AU228" s="78"/>
      <c r="AV228" s="78"/>
      <c r="AW228" s="78"/>
      <c r="AX228" s="78"/>
      <c r="AY228" s="78"/>
      <c r="AZ228" s="79"/>
      <c r="BA228" s="65"/>
      <c r="BC228" s="85"/>
      <c r="BD228" s="78"/>
      <c r="BE228" s="78"/>
      <c r="BF228" s="78"/>
      <c r="BG228" s="78"/>
      <c r="BH228" s="78"/>
      <c r="BI228" s="78"/>
      <c r="BJ228" s="79"/>
      <c r="BK228" s="65"/>
      <c r="CU228" s="67"/>
      <c r="EC228" s="67"/>
      <c r="FK228" s="67"/>
      <c r="FL228" s="67"/>
      <c r="FM228" s="67"/>
      <c r="FN228" s="67"/>
      <c r="FO228" s="67"/>
      <c r="FP228" s="67"/>
      <c r="FQ228" s="67"/>
      <c r="FR228" s="67"/>
      <c r="FS228" s="67"/>
      <c r="FT228" s="67"/>
      <c r="FU228" s="67"/>
      <c r="FV228" s="67"/>
      <c r="FW228" s="67"/>
      <c r="FX228" s="67"/>
      <c r="FY228" s="67"/>
      <c r="FZ228" s="67"/>
      <c r="GA228" s="67"/>
      <c r="GB228" s="67"/>
      <c r="GC228" s="67"/>
      <c r="GD228" s="67"/>
      <c r="GE228" s="67"/>
      <c r="GF228" s="67"/>
      <c r="GG228" s="67"/>
      <c r="GH228" s="67"/>
      <c r="GI228" s="67"/>
      <c r="GJ228" s="67"/>
      <c r="GK228" s="67"/>
      <c r="GL228" s="67"/>
      <c r="GM228" s="67"/>
      <c r="GN228" s="67"/>
      <c r="GO228" s="67"/>
      <c r="GP228" s="67"/>
    </row>
    <row r="229" spans="5:198" s="66" customFormat="1">
      <c r="E229" s="67"/>
      <c r="G229" s="67"/>
      <c r="H229" s="67"/>
      <c r="I229" s="67"/>
      <c r="J229" s="67"/>
      <c r="K229" s="67"/>
      <c r="L229" s="67"/>
      <c r="M229" s="67"/>
      <c r="N229" s="67"/>
      <c r="O229" s="78"/>
      <c r="P229" s="78"/>
      <c r="S229" s="78"/>
      <c r="T229" s="78"/>
      <c r="U229" s="79"/>
      <c r="V229" s="65"/>
      <c r="Y229" s="78"/>
      <c r="Z229" s="78"/>
      <c r="AA229" s="78"/>
      <c r="AB229" s="78"/>
      <c r="AC229" s="78"/>
      <c r="AD229" s="78"/>
      <c r="AE229" s="78"/>
      <c r="AF229" s="78"/>
      <c r="AG229" s="79"/>
      <c r="AH229" s="65"/>
      <c r="AJ229" s="85"/>
      <c r="AK229" s="78"/>
      <c r="AL229" s="78"/>
      <c r="AM229" s="78"/>
      <c r="AN229" s="78"/>
      <c r="AO229" s="78"/>
      <c r="AP229" s="78"/>
      <c r="AQ229" s="79"/>
      <c r="AR229" s="65"/>
      <c r="AT229" s="85"/>
      <c r="AU229" s="78"/>
      <c r="AV229" s="78"/>
      <c r="AW229" s="78"/>
      <c r="AX229" s="78"/>
      <c r="AY229" s="78"/>
      <c r="AZ229" s="79"/>
      <c r="BA229" s="65"/>
      <c r="BC229" s="85"/>
      <c r="BD229" s="78"/>
      <c r="BE229" s="78"/>
      <c r="BF229" s="78"/>
      <c r="BG229" s="78"/>
      <c r="BH229" s="78"/>
      <c r="BI229" s="78"/>
      <c r="BJ229" s="79"/>
      <c r="BK229" s="65"/>
      <c r="CU229" s="67"/>
      <c r="EC229" s="67"/>
      <c r="FK229" s="67"/>
      <c r="FL229" s="67"/>
      <c r="FM229" s="67"/>
      <c r="FN229" s="67"/>
      <c r="FO229" s="67"/>
      <c r="FP229" s="67"/>
      <c r="FQ229" s="67"/>
      <c r="FR229" s="67"/>
      <c r="FS229" s="67"/>
      <c r="FT229" s="67"/>
      <c r="FU229" s="67"/>
      <c r="FV229" s="67"/>
      <c r="FW229" s="67"/>
      <c r="FX229" s="67"/>
      <c r="FY229" s="67"/>
      <c r="FZ229" s="67"/>
      <c r="GA229" s="67"/>
      <c r="GB229" s="67"/>
      <c r="GC229" s="67"/>
      <c r="GD229" s="67"/>
      <c r="GE229" s="67"/>
      <c r="GF229" s="67"/>
      <c r="GG229" s="67"/>
      <c r="GH229" s="67"/>
      <c r="GI229" s="67"/>
      <c r="GJ229" s="67"/>
      <c r="GK229" s="67"/>
      <c r="GL229" s="67"/>
      <c r="GM229" s="67"/>
      <c r="GN229" s="67"/>
      <c r="GO229" s="67"/>
      <c r="GP229" s="67"/>
    </row>
    <row r="230" spans="5:198" s="66" customFormat="1">
      <c r="E230" s="67"/>
      <c r="G230" s="67"/>
      <c r="H230" s="67"/>
      <c r="I230" s="67"/>
      <c r="J230" s="67"/>
      <c r="K230" s="67"/>
      <c r="L230" s="67"/>
      <c r="M230" s="67"/>
      <c r="N230" s="67"/>
      <c r="O230" s="78"/>
      <c r="P230" s="78"/>
      <c r="S230" s="78"/>
      <c r="T230" s="78"/>
      <c r="U230" s="79"/>
      <c r="V230" s="65"/>
      <c r="Y230" s="78"/>
      <c r="Z230" s="78"/>
      <c r="AA230" s="78"/>
      <c r="AB230" s="78"/>
      <c r="AC230" s="78"/>
      <c r="AD230" s="78"/>
      <c r="AE230" s="78"/>
      <c r="AF230" s="78"/>
      <c r="AG230" s="79"/>
      <c r="AH230" s="65"/>
      <c r="AJ230" s="85"/>
      <c r="AK230" s="78"/>
      <c r="AL230" s="78"/>
      <c r="AM230" s="78"/>
      <c r="AN230" s="78"/>
      <c r="AO230" s="78"/>
      <c r="AP230" s="78"/>
      <c r="AQ230" s="79"/>
      <c r="AR230" s="65"/>
      <c r="AT230" s="85"/>
      <c r="AU230" s="78"/>
      <c r="AV230" s="78"/>
      <c r="AW230" s="78"/>
      <c r="AX230" s="78"/>
      <c r="AY230" s="78"/>
      <c r="AZ230" s="79"/>
      <c r="BA230" s="65"/>
      <c r="BC230" s="85"/>
      <c r="BD230" s="78"/>
      <c r="BE230" s="78"/>
      <c r="BF230" s="78"/>
      <c r="BG230" s="78"/>
      <c r="BH230" s="78"/>
      <c r="BI230" s="78"/>
      <c r="BJ230" s="79"/>
      <c r="BK230" s="65"/>
      <c r="CU230" s="67"/>
      <c r="EC230" s="67"/>
      <c r="FK230" s="67"/>
      <c r="FL230" s="67"/>
      <c r="FM230" s="67"/>
      <c r="FN230" s="67"/>
      <c r="FO230" s="67"/>
      <c r="FP230" s="67"/>
      <c r="FQ230" s="67"/>
      <c r="FR230" s="67"/>
      <c r="FS230" s="67"/>
      <c r="FT230" s="67"/>
      <c r="FU230" s="67"/>
      <c r="FV230" s="67"/>
      <c r="FW230" s="67"/>
      <c r="FX230" s="67"/>
      <c r="FY230" s="67"/>
      <c r="FZ230" s="67"/>
      <c r="GA230" s="67"/>
      <c r="GB230" s="67"/>
      <c r="GC230" s="67"/>
      <c r="GD230" s="67"/>
      <c r="GE230" s="67"/>
      <c r="GF230" s="67"/>
      <c r="GG230" s="67"/>
      <c r="GH230" s="67"/>
      <c r="GI230" s="67"/>
      <c r="GJ230" s="67"/>
      <c r="GK230" s="67"/>
      <c r="GL230" s="67"/>
      <c r="GM230" s="67"/>
      <c r="GN230" s="67"/>
      <c r="GO230" s="67"/>
      <c r="GP230" s="67"/>
    </row>
    <row r="231" spans="5:198" s="66" customFormat="1">
      <c r="E231" s="67"/>
      <c r="G231" s="67"/>
      <c r="H231" s="67"/>
      <c r="I231" s="67"/>
      <c r="J231" s="67"/>
      <c r="K231" s="67"/>
      <c r="L231" s="67"/>
      <c r="M231" s="67"/>
      <c r="N231" s="67"/>
      <c r="O231" s="78"/>
      <c r="P231" s="78"/>
      <c r="S231" s="78"/>
      <c r="T231" s="78"/>
      <c r="U231" s="79"/>
      <c r="V231" s="65"/>
      <c r="Y231" s="78"/>
      <c r="Z231" s="78"/>
      <c r="AA231" s="78"/>
      <c r="AB231" s="78"/>
      <c r="AC231" s="78"/>
      <c r="AD231" s="78"/>
      <c r="AE231" s="78"/>
      <c r="AF231" s="78"/>
      <c r="AG231" s="79"/>
      <c r="AH231" s="65"/>
      <c r="AJ231" s="85"/>
      <c r="AK231" s="78"/>
      <c r="AL231" s="78"/>
      <c r="AM231" s="78"/>
      <c r="AN231" s="78"/>
      <c r="AO231" s="78"/>
      <c r="AP231" s="78"/>
      <c r="AQ231" s="79"/>
      <c r="AR231" s="65"/>
      <c r="AT231" s="85"/>
      <c r="AU231" s="78"/>
      <c r="AV231" s="78"/>
      <c r="AW231" s="78"/>
      <c r="AX231" s="78"/>
      <c r="AY231" s="78"/>
      <c r="AZ231" s="79"/>
      <c r="BA231" s="65"/>
      <c r="BC231" s="85"/>
      <c r="BD231" s="78"/>
      <c r="BE231" s="78"/>
      <c r="BF231" s="78"/>
      <c r="BG231" s="78"/>
      <c r="BH231" s="78"/>
      <c r="BI231" s="78"/>
      <c r="BJ231" s="79"/>
      <c r="BK231" s="65"/>
      <c r="CU231" s="67"/>
      <c r="EC231" s="67"/>
      <c r="FK231" s="67"/>
      <c r="FL231" s="67"/>
      <c r="FM231" s="67"/>
      <c r="FN231" s="67"/>
      <c r="FO231" s="67"/>
      <c r="FP231" s="67"/>
      <c r="FQ231" s="67"/>
      <c r="FR231" s="67"/>
      <c r="FS231" s="67"/>
      <c r="FT231" s="67"/>
      <c r="FU231" s="67"/>
      <c r="FV231" s="67"/>
      <c r="FW231" s="67"/>
      <c r="FX231" s="67"/>
      <c r="FY231" s="67"/>
      <c r="FZ231" s="67"/>
      <c r="GA231" s="67"/>
      <c r="GB231" s="67"/>
      <c r="GC231" s="67"/>
      <c r="GD231" s="67"/>
      <c r="GE231" s="67"/>
      <c r="GF231" s="67"/>
      <c r="GG231" s="67"/>
      <c r="GH231" s="67"/>
      <c r="GI231" s="67"/>
      <c r="GJ231" s="67"/>
      <c r="GK231" s="67"/>
      <c r="GL231" s="67"/>
      <c r="GM231" s="67"/>
      <c r="GN231" s="67"/>
      <c r="GO231" s="67"/>
      <c r="GP231" s="67"/>
    </row>
    <row r="232" spans="5:198" s="66" customFormat="1">
      <c r="E232" s="67"/>
      <c r="G232" s="67"/>
      <c r="H232" s="67"/>
      <c r="I232" s="67"/>
      <c r="J232" s="67"/>
      <c r="K232" s="67"/>
      <c r="L232" s="67"/>
      <c r="M232" s="67"/>
      <c r="N232" s="67"/>
      <c r="O232" s="78"/>
      <c r="P232" s="78"/>
      <c r="S232" s="78"/>
      <c r="T232" s="78"/>
      <c r="U232" s="79"/>
      <c r="V232" s="65"/>
      <c r="Y232" s="78"/>
      <c r="Z232" s="78"/>
      <c r="AA232" s="78"/>
      <c r="AB232" s="78"/>
      <c r="AC232" s="78"/>
      <c r="AD232" s="78"/>
      <c r="AE232" s="78"/>
      <c r="AF232" s="78"/>
      <c r="AG232" s="79"/>
      <c r="AH232" s="65"/>
      <c r="AJ232" s="85"/>
      <c r="AK232" s="78"/>
      <c r="AL232" s="78"/>
      <c r="AM232" s="78"/>
      <c r="AN232" s="78"/>
      <c r="AO232" s="78"/>
      <c r="AP232" s="78"/>
      <c r="AQ232" s="79"/>
      <c r="AR232" s="65"/>
      <c r="AT232" s="85"/>
      <c r="AU232" s="78"/>
      <c r="AV232" s="78"/>
      <c r="AW232" s="78"/>
      <c r="AX232" s="78"/>
      <c r="AY232" s="78"/>
      <c r="AZ232" s="79"/>
      <c r="BA232" s="65"/>
      <c r="BC232" s="85"/>
      <c r="BD232" s="78"/>
      <c r="BE232" s="78"/>
      <c r="BF232" s="78"/>
      <c r="BG232" s="78"/>
      <c r="BH232" s="78"/>
      <c r="BI232" s="78"/>
      <c r="BJ232" s="79"/>
      <c r="BK232" s="65"/>
      <c r="CU232" s="67"/>
      <c r="EC232" s="67"/>
      <c r="FK232" s="67"/>
      <c r="FL232" s="67"/>
      <c r="FM232" s="67"/>
      <c r="FN232" s="67"/>
      <c r="FO232" s="67"/>
      <c r="FP232" s="67"/>
      <c r="FQ232" s="67"/>
      <c r="FR232" s="67"/>
      <c r="FS232" s="67"/>
      <c r="FT232" s="67"/>
      <c r="FU232" s="67"/>
      <c r="FV232" s="67"/>
      <c r="FW232" s="67"/>
      <c r="FX232" s="67"/>
      <c r="FY232" s="67"/>
      <c r="FZ232" s="67"/>
      <c r="GA232" s="67"/>
      <c r="GB232" s="67"/>
      <c r="GC232" s="67"/>
      <c r="GD232" s="67"/>
      <c r="GE232" s="67"/>
      <c r="GF232" s="67"/>
      <c r="GG232" s="67"/>
      <c r="GH232" s="67"/>
      <c r="GI232" s="67"/>
      <c r="GJ232" s="67"/>
      <c r="GK232" s="67"/>
      <c r="GL232" s="67"/>
      <c r="GM232" s="67"/>
      <c r="GN232" s="67"/>
      <c r="GO232" s="67"/>
      <c r="GP232" s="67"/>
    </row>
    <row r="233" spans="5:198" s="66" customFormat="1">
      <c r="E233" s="67"/>
      <c r="G233" s="67"/>
      <c r="H233" s="67"/>
      <c r="I233" s="67"/>
      <c r="J233" s="67"/>
      <c r="K233" s="67"/>
      <c r="L233" s="67"/>
      <c r="M233" s="67"/>
      <c r="N233" s="67"/>
      <c r="O233" s="78"/>
      <c r="P233" s="78"/>
      <c r="S233" s="78"/>
      <c r="T233" s="78"/>
      <c r="U233" s="79"/>
      <c r="V233" s="65"/>
      <c r="Y233" s="78"/>
      <c r="Z233" s="78"/>
      <c r="AA233" s="78"/>
      <c r="AB233" s="78"/>
      <c r="AC233" s="78"/>
      <c r="AD233" s="78"/>
      <c r="AE233" s="78"/>
      <c r="AF233" s="78"/>
      <c r="AG233" s="79"/>
      <c r="AH233" s="65"/>
      <c r="AJ233" s="85"/>
      <c r="AK233" s="78"/>
      <c r="AL233" s="78"/>
      <c r="AM233" s="78"/>
      <c r="AN233" s="78"/>
      <c r="AO233" s="78"/>
      <c r="AP233" s="78"/>
      <c r="AQ233" s="79"/>
      <c r="AR233" s="65"/>
      <c r="AT233" s="85"/>
      <c r="AU233" s="78"/>
      <c r="AV233" s="78"/>
      <c r="AW233" s="78"/>
      <c r="AX233" s="78"/>
      <c r="AY233" s="78"/>
      <c r="AZ233" s="79"/>
      <c r="BA233" s="65"/>
      <c r="BC233" s="85"/>
      <c r="BD233" s="78"/>
      <c r="BE233" s="78"/>
      <c r="BF233" s="78"/>
      <c r="BG233" s="78"/>
      <c r="BH233" s="78"/>
      <c r="BI233" s="78"/>
      <c r="BJ233" s="79"/>
      <c r="BK233" s="65"/>
      <c r="CU233" s="67"/>
      <c r="EC233" s="67"/>
      <c r="FK233" s="67"/>
      <c r="FL233" s="67"/>
      <c r="FM233" s="67"/>
      <c r="FN233" s="67"/>
      <c r="FO233" s="67"/>
      <c r="FP233" s="67"/>
      <c r="FQ233" s="67"/>
      <c r="FR233" s="67"/>
      <c r="FS233" s="67"/>
      <c r="FT233" s="67"/>
      <c r="FU233" s="67"/>
      <c r="FV233" s="67"/>
      <c r="FW233" s="67"/>
      <c r="FX233" s="67"/>
      <c r="FY233" s="67"/>
      <c r="FZ233" s="67"/>
      <c r="GA233" s="67"/>
      <c r="GB233" s="67"/>
      <c r="GC233" s="67"/>
      <c r="GD233" s="67"/>
      <c r="GE233" s="67"/>
      <c r="GF233" s="67"/>
      <c r="GG233" s="67"/>
      <c r="GH233" s="67"/>
      <c r="GI233" s="67"/>
      <c r="GJ233" s="67"/>
      <c r="GK233" s="67"/>
      <c r="GL233" s="67"/>
      <c r="GM233" s="67"/>
      <c r="GN233" s="67"/>
      <c r="GO233" s="67"/>
      <c r="GP233" s="67"/>
    </row>
    <row r="234" spans="5:198" s="66" customFormat="1">
      <c r="E234" s="67"/>
      <c r="G234" s="67"/>
      <c r="H234" s="67"/>
      <c r="I234" s="67"/>
      <c r="J234" s="67"/>
      <c r="K234" s="67"/>
      <c r="L234" s="67"/>
      <c r="M234" s="67"/>
      <c r="N234" s="67"/>
      <c r="O234" s="78"/>
      <c r="P234" s="78"/>
      <c r="S234" s="78"/>
      <c r="T234" s="78"/>
      <c r="U234" s="79"/>
      <c r="V234" s="65"/>
      <c r="Y234" s="78"/>
      <c r="Z234" s="78"/>
      <c r="AA234" s="78"/>
      <c r="AB234" s="78"/>
      <c r="AC234" s="78"/>
      <c r="AD234" s="78"/>
      <c r="AE234" s="78"/>
      <c r="AF234" s="78"/>
      <c r="AG234" s="79"/>
      <c r="AH234" s="65"/>
      <c r="AJ234" s="85"/>
      <c r="AK234" s="78"/>
      <c r="AL234" s="78"/>
      <c r="AM234" s="78"/>
      <c r="AN234" s="78"/>
      <c r="AO234" s="78"/>
      <c r="AP234" s="78"/>
      <c r="AQ234" s="79"/>
      <c r="AR234" s="65"/>
      <c r="AT234" s="85"/>
      <c r="AU234" s="78"/>
      <c r="AV234" s="78"/>
      <c r="AW234" s="78"/>
      <c r="AX234" s="78"/>
      <c r="AY234" s="78"/>
      <c r="AZ234" s="79"/>
      <c r="BA234" s="65"/>
      <c r="BC234" s="85"/>
      <c r="BD234" s="78"/>
      <c r="BE234" s="78"/>
      <c r="BF234" s="78"/>
      <c r="BG234" s="78"/>
      <c r="BH234" s="78"/>
      <c r="BI234" s="78"/>
      <c r="BJ234" s="79"/>
      <c r="BK234" s="65"/>
      <c r="CU234" s="67"/>
      <c r="EC234" s="67"/>
      <c r="FK234" s="67"/>
      <c r="FL234" s="67"/>
      <c r="FM234" s="67"/>
      <c r="FN234" s="67"/>
      <c r="FO234" s="67"/>
      <c r="FP234" s="67"/>
      <c r="FQ234" s="67"/>
      <c r="FR234" s="67"/>
      <c r="FS234" s="67"/>
      <c r="FT234" s="67"/>
      <c r="FU234" s="67"/>
      <c r="FV234" s="67"/>
      <c r="FW234" s="67"/>
      <c r="FX234" s="67"/>
      <c r="FY234" s="67"/>
      <c r="FZ234" s="67"/>
      <c r="GA234" s="67"/>
      <c r="GB234" s="67"/>
      <c r="GC234" s="67"/>
      <c r="GD234" s="67"/>
      <c r="GE234" s="67"/>
      <c r="GF234" s="67"/>
      <c r="GG234" s="67"/>
      <c r="GH234" s="67"/>
      <c r="GI234" s="67"/>
      <c r="GJ234" s="67"/>
      <c r="GK234" s="67"/>
      <c r="GL234" s="67"/>
      <c r="GM234" s="67"/>
      <c r="GN234" s="67"/>
      <c r="GO234" s="67"/>
      <c r="GP234" s="67"/>
    </row>
    <row r="235" spans="5:198" s="66" customFormat="1">
      <c r="E235" s="67"/>
      <c r="G235" s="67"/>
      <c r="H235" s="67"/>
      <c r="I235" s="67"/>
      <c r="J235" s="67"/>
      <c r="K235" s="67"/>
      <c r="L235" s="67"/>
      <c r="M235" s="67"/>
      <c r="N235" s="67"/>
      <c r="O235" s="78"/>
      <c r="P235" s="78"/>
      <c r="S235" s="78"/>
      <c r="T235" s="78"/>
      <c r="U235" s="79"/>
      <c r="V235" s="65"/>
      <c r="Y235" s="78"/>
      <c r="Z235" s="78"/>
      <c r="AA235" s="78"/>
      <c r="AB235" s="78"/>
      <c r="AC235" s="78"/>
      <c r="AD235" s="78"/>
      <c r="AE235" s="78"/>
      <c r="AF235" s="78"/>
      <c r="AG235" s="79"/>
      <c r="AH235" s="65"/>
      <c r="AJ235" s="85"/>
      <c r="AK235" s="78"/>
      <c r="AL235" s="78"/>
      <c r="AM235" s="78"/>
      <c r="AN235" s="78"/>
      <c r="AO235" s="78"/>
      <c r="AP235" s="78"/>
      <c r="AQ235" s="79"/>
      <c r="AR235" s="65"/>
      <c r="AT235" s="85"/>
      <c r="AU235" s="78"/>
      <c r="AV235" s="78"/>
      <c r="AW235" s="78"/>
      <c r="AX235" s="78"/>
      <c r="AY235" s="78"/>
      <c r="AZ235" s="79"/>
      <c r="BA235" s="65"/>
      <c r="BC235" s="85"/>
      <c r="BD235" s="78"/>
      <c r="BE235" s="78"/>
      <c r="BF235" s="78"/>
      <c r="BG235" s="78"/>
      <c r="BH235" s="78"/>
      <c r="BI235" s="78"/>
      <c r="BJ235" s="79"/>
      <c r="BK235" s="65"/>
      <c r="CU235" s="67"/>
      <c r="EC235" s="67"/>
      <c r="FK235" s="67"/>
      <c r="FL235" s="67"/>
      <c r="FM235" s="67"/>
      <c r="FN235" s="67"/>
      <c r="FO235" s="67"/>
      <c r="FP235" s="67"/>
      <c r="FQ235" s="67"/>
      <c r="FR235" s="67"/>
      <c r="FS235" s="67"/>
      <c r="FT235" s="67"/>
      <c r="FU235" s="67"/>
      <c r="FV235" s="67"/>
      <c r="FW235" s="67"/>
      <c r="FX235" s="67"/>
      <c r="FY235" s="67"/>
      <c r="FZ235" s="67"/>
      <c r="GA235" s="67"/>
      <c r="GB235" s="67"/>
      <c r="GC235" s="67"/>
      <c r="GD235" s="67"/>
      <c r="GE235" s="67"/>
      <c r="GF235" s="67"/>
      <c r="GG235" s="67"/>
      <c r="GH235" s="67"/>
      <c r="GI235" s="67"/>
      <c r="GJ235" s="67"/>
      <c r="GK235" s="67"/>
      <c r="GL235" s="67"/>
      <c r="GM235" s="67"/>
      <c r="GN235" s="67"/>
      <c r="GO235" s="67"/>
      <c r="GP235" s="67"/>
    </row>
    <row r="236" spans="5:198" s="66" customFormat="1">
      <c r="E236" s="67"/>
      <c r="G236" s="67"/>
      <c r="H236" s="67"/>
      <c r="I236" s="67"/>
      <c r="J236" s="67"/>
      <c r="K236" s="67"/>
      <c r="L236" s="67"/>
      <c r="M236" s="67"/>
      <c r="N236" s="67"/>
      <c r="O236" s="78"/>
      <c r="P236" s="78"/>
      <c r="S236" s="78"/>
      <c r="T236" s="78"/>
      <c r="U236" s="79"/>
      <c r="V236" s="65"/>
      <c r="Y236" s="78"/>
      <c r="Z236" s="78"/>
      <c r="AA236" s="78"/>
      <c r="AB236" s="78"/>
      <c r="AC236" s="78"/>
      <c r="AD236" s="78"/>
      <c r="AE236" s="78"/>
      <c r="AF236" s="78"/>
      <c r="AG236" s="79"/>
      <c r="AH236" s="65"/>
      <c r="AJ236" s="85"/>
      <c r="AK236" s="78"/>
      <c r="AL236" s="78"/>
      <c r="AM236" s="78"/>
      <c r="AN236" s="78"/>
      <c r="AO236" s="78"/>
      <c r="AP236" s="78"/>
      <c r="AQ236" s="79"/>
      <c r="AR236" s="65"/>
      <c r="AT236" s="85"/>
      <c r="AU236" s="78"/>
      <c r="AV236" s="78"/>
      <c r="AW236" s="78"/>
      <c r="AX236" s="78"/>
      <c r="AY236" s="78"/>
      <c r="AZ236" s="79"/>
      <c r="BA236" s="65"/>
      <c r="BC236" s="85"/>
      <c r="BD236" s="78"/>
      <c r="BE236" s="78"/>
      <c r="BF236" s="78"/>
      <c r="BG236" s="78"/>
      <c r="BH236" s="78"/>
      <c r="BI236" s="78"/>
      <c r="BJ236" s="79"/>
      <c r="BK236" s="65"/>
      <c r="CU236" s="67"/>
      <c r="EC236" s="67"/>
      <c r="FK236" s="67"/>
      <c r="FL236" s="67"/>
      <c r="FM236" s="67"/>
      <c r="FN236" s="67"/>
      <c r="FO236" s="67"/>
      <c r="FP236" s="67"/>
      <c r="FQ236" s="67"/>
      <c r="FR236" s="67"/>
      <c r="FS236" s="67"/>
      <c r="FT236" s="67"/>
      <c r="FU236" s="67"/>
      <c r="FV236" s="67"/>
      <c r="FW236" s="67"/>
      <c r="FX236" s="67"/>
      <c r="FY236" s="67"/>
      <c r="FZ236" s="67"/>
      <c r="GA236" s="67"/>
      <c r="GB236" s="67"/>
      <c r="GC236" s="67"/>
      <c r="GD236" s="67"/>
      <c r="GE236" s="67"/>
      <c r="GF236" s="67"/>
      <c r="GG236" s="67"/>
      <c r="GH236" s="67"/>
      <c r="GI236" s="67"/>
      <c r="GJ236" s="67"/>
      <c r="GK236" s="67"/>
      <c r="GL236" s="67"/>
      <c r="GM236" s="67"/>
      <c r="GN236" s="67"/>
      <c r="GO236" s="67"/>
      <c r="GP236" s="67"/>
    </row>
    <row r="237" spans="5:198" s="66" customFormat="1">
      <c r="E237" s="67"/>
      <c r="G237" s="67"/>
      <c r="H237" s="67"/>
      <c r="I237" s="67"/>
      <c r="J237" s="67"/>
      <c r="K237" s="67"/>
      <c r="L237" s="67"/>
      <c r="M237" s="67"/>
      <c r="N237" s="67"/>
      <c r="O237" s="78"/>
      <c r="P237" s="78"/>
      <c r="S237" s="78"/>
      <c r="T237" s="78"/>
      <c r="U237" s="79"/>
      <c r="V237" s="65"/>
      <c r="Y237" s="78"/>
      <c r="Z237" s="78"/>
      <c r="AA237" s="78"/>
      <c r="AB237" s="78"/>
      <c r="AC237" s="78"/>
      <c r="AD237" s="78"/>
      <c r="AE237" s="78"/>
      <c r="AF237" s="78"/>
      <c r="AG237" s="79"/>
      <c r="AH237" s="65"/>
      <c r="AJ237" s="85"/>
      <c r="AK237" s="78"/>
      <c r="AL237" s="78"/>
      <c r="AM237" s="78"/>
      <c r="AN237" s="78"/>
      <c r="AO237" s="78"/>
      <c r="AP237" s="78"/>
      <c r="AQ237" s="79"/>
      <c r="AR237" s="65"/>
      <c r="AT237" s="85"/>
      <c r="AU237" s="78"/>
      <c r="AV237" s="78"/>
      <c r="AW237" s="78"/>
      <c r="AX237" s="78"/>
      <c r="AY237" s="78"/>
      <c r="AZ237" s="79"/>
      <c r="BA237" s="65"/>
      <c r="BC237" s="85"/>
      <c r="BD237" s="78"/>
      <c r="BE237" s="78"/>
      <c r="BF237" s="78"/>
      <c r="BG237" s="78"/>
      <c r="BH237" s="78"/>
      <c r="BI237" s="78"/>
      <c r="BJ237" s="79"/>
      <c r="BK237" s="65"/>
      <c r="CU237" s="67"/>
      <c r="EC237" s="67"/>
      <c r="FK237" s="67"/>
      <c r="FL237" s="67"/>
      <c r="FM237" s="67"/>
      <c r="FN237" s="67"/>
      <c r="FO237" s="67"/>
      <c r="FP237" s="67"/>
      <c r="FQ237" s="67"/>
      <c r="FR237" s="67"/>
      <c r="FS237" s="67"/>
      <c r="FT237" s="67"/>
      <c r="FU237" s="67"/>
      <c r="FV237" s="67"/>
      <c r="FW237" s="67"/>
      <c r="FX237" s="67"/>
      <c r="FY237" s="67"/>
      <c r="FZ237" s="67"/>
      <c r="GA237" s="67"/>
      <c r="GB237" s="67"/>
      <c r="GC237" s="67"/>
      <c r="GD237" s="67"/>
      <c r="GE237" s="67"/>
      <c r="GF237" s="67"/>
      <c r="GG237" s="67"/>
      <c r="GH237" s="67"/>
      <c r="GI237" s="67"/>
      <c r="GJ237" s="67"/>
      <c r="GK237" s="67"/>
      <c r="GL237" s="67"/>
      <c r="GM237" s="67"/>
      <c r="GN237" s="67"/>
      <c r="GO237" s="67"/>
      <c r="GP237" s="67"/>
    </row>
    <row r="238" spans="5:198" s="66" customFormat="1">
      <c r="E238" s="67"/>
      <c r="G238" s="67"/>
      <c r="H238" s="67"/>
      <c r="I238" s="67"/>
      <c r="J238" s="67"/>
      <c r="K238" s="67"/>
      <c r="L238" s="67"/>
      <c r="M238" s="67"/>
      <c r="N238" s="67"/>
      <c r="O238" s="78"/>
      <c r="P238" s="78"/>
      <c r="S238" s="78"/>
      <c r="T238" s="78"/>
      <c r="U238" s="79"/>
      <c r="V238" s="65"/>
      <c r="Y238" s="78"/>
      <c r="Z238" s="78"/>
      <c r="AA238" s="78"/>
      <c r="AB238" s="78"/>
      <c r="AC238" s="78"/>
      <c r="AD238" s="78"/>
      <c r="AE238" s="78"/>
      <c r="AF238" s="78"/>
      <c r="AG238" s="79"/>
      <c r="AH238" s="65"/>
      <c r="AJ238" s="85"/>
      <c r="AK238" s="78"/>
      <c r="AL238" s="78"/>
      <c r="AM238" s="78"/>
      <c r="AN238" s="78"/>
      <c r="AO238" s="78"/>
      <c r="AP238" s="78"/>
      <c r="AQ238" s="79"/>
      <c r="AR238" s="65"/>
      <c r="AT238" s="85"/>
      <c r="AU238" s="78"/>
      <c r="AV238" s="78"/>
      <c r="AW238" s="78"/>
      <c r="AX238" s="78"/>
      <c r="AY238" s="78"/>
      <c r="AZ238" s="79"/>
      <c r="BA238" s="65"/>
      <c r="BC238" s="85"/>
      <c r="BD238" s="78"/>
      <c r="BE238" s="78"/>
      <c r="BF238" s="78"/>
      <c r="BG238" s="78"/>
      <c r="BH238" s="78"/>
      <c r="BI238" s="78"/>
      <c r="BJ238" s="79"/>
      <c r="BK238" s="65"/>
      <c r="CU238" s="67"/>
      <c r="EC238" s="67"/>
      <c r="FK238" s="67"/>
      <c r="FL238" s="67"/>
      <c r="FM238" s="67"/>
      <c r="FN238" s="67"/>
      <c r="FO238" s="67"/>
      <c r="FP238" s="67"/>
      <c r="FQ238" s="67"/>
      <c r="FR238" s="67"/>
      <c r="FS238" s="67"/>
      <c r="FT238" s="67"/>
      <c r="FU238" s="67"/>
      <c r="FV238" s="67"/>
      <c r="FW238" s="67"/>
      <c r="FX238" s="67"/>
      <c r="FY238" s="67"/>
      <c r="FZ238" s="67"/>
      <c r="GA238" s="67"/>
      <c r="GB238" s="67"/>
      <c r="GC238" s="67"/>
      <c r="GD238" s="67"/>
      <c r="GE238" s="67"/>
      <c r="GF238" s="67"/>
      <c r="GG238" s="67"/>
      <c r="GH238" s="67"/>
      <c r="GI238" s="67"/>
      <c r="GJ238" s="67"/>
      <c r="GK238" s="67"/>
      <c r="GL238" s="67"/>
      <c r="GM238" s="67"/>
      <c r="GN238" s="67"/>
      <c r="GO238" s="67"/>
      <c r="GP238" s="67"/>
    </row>
    <row r="239" spans="5:198" s="66" customFormat="1">
      <c r="E239" s="67"/>
      <c r="G239" s="67"/>
      <c r="H239" s="67"/>
      <c r="I239" s="67"/>
      <c r="J239" s="67"/>
      <c r="K239" s="67"/>
      <c r="L239" s="67"/>
      <c r="M239" s="67"/>
      <c r="N239" s="67"/>
      <c r="O239" s="78"/>
      <c r="P239" s="78"/>
      <c r="S239" s="78"/>
      <c r="T239" s="78"/>
      <c r="U239" s="79"/>
      <c r="V239" s="65"/>
      <c r="Y239" s="78"/>
      <c r="Z239" s="78"/>
      <c r="AA239" s="78"/>
      <c r="AB239" s="78"/>
      <c r="AC239" s="78"/>
      <c r="AD239" s="78"/>
      <c r="AE239" s="78"/>
      <c r="AF239" s="78"/>
      <c r="AG239" s="79"/>
      <c r="AH239" s="65"/>
      <c r="AJ239" s="85"/>
      <c r="AK239" s="78"/>
      <c r="AL239" s="78"/>
      <c r="AM239" s="78"/>
      <c r="AN239" s="78"/>
      <c r="AO239" s="78"/>
      <c r="AP239" s="78"/>
      <c r="AQ239" s="79"/>
      <c r="AR239" s="65"/>
      <c r="AT239" s="85"/>
      <c r="AU239" s="78"/>
      <c r="AV239" s="78"/>
      <c r="AW239" s="78"/>
      <c r="AX239" s="78"/>
      <c r="AY239" s="78"/>
      <c r="AZ239" s="79"/>
      <c r="BA239" s="65"/>
      <c r="BC239" s="85"/>
      <c r="BD239" s="78"/>
      <c r="BE239" s="78"/>
      <c r="BF239" s="78"/>
      <c r="BG239" s="78"/>
      <c r="BH239" s="78"/>
      <c r="BI239" s="78"/>
      <c r="BJ239" s="79"/>
      <c r="BK239" s="65"/>
      <c r="CU239" s="67"/>
      <c r="EC239" s="67"/>
      <c r="FK239" s="67"/>
      <c r="FL239" s="67"/>
      <c r="FM239" s="67"/>
      <c r="FN239" s="67"/>
      <c r="FO239" s="67"/>
      <c r="FP239" s="67"/>
      <c r="FQ239" s="67"/>
      <c r="FR239" s="67"/>
      <c r="FS239" s="67"/>
      <c r="FT239" s="67"/>
      <c r="FU239" s="67"/>
      <c r="FV239" s="67"/>
      <c r="FW239" s="67"/>
      <c r="FX239" s="67"/>
      <c r="FY239" s="67"/>
      <c r="FZ239" s="67"/>
      <c r="GA239" s="67"/>
      <c r="GB239" s="67"/>
      <c r="GC239" s="67"/>
      <c r="GD239" s="67"/>
      <c r="GE239" s="67"/>
      <c r="GF239" s="67"/>
      <c r="GG239" s="67"/>
      <c r="GH239" s="67"/>
      <c r="GI239" s="67"/>
      <c r="GJ239" s="67"/>
      <c r="GK239" s="67"/>
      <c r="GL239" s="67"/>
      <c r="GM239" s="67"/>
      <c r="GN239" s="67"/>
      <c r="GO239" s="67"/>
      <c r="GP239" s="67"/>
    </row>
    <row r="240" spans="5:198" s="66" customFormat="1">
      <c r="E240" s="67"/>
      <c r="G240" s="67"/>
      <c r="H240" s="67"/>
      <c r="I240" s="67"/>
      <c r="J240" s="67"/>
      <c r="K240" s="67"/>
      <c r="L240" s="67"/>
      <c r="M240" s="67"/>
      <c r="N240" s="67"/>
      <c r="O240" s="78"/>
      <c r="P240" s="78"/>
      <c r="S240" s="78"/>
      <c r="T240" s="78"/>
      <c r="U240" s="79"/>
      <c r="V240" s="65"/>
      <c r="Y240" s="78"/>
      <c r="Z240" s="78"/>
      <c r="AA240" s="78"/>
      <c r="AB240" s="78"/>
      <c r="AC240" s="78"/>
      <c r="AD240" s="78"/>
      <c r="AE240" s="78"/>
      <c r="AF240" s="78"/>
      <c r="AG240" s="79"/>
      <c r="AH240" s="65"/>
      <c r="AJ240" s="85"/>
      <c r="AK240" s="78"/>
      <c r="AL240" s="78"/>
      <c r="AM240" s="78"/>
      <c r="AN240" s="78"/>
      <c r="AO240" s="78"/>
      <c r="AP240" s="78"/>
      <c r="AQ240" s="79"/>
      <c r="AR240" s="65"/>
      <c r="AT240" s="85"/>
      <c r="AU240" s="78"/>
      <c r="AV240" s="78"/>
      <c r="AW240" s="78"/>
      <c r="AX240" s="78"/>
      <c r="AY240" s="78"/>
      <c r="AZ240" s="79"/>
      <c r="BA240" s="65"/>
      <c r="BC240" s="85"/>
      <c r="BD240" s="78"/>
      <c r="BE240" s="78"/>
      <c r="BF240" s="78"/>
      <c r="BG240" s="78"/>
      <c r="BH240" s="78"/>
      <c r="BI240" s="78"/>
      <c r="BJ240" s="79"/>
      <c r="BK240" s="65"/>
      <c r="CU240" s="67"/>
      <c r="EC240" s="67"/>
      <c r="FK240" s="67"/>
      <c r="FL240" s="67"/>
      <c r="FM240" s="67"/>
      <c r="FN240" s="67"/>
      <c r="FO240" s="67"/>
      <c r="FP240" s="67"/>
      <c r="FQ240" s="67"/>
      <c r="FR240" s="67"/>
      <c r="FS240" s="67"/>
      <c r="FT240" s="67"/>
      <c r="FU240" s="67"/>
      <c r="FV240" s="67"/>
      <c r="FW240" s="67"/>
      <c r="FX240" s="67"/>
      <c r="FY240" s="67"/>
      <c r="FZ240" s="67"/>
      <c r="GA240" s="67"/>
      <c r="GB240" s="67"/>
      <c r="GC240" s="67"/>
      <c r="GD240" s="67"/>
      <c r="GE240" s="67"/>
      <c r="GF240" s="67"/>
      <c r="GG240" s="67"/>
      <c r="GH240" s="67"/>
      <c r="GI240" s="67"/>
      <c r="GJ240" s="67"/>
      <c r="GK240" s="67"/>
      <c r="GL240" s="67"/>
      <c r="GM240" s="67"/>
      <c r="GN240" s="67"/>
      <c r="GO240" s="67"/>
      <c r="GP240" s="67"/>
    </row>
    <row r="241" spans="5:198" s="66" customFormat="1">
      <c r="E241" s="67"/>
      <c r="G241" s="67"/>
      <c r="H241" s="67"/>
      <c r="I241" s="67"/>
      <c r="J241" s="67"/>
      <c r="K241" s="67"/>
      <c r="L241" s="67"/>
      <c r="M241" s="67"/>
      <c r="N241" s="67"/>
      <c r="O241" s="78"/>
      <c r="P241" s="78"/>
      <c r="S241" s="78"/>
      <c r="T241" s="78"/>
      <c r="U241" s="79"/>
      <c r="V241" s="65"/>
      <c r="Y241" s="78"/>
      <c r="Z241" s="78"/>
      <c r="AA241" s="78"/>
      <c r="AB241" s="78"/>
      <c r="AC241" s="78"/>
      <c r="AD241" s="78"/>
      <c r="AE241" s="78"/>
      <c r="AF241" s="78"/>
      <c r="AG241" s="79"/>
      <c r="AH241" s="65"/>
      <c r="AJ241" s="85"/>
      <c r="AK241" s="78"/>
      <c r="AL241" s="78"/>
      <c r="AM241" s="78"/>
      <c r="AN241" s="78"/>
      <c r="AO241" s="78"/>
      <c r="AP241" s="78"/>
      <c r="AQ241" s="79"/>
      <c r="AR241" s="65"/>
      <c r="AT241" s="85"/>
      <c r="AU241" s="78"/>
      <c r="AV241" s="78"/>
      <c r="AW241" s="78"/>
      <c r="AX241" s="78"/>
      <c r="AY241" s="78"/>
      <c r="AZ241" s="79"/>
      <c r="BA241" s="65"/>
      <c r="BC241" s="85"/>
      <c r="BD241" s="78"/>
      <c r="BE241" s="78"/>
      <c r="BF241" s="78"/>
      <c r="BG241" s="78"/>
      <c r="BH241" s="78"/>
      <c r="BI241" s="78"/>
      <c r="BJ241" s="79"/>
      <c r="BK241" s="65"/>
      <c r="CU241" s="67"/>
      <c r="EC241" s="67"/>
      <c r="FK241" s="67"/>
      <c r="FL241" s="67"/>
      <c r="FM241" s="67"/>
      <c r="FN241" s="67"/>
      <c r="FO241" s="67"/>
      <c r="FP241" s="67"/>
      <c r="FQ241" s="67"/>
      <c r="FR241" s="67"/>
      <c r="FS241" s="67"/>
      <c r="FT241" s="67"/>
      <c r="FU241" s="67"/>
      <c r="FV241" s="67"/>
      <c r="FW241" s="67"/>
      <c r="FX241" s="67"/>
      <c r="FY241" s="67"/>
      <c r="FZ241" s="67"/>
      <c r="GA241" s="67"/>
      <c r="GB241" s="67"/>
      <c r="GC241" s="67"/>
      <c r="GD241" s="67"/>
      <c r="GE241" s="67"/>
      <c r="GF241" s="67"/>
      <c r="GG241" s="67"/>
      <c r="GH241" s="67"/>
      <c r="GI241" s="67"/>
      <c r="GJ241" s="67"/>
      <c r="GK241" s="67"/>
      <c r="GL241" s="67"/>
      <c r="GM241" s="67"/>
      <c r="GN241" s="67"/>
      <c r="GO241" s="67"/>
      <c r="GP241" s="67"/>
    </row>
    <row r="242" spans="5:198" s="66" customFormat="1">
      <c r="E242" s="67"/>
      <c r="G242" s="67"/>
      <c r="H242" s="67"/>
      <c r="I242" s="67"/>
      <c r="J242" s="67"/>
      <c r="K242" s="67"/>
      <c r="L242" s="67"/>
      <c r="M242" s="67"/>
      <c r="N242" s="67"/>
      <c r="O242" s="78"/>
      <c r="P242" s="78"/>
      <c r="S242" s="78"/>
      <c r="T242" s="78"/>
      <c r="U242" s="79"/>
      <c r="V242" s="65"/>
      <c r="Y242" s="78"/>
      <c r="Z242" s="78"/>
      <c r="AA242" s="78"/>
      <c r="AB242" s="78"/>
      <c r="AC242" s="78"/>
      <c r="AD242" s="78"/>
      <c r="AE242" s="78"/>
      <c r="AF242" s="78"/>
      <c r="AG242" s="79"/>
      <c r="AH242" s="65"/>
      <c r="AJ242" s="85"/>
      <c r="AK242" s="78"/>
      <c r="AL242" s="78"/>
      <c r="AM242" s="78"/>
      <c r="AN242" s="78"/>
      <c r="AO242" s="78"/>
      <c r="AP242" s="78"/>
      <c r="AQ242" s="79"/>
      <c r="AR242" s="65"/>
      <c r="AT242" s="85"/>
      <c r="AU242" s="78"/>
      <c r="AV242" s="78"/>
      <c r="AW242" s="78"/>
      <c r="AX242" s="78"/>
      <c r="AY242" s="78"/>
      <c r="AZ242" s="79"/>
      <c r="BA242" s="65"/>
      <c r="BC242" s="85"/>
      <c r="BD242" s="78"/>
      <c r="BE242" s="78"/>
      <c r="BF242" s="78"/>
      <c r="BG242" s="78"/>
      <c r="BH242" s="78"/>
      <c r="BI242" s="78"/>
      <c r="BJ242" s="79"/>
      <c r="BK242" s="65"/>
      <c r="CU242" s="67"/>
      <c r="EC242" s="67"/>
      <c r="FK242" s="67"/>
      <c r="FL242" s="67"/>
      <c r="FM242" s="67"/>
      <c r="FN242" s="67"/>
      <c r="FO242" s="67"/>
      <c r="FP242" s="67"/>
      <c r="FQ242" s="67"/>
      <c r="FR242" s="67"/>
      <c r="FS242" s="67"/>
      <c r="FT242" s="67"/>
      <c r="FU242" s="67"/>
      <c r="FV242" s="67"/>
      <c r="FW242" s="67"/>
      <c r="FX242" s="67"/>
      <c r="FY242" s="67"/>
      <c r="FZ242" s="67"/>
      <c r="GA242" s="67"/>
      <c r="GB242" s="67"/>
      <c r="GC242" s="67"/>
      <c r="GD242" s="67"/>
      <c r="GE242" s="67"/>
      <c r="GF242" s="67"/>
      <c r="GG242" s="67"/>
      <c r="GH242" s="67"/>
      <c r="GI242" s="67"/>
      <c r="GJ242" s="67"/>
      <c r="GK242" s="67"/>
      <c r="GL242" s="67"/>
      <c r="GM242" s="67"/>
      <c r="GN242" s="67"/>
      <c r="GO242" s="67"/>
      <c r="GP242" s="67"/>
    </row>
    <row r="243" spans="5:198" s="66" customFormat="1">
      <c r="E243" s="67"/>
      <c r="G243" s="67"/>
      <c r="H243" s="67"/>
      <c r="I243" s="67"/>
      <c r="J243" s="67"/>
      <c r="K243" s="67"/>
      <c r="L243" s="67"/>
      <c r="M243" s="67"/>
      <c r="N243" s="67"/>
      <c r="O243" s="78"/>
      <c r="P243" s="78"/>
      <c r="S243" s="78"/>
      <c r="T243" s="78"/>
      <c r="U243" s="79"/>
      <c r="V243" s="65"/>
      <c r="Y243" s="78"/>
      <c r="Z243" s="78"/>
      <c r="AA243" s="78"/>
      <c r="AB243" s="78"/>
      <c r="AC243" s="78"/>
      <c r="AD243" s="78"/>
      <c r="AE243" s="78"/>
      <c r="AF243" s="78"/>
      <c r="AG243" s="79"/>
      <c r="AH243" s="65"/>
      <c r="AJ243" s="85"/>
      <c r="AK243" s="78"/>
      <c r="AL243" s="78"/>
      <c r="AM243" s="78"/>
      <c r="AN243" s="78"/>
      <c r="AO243" s="78"/>
      <c r="AP243" s="78"/>
      <c r="AQ243" s="79"/>
      <c r="AR243" s="65"/>
      <c r="AT243" s="85"/>
      <c r="AU243" s="78"/>
      <c r="AV243" s="78"/>
      <c r="AW243" s="78"/>
      <c r="AX243" s="78"/>
      <c r="AY243" s="78"/>
      <c r="AZ243" s="79"/>
      <c r="BA243" s="65"/>
      <c r="BC243" s="85"/>
      <c r="BD243" s="78"/>
      <c r="BE243" s="78"/>
      <c r="BF243" s="78"/>
      <c r="BG243" s="78"/>
      <c r="BH243" s="78"/>
      <c r="BI243" s="78"/>
      <c r="BJ243" s="79"/>
      <c r="BK243" s="65"/>
      <c r="CU243" s="67"/>
      <c r="EC243" s="67"/>
      <c r="FK243" s="67"/>
      <c r="FL243" s="67"/>
      <c r="FM243" s="67"/>
      <c r="FN243" s="67"/>
      <c r="FO243" s="67"/>
      <c r="FP243" s="67"/>
      <c r="FQ243" s="67"/>
      <c r="FR243" s="67"/>
      <c r="FS243" s="67"/>
      <c r="FT243" s="67"/>
      <c r="FU243" s="67"/>
      <c r="FV243" s="67"/>
      <c r="FW243" s="67"/>
      <c r="FX243" s="67"/>
      <c r="FY243" s="67"/>
      <c r="FZ243" s="67"/>
      <c r="GA243" s="67"/>
      <c r="GB243" s="67"/>
      <c r="GC243" s="67"/>
      <c r="GD243" s="67"/>
      <c r="GE243" s="67"/>
      <c r="GF243" s="67"/>
      <c r="GG243" s="67"/>
      <c r="GH243" s="67"/>
      <c r="GI243" s="67"/>
      <c r="GJ243" s="67"/>
      <c r="GK243" s="67"/>
      <c r="GL243" s="67"/>
      <c r="GM243" s="67"/>
      <c r="GN243" s="67"/>
      <c r="GO243" s="67"/>
      <c r="GP243" s="67"/>
    </row>
    <row r="244" spans="5:198" s="66" customFormat="1">
      <c r="E244" s="67"/>
      <c r="G244" s="67"/>
      <c r="H244" s="67"/>
      <c r="I244" s="67"/>
      <c r="J244" s="67"/>
      <c r="K244" s="67"/>
      <c r="L244" s="67"/>
      <c r="M244" s="67"/>
      <c r="N244" s="67"/>
      <c r="O244" s="78"/>
      <c r="P244" s="78"/>
      <c r="S244" s="78"/>
      <c r="T244" s="78"/>
      <c r="U244" s="79"/>
      <c r="V244" s="65"/>
      <c r="Y244" s="78"/>
      <c r="Z244" s="78"/>
      <c r="AA244" s="78"/>
      <c r="AB244" s="78"/>
      <c r="AC244" s="78"/>
      <c r="AD244" s="78"/>
      <c r="AE244" s="78"/>
      <c r="AF244" s="78"/>
      <c r="AG244" s="79"/>
      <c r="AH244" s="65"/>
      <c r="AJ244" s="85"/>
      <c r="AK244" s="78"/>
      <c r="AL244" s="78"/>
      <c r="AM244" s="78"/>
      <c r="AN244" s="78"/>
      <c r="AO244" s="78"/>
      <c r="AP244" s="78"/>
      <c r="AQ244" s="79"/>
      <c r="AR244" s="65"/>
      <c r="AT244" s="85"/>
      <c r="AU244" s="78"/>
      <c r="AV244" s="78"/>
      <c r="AW244" s="78"/>
      <c r="AX244" s="78"/>
      <c r="AY244" s="78"/>
      <c r="AZ244" s="79"/>
      <c r="BA244" s="65"/>
      <c r="BC244" s="85"/>
      <c r="BD244" s="78"/>
      <c r="BE244" s="78"/>
      <c r="BF244" s="78"/>
      <c r="BG244" s="78"/>
      <c r="BH244" s="78"/>
      <c r="BI244" s="78"/>
      <c r="BJ244" s="79"/>
      <c r="BK244" s="65"/>
      <c r="CU244" s="67"/>
      <c r="EC244" s="67"/>
      <c r="FK244" s="67"/>
      <c r="FL244" s="67"/>
      <c r="FM244" s="67"/>
      <c r="FN244" s="67"/>
      <c r="FO244" s="67"/>
      <c r="FP244" s="67"/>
      <c r="FQ244" s="67"/>
      <c r="FR244" s="67"/>
      <c r="FS244" s="67"/>
      <c r="FT244" s="67"/>
      <c r="FU244" s="67"/>
      <c r="FV244" s="67"/>
      <c r="FW244" s="67"/>
      <c r="FX244" s="67"/>
      <c r="FY244" s="67"/>
      <c r="FZ244" s="67"/>
      <c r="GA244" s="67"/>
      <c r="GB244" s="67"/>
      <c r="GC244" s="67"/>
      <c r="GD244" s="67"/>
      <c r="GE244" s="67"/>
      <c r="GF244" s="67"/>
      <c r="GG244" s="67"/>
      <c r="GH244" s="67"/>
      <c r="GI244" s="67"/>
      <c r="GJ244" s="67"/>
      <c r="GK244" s="67"/>
      <c r="GL244" s="67"/>
      <c r="GM244" s="67"/>
      <c r="GN244" s="67"/>
      <c r="GO244" s="67"/>
      <c r="GP244" s="67"/>
    </row>
    <row r="245" spans="5:198" s="66" customFormat="1">
      <c r="E245" s="67"/>
      <c r="G245" s="67"/>
      <c r="H245" s="67"/>
      <c r="I245" s="67"/>
      <c r="J245" s="67"/>
      <c r="K245" s="67"/>
      <c r="L245" s="67"/>
      <c r="M245" s="67"/>
      <c r="N245" s="67"/>
      <c r="O245" s="78"/>
      <c r="P245" s="78"/>
      <c r="S245" s="78"/>
      <c r="T245" s="78"/>
      <c r="U245" s="79"/>
      <c r="V245" s="65"/>
      <c r="Y245" s="78"/>
      <c r="Z245" s="78"/>
      <c r="AA245" s="78"/>
      <c r="AB245" s="78"/>
      <c r="AC245" s="78"/>
      <c r="AD245" s="78"/>
      <c r="AE245" s="78"/>
      <c r="AF245" s="78"/>
      <c r="AG245" s="79"/>
      <c r="AH245" s="65"/>
      <c r="AJ245" s="85"/>
      <c r="AK245" s="78"/>
      <c r="AL245" s="78"/>
      <c r="AM245" s="78"/>
      <c r="AN245" s="78"/>
      <c r="AO245" s="78"/>
      <c r="AP245" s="78"/>
      <c r="AQ245" s="79"/>
      <c r="AR245" s="65"/>
      <c r="AT245" s="85"/>
      <c r="AU245" s="78"/>
      <c r="AV245" s="78"/>
      <c r="AW245" s="78"/>
      <c r="AX245" s="78"/>
      <c r="AY245" s="78"/>
      <c r="AZ245" s="79"/>
      <c r="BA245" s="65"/>
      <c r="BC245" s="85"/>
      <c r="BD245" s="78"/>
      <c r="BE245" s="78"/>
      <c r="BF245" s="78"/>
      <c r="BG245" s="78"/>
      <c r="BH245" s="78"/>
      <c r="BI245" s="78"/>
      <c r="BJ245" s="79"/>
      <c r="BK245" s="65"/>
      <c r="CU245" s="67"/>
      <c r="EC245" s="67"/>
      <c r="FK245" s="67"/>
      <c r="FL245" s="67"/>
      <c r="FM245" s="67"/>
      <c r="FN245" s="67"/>
      <c r="FO245" s="67"/>
      <c r="FP245" s="67"/>
      <c r="FQ245" s="67"/>
      <c r="FR245" s="67"/>
      <c r="FS245" s="67"/>
      <c r="FT245" s="67"/>
      <c r="FU245" s="67"/>
      <c r="FV245" s="67"/>
      <c r="FW245" s="67"/>
      <c r="FX245" s="67"/>
      <c r="FY245" s="67"/>
      <c r="FZ245" s="67"/>
      <c r="GA245" s="67"/>
      <c r="GB245" s="67"/>
      <c r="GC245" s="67"/>
      <c r="GD245" s="67"/>
      <c r="GE245" s="67"/>
      <c r="GF245" s="67"/>
      <c r="GG245" s="67"/>
      <c r="GH245" s="67"/>
      <c r="GI245" s="67"/>
      <c r="GJ245" s="67"/>
      <c r="GK245" s="67"/>
      <c r="GL245" s="67"/>
      <c r="GM245" s="67"/>
      <c r="GN245" s="67"/>
      <c r="GO245" s="67"/>
      <c r="GP245" s="67"/>
    </row>
    <row r="246" spans="5:198" s="66" customFormat="1">
      <c r="E246" s="67"/>
      <c r="G246" s="67"/>
      <c r="H246" s="67"/>
      <c r="I246" s="67"/>
      <c r="J246" s="67"/>
      <c r="K246" s="67"/>
      <c r="L246" s="67"/>
      <c r="M246" s="67"/>
      <c r="N246" s="67"/>
      <c r="O246" s="78"/>
      <c r="P246" s="78"/>
      <c r="S246" s="78"/>
      <c r="T246" s="78"/>
      <c r="U246" s="79"/>
      <c r="V246" s="65"/>
      <c r="Y246" s="78"/>
      <c r="Z246" s="78"/>
      <c r="AA246" s="78"/>
      <c r="AB246" s="78"/>
      <c r="AC246" s="78"/>
      <c r="AD246" s="78"/>
      <c r="AE246" s="78"/>
      <c r="AF246" s="78"/>
      <c r="AG246" s="79"/>
      <c r="AH246" s="65"/>
      <c r="AJ246" s="85"/>
      <c r="AK246" s="78"/>
      <c r="AL246" s="78"/>
      <c r="AM246" s="78"/>
      <c r="AN246" s="78"/>
      <c r="AO246" s="78"/>
      <c r="AP246" s="78"/>
      <c r="AQ246" s="79"/>
      <c r="AR246" s="65"/>
      <c r="AT246" s="85"/>
      <c r="AU246" s="78"/>
      <c r="AV246" s="78"/>
      <c r="AW246" s="78"/>
      <c r="AX246" s="78"/>
      <c r="AY246" s="78"/>
      <c r="AZ246" s="79"/>
      <c r="BA246" s="65"/>
      <c r="BC246" s="85"/>
      <c r="BD246" s="78"/>
      <c r="BE246" s="78"/>
      <c r="BF246" s="78"/>
      <c r="BG246" s="78"/>
      <c r="BH246" s="78"/>
      <c r="BI246" s="78"/>
      <c r="BJ246" s="79"/>
      <c r="BK246" s="65"/>
      <c r="CU246" s="67"/>
      <c r="EC246" s="67"/>
      <c r="FK246" s="67"/>
      <c r="FL246" s="67"/>
      <c r="FM246" s="67"/>
      <c r="FN246" s="67"/>
      <c r="FO246" s="67"/>
      <c r="FP246" s="67"/>
      <c r="FQ246" s="67"/>
      <c r="FR246" s="67"/>
      <c r="FS246" s="67"/>
      <c r="FT246" s="67"/>
      <c r="FU246" s="67"/>
      <c r="FV246" s="67"/>
      <c r="FW246" s="67"/>
      <c r="FX246" s="67"/>
      <c r="FY246" s="67"/>
      <c r="FZ246" s="67"/>
      <c r="GA246" s="67"/>
      <c r="GB246" s="67"/>
      <c r="GC246" s="67"/>
      <c r="GD246" s="67"/>
      <c r="GE246" s="67"/>
      <c r="GF246" s="67"/>
      <c r="GG246" s="67"/>
      <c r="GH246" s="67"/>
      <c r="GI246" s="67"/>
      <c r="GJ246" s="67"/>
      <c r="GK246" s="67"/>
      <c r="GL246" s="67"/>
      <c r="GM246" s="67"/>
      <c r="GN246" s="67"/>
      <c r="GO246" s="67"/>
      <c r="GP246" s="67"/>
    </row>
    <row r="247" spans="5:198" s="66" customFormat="1">
      <c r="E247" s="67"/>
      <c r="G247" s="67"/>
      <c r="H247" s="67"/>
      <c r="I247" s="67"/>
      <c r="J247" s="67"/>
      <c r="K247" s="67"/>
      <c r="L247" s="67"/>
      <c r="M247" s="67"/>
      <c r="N247" s="67"/>
      <c r="O247" s="78"/>
      <c r="P247" s="78"/>
      <c r="S247" s="78"/>
      <c r="T247" s="78"/>
      <c r="U247" s="79"/>
      <c r="V247" s="65"/>
      <c r="Y247" s="78"/>
      <c r="Z247" s="78"/>
      <c r="AA247" s="78"/>
      <c r="AB247" s="78"/>
      <c r="AC247" s="78"/>
      <c r="AD247" s="78"/>
      <c r="AE247" s="78"/>
      <c r="AF247" s="78"/>
      <c r="AG247" s="79"/>
      <c r="AH247" s="65"/>
      <c r="AJ247" s="85"/>
      <c r="AK247" s="78"/>
      <c r="AL247" s="78"/>
      <c r="AM247" s="78"/>
      <c r="AN247" s="78"/>
      <c r="AO247" s="78"/>
      <c r="AP247" s="78"/>
      <c r="AQ247" s="79"/>
      <c r="AR247" s="65"/>
      <c r="AT247" s="85"/>
      <c r="AU247" s="78"/>
      <c r="AV247" s="78"/>
      <c r="AW247" s="78"/>
      <c r="AX247" s="78"/>
      <c r="AY247" s="78"/>
      <c r="AZ247" s="79"/>
      <c r="BA247" s="65"/>
      <c r="BC247" s="85"/>
      <c r="BD247" s="78"/>
      <c r="BE247" s="78"/>
      <c r="BF247" s="78"/>
      <c r="BG247" s="78"/>
      <c r="BH247" s="78"/>
      <c r="BI247" s="78"/>
      <c r="BJ247" s="79"/>
      <c r="BK247" s="65"/>
      <c r="CU247" s="67"/>
      <c r="EC247" s="67"/>
      <c r="FK247" s="67"/>
      <c r="FL247" s="67"/>
      <c r="FM247" s="67"/>
      <c r="FN247" s="67"/>
      <c r="FO247" s="67"/>
      <c r="FP247" s="67"/>
      <c r="FQ247" s="67"/>
      <c r="FR247" s="67"/>
      <c r="FS247" s="67"/>
      <c r="FT247" s="67"/>
      <c r="FU247" s="67"/>
      <c r="FV247" s="67"/>
      <c r="FW247" s="67"/>
      <c r="FX247" s="67"/>
      <c r="FY247" s="67"/>
      <c r="FZ247" s="67"/>
      <c r="GA247" s="67"/>
      <c r="GB247" s="67"/>
      <c r="GC247" s="67"/>
      <c r="GD247" s="67"/>
      <c r="GE247" s="67"/>
      <c r="GF247" s="67"/>
      <c r="GG247" s="67"/>
      <c r="GH247" s="67"/>
      <c r="GI247" s="67"/>
      <c r="GJ247" s="67"/>
      <c r="GK247" s="67"/>
      <c r="GL247" s="67"/>
      <c r="GM247" s="67"/>
      <c r="GN247" s="67"/>
      <c r="GO247" s="67"/>
      <c r="GP247" s="67"/>
    </row>
    <row r="248" spans="5:198" s="66" customFormat="1">
      <c r="E248" s="67"/>
      <c r="G248" s="67"/>
      <c r="H248" s="67"/>
      <c r="I248" s="67"/>
      <c r="J248" s="67"/>
      <c r="K248" s="67"/>
      <c r="L248" s="67"/>
      <c r="M248" s="67"/>
      <c r="N248" s="67"/>
      <c r="O248" s="78"/>
      <c r="P248" s="78"/>
      <c r="S248" s="78"/>
      <c r="T248" s="78"/>
      <c r="U248" s="79"/>
      <c r="V248" s="65"/>
      <c r="Y248" s="78"/>
      <c r="Z248" s="78"/>
      <c r="AA248" s="78"/>
      <c r="AB248" s="78"/>
      <c r="AC248" s="78"/>
      <c r="AD248" s="78"/>
      <c r="AE248" s="78"/>
      <c r="AF248" s="78"/>
      <c r="AG248" s="79"/>
      <c r="AH248" s="65"/>
      <c r="AJ248" s="85"/>
      <c r="AK248" s="78"/>
      <c r="AL248" s="78"/>
      <c r="AM248" s="78"/>
      <c r="AN248" s="78"/>
      <c r="AO248" s="78"/>
      <c r="AP248" s="78"/>
      <c r="AQ248" s="79"/>
      <c r="AR248" s="65"/>
      <c r="AT248" s="85"/>
      <c r="AU248" s="78"/>
      <c r="AV248" s="78"/>
      <c r="AW248" s="78"/>
      <c r="AX248" s="78"/>
      <c r="AY248" s="78"/>
      <c r="AZ248" s="79"/>
      <c r="BA248" s="65"/>
      <c r="BC248" s="85"/>
      <c r="BD248" s="78"/>
      <c r="BE248" s="78"/>
      <c r="BF248" s="78"/>
      <c r="BG248" s="78"/>
      <c r="BH248" s="78"/>
      <c r="BI248" s="78"/>
      <c r="BJ248" s="79"/>
      <c r="BK248" s="65"/>
      <c r="CU248" s="67"/>
      <c r="EC248" s="67"/>
      <c r="FK248" s="67"/>
      <c r="FL248" s="67"/>
      <c r="FM248" s="67"/>
      <c r="FN248" s="67"/>
      <c r="FO248" s="67"/>
      <c r="FP248" s="67"/>
      <c r="FQ248" s="67"/>
      <c r="FR248" s="67"/>
      <c r="FS248" s="67"/>
      <c r="FT248" s="67"/>
      <c r="FU248" s="67"/>
      <c r="FV248" s="67"/>
      <c r="FW248" s="67"/>
      <c r="FX248" s="67"/>
      <c r="FY248" s="67"/>
      <c r="FZ248" s="67"/>
      <c r="GA248" s="67"/>
      <c r="GB248" s="67"/>
      <c r="GC248" s="67"/>
      <c r="GD248" s="67"/>
      <c r="GE248" s="67"/>
      <c r="GF248" s="67"/>
      <c r="GG248" s="67"/>
      <c r="GH248" s="67"/>
      <c r="GI248" s="67"/>
      <c r="GJ248" s="67"/>
      <c r="GK248" s="67"/>
      <c r="GL248" s="67"/>
      <c r="GM248" s="67"/>
      <c r="GN248" s="67"/>
      <c r="GO248" s="67"/>
      <c r="GP248" s="67"/>
    </row>
    <row r="249" spans="5:198" s="66" customFormat="1">
      <c r="E249" s="67"/>
      <c r="G249" s="67"/>
      <c r="H249" s="67"/>
      <c r="I249" s="67"/>
      <c r="J249" s="67"/>
      <c r="K249" s="67"/>
      <c r="L249" s="67"/>
      <c r="M249" s="67"/>
      <c r="N249" s="67"/>
      <c r="O249" s="78"/>
      <c r="P249" s="78"/>
      <c r="S249" s="78"/>
      <c r="T249" s="78"/>
      <c r="U249" s="79"/>
      <c r="V249" s="65"/>
      <c r="Y249" s="78"/>
      <c r="Z249" s="78"/>
      <c r="AA249" s="78"/>
      <c r="AB249" s="78"/>
      <c r="AC249" s="78"/>
      <c r="AD249" s="78"/>
      <c r="AE249" s="78"/>
      <c r="AF249" s="78"/>
      <c r="AG249" s="79"/>
      <c r="AH249" s="65"/>
      <c r="AJ249" s="85"/>
      <c r="AK249" s="78"/>
      <c r="AL249" s="78"/>
      <c r="AM249" s="78"/>
      <c r="AN249" s="78"/>
      <c r="AO249" s="78"/>
      <c r="AP249" s="78"/>
      <c r="AQ249" s="79"/>
      <c r="AR249" s="65"/>
      <c r="AT249" s="85"/>
      <c r="AU249" s="78"/>
      <c r="AV249" s="78"/>
      <c r="AW249" s="78"/>
      <c r="AX249" s="78"/>
      <c r="AY249" s="78"/>
      <c r="AZ249" s="79"/>
      <c r="BA249" s="65"/>
      <c r="BC249" s="85"/>
      <c r="BD249" s="78"/>
      <c r="BE249" s="78"/>
      <c r="BF249" s="78"/>
      <c r="BG249" s="78"/>
      <c r="BH249" s="78"/>
      <c r="BI249" s="78"/>
      <c r="BJ249" s="79"/>
      <c r="BK249" s="65"/>
      <c r="CU249" s="67"/>
      <c r="EC249" s="67"/>
      <c r="FK249" s="67"/>
      <c r="FL249" s="67"/>
      <c r="FM249" s="67"/>
      <c r="FN249" s="67"/>
      <c r="FO249" s="67"/>
      <c r="FP249" s="67"/>
      <c r="FQ249" s="67"/>
      <c r="FR249" s="67"/>
      <c r="FS249" s="67"/>
      <c r="FT249" s="67"/>
      <c r="FU249" s="67"/>
      <c r="FV249" s="67"/>
      <c r="FW249" s="67"/>
      <c r="FX249" s="67"/>
      <c r="FY249" s="67"/>
      <c r="FZ249" s="67"/>
      <c r="GA249" s="67"/>
      <c r="GB249" s="67"/>
      <c r="GC249" s="67"/>
      <c r="GD249" s="67"/>
      <c r="GE249" s="67"/>
      <c r="GF249" s="67"/>
      <c r="GG249" s="67"/>
      <c r="GH249" s="67"/>
      <c r="GI249" s="67"/>
      <c r="GJ249" s="67"/>
      <c r="GK249" s="67"/>
      <c r="GL249" s="67"/>
      <c r="GM249" s="67"/>
      <c r="GN249" s="67"/>
      <c r="GO249" s="67"/>
      <c r="GP249" s="67"/>
    </row>
    <row r="250" spans="5:198" s="66" customFormat="1">
      <c r="E250" s="67"/>
      <c r="G250" s="67"/>
      <c r="H250" s="67"/>
      <c r="I250" s="67"/>
      <c r="J250" s="67"/>
      <c r="K250" s="67"/>
      <c r="L250" s="67"/>
      <c r="M250" s="67"/>
      <c r="N250" s="67"/>
      <c r="O250" s="78"/>
      <c r="P250" s="78"/>
      <c r="S250" s="78"/>
      <c r="T250" s="78"/>
      <c r="U250" s="79"/>
      <c r="V250" s="65"/>
      <c r="Y250" s="78"/>
      <c r="Z250" s="78"/>
      <c r="AA250" s="78"/>
      <c r="AB250" s="78"/>
      <c r="AC250" s="78"/>
      <c r="AD250" s="78"/>
      <c r="AE250" s="78"/>
      <c r="AF250" s="78"/>
      <c r="AG250" s="79"/>
      <c r="AH250" s="65"/>
      <c r="AJ250" s="85"/>
      <c r="AK250" s="78"/>
      <c r="AL250" s="78"/>
      <c r="AM250" s="78"/>
      <c r="AN250" s="78"/>
      <c r="AO250" s="78"/>
      <c r="AP250" s="78"/>
      <c r="AQ250" s="79"/>
      <c r="AR250" s="65"/>
      <c r="AT250" s="85"/>
      <c r="AU250" s="78"/>
      <c r="AV250" s="78"/>
      <c r="AW250" s="78"/>
      <c r="AX250" s="78"/>
      <c r="AY250" s="78"/>
      <c r="AZ250" s="79"/>
      <c r="BA250" s="65"/>
      <c r="BC250" s="85"/>
      <c r="BD250" s="78"/>
      <c r="BE250" s="78"/>
      <c r="BF250" s="78"/>
      <c r="BG250" s="78"/>
      <c r="BH250" s="78"/>
      <c r="BI250" s="78"/>
      <c r="BJ250" s="79"/>
      <c r="BK250" s="65"/>
      <c r="CU250" s="67"/>
      <c r="EC250" s="67"/>
      <c r="FK250" s="67"/>
      <c r="FL250" s="67"/>
      <c r="FM250" s="67"/>
      <c r="FN250" s="67"/>
      <c r="FO250" s="67"/>
      <c r="FP250" s="67"/>
      <c r="FQ250" s="67"/>
      <c r="FR250" s="67"/>
      <c r="FS250" s="67"/>
      <c r="FT250" s="67"/>
      <c r="FU250" s="67"/>
      <c r="FV250" s="67"/>
      <c r="FW250" s="67"/>
      <c r="FX250" s="67"/>
      <c r="FY250" s="67"/>
      <c r="FZ250" s="67"/>
      <c r="GA250" s="67"/>
      <c r="GB250" s="67"/>
      <c r="GC250" s="67"/>
      <c r="GD250" s="67"/>
      <c r="GE250" s="67"/>
      <c r="GF250" s="67"/>
      <c r="GG250" s="67"/>
      <c r="GH250" s="67"/>
      <c r="GI250" s="67"/>
      <c r="GJ250" s="67"/>
      <c r="GK250" s="67"/>
      <c r="GL250" s="67"/>
      <c r="GM250" s="67"/>
      <c r="GN250" s="67"/>
      <c r="GO250" s="67"/>
      <c r="GP250" s="67"/>
    </row>
    <row r="251" spans="5:198" s="66" customFormat="1">
      <c r="E251" s="67"/>
      <c r="G251" s="67"/>
      <c r="H251" s="67"/>
      <c r="I251" s="67"/>
      <c r="J251" s="67"/>
      <c r="K251" s="67"/>
      <c r="L251" s="67"/>
      <c r="M251" s="67"/>
      <c r="N251" s="67"/>
      <c r="O251" s="78"/>
      <c r="P251" s="78"/>
      <c r="S251" s="78"/>
      <c r="T251" s="78"/>
      <c r="U251" s="79"/>
      <c r="V251" s="65"/>
      <c r="Y251" s="78"/>
      <c r="Z251" s="78"/>
      <c r="AA251" s="78"/>
      <c r="AB251" s="78"/>
      <c r="AC251" s="78"/>
      <c r="AD251" s="78"/>
      <c r="AE251" s="78"/>
      <c r="AF251" s="78"/>
      <c r="AG251" s="79"/>
      <c r="AH251" s="65"/>
      <c r="AJ251" s="85"/>
      <c r="AK251" s="78"/>
      <c r="AL251" s="78"/>
      <c r="AM251" s="78"/>
      <c r="AN251" s="78"/>
      <c r="AO251" s="78"/>
      <c r="AP251" s="78"/>
      <c r="AQ251" s="79"/>
      <c r="AR251" s="65"/>
      <c r="AT251" s="85"/>
      <c r="AU251" s="78"/>
      <c r="AV251" s="78"/>
      <c r="AW251" s="78"/>
      <c r="AX251" s="78"/>
      <c r="AY251" s="78"/>
      <c r="AZ251" s="79"/>
      <c r="BA251" s="65"/>
      <c r="BC251" s="85"/>
      <c r="BD251" s="78"/>
      <c r="BE251" s="78"/>
      <c r="BF251" s="78"/>
      <c r="BG251" s="78"/>
      <c r="BH251" s="78"/>
      <c r="BI251" s="78"/>
      <c r="BJ251" s="79"/>
      <c r="BK251" s="65"/>
      <c r="CU251" s="67"/>
      <c r="EC251" s="67"/>
      <c r="FK251" s="67"/>
      <c r="FL251" s="67"/>
      <c r="FM251" s="67"/>
      <c r="FN251" s="67"/>
      <c r="FO251" s="67"/>
      <c r="FP251" s="67"/>
      <c r="FQ251" s="67"/>
      <c r="FR251" s="67"/>
      <c r="FS251" s="67"/>
      <c r="FT251" s="67"/>
      <c r="FU251" s="67"/>
      <c r="FV251" s="67"/>
      <c r="FW251" s="67"/>
      <c r="FX251" s="67"/>
      <c r="FY251" s="67"/>
      <c r="FZ251" s="67"/>
      <c r="GA251" s="67"/>
      <c r="GB251" s="67"/>
      <c r="GC251" s="67"/>
      <c r="GD251" s="67"/>
      <c r="GE251" s="67"/>
      <c r="GF251" s="67"/>
      <c r="GG251" s="67"/>
      <c r="GH251" s="67"/>
      <c r="GI251" s="67"/>
      <c r="GJ251" s="67"/>
      <c r="GK251" s="67"/>
      <c r="GL251" s="67"/>
      <c r="GM251" s="67"/>
      <c r="GN251" s="67"/>
      <c r="GO251" s="67"/>
      <c r="GP251" s="67"/>
    </row>
    <row r="252" spans="5:198" s="66" customFormat="1">
      <c r="E252" s="67"/>
      <c r="G252" s="67"/>
      <c r="H252" s="67"/>
      <c r="I252" s="67"/>
      <c r="J252" s="67"/>
      <c r="K252" s="67"/>
      <c r="L252" s="67"/>
      <c r="M252" s="67"/>
      <c r="N252" s="67"/>
      <c r="O252" s="78"/>
      <c r="P252" s="78"/>
      <c r="S252" s="78"/>
      <c r="T252" s="78"/>
      <c r="U252" s="79"/>
      <c r="V252" s="65"/>
      <c r="Y252" s="78"/>
      <c r="Z252" s="78"/>
      <c r="AA252" s="78"/>
      <c r="AB252" s="78"/>
      <c r="AC252" s="78"/>
      <c r="AD252" s="78"/>
      <c r="AE252" s="78"/>
      <c r="AF252" s="78"/>
      <c r="AG252" s="79"/>
      <c r="AH252" s="65"/>
      <c r="AJ252" s="85"/>
      <c r="AK252" s="78"/>
      <c r="AL252" s="78"/>
      <c r="AM252" s="78"/>
      <c r="AN252" s="78"/>
      <c r="AO252" s="78"/>
      <c r="AP252" s="78"/>
      <c r="AQ252" s="79"/>
      <c r="AR252" s="65"/>
      <c r="AT252" s="85"/>
      <c r="AU252" s="78"/>
      <c r="AV252" s="78"/>
      <c r="AW252" s="78"/>
      <c r="AX252" s="78"/>
      <c r="AY252" s="78"/>
      <c r="AZ252" s="79"/>
      <c r="BA252" s="65"/>
      <c r="BC252" s="85"/>
      <c r="BD252" s="78"/>
      <c r="BE252" s="78"/>
      <c r="BF252" s="78"/>
      <c r="BG252" s="78"/>
      <c r="BH252" s="78"/>
      <c r="BI252" s="78"/>
      <c r="BJ252" s="79"/>
      <c r="BK252" s="65"/>
      <c r="CU252" s="67"/>
      <c r="EC252" s="67"/>
      <c r="FK252" s="67"/>
      <c r="FL252" s="67"/>
      <c r="FM252" s="67"/>
      <c r="FN252" s="67"/>
      <c r="FO252" s="67"/>
      <c r="FP252" s="67"/>
      <c r="FQ252" s="67"/>
      <c r="FR252" s="67"/>
      <c r="FS252" s="67"/>
      <c r="FT252" s="67"/>
      <c r="FU252" s="67"/>
      <c r="FV252" s="67"/>
      <c r="FW252" s="67"/>
      <c r="FX252" s="67"/>
      <c r="FY252" s="67"/>
      <c r="FZ252" s="67"/>
      <c r="GA252" s="67"/>
      <c r="GB252" s="67"/>
      <c r="GC252" s="67"/>
      <c r="GD252" s="67"/>
      <c r="GE252" s="67"/>
      <c r="GF252" s="67"/>
      <c r="GG252" s="67"/>
      <c r="GH252" s="67"/>
      <c r="GI252" s="67"/>
      <c r="GJ252" s="67"/>
      <c r="GK252" s="67"/>
      <c r="GL252" s="67"/>
      <c r="GM252" s="67"/>
      <c r="GN252" s="67"/>
      <c r="GO252" s="67"/>
      <c r="GP252" s="67"/>
    </row>
    <row r="253" spans="5:198" s="66" customFormat="1">
      <c r="E253" s="67"/>
      <c r="G253" s="67"/>
      <c r="H253" s="67"/>
      <c r="I253" s="67"/>
      <c r="J253" s="67"/>
      <c r="K253" s="67"/>
      <c r="L253" s="67"/>
      <c r="M253" s="67"/>
      <c r="N253" s="67"/>
      <c r="O253" s="78"/>
      <c r="P253" s="78"/>
      <c r="S253" s="78"/>
      <c r="T253" s="78"/>
      <c r="U253" s="79"/>
      <c r="V253" s="65"/>
      <c r="Y253" s="78"/>
      <c r="Z253" s="78"/>
      <c r="AA253" s="78"/>
      <c r="AB253" s="78"/>
      <c r="AC253" s="78"/>
      <c r="AD253" s="78"/>
      <c r="AE253" s="78"/>
      <c r="AF253" s="78"/>
      <c r="AG253" s="79"/>
      <c r="AH253" s="65"/>
      <c r="AJ253" s="85"/>
      <c r="AK253" s="78"/>
      <c r="AL253" s="78"/>
      <c r="AM253" s="78"/>
      <c r="AN253" s="78"/>
      <c r="AO253" s="78"/>
      <c r="AP253" s="78"/>
      <c r="AQ253" s="79"/>
      <c r="AR253" s="65"/>
      <c r="AT253" s="85"/>
      <c r="AU253" s="78"/>
      <c r="AV253" s="78"/>
      <c r="AW253" s="78"/>
      <c r="AX253" s="78"/>
      <c r="AY253" s="78"/>
      <c r="AZ253" s="79"/>
      <c r="BA253" s="65"/>
      <c r="BC253" s="85"/>
      <c r="BD253" s="78"/>
      <c r="BE253" s="78"/>
      <c r="BF253" s="78"/>
      <c r="BG253" s="78"/>
      <c r="BH253" s="78"/>
      <c r="BI253" s="78"/>
      <c r="BJ253" s="79"/>
      <c r="BK253" s="65"/>
      <c r="CU253" s="67"/>
      <c r="EC253" s="67"/>
      <c r="FK253" s="67"/>
      <c r="FL253" s="67"/>
      <c r="FM253" s="67"/>
      <c r="FN253" s="67"/>
      <c r="FO253" s="67"/>
      <c r="FP253" s="67"/>
      <c r="FQ253" s="67"/>
      <c r="FR253" s="67"/>
      <c r="FS253" s="67"/>
      <c r="FT253" s="67"/>
      <c r="FU253" s="67"/>
      <c r="FV253" s="67"/>
      <c r="FW253" s="67"/>
      <c r="FX253" s="67"/>
      <c r="FY253" s="67"/>
      <c r="FZ253" s="67"/>
      <c r="GA253" s="67"/>
      <c r="GB253" s="67"/>
      <c r="GC253" s="67"/>
      <c r="GD253" s="67"/>
      <c r="GE253" s="67"/>
      <c r="GF253" s="67"/>
      <c r="GG253" s="67"/>
      <c r="GH253" s="67"/>
      <c r="GI253" s="67"/>
      <c r="GJ253" s="67"/>
      <c r="GK253" s="67"/>
      <c r="GL253" s="67"/>
      <c r="GM253" s="67"/>
      <c r="GN253" s="67"/>
      <c r="GO253" s="67"/>
      <c r="GP253" s="67"/>
    </row>
    <row r="254" spans="5:198" s="66" customFormat="1">
      <c r="E254" s="67"/>
      <c r="G254" s="67"/>
      <c r="H254" s="67"/>
      <c r="I254" s="67"/>
      <c r="J254" s="67"/>
      <c r="K254" s="67"/>
      <c r="L254" s="67"/>
      <c r="M254" s="67"/>
      <c r="N254" s="67"/>
      <c r="O254" s="78"/>
      <c r="P254" s="78"/>
      <c r="S254" s="78"/>
      <c r="T254" s="78"/>
      <c r="U254" s="79"/>
      <c r="V254" s="65"/>
      <c r="Y254" s="78"/>
      <c r="Z254" s="78"/>
      <c r="AA254" s="78"/>
      <c r="AB254" s="78"/>
      <c r="AC254" s="78"/>
      <c r="AD254" s="78"/>
      <c r="AE254" s="78"/>
      <c r="AF254" s="78"/>
      <c r="AG254" s="79"/>
      <c r="AH254" s="65"/>
      <c r="AJ254" s="85"/>
      <c r="AK254" s="78"/>
      <c r="AL254" s="78"/>
      <c r="AM254" s="78"/>
      <c r="AN254" s="78"/>
      <c r="AO254" s="78"/>
      <c r="AP254" s="78"/>
      <c r="AQ254" s="79"/>
      <c r="AR254" s="65"/>
      <c r="AT254" s="85"/>
      <c r="AU254" s="78"/>
      <c r="AV254" s="78"/>
      <c r="AW254" s="78"/>
      <c r="AX254" s="78"/>
      <c r="AY254" s="78"/>
      <c r="AZ254" s="79"/>
      <c r="BA254" s="65"/>
      <c r="BC254" s="85"/>
      <c r="BD254" s="78"/>
      <c r="BE254" s="78"/>
      <c r="BF254" s="78"/>
      <c r="BG254" s="78"/>
      <c r="BH254" s="78"/>
      <c r="BI254" s="78"/>
      <c r="BJ254" s="79"/>
      <c r="BK254" s="65"/>
      <c r="CU254" s="67"/>
      <c r="EC254" s="67"/>
      <c r="FK254" s="67"/>
      <c r="FL254" s="67"/>
      <c r="FM254" s="67"/>
      <c r="FN254" s="67"/>
      <c r="FO254" s="67"/>
      <c r="FP254" s="67"/>
      <c r="FQ254" s="67"/>
      <c r="FR254" s="67"/>
      <c r="FS254" s="67"/>
      <c r="FT254" s="67"/>
      <c r="FU254" s="67"/>
      <c r="FV254" s="67"/>
      <c r="FW254" s="67"/>
      <c r="FX254" s="67"/>
      <c r="FY254" s="67"/>
      <c r="FZ254" s="67"/>
      <c r="GA254" s="67"/>
      <c r="GB254" s="67"/>
      <c r="GC254" s="67"/>
      <c r="GD254" s="67"/>
      <c r="GE254" s="67"/>
      <c r="GF254" s="67"/>
      <c r="GG254" s="67"/>
      <c r="GH254" s="67"/>
      <c r="GI254" s="67"/>
      <c r="GJ254" s="67"/>
      <c r="GK254" s="67"/>
      <c r="GL254" s="67"/>
      <c r="GM254" s="67"/>
      <c r="GN254" s="67"/>
      <c r="GO254" s="67"/>
      <c r="GP254" s="67"/>
    </row>
    <row r="255" spans="5:198" s="66" customFormat="1">
      <c r="E255" s="67"/>
      <c r="G255" s="67"/>
      <c r="H255" s="67"/>
      <c r="I255" s="67"/>
      <c r="J255" s="67"/>
      <c r="K255" s="67"/>
      <c r="L255" s="67"/>
      <c r="M255" s="67"/>
      <c r="N255" s="67"/>
      <c r="O255" s="78"/>
      <c r="P255" s="78"/>
      <c r="S255" s="78"/>
      <c r="T255" s="78"/>
      <c r="U255" s="79"/>
      <c r="V255" s="65"/>
      <c r="Y255" s="78"/>
      <c r="Z255" s="78"/>
      <c r="AA255" s="78"/>
      <c r="AB255" s="78"/>
      <c r="AC255" s="78"/>
      <c r="AD255" s="78"/>
      <c r="AE255" s="78"/>
      <c r="AF255" s="78"/>
      <c r="AG255" s="79"/>
      <c r="AH255" s="65"/>
      <c r="AJ255" s="85"/>
      <c r="AK255" s="78"/>
      <c r="AL255" s="78"/>
      <c r="AM255" s="78"/>
      <c r="AN255" s="78"/>
      <c r="AO255" s="78"/>
      <c r="AP255" s="78"/>
      <c r="AQ255" s="79"/>
      <c r="AR255" s="65"/>
      <c r="AT255" s="85"/>
      <c r="AU255" s="78"/>
      <c r="AV255" s="78"/>
      <c r="AW255" s="78"/>
      <c r="AX255" s="78"/>
      <c r="AY255" s="78"/>
      <c r="AZ255" s="79"/>
      <c r="BA255" s="65"/>
      <c r="BC255" s="85"/>
      <c r="BD255" s="78"/>
      <c r="BE255" s="78"/>
      <c r="BF255" s="78"/>
      <c r="BG255" s="78"/>
      <c r="BH255" s="78"/>
      <c r="BI255" s="78"/>
      <c r="BJ255" s="79"/>
      <c r="BK255" s="65"/>
      <c r="CU255" s="67"/>
      <c r="EC255" s="67"/>
      <c r="FK255" s="67"/>
      <c r="FL255" s="67"/>
      <c r="FM255" s="67"/>
      <c r="FN255" s="67"/>
      <c r="FO255" s="67"/>
      <c r="FP255" s="67"/>
      <c r="FQ255" s="67"/>
      <c r="FR255" s="67"/>
      <c r="FS255" s="67"/>
      <c r="FT255" s="67"/>
      <c r="FU255" s="67"/>
      <c r="FV255" s="67"/>
      <c r="FW255" s="67"/>
      <c r="FX255" s="67"/>
      <c r="FY255" s="67"/>
      <c r="FZ255" s="67"/>
      <c r="GA255" s="67"/>
      <c r="GB255" s="67"/>
      <c r="GC255" s="67"/>
      <c r="GD255" s="67"/>
      <c r="GE255" s="67"/>
      <c r="GF255" s="67"/>
      <c r="GG255" s="67"/>
      <c r="GH255" s="67"/>
      <c r="GI255" s="67"/>
      <c r="GJ255" s="67"/>
      <c r="GK255" s="67"/>
      <c r="GL255" s="67"/>
      <c r="GM255" s="67"/>
      <c r="GN255" s="67"/>
      <c r="GO255" s="67"/>
      <c r="GP255" s="67"/>
    </row>
    <row r="256" spans="5:198" s="66" customFormat="1">
      <c r="E256" s="67"/>
      <c r="G256" s="67"/>
      <c r="H256" s="67"/>
      <c r="I256" s="67"/>
      <c r="J256" s="67"/>
      <c r="K256" s="67"/>
      <c r="L256" s="67"/>
      <c r="M256" s="67"/>
      <c r="N256" s="67"/>
      <c r="O256" s="78"/>
      <c r="P256" s="78"/>
      <c r="S256" s="78"/>
      <c r="T256" s="78"/>
      <c r="U256" s="79"/>
      <c r="V256" s="65"/>
      <c r="Y256" s="78"/>
      <c r="Z256" s="78"/>
      <c r="AA256" s="78"/>
      <c r="AB256" s="78"/>
      <c r="AC256" s="78"/>
      <c r="AD256" s="78"/>
      <c r="AE256" s="78"/>
      <c r="AF256" s="78"/>
      <c r="AG256" s="79"/>
      <c r="AH256" s="65"/>
      <c r="AJ256" s="85"/>
      <c r="AK256" s="78"/>
      <c r="AL256" s="78"/>
      <c r="AM256" s="78"/>
      <c r="AN256" s="78"/>
      <c r="AO256" s="78"/>
      <c r="AP256" s="78"/>
      <c r="AQ256" s="79"/>
      <c r="AR256" s="65"/>
      <c r="AT256" s="85"/>
      <c r="AU256" s="78"/>
      <c r="AV256" s="78"/>
      <c r="AW256" s="78"/>
      <c r="AX256" s="78"/>
      <c r="AY256" s="78"/>
      <c r="AZ256" s="79"/>
      <c r="BA256" s="65"/>
      <c r="BC256" s="85"/>
      <c r="BD256" s="78"/>
      <c r="BE256" s="78"/>
      <c r="BF256" s="78"/>
      <c r="BG256" s="78"/>
      <c r="BH256" s="78"/>
      <c r="BI256" s="78"/>
      <c r="BJ256" s="79"/>
      <c r="BK256" s="65"/>
      <c r="CU256" s="67"/>
      <c r="EC256" s="67"/>
      <c r="FK256" s="67"/>
      <c r="FL256" s="67"/>
      <c r="FM256" s="67"/>
      <c r="FN256" s="67"/>
      <c r="FO256" s="67"/>
      <c r="FP256" s="67"/>
      <c r="FQ256" s="67"/>
      <c r="FR256" s="67"/>
      <c r="FS256" s="67"/>
      <c r="FT256" s="67"/>
      <c r="FU256" s="67"/>
      <c r="FV256" s="67"/>
      <c r="FW256" s="67"/>
      <c r="FX256" s="67"/>
      <c r="FY256" s="67"/>
      <c r="FZ256" s="67"/>
      <c r="GA256" s="67"/>
      <c r="GB256" s="67"/>
      <c r="GC256" s="67"/>
      <c r="GD256" s="67"/>
      <c r="GE256" s="67"/>
      <c r="GF256" s="67"/>
      <c r="GG256" s="67"/>
      <c r="GH256" s="67"/>
      <c r="GI256" s="67"/>
      <c r="GJ256" s="67"/>
      <c r="GK256" s="67"/>
      <c r="GL256" s="67"/>
      <c r="GM256" s="67"/>
      <c r="GN256" s="67"/>
      <c r="GO256" s="67"/>
      <c r="GP256" s="67"/>
    </row>
    <row r="257" spans="5:198" s="66" customFormat="1">
      <c r="E257" s="67"/>
      <c r="G257" s="67"/>
      <c r="H257" s="67"/>
      <c r="I257" s="67"/>
      <c r="J257" s="67"/>
      <c r="K257" s="67"/>
      <c r="L257" s="67"/>
      <c r="M257" s="67"/>
      <c r="N257" s="67"/>
      <c r="O257" s="78"/>
      <c r="P257" s="78"/>
      <c r="S257" s="78"/>
      <c r="T257" s="78"/>
      <c r="U257" s="79"/>
      <c r="V257" s="65"/>
      <c r="Y257" s="78"/>
      <c r="Z257" s="78"/>
      <c r="AA257" s="78"/>
      <c r="AB257" s="78"/>
      <c r="AC257" s="78"/>
      <c r="AD257" s="78"/>
      <c r="AE257" s="78"/>
      <c r="AF257" s="78"/>
      <c r="AG257" s="79"/>
      <c r="AH257" s="65"/>
      <c r="AJ257" s="85"/>
      <c r="AK257" s="78"/>
      <c r="AL257" s="78"/>
      <c r="AM257" s="78"/>
      <c r="AN257" s="78"/>
      <c r="AO257" s="78"/>
      <c r="AP257" s="78"/>
      <c r="AQ257" s="79"/>
      <c r="AR257" s="65"/>
      <c r="AT257" s="85"/>
      <c r="AU257" s="78"/>
      <c r="AV257" s="78"/>
      <c r="AW257" s="78"/>
      <c r="AX257" s="78"/>
      <c r="AY257" s="78"/>
      <c r="AZ257" s="79"/>
      <c r="BA257" s="65"/>
      <c r="BC257" s="85"/>
      <c r="BD257" s="78"/>
      <c r="BE257" s="78"/>
      <c r="BF257" s="78"/>
      <c r="BG257" s="78"/>
      <c r="BH257" s="78"/>
      <c r="BI257" s="78"/>
      <c r="BJ257" s="79"/>
      <c r="BK257" s="65"/>
      <c r="CU257" s="67"/>
      <c r="EC257" s="67"/>
      <c r="FK257" s="67"/>
      <c r="FL257" s="67"/>
      <c r="FM257" s="67"/>
      <c r="FN257" s="67"/>
      <c r="FO257" s="67"/>
      <c r="FP257" s="67"/>
      <c r="FQ257" s="67"/>
      <c r="FR257" s="67"/>
      <c r="FS257" s="67"/>
      <c r="FT257" s="67"/>
      <c r="FU257" s="67"/>
      <c r="FV257" s="67"/>
      <c r="FW257" s="67"/>
      <c r="FX257" s="67"/>
      <c r="FY257" s="67"/>
      <c r="FZ257" s="67"/>
      <c r="GA257" s="67"/>
      <c r="GB257" s="67"/>
      <c r="GC257" s="67"/>
      <c r="GD257" s="67"/>
      <c r="GE257" s="67"/>
      <c r="GF257" s="67"/>
      <c r="GG257" s="67"/>
      <c r="GH257" s="67"/>
      <c r="GI257" s="67"/>
      <c r="GJ257" s="67"/>
      <c r="GK257" s="67"/>
      <c r="GL257" s="67"/>
      <c r="GM257" s="67"/>
      <c r="GN257" s="67"/>
      <c r="GO257" s="67"/>
      <c r="GP257" s="67"/>
    </row>
    <row r="258" spans="5:198" s="66" customFormat="1">
      <c r="E258" s="67"/>
      <c r="G258" s="67"/>
      <c r="H258" s="67"/>
      <c r="I258" s="67"/>
      <c r="J258" s="67"/>
      <c r="K258" s="67"/>
      <c r="L258" s="67"/>
      <c r="M258" s="67"/>
      <c r="N258" s="67"/>
      <c r="O258" s="78"/>
      <c r="P258" s="78"/>
      <c r="S258" s="78"/>
      <c r="T258" s="78"/>
      <c r="U258" s="79"/>
      <c r="V258" s="65"/>
      <c r="Y258" s="78"/>
      <c r="Z258" s="78"/>
      <c r="AA258" s="78"/>
      <c r="AB258" s="78"/>
      <c r="AC258" s="78"/>
      <c r="AD258" s="78"/>
      <c r="AE258" s="78"/>
      <c r="AF258" s="78"/>
      <c r="AG258" s="79"/>
      <c r="AH258" s="65"/>
      <c r="AJ258" s="85"/>
      <c r="AK258" s="78"/>
      <c r="AL258" s="78"/>
      <c r="AM258" s="78"/>
      <c r="AN258" s="78"/>
      <c r="AO258" s="78"/>
      <c r="AP258" s="78"/>
      <c r="AQ258" s="79"/>
      <c r="AR258" s="65"/>
      <c r="AT258" s="85"/>
      <c r="AU258" s="78"/>
      <c r="AV258" s="78"/>
      <c r="AW258" s="78"/>
      <c r="AX258" s="78"/>
      <c r="AY258" s="78"/>
      <c r="AZ258" s="79"/>
      <c r="BA258" s="65"/>
      <c r="BC258" s="85"/>
      <c r="BD258" s="78"/>
      <c r="BE258" s="78"/>
      <c r="BF258" s="78"/>
      <c r="BG258" s="78"/>
      <c r="BH258" s="78"/>
      <c r="BI258" s="78"/>
      <c r="BJ258" s="79"/>
      <c r="BK258" s="65"/>
      <c r="CU258" s="67"/>
      <c r="EC258" s="67"/>
      <c r="FK258" s="67"/>
      <c r="FL258" s="67"/>
      <c r="FM258" s="67"/>
      <c r="FN258" s="67"/>
      <c r="FO258" s="67"/>
      <c r="FP258" s="67"/>
      <c r="FQ258" s="67"/>
      <c r="FR258" s="67"/>
      <c r="FS258" s="67"/>
      <c r="FT258" s="67"/>
      <c r="FU258" s="67"/>
      <c r="FV258" s="67"/>
      <c r="FW258" s="67"/>
      <c r="FX258" s="67"/>
      <c r="FY258" s="67"/>
      <c r="FZ258" s="67"/>
      <c r="GA258" s="67"/>
      <c r="GB258" s="67"/>
      <c r="GC258" s="67"/>
      <c r="GD258" s="67"/>
      <c r="GE258" s="67"/>
      <c r="GF258" s="67"/>
      <c r="GG258" s="67"/>
      <c r="GH258" s="67"/>
      <c r="GI258" s="67"/>
      <c r="GJ258" s="67"/>
      <c r="GK258" s="67"/>
      <c r="GL258" s="67"/>
      <c r="GM258" s="67"/>
      <c r="GN258" s="67"/>
      <c r="GO258" s="67"/>
      <c r="GP258" s="67"/>
    </row>
    <row r="259" spans="5:198" s="66" customFormat="1">
      <c r="E259" s="67"/>
      <c r="G259" s="67"/>
      <c r="H259" s="67"/>
      <c r="I259" s="67"/>
      <c r="J259" s="67"/>
      <c r="K259" s="67"/>
      <c r="L259" s="67"/>
      <c r="M259" s="67"/>
      <c r="N259" s="67"/>
      <c r="O259" s="78"/>
      <c r="P259" s="78"/>
      <c r="S259" s="78"/>
      <c r="T259" s="78"/>
      <c r="U259" s="79"/>
      <c r="V259" s="65"/>
      <c r="Y259" s="78"/>
      <c r="Z259" s="78"/>
      <c r="AA259" s="78"/>
      <c r="AB259" s="78"/>
      <c r="AC259" s="78"/>
      <c r="AD259" s="78"/>
      <c r="AE259" s="78"/>
      <c r="AF259" s="78"/>
      <c r="AG259" s="79"/>
      <c r="AH259" s="65"/>
      <c r="AJ259" s="85"/>
      <c r="AK259" s="78"/>
      <c r="AL259" s="78"/>
      <c r="AM259" s="78"/>
      <c r="AN259" s="78"/>
      <c r="AO259" s="78"/>
      <c r="AP259" s="78"/>
      <c r="AQ259" s="79"/>
      <c r="AR259" s="65"/>
      <c r="AT259" s="85"/>
      <c r="AU259" s="78"/>
      <c r="AV259" s="78"/>
      <c r="AW259" s="78"/>
      <c r="AX259" s="78"/>
      <c r="AY259" s="78"/>
      <c r="AZ259" s="79"/>
      <c r="BA259" s="65"/>
      <c r="BC259" s="85"/>
      <c r="BD259" s="78"/>
      <c r="BE259" s="78"/>
      <c r="BF259" s="78"/>
      <c r="BG259" s="78"/>
      <c r="BH259" s="78"/>
      <c r="BI259" s="78"/>
      <c r="BJ259" s="79"/>
      <c r="BK259" s="65"/>
      <c r="CU259" s="67"/>
      <c r="EC259" s="67"/>
      <c r="FK259" s="67"/>
      <c r="FL259" s="67"/>
      <c r="FM259" s="67"/>
      <c r="FN259" s="67"/>
      <c r="FO259" s="67"/>
      <c r="FP259" s="67"/>
      <c r="FQ259" s="67"/>
      <c r="FR259" s="67"/>
      <c r="FS259" s="67"/>
      <c r="FT259" s="67"/>
      <c r="FU259" s="67"/>
      <c r="FV259" s="67"/>
      <c r="FW259" s="67"/>
      <c r="FX259" s="67"/>
      <c r="FY259" s="67"/>
      <c r="FZ259" s="67"/>
      <c r="GA259" s="67"/>
      <c r="GB259" s="67"/>
      <c r="GC259" s="67"/>
      <c r="GD259" s="67"/>
      <c r="GE259" s="67"/>
      <c r="GF259" s="67"/>
      <c r="GG259" s="67"/>
      <c r="GH259" s="67"/>
      <c r="GI259" s="67"/>
      <c r="GJ259" s="67"/>
      <c r="GK259" s="67"/>
      <c r="GL259" s="67"/>
      <c r="GM259" s="67"/>
      <c r="GN259" s="67"/>
      <c r="GO259" s="67"/>
      <c r="GP259" s="67"/>
    </row>
    <row r="260" spans="5:198" s="66" customFormat="1">
      <c r="E260" s="67"/>
      <c r="G260" s="67"/>
      <c r="H260" s="67"/>
      <c r="I260" s="67"/>
      <c r="J260" s="67"/>
      <c r="K260" s="67"/>
      <c r="L260" s="67"/>
      <c r="M260" s="67"/>
      <c r="N260" s="67"/>
      <c r="O260" s="78"/>
      <c r="P260" s="78"/>
      <c r="S260" s="78"/>
      <c r="T260" s="78"/>
      <c r="U260" s="79"/>
      <c r="V260" s="65"/>
      <c r="Y260" s="78"/>
      <c r="Z260" s="78"/>
      <c r="AA260" s="78"/>
      <c r="AB260" s="78"/>
      <c r="AC260" s="78"/>
      <c r="AD260" s="78"/>
      <c r="AE260" s="78"/>
      <c r="AF260" s="78"/>
      <c r="AG260" s="79"/>
      <c r="AH260" s="65"/>
      <c r="AJ260" s="85"/>
      <c r="AK260" s="78"/>
      <c r="AL260" s="78"/>
      <c r="AM260" s="78"/>
      <c r="AN260" s="78"/>
      <c r="AO260" s="78"/>
      <c r="AP260" s="78"/>
      <c r="AQ260" s="79"/>
      <c r="AR260" s="65"/>
      <c r="AT260" s="85"/>
      <c r="AU260" s="78"/>
      <c r="AV260" s="78"/>
      <c r="AW260" s="78"/>
      <c r="AX260" s="78"/>
      <c r="AY260" s="78"/>
      <c r="AZ260" s="79"/>
      <c r="BA260" s="65"/>
      <c r="BC260" s="85"/>
      <c r="BD260" s="78"/>
      <c r="BE260" s="78"/>
      <c r="BF260" s="78"/>
      <c r="BG260" s="78"/>
      <c r="BH260" s="78"/>
      <c r="BI260" s="78"/>
      <c r="BJ260" s="79"/>
      <c r="BK260" s="65"/>
      <c r="CU260" s="67"/>
      <c r="EC260" s="67"/>
      <c r="FK260" s="67"/>
      <c r="FL260" s="67"/>
      <c r="FM260" s="67"/>
      <c r="FN260" s="67"/>
      <c r="FO260" s="67"/>
      <c r="FP260" s="67"/>
      <c r="FQ260" s="67"/>
      <c r="FR260" s="67"/>
      <c r="FS260" s="67"/>
      <c r="FT260" s="67"/>
      <c r="FU260" s="67"/>
      <c r="FV260" s="67"/>
      <c r="FW260" s="67"/>
      <c r="FX260" s="67"/>
      <c r="FY260" s="67"/>
      <c r="FZ260" s="67"/>
      <c r="GA260" s="67"/>
      <c r="GB260" s="67"/>
      <c r="GC260" s="67"/>
      <c r="GD260" s="67"/>
      <c r="GE260" s="67"/>
      <c r="GF260" s="67"/>
      <c r="GG260" s="67"/>
      <c r="GH260" s="67"/>
      <c r="GI260" s="67"/>
      <c r="GJ260" s="67"/>
      <c r="GK260" s="67"/>
      <c r="GL260" s="67"/>
      <c r="GM260" s="67"/>
      <c r="GN260" s="67"/>
      <c r="GO260" s="67"/>
      <c r="GP260" s="67"/>
    </row>
    <row r="261" spans="5:198" s="66" customFormat="1">
      <c r="E261" s="67"/>
      <c r="G261" s="67"/>
      <c r="H261" s="67"/>
      <c r="I261" s="67"/>
      <c r="J261" s="67"/>
      <c r="K261" s="67"/>
      <c r="L261" s="67"/>
      <c r="M261" s="67"/>
      <c r="N261" s="67"/>
      <c r="O261" s="78"/>
      <c r="P261" s="78"/>
      <c r="S261" s="78"/>
      <c r="T261" s="78"/>
      <c r="U261" s="79"/>
      <c r="V261" s="65"/>
      <c r="Y261" s="78"/>
      <c r="Z261" s="78"/>
      <c r="AA261" s="78"/>
      <c r="AB261" s="78"/>
      <c r="AC261" s="78"/>
      <c r="AD261" s="78"/>
      <c r="AE261" s="78"/>
      <c r="AF261" s="78"/>
      <c r="AG261" s="79"/>
      <c r="AH261" s="65"/>
      <c r="AJ261" s="85"/>
      <c r="AK261" s="78"/>
      <c r="AL261" s="78"/>
      <c r="AM261" s="78"/>
      <c r="AN261" s="78"/>
      <c r="AO261" s="78"/>
      <c r="AP261" s="78"/>
      <c r="AQ261" s="79"/>
      <c r="AR261" s="65"/>
      <c r="AT261" s="85"/>
      <c r="AU261" s="78"/>
      <c r="AV261" s="78"/>
      <c r="AW261" s="78"/>
      <c r="AX261" s="78"/>
      <c r="AY261" s="78"/>
      <c r="AZ261" s="79"/>
      <c r="BA261" s="65"/>
      <c r="BC261" s="85"/>
      <c r="BD261" s="78"/>
      <c r="BE261" s="78"/>
      <c r="BF261" s="78"/>
      <c r="BG261" s="78"/>
      <c r="BH261" s="78"/>
      <c r="BI261" s="78"/>
      <c r="BJ261" s="79"/>
      <c r="BK261" s="65"/>
      <c r="CU261" s="67"/>
      <c r="EC261" s="67"/>
      <c r="FK261" s="67"/>
      <c r="FL261" s="67"/>
      <c r="FM261" s="67"/>
      <c r="FN261" s="67"/>
      <c r="FO261" s="67"/>
      <c r="FP261" s="67"/>
      <c r="FQ261" s="67"/>
      <c r="FR261" s="67"/>
      <c r="FS261" s="67"/>
      <c r="FT261" s="67"/>
      <c r="FU261" s="67"/>
      <c r="FV261" s="67"/>
      <c r="FW261" s="67"/>
      <c r="FX261" s="67"/>
      <c r="FY261" s="67"/>
      <c r="FZ261" s="67"/>
      <c r="GA261" s="67"/>
      <c r="GB261" s="67"/>
      <c r="GC261" s="67"/>
      <c r="GD261" s="67"/>
      <c r="GE261" s="67"/>
      <c r="GF261" s="67"/>
      <c r="GG261" s="67"/>
      <c r="GH261" s="67"/>
      <c r="GI261" s="67"/>
      <c r="GJ261" s="67"/>
      <c r="GK261" s="67"/>
      <c r="GL261" s="67"/>
      <c r="GM261" s="67"/>
      <c r="GN261" s="67"/>
      <c r="GO261" s="67"/>
      <c r="GP261" s="67"/>
    </row>
    <row r="262" spans="5:198" s="66" customFormat="1">
      <c r="E262" s="67"/>
      <c r="G262" s="67"/>
      <c r="H262" s="67"/>
      <c r="I262" s="67"/>
      <c r="J262" s="67"/>
      <c r="K262" s="67"/>
      <c r="L262" s="67"/>
      <c r="M262" s="67"/>
      <c r="N262" s="67"/>
      <c r="O262" s="78"/>
      <c r="P262" s="78"/>
      <c r="S262" s="78"/>
      <c r="T262" s="78"/>
      <c r="U262" s="79"/>
      <c r="V262" s="65"/>
      <c r="Y262" s="78"/>
      <c r="Z262" s="78"/>
      <c r="AA262" s="78"/>
      <c r="AB262" s="78"/>
      <c r="AC262" s="78"/>
      <c r="AD262" s="78"/>
      <c r="AE262" s="78"/>
      <c r="AF262" s="78"/>
      <c r="AG262" s="79"/>
      <c r="AH262" s="65"/>
      <c r="AJ262" s="85"/>
      <c r="AK262" s="78"/>
      <c r="AL262" s="78"/>
      <c r="AM262" s="78"/>
      <c r="AN262" s="78"/>
      <c r="AO262" s="78"/>
      <c r="AP262" s="78"/>
      <c r="AQ262" s="79"/>
      <c r="AR262" s="65"/>
      <c r="AT262" s="85"/>
      <c r="AU262" s="78"/>
      <c r="AV262" s="78"/>
      <c r="AW262" s="78"/>
      <c r="AX262" s="78"/>
      <c r="AY262" s="78"/>
      <c r="AZ262" s="79"/>
      <c r="BA262" s="65"/>
      <c r="BC262" s="85"/>
      <c r="BD262" s="78"/>
      <c r="BE262" s="78"/>
      <c r="BF262" s="78"/>
      <c r="BG262" s="78"/>
      <c r="BH262" s="78"/>
      <c r="BI262" s="78"/>
      <c r="BJ262" s="79"/>
      <c r="BK262" s="65"/>
      <c r="CU262" s="67"/>
      <c r="EC262" s="67"/>
      <c r="FK262" s="67"/>
      <c r="FL262" s="67"/>
      <c r="FM262" s="67"/>
      <c r="FN262" s="67"/>
      <c r="FO262" s="67"/>
      <c r="FP262" s="67"/>
      <c r="FQ262" s="67"/>
      <c r="FR262" s="67"/>
      <c r="FS262" s="67"/>
      <c r="FT262" s="67"/>
      <c r="FU262" s="67"/>
      <c r="FV262" s="67"/>
      <c r="FW262" s="67"/>
      <c r="FX262" s="67"/>
      <c r="FY262" s="67"/>
      <c r="FZ262" s="67"/>
      <c r="GA262" s="67"/>
      <c r="GB262" s="67"/>
      <c r="GC262" s="67"/>
      <c r="GD262" s="67"/>
      <c r="GE262" s="67"/>
      <c r="GF262" s="67"/>
      <c r="GG262" s="67"/>
      <c r="GH262" s="67"/>
      <c r="GI262" s="67"/>
      <c r="GJ262" s="67"/>
      <c r="GK262" s="67"/>
      <c r="GL262" s="67"/>
      <c r="GM262" s="67"/>
      <c r="GN262" s="67"/>
      <c r="GO262" s="67"/>
      <c r="GP262" s="67"/>
    </row>
    <row r="263" spans="5:198" s="66" customFormat="1">
      <c r="E263" s="67"/>
      <c r="G263" s="67"/>
      <c r="H263" s="67"/>
      <c r="I263" s="67"/>
      <c r="J263" s="67"/>
      <c r="K263" s="67"/>
      <c r="L263" s="67"/>
      <c r="M263" s="67"/>
      <c r="N263" s="67"/>
      <c r="O263" s="78"/>
      <c r="P263" s="78"/>
      <c r="S263" s="78"/>
      <c r="T263" s="78"/>
      <c r="U263" s="79"/>
      <c r="V263" s="65"/>
      <c r="Y263" s="78"/>
      <c r="Z263" s="78"/>
      <c r="AA263" s="78"/>
      <c r="AB263" s="78"/>
      <c r="AC263" s="78"/>
      <c r="AD263" s="78"/>
      <c r="AE263" s="78"/>
      <c r="AF263" s="78"/>
      <c r="AG263" s="79"/>
      <c r="AH263" s="65"/>
      <c r="AJ263" s="85"/>
      <c r="AK263" s="78"/>
      <c r="AL263" s="78"/>
      <c r="AM263" s="78"/>
      <c r="AN263" s="78"/>
      <c r="AO263" s="78"/>
      <c r="AP263" s="78"/>
      <c r="AQ263" s="79"/>
      <c r="AR263" s="65"/>
      <c r="AT263" s="85"/>
      <c r="AU263" s="78"/>
      <c r="AV263" s="78"/>
      <c r="AW263" s="78"/>
      <c r="AX263" s="78"/>
      <c r="AY263" s="78"/>
      <c r="AZ263" s="79"/>
      <c r="BA263" s="65"/>
      <c r="BC263" s="85"/>
      <c r="BD263" s="78"/>
      <c r="BE263" s="78"/>
      <c r="BF263" s="78"/>
      <c r="BG263" s="78"/>
      <c r="BH263" s="78"/>
      <c r="BI263" s="78"/>
      <c r="BJ263" s="79"/>
      <c r="BK263" s="65"/>
      <c r="CU263" s="67"/>
      <c r="EC263" s="67"/>
      <c r="FK263" s="67"/>
      <c r="FL263" s="67"/>
      <c r="FM263" s="67"/>
      <c r="FN263" s="67"/>
      <c r="FO263" s="67"/>
      <c r="FP263" s="67"/>
      <c r="FQ263" s="67"/>
      <c r="FR263" s="67"/>
      <c r="FS263" s="67"/>
      <c r="FT263" s="67"/>
      <c r="FU263" s="67"/>
      <c r="FV263" s="67"/>
      <c r="FW263" s="67"/>
      <c r="FX263" s="67"/>
      <c r="FY263" s="67"/>
      <c r="FZ263" s="67"/>
      <c r="GA263" s="67"/>
      <c r="GB263" s="67"/>
      <c r="GC263" s="67"/>
      <c r="GD263" s="67"/>
      <c r="GE263" s="67"/>
      <c r="GF263" s="67"/>
      <c r="GG263" s="67"/>
      <c r="GH263" s="67"/>
      <c r="GI263" s="67"/>
      <c r="GJ263" s="67"/>
      <c r="GK263" s="67"/>
      <c r="GL263" s="67"/>
      <c r="GM263" s="67"/>
      <c r="GN263" s="67"/>
      <c r="GO263" s="67"/>
      <c r="GP263" s="67"/>
    </row>
    <row r="264" spans="5:198" s="66" customFormat="1">
      <c r="E264" s="67"/>
      <c r="G264" s="67"/>
      <c r="H264" s="67"/>
      <c r="I264" s="67"/>
      <c r="J264" s="67"/>
      <c r="K264" s="67"/>
      <c r="L264" s="67"/>
      <c r="M264" s="67"/>
      <c r="N264" s="67"/>
      <c r="O264" s="78"/>
      <c r="P264" s="78"/>
      <c r="S264" s="78"/>
      <c r="T264" s="78"/>
      <c r="U264" s="79"/>
      <c r="V264" s="65"/>
      <c r="Y264" s="78"/>
      <c r="Z264" s="78"/>
      <c r="AA264" s="78"/>
      <c r="AB264" s="78"/>
      <c r="AC264" s="78"/>
      <c r="AD264" s="78"/>
      <c r="AE264" s="78"/>
      <c r="AF264" s="78"/>
      <c r="AG264" s="79"/>
      <c r="AH264" s="65"/>
      <c r="AJ264" s="85"/>
      <c r="AK264" s="78"/>
      <c r="AL264" s="78"/>
      <c r="AM264" s="78"/>
      <c r="AN264" s="78"/>
      <c r="AO264" s="78"/>
      <c r="AP264" s="78"/>
      <c r="AQ264" s="79"/>
      <c r="AR264" s="65"/>
      <c r="AT264" s="85"/>
      <c r="AU264" s="78"/>
      <c r="AV264" s="78"/>
      <c r="AW264" s="78"/>
      <c r="AX264" s="78"/>
      <c r="AY264" s="78"/>
      <c r="AZ264" s="79"/>
      <c r="BA264" s="65"/>
      <c r="BC264" s="85"/>
      <c r="BD264" s="78"/>
      <c r="BE264" s="78"/>
      <c r="BF264" s="78"/>
      <c r="BG264" s="78"/>
      <c r="BH264" s="78"/>
      <c r="BI264" s="78"/>
      <c r="BJ264" s="79"/>
      <c r="BK264" s="65"/>
      <c r="CU264" s="67"/>
      <c r="EC264" s="67"/>
      <c r="FK264" s="67"/>
      <c r="FL264" s="67"/>
      <c r="FM264" s="67"/>
      <c r="FN264" s="67"/>
      <c r="FO264" s="67"/>
      <c r="FP264" s="67"/>
      <c r="FQ264" s="67"/>
      <c r="FR264" s="67"/>
      <c r="FS264" s="67"/>
      <c r="FT264" s="67"/>
      <c r="FU264" s="67"/>
      <c r="FV264" s="67"/>
      <c r="FW264" s="67"/>
      <c r="FX264" s="67"/>
      <c r="FY264" s="67"/>
      <c r="FZ264" s="67"/>
      <c r="GA264" s="67"/>
      <c r="GB264" s="67"/>
      <c r="GC264" s="67"/>
      <c r="GD264" s="67"/>
      <c r="GE264" s="67"/>
      <c r="GF264" s="67"/>
      <c r="GG264" s="67"/>
      <c r="GH264" s="67"/>
      <c r="GI264" s="67"/>
      <c r="GJ264" s="67"/>
      <c r="GK264" s="67"/>
      <c r="GL264" s="67"/>
      <c r="GM264" s="67"/>
      <c r="GN264" s="67"/>
      <c r="GO264" s="67"/>
      <c r="GP264" s="67"/>
    </row>
    <row r="265" spans="5:198" s="66" customFormat="1">
      <c r="E265" s="67"/>
      <c r="G265" s="67"/>
      <c r="H265" s="67"/>
      <c r="I265" s="67"/>
      <c r="J265" s="67"/>
      <c r="K265" s="67"/>
      <c r="L265" s="67"/>
      <c r="M265" s="67"/>
      <c r="N265" s="67"/>
      <c r="O265" s="78"/>
      <c r="P265" s="78"/>
      <c r="S265" s="78"/>
      <c r="T265" s="78"/>
      <c r="U265" s="79"/>
      <c r="V265" s="65"/>
      <c r="Y265" s="78"/>
      <c r="Z265" s="78"/>
      <c r="AA265" s="78"/>
      <c r="AB265" s="78"/>
      <c r="AC265" s="78"/>
      <c r="AD265" s="78"/>
      <c r="AE265" s="78"/>
      <c r="AF265" s="78"/>
      <c r="AG265" s="79"/>
      <c r="AH265" s="65"/>
      <c r="AJ265" s="85"/>
      <c r="AK265" s="78"/>
      <c r="AL265" s="78"/>
      <c r="AM265" s="78"/>
      <c r="AN265" s="78"/>
      <c r="AO265" s="78"/>
      <c r="AP265" s="78"/>
      <c r="AQ265" s="79"/>
      <c r="AR265" s="65"/>
      <c r="AT265" s="85"/>
      <c r="AU265" s="78"/>
      <c r="AV265" s="78"/>
      <c r="AW265" s="78"/>
      <c r="AX265" s="78"/>
      <c r="AY265" s="78"/>
      <c r="AZ265" s="79"/>
      <c r="BA265" s="65"/>
      <c r="BC265" s="85"/>
      <c r="BD265" s="78"/>
      <c r="BE265" s="78"/>
      <c r="BF265" s="78"/>
      <c r="BG265" s="78"/>
      <c r="BH265" s="78"/>
      <c r="BI265" s="78"/>
      <c r="BJ265" s="79"/>
      <c r="BK265" s="65"/>
      <c r="CU265" s="67"/>
      <c r="EC265" s="67"/>
      <c r="FK265" s="67"/>
      <c r="FL265" s="67"/>
      <c r="FM265" s="67"/>
      <c r="FN265" s="67"/>
      <c r="FO265" s="67"/>
      <c r="FP265" s="67"/>
      <c r="FQ265" s="67"/>
      <c r="FR265" s="67"/>
      <c r="FS265" s="67"/>
      <c r="FT265" s="67"/>
      <c r="FU265" s="67"/>
      <c r="FV265" s="67"/>
      <c r="FW265" s="67"/>
      <c r="FX265" s="67"/>
      <c r="FY265" s="67"/>
      <c r="FZ265" s="67"/>
      <c r="GA265" s="67"/>
      <c r="GB265" s="67"/>
      <c r="GC265" s="67"/>
      <c r="GD265" s="67"/>
      <c r="GE265" s="67"/>
      <c r="GF265" s="67"/>
      <c r="GG265" s="67"/>
      <c r="GH265" s="67"/>
      <c r="GI265" s="67"/>
      <c r="GJ265" s="67"/>
      <c r="GK265" s="67"/>
      <c r="GL265" s="67"/>
      <c r="GM265" s="67"/>
      <c r="GN265" s="67"/>
      <c r="GO265" s="67"/>
      <c r="GP265" s="67"/>
    </row>
    <row r="266" spans="5:198" s="66" customFormat="1">
      <c r="E266" s="67"/>
      <c r="G266" s="67"/>
      <c r="H266" s="67"/>
      <c r="I266" s="67"/>
      <c r="J266" s="67"/>
      <c r="K266" s="67"/>
      <c r="L266" s="67"/>
      <c r="M266" s="67"/>
      <c r="N266" s="67"/>
      <c r="O266" s="78"/>
      <c r="P266" s="78"/>
      <c r="S266" s="78"/>
      <c r="T266" s="78"/>
      <c r="U266" s="79"/>
      <c r="V266" s="65"/>
      <c r="Y266" s="78"/>
      <c r="Z266" s="78"/>
      <c r="AA266" s="78"/>
      <c r="AB266" s="78"/>
      <c r="AC266" s="78"/>
      <c r="AD266" s="78"/>
      <c r="AE266" s="78"/>
      <c r="AF266" s="78"/>
      <c r="AG266" s="79"/>
      <c r="AH266" s="65"/>
      <c r="AJ266" s="85"/>
      <c r="AK266" s="78"/>
      <c r="AL266" s="78"/>
      <c r="AM266" s="78"/>
      <c r="AN266" s="78"/>
      <c r="AO266" s="78"/>
      <c r="AP266" s="78"/>
      <c r="AQ266" s="79"/>
      <c r="AR266" s="65"/>
      <c r="AT266" s="85"/>
      <c r="AU266" s="78"/>
      <c r="AV266" s="78"/>
      <c r="AW266" s="78"/>
      <c r="AX266" s="78"/>
      <c r="AY266" s="78"/>
      <c r="AZ266" s="79"/>
      <c r="BA266" s="65"/>
      <c r="BC266" s="85"/>
      <c r="BD266" s="78"/>
      <c r="BE266" s="78"/>
      <c r="BF266" s="78"/>
      <c r="BG266" s="78"/>
      <c r="BH266" s="78"/>
      <c r="BI266" s="78"/>
      <c r="BJ266" s="79"/>
      <c r="BK266" s="65"/>
      <c r="CU266" s="67"/>
      <c r="EC266" s="67"/>
      <c r="FK266" s="67"/>
      <c r="FL266" s="67"/>
      <c r="FM266" s="67"/>
      <c r="FN266" s="67"/>
      <c r="FO266" s="67"/>
      <c r="FP266" s="67"/>
      <c r="FQ266" s="67"/>
      <c r="FR266" s="67"/>
      <c r="FS266" s="67"/>
      <c r="FT266" s="67"/>
      <c r="FU266" s="67"/>
      <c r="FV266" s="67"/>
      <c r="FW266" s="67"/>
      <c r="FX266" s="67"/>
      <c r="FY266" s="67"/>
      <c r="FZ266" s="67"/>
      <c r="GA266" s="67"/>
      <c r="GB266" s="67"/>
      <c r="GC266" s="67"/>
      <c r="GD266" s="67"/>
      <c r="GE266" s="67"/>
      <c r="GF266" s="67"/>
      <c r="GG266" s="67"/>
      <c r="GH266" s="67"/>
      <c r="GI266" s="67"/>
      <c r="GJ266" s="67"/>
      <c r="GK266" s="67"/>
      <c r="GL266" s="67"/>
      <c r="GM266" s="67"/>
      <c r="GN266" s="67"/>
      <c r="GO266" s="67"/>
      <c r="GP266" s="67"/>
    </row>
    <row r="267" spans="5:198" s="66" customFormat="1">
      <c r="E267" s="67"/>
      <c r="G267" s="67"/>
      <c r="H267" s="67"/>
      <c r="I267" s="67"/>
      <c r="J267" s="67"/>
      <c r="K267" s="67"/>
      <c r="L267" s="67"/>
      <c r="M267" s="67"/>
      <c r="N267" s="67"/>
      <c r="O267" s="78"/>
      <c r="P267" s="78"/>
      <c r="S267" s="78"/>
      <c r="T267" s="78"/>
      <c r="U267" s="79"/>
      <c r="V267" s="65"/>
      <c r="Y267" s="78"/>
      <c r="Z267" s="78"/>
      <c r="AA267" s="78"/>
      <c r="AB267" s="78"/>
      <c r="AC267" s="78"/>
      <c r="AD267" s="78"/>
      <c r="AE267" s="78"/>
      <c r="AF267" s="78"/>
      <c r="AG267" s="79"/>
      <c r="AH267" s="65"/>
      <c r="AJ267" s="85"/>
      <c r="AK267" s="78"/>
      <c r="AL267" s="78"/>
      <c r="AM267" s="78"/>
      <c r="AN267" s="78"/>
      <c r="AO267" s="78"/>
      <c r="AP267" s="78"/>
      <c r="AQ267" s="79"/>
      <c r="AR267" s="65"/>
      <c r="AT267" s="85"/>
      <c r="AU267" s="78"/>
      <c r="AV267" s="78"/>
      <c r="AW267" s="78"/>
      <c r="AX267" s="78"/>
      <c r="AY267" s="78"/>
      <c r="AZ267" s="79"/>
      <c r="BA267" s="65"/>
      <c r="BC267" s="85"/>
      <c r="BD267" s="78"/>
      <c r="BE267" s="78"/>
      <c r="BF267" s="78"/>
      <c r="BG267" s="78"/>
      <c r="BH267" s="78"/>
      <c r="BI267" s="78"/>
      <c r="BJ267" s="79"/>
      <c r="BK267" s="65"/>
      <c r="CU267" s="67"/>
      <c r="EC267" s="67"/>
      <c r="FK267" s="67"/>
      <c r="FL267" s="67"/>
      <c r="FM267" s="67"/>
      <c r="FN267" s="67"/>
      <c r="FO267" s="67"/>
      <c r="FP267" s="67"/>
      <c r="FQ267" s="67"/>
      <c r="FR267" s="67"/>
      <c r="FS267" s="67"/>
      <c r="FT267" s="67"/>
      <c r="FU267" s="67"/>
      <c r="FV267" s="67"/>
      <c r="FW267" s="67"/>
      <c r="FX267" s="67"/>
      <c r="FY267" s="67"/>
      <c r="FZ267" s="67"/>
      <c r="GA267" s="67"/>
      <c r="GB267" s="67"/>
      <c r="GC267" s="67"/>
      <c r="GD267" s="67"/>
      <c r="GE267" s="67"/>
      <c r="GF267" s="67"/>
      <c r="GG267" s="67"/>
      <c r="GH267" s="67"/>
      <c r="GI267" s="67"/>
      <c r="GJ267" s="67"/>
      <c r="GK267" s="67"/>
      <c r="GL267" s="67"/>
      <c r="GM267" s="67"/>
      <c r="GN267" s="67"/>
      <c r="GO267" s="67"/>
      <c r="GP267" s="67"/>
    </row>
    <row r="268" spans="5:198" s="66" customFormat="1">
      <c r="E268" s="67"/>
      <c r="G268" s="67"/>
      <c r="H268" s="67"/>
      <c r="I268" s="67"/>
      <c r="J268" s="67"/>
      <c r="K268" s="67"/>
      <c r="L268" s="67"/>
      <c r="M268" s="67"/>
      <c r="N268" s="67"/>
      <c r="O268" s="78"/>
      <c r="P268" s="78"/>
      <c r="S268" s="78"/>
      <c r="T268" s="78"/>
      <c r="U268" s="79"/>
      <c r="V268" s="65"/>
      <c r="Y268" s="78"/>
      <c r="Z268" s="78"/>
      <c r="AA268" s="78"/>
      <c r="AB268" s="78"/>
      <c r="AC268" s="78"/>
      <c r="AD268" s="78"/>
      <c r="AE268" s="78"/>
      <c r="AF268" s="78"/>
      <c r="AG268" s="79"/>
      <c r="AH268" s="65"/>
      <c r="AJ268" s="85"/>
      <c r="AK268" s="78"/>
      <c r="AL268" s="78"/>
      <c r="AM268" s="78"/>
      <c r="AN268" s="78"/>
      <c r="AO268" s="78"/>
      <c r="AP268" s="78"/>
      <c r="AQ268" s="79"/>
      <c r="AR268" s="65"/>
      <c r="AT268" s="85"/>
      <c r="AU268" s="78"/>
      <c r="AV268" s="78"/>
      <c r="AW268" s="78"/>
      <c r="AX268" s="78"/>
      <c r="AY268" s="78"/>
      <c r="AZ268" s="79"/>
      <c r="BA268" s="65"/>
      <c r="BC268" s="85"/>
      <c r="BD268" s="78"/>
      <c r="BE268" s="78"/>
      <c r="BF268" s="78"/>
      <c r="BG268" s="78"/>
      <c r="BH268" s="78"/>
      <c r="BI268" s="78"/>
      <c r="BJ268" s="79"/>
      <c r="BK268" s="65"/>
      <c r="CU268" s="67"/>
      <c r="EC268" s="67"/>
      <c r="FK268" s="67"/>
      <c r="FL268" s="67"/>
      <c r="FM268" s="67"/>
      <c r="FN268" s="67"/>
      <c r="FO268" s="67"/>
      <c r="FP268" s="67"/>
      <c r="FQ268" s="67"/>
      <c r="FR268" s="67"/>
      <c r="FS268" s="67"/>
      <c r="FT268" s="67"/>
      <c r="FU268" s="67"/>
      <c r="FV268" s="67"/>
      <c r="FW268" s="67"/>
      <c r="FX268" s="67"/>
      <c r="FY268" s="67"/>
      <c r="FZ268" s="67"/>
      <c r="GA268" s="67"/>
      <c r="GB268" s="67"/>
      <c r="GC268" s="67"/>
      <c r="GD268" s="67"/>
      <c r="GE268" s="67"/>
      <c r="GF268" s="67"/>
      <c r="GG268" s="67"/>
      <c r="GH268" s="67"/>
      <c r="GI268" s="67"/>
      <c r="GJ268" s="67"/>
      <c r="GK268" s="67"/>
      <c r="GL268" s="67"/>
      <c r="GM268" s="67"/>
      <c r="GN268" s="67"/>
      <c r="GO268" s="67"/>
      <c r="GP268" s="67"/>
    </row>
    <row r="269" spans="5:198" s="66" customFormat="1">
      <c r="E269" s="67"/>
      <c r="G269" s="67"/>
      <c r="H269" s="67"/>
      <c r="I269" s="67"/>
      <c r="J269" s="67"/>
      <c r="K269" s="67"/>
      <c r="L269" s="67"/>
      <c r="M269" s="67"/>
      <c r="N269" s="67"/>
      <c r="O269" s="78"/>
      <c r="P269" s="78"/>
      <c r="S269" s="78"/>
      <c r="T269" s="78"/>
      <c r="U269" s="79"/>
      <c r="V269" s="65"/>
      <c r="Y269" s="78"/>
      <c r="Z269" s="78"/>
      <c r="AA269" s="78"/>
      <c r="AB269" s="78"/>
      <c r="AC269" s="78"/>
      <c r="AD269" s="78"/>
      <c r="AE269" s="78"/>
      <c r="AF269" s="78"/>
      <c r="AG269" s="79"/>
      <c r="AH269" s="65"/>
      <c r="AJ269" s="85"/>
      <c r="AK269" s="78"/>
      <c r="AL269" s="78"/>
      <c r="AM269" s="78"/>
      <c r="AN269" s="78"/>
      <c r="AO269" s="78"/>
      <c r="AP269" s="78"/>
      <c r="AQ269" s="79"/>
      <c r="AR269" s="65"/>
      <c r="AT269" s="85"/>
      <c r="AU269" s="78"/>
      <c r="AV269" s="78"/>
      <c r="AW269" s="78"/>
      <c r="AX269" s="78"/>
      <c r="AY269" s="78"/>
      <c r="AZ269" s="79"/>
      <c r="BA269" s="65"/>
      <c r="BC269" s="85"/>
      <c r="BD269" s="78"/>
      <c r="BE269" s="78"/>
      <c r="BF269" s="78"/>
      <c r="BG269" s="78"/>
      <c r="BH269" s="78"/>
      <c r="BI269" s="78"/>
      <c r="BJ269" s="79"/>
      <c r="BK269" s="65"/>
      <c r="CU269" s="67"/>
      <c r="EC269" s="67"/>
      <c r="FK269" s="67"/>
      <c r="FL269" s="67"/>
      <c r="FM269" s="67"/>
      <c r="FN269" s="67"/>
      <c r="FO269" s="67"/>
      <c r="FP269" s="67"/>
      <c r="FQ269" s="67"/>
      <c r="FR269" s="67"/>
      <c r="FS269" s="67"/>
      <c r="FT269" s="67"/>
      <c r="FU269" s="67"/>
      <c r="FV269" s="67"/>
      <c r="FW269" s="67"/>
      <c r="FX269" s="67"/>
      <c r="FY269" s="67"/>
      <c r="FZ269" s="67"/>
      <c r="GA269" s="67"/>
      <c r="GB269" s="67"/>
      <c r="GC269" s="67"/>
      <c r="GD269" s="67"/>
      <c r="GE269" s="67"/>
      <c r="GF269" s="67"/>
      <c r="GG269" s="67"/>
      <c r="GH269" s="67"/>
      <c r="GI269" s="67"/>
      <c r="GJ269" s="67"/>
      <c r="GK269" s="67"/>
      <c r="GL269" s="67"/>
      <c r="GM269" s="67"/>
      <c r="GN269" s="67"/>
      <c r="GO269" s="67"/>
      <c r="GP269" s="67"/>
    </row>
    <row r="270" spans="5:198" s="66" customFormat="1">
      <c r="E270" s="67"/>
      <c r="G270" s="67"/>
      <c r="H270" s="67"/>
      <c r="I270" s="67"/>
      <c r="J270" s="67"/>
      <c r="K270" s="67"/>
      <c r="L270" s="67"/>
      <c r="M270" s="67"/>
      <c r="N270" s="67"/>
      <c r="O270" s="78"/>
      <c r="P270" s="78"/>
      <c r="S270" s="78"/>
      <c r="T270" s="78"/>
      <c r="U270" s="79"/>
      <c r="V270" s="65"/>
      <c r="Y270" s="78"/>
      <c r="Z270" s="78"/>
      <c r="AA270" s="78"/>
      <c r="AB270" s="78"/>
      <c r="AC270" s="78"/>
      <c r="AD270" s="78"/>
      <c r="AE270" s="78"/>
      <c r="AF270" s="78"/>
      <c r="AG270" s="79"/>
      <c r="AH270" s="65"/>
      <c r="AJ270" s="85"/>
      <c r="AK270" s="78"/>
      <c r="AL270" s="78"/>
      <c r="AM270" s="78"/>
      <c r="AN270" s="78"/>
      <c r="AO270" s="78"/>
      <c r="AP270" s="78"/>
      <c r="AQ270" s="79"/>
      <c r="AR270" s="65"/>
      <c r="AT270" s="85"/>
      <c r="AU270" s="78"/>
      <c r="AV270" s="78"/>
      <c r="AW270" s="78"/>
      <c r="AX270" s="78"/>
      <c r="AY270" s="78"/>
      <c r="AZ270" s="79"/>
      <c r="BA270" s="65"/>
      <c r="BC270" s="85"/>
      <c r="BD270" s="78"/>
      <c r="BE270" s="78"/>
      <c r="BF270" s="78"/>
      <c r="BG270" s="78"/>
      <c r="BH270" s="78"/>
      <c r="BI270" s="78"/>
      <c r="BJ270" s="79"/>
      <c r="BK270" s="65"/>
      <c r="CU270" s="67"/>
      <c r="EC270" s="67"/>
      <c r="FK270" s="67"/>
      <c r="FL270" s="67"/>
      <c r="FM270" s="67"/>
      <c r="FN270" s="67"/>
      <c r="FO270" s="67"/>
      <c r="FP270" s="67"/>
      <c r="FQ270" s="67"/>
      <c r="FR270" s="67"/>
      <c r="FS270" s="67"/>
      <c r="FT270" s="67"/>
      <c r="FU270" s="67"/>
      <c r="FV270" s="67"/>
      <c r="FW270" s="67"/>
      <c r="FX270" s="67"/>
      <c r="FY270" s="67"/>
      <c r="FZ270" s="67"/>
      <c r="GA270" s="67"/>
      <c r="GB270" s="67"/>
      <c r="GC270" s="67"/>
      <c r="GD270" s="67"/>
      <c r="GE270" s="67"/>
      <c r="GF270" s="67"/>
      <c r="GG270" s="67"/>
      <c r="GH270" s="67"/>
      <c r="GI270" s="67"/>
      <c r="GJ270" s="67"/>
      <c r="GK270" s="67"/>
      <c r="GL270" s="67"/>
      <c r="GM270" s="67"/>
      <c r="GN270" s="67"/>
      <c r="GO270" s="67"/>
      <c r="GP270" s="67"/>
    </row>
    <row r="271" spans="5:198" s="66" customFormat="1">
      <c r="E271" s="67"/>
      <c r="G271" s="67"/>
      <c r="H271" s="67"/>
      <c r="I271" s="67"/>
      <c r="J271" s="67"/>
      <c r="K271" s="67"/>
      <c r="L271" s="67"/>
      <c r="M271" s="67"/>
      <c r="N271" s="67"/>
      <c r="O271" s="78"/>
      <c r="P271" s="78"/>
      <c r="S271" s="78"/>
      <c r="T271" s="78"/>
      <c r="U271" s="79"/>
      <c r="V271" s="65"/>
      <c r="Y271" s="78"/>
      <c r="Z271" s="78"/>
      <c r="AA271" s="78"/>
      <c r="AB271" s="78"/>
      <c r="AC271" s="78"/>
      <c r="AD271" s="78"/>
      <c r="AE271" s="78"/>
      <c r="AF271" s="78"/>
      <c r="AG271" s="79"/>
      <c r="AH271" s="65"/>
      <c r="AJ271" s="85"/>
      <c r="AK271" s="78"/>
      <c r="AL271" s="78"/>
      <c r="AM271" s="78"/>
      <c r="AN271" s="78"/>
      <c r="AO271" s="78"/>
      <c r="AP271" s="78"/>
      <c r="AQ271" s="79"/>
      <c r="AR271" s="65"/>
      <c r="AT271" s="85"/>
      <c r="AU271" s="78"/>
      <c r="AV271" s="78"/>
      <c r="AW271" s="78"/>
      <c r="AX271" s="78"/>
      <c r="AY271" s="78"/>
      <c r="AZ271" s="79"/>
      <c r="BA271" s="65"/>
      <c r="BC271" s="85"/>
      <c r="BD271" s="78"/>
      <c r="BE271" s="78"/>
      <c r="BF271" s="78"/>
      <c r="BG271" s="78"/>
      <c r="BH271" s="78"/>
      <c r="BI271" s="78"/>
      <c r="BJ271" s="79"/>
      <c r="BK271" s="65"/>
      <c r="CU271" s="67"/>
      <c r="EC271" s="67"/>
      <c r="FK271" s="67"/>
      <c r="FL271" s="67"/>
      <c r="FM271" s="67"/>
      <c r="FN271" s="67"/>
      <c r="FO271" s="67"/>
      <c r="FP271" s="67"/>
      <c r="FQ271" s="67"/>
      <c r="FR271" s="67"/>
      <c r="FS271" s="67"/>
      <c r="FT271" s="67"/>
      <c r="FU271" s="67"/>
      <c r="FV271" s="67"/>
      <c r="FW271" s="67"/>
      <c r="FX271" s="67"/>
      <c r="FY271" s="67"/>
      <c r="FZ271" s="67"/>
      <c r="GA271" s="67"/>
      <c r="GB271" s="67"/>
      <c r="GC271" s="67"/>
      <c r="GD271" s="67"/>
      <c r="GE271" s="67"/>
      <c r="GF271" s="67"/>
      <c r="GG271" s="67"/>
      <c r="GH271" s="67"/>
      <c r="GI271" s="67"/>
      <c r="GJ271" s="67"/>
      <c r="GK271" s="67"/>
      <c r="GL271" s="67"/>
      <c r="GM271" s="67"/>
      <c r="GN271" s="67"/>
      <c r="GO271" s="67"/>
      <c r="GP271" s="67"/>
    </row>
    <row r="272" spans="5:198" s="66" customFormat="1">
      <c r="E272" s="67"/>
      <c r="G272" s="67"/>
      <c r="H272" s="67"/>
      <c r="I272" s="67"/>
      <c r="J272" s="67"/>
      <c r="K272" s="67"/>
      <c r="L272" s="67"/>
      <c r="M272" s="67"/>
      <c r="N272" s="67"/>
      <c r="O272" s="78"/>
      <c r="P272" s="78"/>
      <c r="S272" s="78"/>
      <c r="T272" s="78"/>
      <c r="U272" s="79"/>
      <c r="V272" s="65"/>
      <c r="Y272" s="78"/>
      <c r="Z272" s="78"/>
      <c r="AA272" s="78"/>
      <c r="AB272" s="78"/>
      <c r="AC272" s="78"/>
      <c r="AD272" s="78"/>
      <c r="AE272" s="78"/>
      <c r="AF272" s="78"/>
      <c r="AG272" s="79"/>
      <c r="AH272" s="65"/>
      <c r="AJ272" s="85"/>
      <c r="AK272" s="78"/>
      <c r="AL272" s="78"/>
      <c r="AM272" s="78"/>
      <c r="AN272" s="78"/>
      <c r="AO272" s="78"/>
      <c r="AP272" s="78"/>
      <c r="AQ272" s="79"/>
      <c r="AR272" s="65"/>
      <c r="AT272" s="85"/>
      <c r="AU272" s="78"/>
      <c r="AV272" s="78"/>
      <c r="AW272" s="78"/>
      <c r="AX272" s="78"/>
      <c r="AY272" s="78"/>
      <c r="AZ272" s="79"/>
      <c r="BA272" s="65"/>
      <c r="BC272" s="85"/>
      <c r="BD272" s="78"/>
      <c r="BE272" s="78"/>
      <c r="BF272" s="78"/>
      <c r="BG272" s="78"/>
      <c r="BH272" s="78"/>
      <c r="BI272" s="78"/>
      <c r="BJ272" s="79"/>
      <c r="BK272" s="65"/>
      <c r="CU272" s="67"/>
      <c r="EC272" s="67"/>
      <c r="FK272" s="67"/>
      <c r="FL272" s="67"/>
      <c r="FM272" s="67"/>
      <c r="FN272" s="67"/>
      <c r="FO272" s="67"/>
      <c r="FP272" s="67"/>
      <c r="FQ272" s="67"/>
      <c r="FR272" s="67"/>
      <c r="FS272" s="67"/>
      <c r="FT272" s="67"/>
      <c r="FU272" s="67"/>
      <c r="FV272" s="67"/>
      <c r="FW272" s="67"/>
      <c r="FX272" s="67"/>
      <c r="FY272" s="67"/>
      <c r="FZ272" s="67"/>
      <c r="GA272" s="67"/>
      <c r="GB272" s="67"/>
      <c r="GC272" s="67"/>
      <c r="GD272" s="67"/>
      <c r="GE272" s="67"/>
      <c r="GF272" s="67"/>
      <c r="GG272" s="67"/>
      <c r="GH272" s="67"/>
      <c r="GI272" s="67"/>
      <c r="GJ272" s="67"/>
      <c r="GK272" s="67"/>
      <c r="GL272" s="67"/>
      <c r="GM272" s="67"/>
      <c r="GN272" s="67"/>
      <c r="GO272" s="67"/>
      <c r="GP272" s="67"/>
    </row>
    <row r="273" spans="5:198" s="66" customFormat="1">
      <c r="E273" s="67"/>
      <c r="G273" s="67"/>
      <c r="H273" s="67"/>
      <c r="I273" s="67"/>
      <c r="J273" s="67"/>
      <c r="K273" s="67"/>
      <c r="L273" s="67"/>
      <c r="M273" s="67"/>
      <c r="N273" s="67"/>
      <c r="O273" s="78"/>
      <c r="P273" s="78"/>
      <c r="S273" s="78"/>
      <c r="T273" s="78"/>
      <c r="U273" s="79"/>
      <c r="V273" s="65"/>
      <c r="Y273" s="78"/>
      <c r="Z273" s="78"/>
      <c r="AA273" s="78"/>
      <c r="AB273" s="78"/>
      <c r="AC273" s="78"/>
      <c r="AD273" s="78"/>
      <c r="AE273" s="78"/>
      <c r="AF273" s="78"/>
      <c r="AG273" s="79"/>
      <c r="AH273" s="65"/>
      <c r="AJ273" s="85"/>
      <c r="AK273" s="78"/>
      <c r="AL273" s="78"/>
      <c r="AM273" s="78"/>
      <c r="AN273" s="78"/>
      <c r="AO273" s="78"/>
      <c r="AP273" s="78"/>
      <c r="AQ273" s="79"/>
      <c r="AR273" s="65"/>
      <c r="AT273" s="85"/>
      <c r="AU273" s="78"/>
      <c r="AV273" s="78"/>
      <c r="AW273" s="78"/>
      <c r="AX273" s="78"/>
      <c r="AY273" s="78"/>
      <c r="AZ273" s="79"/>
      <c r="BA273" s="65"/>
      <c r="BC273" s="85"/>
      <c r="BD273" s="78"/>
      <c r="BE273" s="78"/>
      <c r="BF273" s="78"/>
      <c r="BG273" s="78"/>
      <c r="BH273" s="78"/>
      <c r="BI273" s="78"/>
      <c r="BJ273" s="79"/>
      <c r="BK273" s="65"/>
      <c r="CU273" s="67"/>
      <c r="EC273" s="67"/>
      <c r="FK273" s="67"/>
      <c r="FL273" s="67"/>
      <c r="FM273" s="67"/>
      <c r="FN273" s="67"/>
      <c r="FO273" s="67"/>
      <c r="FP273" s="67"/>
      <c r="FQ273" s="67"/>
      <c r="FR273" s="67"/>
      <c r="FS273" s="67"/>
      <c r="FT273" s="67"/>
      <c r="FU273" s="67"/>
      <c r="FV273" s="67"/>
      <c r="FW273" s="67"/>
      <c r="FX273" s="67"/>
      <c r="FY273" s="67"/>
      <c r="FZ273" s="67"/>
      <c r="GA273" s="67"/>
      <c r="GB273" s="67"/>
      <c r="GC273" s="67"/>
      <c r="GD273" s="67"/>
      <c r="GE273" s="67"/>
      <c r="GF273" s="67"/>
      <c r="GG273" s="67"/>
      <c r="GH273" s="67"/>
      <c r="GI273" s="67"/>
      <c r="GJ273" s="67"/>
      <c r="GK273" s="67"/>
      <c r="GL273" s="67"/>
      <c r="GM273" s="67"/>
      <c r="GN273" s="67"/>
      <c r="GO273" s="67"/>
      <c r="GP273" s="67"/>
    </row>
    <row r="274" spans="5:198" s="66" customFormat="1">
      <c r="E274" s="67"/>
      <c r="G274" s="67"/>
      <c r="H274" s="67"/>
      <c r="I274" s="67"/>
      <c r="J274" s="67"/>
      <c r="K274" s="67"/>
      <c r="L274" s="67"/>
      <c r="M274" s="67"/>
      <c r="N274" s="67"/>
      <c r="O274" s="78"/>
      <c r="P274" s="78"/>
      <c r="S274" s="78"/>
      <c r="T274" s="78"/>
      <c r="U274" s="79"/>
      <c r="V274" s="65"/>
      <c r="Y274" s="78"/>
      <c r="Z274" s="78"/>
      <c r="AA274" s="78"/>
      <c r="AB274" s="78"/>
      <c r="AC274" s="78"/>
      <c r="AD274" s="78"/>
      <c r="AE274" s="78"/>
      <c r="AF274" s="78"/>
      <c r="AG274" s="79"/>
      <c r="AH274" s="65"/>
      <c r="AJ274" s="85"/>
      <c r="AK274" s="78"/>
      <c r="AL274" s="78"/>
      <c r="AM274" s="78"/>
      <c r="AN274" s="78"/>
      <c r="AO274" s="78"/>
      <c r="AP274" s="78"/>
      <c r="AQ274" s="79"/>
      <c r="AR274" s="65"/>
      <c r="AT274" s="85"/>
      <c r="AU274" s="78"/>
      <c r="AV274" s="78"/>
      <c r="AW274" s="78"/>
      <c r="AX274" s="78"/>
      <c r="AY274" s="78"/>
      <c r="AZ274" s="79"/>
      <c r="BA274" s="65"/>
      <c r="BC274" s="85"/>
      <c r="BD274" s="78"/>
      <c r="BE274" s="78"/>
      <c r="BF274" s="78"/>
      <c r="BG274" s="78"/>
      <c r="BH274" s="78"/>
      <c r="BI274" s="78"/>
      <c r="BJ274" s="79"/>
      <c r="BK274" s="65"/>
      <c r="CU274" s="67"/>
      <c r="EC274" s="67"/>
      <c r="FK274" s="67"/>
      <c r="FL274" s="67"/>
      <c r="FM274" s="67"/>
      <c r="FN274" s="67"/>
      <c r="FO274" s="67"/>
      <c r="FP274" s="67"/>
      <c r="FQ274" s="67"/>
      <c r="FR274" s="67"/>
      <c r="FS274" s="67"/>
      <c r="FT274" s="67"/>
      <c r="FU274" s="67"/>
      <c r="FV274" s="67"/>
      <c r="FW274" s="67"/>
      <c r="FX274" s="67"/>
      <c r="FY274" s="67"/>
      <c r="FZ274" s="67"/>
      <c r="GA274" s="67"/>
      <c r="GB274" s="67"/>
      <c r="GC274" s="67"/>
      <c r="GD274" s="67"/>
      <c r="GE274" s="67"/>
      <c r="GF274" s="67"/>
      <c r="GG274" s="67"/>
      <c r="GH274" s="67"/>
      <c r="GI274" s="67"/>
      <c r="GJ274" s="67"/>
      <c r="GK274" s="67"/>
      <c r="GL274" s="67"/>
      <c r="GM274" s="67"/>
      <c r="GN274" s="67"/>
      <c r="GO274" s="67"/>
      <c r="GP274" s="67"/>
    </row>
    <row r="275" spans="5:198" s="66" customFormat="1">
      <c r="E275" s="67"/>
      <c r="G275" s="67"/>
      <c r="H275" s="67"/>
      <c r="I275" s="67"/>
      <c r="J275" s="67"/>
      <c r="K275" s="67"/>
      <c r="L275" s="67"/>
      <c r="M275" s="67"/>
      <c r="N275" s="67"/>
      <c r="O275" s="78"/>
      <c r="P275" s="78"/>
      <c r="S275" s="78"/>
      <c r="T275" s="78"/>
      <c r="U275" s="79"/>
      <c r="V275" s="65"/>
      <c r="Y275" s="78"/>
      <c r="Z275" s="78"/>
      <c r="AA275" s="78"/>
      <c r="AB275" s="78"/>
      <c r="AC275" s="78"/>
      <c r="AD275" s="78"/>
      <c r="AE275" s="78"/>
      <c r="AF275" s="78"/>
      <c r="AG275" s="79"/>
      <c r="AH275" s="65"/>
      <c r="AJ275" s="85"/>
      <c r="AK275" s="78"/>
      <c r="AL275" s="78"/>
      <c r="AM275" s="78"/>
      <c r="AN275" s="78"/>
      <c r="AO275" s="78"/>
      <c r="AP275" s="78"/>
      <c r="AQ275" s="79"/>
      <c r="AR275" s="65"/>
      <c r="AT275" s="85"/>
      <c r="AU275" s="78"/>
      <c r="AV275" s="78"/>
      <c r="AW275" s="78"/>
      <c r="AX275" s="78"/>
      <c r="AY275" s="78"/>
      <c r="AZ275" s="79"/>
      <c r="BA275" s="65"/>
      <c r="BC275" s="85"/>
      <c r="BD275" s="78"/>
      <c r="BE275" s="78"/>
      <c r="BF275" s="78"/>
      <c r="BG275" s="78"/>
      <c r="BH275" s="78"/>
      <c r="BI275" s="78"/>
      <c r="BJ275" s="79"/>
      <c r="BK275" s="65"/>
      <c r="CU275" s="67"/>
      <c r="EC275" s="67"/>
      <c r="FK275" s="67"/>
      <c r="FL275" s="67"/>
      <c r="FM275" s="67"/>
      <c r="FN275" s="67"/>
      <c r="FO275" s="67"/>
      <c r="FP275" s="67"/>
      <c r="FQ275" s="67"/>
      <c r="FR275" s="67"/>
      <c r="FS275" s="67"/>
      <c r="FT275" s="67"/>
      <c r="FU275" s="67"/>
      <c r="FV275" s="67"/>
      <c r="FW275" s="67"/>
      <c r="FX275" s="67"/>
      <c r="FY275" s="67"/>
      <c r="FZ275" s="67"/>
      <c r="GA275" s="67"/>
      <c r="GB275" s="67"/>
      <c r="GC275" s="67"/>
      <c r="GD275" s="67"/>
      <c r="GE275" s="67"/>
      <c r="GF275" s="67"/>
      <c r="GG275" s="67"/>
      <c r="GH275" s="67"/>
      <c r="GI275" s="67"/>
      <c r="GJ275" s="67"/>
      <c r="GK275" s="67"/>
      <c r="GL275" s="67"/>
      <c r="GM275" s="67"/>
      <c r="GN275" s="67"/>
      <c r="GO275" s="67"/>
      <c r="GP275" s="67"/>
    </row>
    <row r="276" spans="5:198" s="66" customFormat="1">
      <c r="E276" s="67"/>
      <c r="G276" s="67"/>
      <c r="H276" s="67"/>
      <c r="I276" s="67"/>
      <c r="J276" s="67"/>
      <c r="K276" s="67"/>
      <c r="L276" s="67"/>
      <c r="M276" s="67"/>
      <c r="N276" s="67"/>
      <c r="O276" s="78"/>
      <c r="P276" s="78"/>
      <c r="S276" s="78"/>
      <c r="T276" s="78"/>
      <c r="U276" s="79"/>
      <c r="V276" s="65"/>
      <c r="Y276" s="78"/>
      <c r="Z276" s="78"/>
      <c r="AA276" s="78"/>
      <c r="AB276" s="78"/>
      <c r="AC276" s="78"/>
      <c r="AD276" s="78"/>
      <c r="AE276" s="78"/>
      <c r="AF276" s="78"/>
      <c r="AG276" s="79"/>
      <c r="AH276" s="65"/>
      <c r="AJ276" s="85"/>
      <c r="AK276" s="78"/>
      <c r="AL276" s="78"/>
      <c r="AM276" s="78"/>
      <c r="AN276" s="78"/>
      <c r="AO276" s="78"/>
      <c r="AP276" s="78"/>
      <c r="AQ276" s="79"/>
      <c r="AR276" s="65"/>
      <c r="AT276" s="85"/>
      <c r="AU276" s="78"/>
      <c r="AV276" s="78"/>
      <c r="AW276" s="78"/>
      <c r="AX276" s="78"/>
      <c r="AY276" s="78"/>
      <c r="AZ276" s="79"/>
      <c r="BA276" s="65"/>
      <c r="BC276" s="85"/>
      <c r="BD276" s="78"/>
      <c r="BE276" s="78"/>
      <c r="BF276" s="78"/>
      <c r="BG276" s="78"/>
      <c r="BH276" s="78"/>
      <c r="BI276" s="78"/>
      <c r="BJ276" s="79"/>
      <c r="BK276" s="65"/>
      <c r="CU276" s="67"/>
      <c r="EC276" s="67"/>
      <c r="FK276" s="67"/>
      <c r="FL276" s="67"/>
      <c r="FM276" s="67"/>
      <c r="FN276" s="67"/>
      <c r="FO276" s="67"/>
      <c r="FP276" s="67"/>
      <c r="FQ276" s="67"/>
      <c r="FR276" s="67"/>
      <c r="FS276" s="67"/>
      <c r="FT276" s="67"/>
      <c r="FU276" s="67"/>
      <c r="FV276" s="67"/>
      <c r="FW276" s="67"/>
      <c r="FX276" s="67"/>
      <c r="FY276" s="67"/>
      <c r="FZ276" s="67"/>
      <c r="GA276" s="67"/>
      <c r="GB276" s="67"/>
      <c r="GC276" s="67"/>
      <c r="GD276" s="67"/>
      <c r="GE276" s="67"/>
      <c r="GF276" s="67"/>
      <c r="GG276" s="67"/>
      <c r="GH276" s="67"/>
      <c r="GI276" s="67"/>
      <c r="GJ276" s="67"/>
      <c r="GK276" s="67"/>
      <c r="GL276" s="67"/>
      <c r="GM276" s="67"/>
      <c r="GN276" s="67"/>
      <c r="GO276" s="67"/>
      <c r="GP276" s="67"/>
    </row>
    <row r="277" spans="5:198" s="66" customFormat="1">
      <c r="E277" s="67"/>
      <c r="G277" s="67"/>
      <c r="H277" s="67"/>
      <c r="I277" s="67"/>
      <c r="J277" s="67"/>
      <c r="K277" s="67"/>
      <c r="L277" s="67"/>
      <c r="M277" s="67"/>
      <c r="N277" s="67"/>
      <c r="O277" s="78"/>
      <c r="P277" s="78"/>
      <c r="S277" s="78"/>
      <c r="T277" s="78"/>
      <c r="U277" s="79"/>
      <c r="V277" s="65"/>
      <c r="Y277" s="78"/>
      <c r="Z277" s="78"/>
      <c r="AA277" s="78"/>
      <c r="AB277" s="78"/>
      <c r="AC277" s="78"/>
      <c r="AD277" s="78"/>
      <c r="AE277" s="78"/>
      <c r="AF277" s="78"/>
      <c r="AG277" s="79"/>
      <c r="AH277" s="65"/>
      <c r="AJ277" s="85"/>
      <c r="AK277" s="78"/>
      <c r="AL277" s="78"/>
      <c r="AM277" s="78"/>
      <c r="AN277" s="78"/>
      <c r="AO277" s="78"/>
      <c r="AP277" s="78"/>
      <c r="AQ277" s="79"/>
      <c r="AR277" s="65"/>
      <c r="AT277" s="85"/>
      <c r="AU277" s="78"/>
      <c r="AV277" s="78"/>
      <c r="AW277" s="78"/>
      <c r="AX277" s="78"/>
      <c r="AY277" s="78"/>
      <c r="AZ277" s="79"/>
      <c r="BA277" s="65"/>
      <c r="BC277" s="85"/>
      <c r="BD277" s="78"/>
      <c r="BE277" s="78"/>
      <c r="BF277" s="78"/>
      <c r="BG277" s="78"/>
      <c r="BH277" s="78"/>
      <c r="BI277" s="78"/>
      <c r="BJ277" s="79"/>
      <c r="BK277" s="65"/>
      <c r="CU277" s="67"/>
      <c r="EC277" s="67"/>
      <c r="FK277" s="67"/>
      <c r="FL277" s="67"/>
      <c r="FM277" s="67"/>
      <c r="FN277" s="67"/>
      <c r="FO277" s="67"/>
      <c r="FP277" s="67"/>
      <c r="FQ277" s="67"/>
      <c r="FR277" s="67"/>
      <c r="FS277" s="67"/>
      <c r="FT277" s="67"/>
      <c r="FU277" s="67"/>
      <c r="FV277" s="67"/>
      <c r="FW277" s="67"/>
      <c r="FX277" s="67"/>
      <c r="FY277" s="67"/>
      <c r="FZ277" s="67"/>
      <c r="GA277" s="67"/>
      <c r="GB277" s="67"/>
      <c r="GC277" s="67"/>
      <c r="GD277" s="67"/>
      <c r="GE277" s="67"/>
      <c r="GF277" s="67"/>
      <c r="GG277" s="67"/>
      <c r="GH277" s="67"/>
      <c r="GI277" s="67"/>
      <c r="GJ277" s="67"/>
      <c r="GK277" s="67"/>
      <c r="GL277" s="67"/>
      <c r="GM277" s="67"/>
      <c r="GN277" s="67"/>
      <c r="GO277" s="67"/>
      <c r="GP277" s="67"/>
    </row>
    <row r="278" spans="5:198" s="66" customFormat="1">
      <c r="E278" s="67"/>
      <c r="G278" s="67"/>
      <c r="H278" s="67"/>
      <c r="I278" s="67"/>
      <c r="J278" s="67"/>
      <c r="K278" s="67"/>
      <c r="L278" s="67"/>
      <c r="M278" s="67"/>
      <c r="N278" s="67"/>
      <c r="O278" s="78"/>
      <c r="P278" s="78"/>
      <c r="S278" s="78"/>
      <c r="T278" s="78"/>
      <c r="U278" s="79"/>
      <c r="V278" s="65"/>
      <c r="Y278" s="78"/>
      <c r="Z278" s="78"/>
      <c r="AA278" s="78"/>
      <c r="AB278" s="78"/>
      <c r="AC278" s="78"/>
      <c r="AD278" s="78"/>
      <c r="AE278" s="78"/>
      <c r="AF278" s="78"/>
      <c r="AG278" s="79"/>
      <c r="AH278" s="65"/>
      <c r="AJ278" s="85"/>
      <c r="AK278" s="78"/>
      <c r="AL278" s="78"/>
      <c r="AM278" s="78"/>
      <c r="AN278" s="78"/>
      <c r="AO278" s="78"/>
      <c r="AP278" s="78"/>
      <c r="AQ278" s="79"/>
      <c r="AR278" s="65"/>
      <c r="AT278" s="85"/>
      <c r="AU278" s="78"/>
      <c r="AV278" s="78"/>
      <c r="AW278" s="78"/>
      <c r="AX278" s="78"/>
      <c r="AY278" s="78"/>
      <c r="AZ278" s="79"/>
      <c r="BA278" s="65"/>
      <c r="BC278" s="85"/>
      <c r="BD278" s="78"/>
      <c r="BE278" s="78"/>
      <c r="BF278" s="78"/>
      <c r="BG278" s="78"/>
      <c r="BH278" s="78"/>
      <c r="BI278" s="78"/>
      <c r="BJ278" s="79"/>
      <c r="BK278" s="65"/>
      <c r="CU278" s="67"/>
      <c r="EC278" s="67"/>
      <c r="FK278" s="67"/>
      <c r="FL278" s="67"/>
      <c r="FM278" s="67"/>
      <c r="FN278" s="67"/>
      <c r="FO278" s="67"/>
      <c r="FP278" s="67"/>
      <c r="FQ278" s="67"/>
      <c r="FR278" s="67"/>
      <c r="FS278" s="67"/>
      <c r="FT278" s="67"/>
      <c r="FU278" s="67"/>
      <c r="FV278" s="67"/>
      <c r="FW278" s="67"/>
      <c r="FX278" s="67"/>
      <c r="FY278" s="67"/>
      <c r="FZ278" s="67"/>
      <c r="GA278" s="67"/>
      <c r="GB278" s="67"/>
      <c r="GC278" s="67"/>
      <c r="GD278" s="67"/>
      <c r="GE278" s="67"/>
      <c r="GF278" s="67"/>
      <c r="GG278" s="67"/>
      <c r="GH278" s="67"/>
      <c r="GI278" s="67"/>
      <c r="GJ278" s="67"/>
      <c r="GK278" s="67"/>
      <c r="GL278" s="67"/>
      <c r="GM278" s="67"/>
      <c r="GN278" s="67"/>
      <c r="GO278" s="67"/>
      <c r="GP278" s="67"/>
    </row>
    <row r="279" spans="5:198" s="66" customFormat="1">
      <c r="E279" s="67"/>
      <c r="G279" s="67"/>
      <c r="H279" s="67"/>
      <c r="I279" s="67"/>
      <c r="J279" s="67"/>
      <c r="K279" s="67"/>
      <c r="L279" s="67"/>
      <c r="M279" s="67"/>
      <c r="N279" s="67"/>
      <c r="O279" s="78"/>
      <c r="P279" s="78"/>
      <c r="S279" s="78"/>
      <c r="T279" s="78"/>
      <c r="U279" s="79"/>
      <c r="V279" s="65"/>
      <c r="Y279" s="78"/>
      <c r="Z279" s="78"/>
      <c r="AA279" s="78"/>
      <c r="AB279" s="78"/>
      <c r="AC279" s="78"/>
      <c r="AD279" s="78"/>
      <c r="AE279" s="78"/>
      <c r="AF279" s="78"/>
      <c r="AG279" s="79"/>
      <c r="AH279" s="65"/>
      <c r="AJ279" s="85"/>
      <c r="AK279" s="78"/>
      <c r="AL279" s="78"/>
      <c r="AM279" s="78"/>
      <c r="AN279" s="78"/>
      <c r="AO279" s="78"/>
      <c r="AP279" s="78"/>
      <c r="AQ279" s="79"/>
      <c r="AR279" s="65"/>
      <c r="AT279" s="85"/>
      <c r="AU279" s="78"/>
      <c r="AV279" s="78"/>
      <c r="AW279" s="78"/>
      <c r="AX279" s="78"/>
      <c r="AY279" s="78"/>
      <c r="AZ279" s="79"/>
      <c r="BA279" s="65"/>
      <c r="BC279" s="85"/>
      <c r="BD279" s="78"/>
      <c r="BE279" s="78"/>
      <c r="BF279" s="78"/>
      <c r="BG279" s="78"/>
      <c r="BH279" s="78"/>
      <c r="BI279" s="78"/>
      <c r="BJ279" s="79"/>
      <c r="BK279" s="65"/>
      <c r="CU279" s="67"/>
      <c r="EC279" s="67"/>
      <c r="FK279" s="67"/>
      <c r="FL279" s="67"/>
      <c r="FM279" s="67"/>
      <c r="FN279" s="67"/>
      <c r="FO279" s="67"/>
      <c r="FP279" s="67"/>
      <c r="FQ279" s="67"/>
      <c r="FR279" s="67"/>
      <c r="FS279" s="67"/>
      <c r="FT279" s="67"/>
      <c r="FU279" s="67"/>
      <c r="FV279" s="67"/>
      <c r="FW279" s="67"/>
      <c r="FX279" s="67"/>
      <c r="FY279" s="67"/>
      <c r="FZ279" s="67"/>
      <c r="GA279" s="67"/>
      <c r="GB279" s="67"/>
      <c r="GC279" s="67"/>
      <c r="GD279" s="67"/>
      <c r="GE279" s="67"/>
      <c r="GF279" s="67"/>
      <c r="GG279" s="67"/>
      <c r="GH279" s="67"/>
      <c r="GI279" s="67"/>
      <c r="GJ279" s="67"/>
      <c r="GK279" s="67"/>
      <c r="GL279" s="67"/>
      <c r="GM279" s="67"/>
      <c r="GN279" s="67"/>
      <c r="GO279" s="67"/>
      <c r="GP279" s="67"/>
    </row>
    <row r="280" spans="5:198" s="66" customFormat="1">
      <c r="E280" s="67"/>
      <c r="G280" s="67"/>
      <c r="H280" s="67"/>
      <c r="I280" s="67"/>
      <c r="J280" s="67"/>
      <c r="K280" s="67"/>
      <c r="L280" s="67"/>
      <c r="M280" s="67"/>
      <c r="N280" s="67"/>
      <c r="O280" s="78"/>
      <c r="P280" s="78"/>
      <c r="S280" s="78"/>
      <c r="T280" s="78"/>
      <c r="U280" s="79"/>
      <c r="V280" s="65"/>
      <c r="Y280" s="78"/>
      <c r="Z280" s="78"/>
      <c r="AA280" s="78"/>
      <c r="AB280" s="78"/>
      <c r="AC280" s="78"/>
      <c r="AD280" s="78"/>
      <c r="AE280" s="78"/>
      <c r="AF280" s="78"/>
      <c r="AG280" s="79"/>
      <c r="AH280" s="65"/>
      <c r="AJ280" s="85"/>
      <c r="AK280" s="78"/>
      <c r="AL280" s="78"/>
      <c r="AM280" s="78"/>
      <c r="AN280" s="78"/>
      <c r="AO280" s="78"/>
      <c r="AP280" s="78"/>
      <c r="AQ280" s="79"/>
      <c r="AR280" s="65"/>
      <c r="AT280" s="85"/>
      <c r="AU280" s="78"/>
      <c r="AV280" s="78"/>
      <c r="AW280" s="78"/>
      <c r="AX280" s="78"/>
      <c r="AY280" s="78"/>
      <c r="AZ280" s="79"/>
      <c r="BA280" s="65"/>
      <c r="BC280" s="85"/>
      <c r="BD280" s="78"/>
      <c r="BE280" s="78"/>
      <c r="BF280" s="78"/>
      <c r="BG280" s="78"/>
      <c r="BH280" s="78"/>
      <c r="BI280" s="78"/>
      <c r="BJ280" s="79"/>
      <c r="BK280" s="65"/>
      <c r="CU280" s="67"/>
      <c r="EC280" s="67"/>
      <c r="FK280" s="67"/>
      <c r="FL280" s="67"/>
      <c r="FM280" s="67"/>
      <c r="FN280" s="67"/>
      <c r="FO280" s="67"/>
      <c r="FP280" s="67"/>
      <c r="FQ280" s="67"/>
      <c r="FR280" s="67"/>
      <c r="FS280" s="67"/>
      <c r="FT280" s="67"/>
      <c r="FU280" s="67"/>
      <c r="FV280" s="67"/>
      <c r="FW280" s="67"/>
      <c r="FX280" s="67"/>
      <c r="FY280" s="67"/>
      <c r="FZ280" s="67"/>
      <c r="GA280" s="67"/>
      <c r="GB280" s="67"/>
      <c r="GC280" s="67"/>
      <c r="GD280" s="67"/>
      <c r="GE280" s="67"/>
      <c r="GF280" s="67"/>
      <c r="GG280" s="67"/>
      <c r="GH280" s="67"/>
      <c r="GI280" s="67"/>
      <c r="GJ280" s="67"/>
      <c r="GK280" s="67"/>
      <c r="GL280" s="67"/>
      <c r="GM280" s="67"/>
      <c r="GN280" s="67"/>
      <c r="GO280" s="67"/>
      <c r="GP280" s="67"/>
    </row>
    <row r="281" spans="5:198" s="66" customFormat="1">
      <c r="E281" s="67"/>
      <c r="G281" s="67"/>
      <c r="H281" s="67"/>
      <c r="I281" s="67"/>
      <c r="J281" s="67"/>
      <c r="K281" s="67"/>
      <c r="L281" s="67"/>
      <c r="M281" s="67"/>
      <c r="N281" s="67"/>
      <c r="O281" s="78"/>
      <c r="P281" s="78"/>
      <c r="S281" s="78"/>
      <c r="T281" s="78"/>
      <c r="U281" s="79"/>
      <c r="V281" s="65"/>
      <c r="Y281" s="78"/>
      <c r="Z281" s="78"/>
      <c r="AA281" s="78"/>
      <c r="AB281" s="78"/>
      <c r="AC281" s="78"/>
      <c r="AD281" s="78"/>
      <c r="AE281" s="78"/>
      <c r="AF281" s="78"/>
      <c r="AG281" s="79"/>
      <c r="AH281" s="65"/>
      <c r="AJ281" s="85"/>
      <c r="AK281" s="78"/>
      <c r="AL281" s="78"/>
      <c r="AM281" s="78"/>
      <c r="AN281" s="78"/>
      <c r="AO281" s="78"/>
      <c r="AP281" s="78"/>
      <c r="AQ281" s="79"/>
      <c r="AR281" s="65"/>
      <c r="AT281" s="85"/>
      <c r="AU281" s="78"/>
      <c r="AV281" s="78"/>
      <c r="AW281" s="78"/>
      <c r="AX281" s="78"/>
      <c r="AY281" s="78"/>
      <c r="AZ281" s="79"/>
      <c r="BA281" s="65"/>
      <c r="BC281" s="85"/>
      <c r="BD281" s="78"/>
      <c r="BE281" s="78"/>
      <c r="BF281" s="78"/>
      <c r="BG281" s="78"/>
      <c r="BH281" s="78"/>
      <c r="BI281" s="78"/>
      <c r="BJ281" s="79"/>
      <c r="BK281" s="65"/>
      <c r="CU281" s="67"/>
      <c r="EC281" s="67"/>
      <c r="FK281" s="67"/>
      <c r="FL281" s="67"/>
      <c r="FM281" s="67"/>
      <c r="FN281" s="67"/>
      <c r="FO281" s="67"/>
      <c r="FP281" s="67"/>
      <c r="FQ281" s="67"/>
      <c r="FR281" s="67"/>
      <c r="FS281" s="67"/>
      <c r="FT281" s="67"/>
      <c r="FU281" s="67"/>
      <c r="FV281" s="67"/>
      <c r="FW281" s="67"/>
      <c r="FX281" s="67"/>
      <c r="FY281" s="67"/>
      <c r="FZ281" s="67"/>
      <c r="GA281" s="67"/>
      <c r="GB281" s="67"/>
      <c r="GC281" s="67"/>
      <c r="GD281" s="67"/>
      <c r="GE281" s="67"/>
      <c r="GF281" s="67"/>
      <c r="GG281" s="67"/>
      <c r="GH281" s="67"/>
      <c r="GI281" s="67"/>
      <c r="GJ281" s="67"/>
      <c r="GK281" s="67"/>
      <c r="GL281" s="67"/>
      <c r="GM281" s="67"/>
      <c r="GN281" s="67"/>
      <c r="GO281" s="67"/>
      <c r="GP281" s="67"/>
    </row>
    <row r="282" spans="5:198" s="66" customFormat="1">
      <c r="E282" s="67"/>
      <c r="G282" s="67"/>
      <c r="H282" s="67"/>
      <c r="I282" s="67"/>
      <c r="J282" s="67"/>
      <c r="K282" s="67"/>
      <c r="L282" s="67"/>
      <c r="M282" s="67"/>
      <c r="N282" s="67"/>
      <c r="O282" s="78"/>
      <c r="P282" s="78"/>
      <c r="S282" s="78"/>
      <c r="T282" s="78"/>
      <c r="U282" s="79"/>
      <c r="V282" s="65"/>
      <c r="Y282" s="78"/>
      <c r="Z282" s="78"/>
      <c r="AA282" s="78"/>
      <c r="AB282" s="78"/>
      <c r="AC282" s="78"/>
      <c r="AD282" s="78"/>
      <c r="AE282" s="78"/>
      <c r="AF282" s="78"/>
      <c r="AG282" s="79"/>
      <c r="AH282" s="65"/>
      <c r="AJ282" s="85"/>
      <c r="AK282" s="78"/>
      <c r="AL282" s="78"/>
      <c r="AM282" s="78"/>
      <c r="AN282" s="78"/>
      <c r="AO282" s="78"/>
      <c r="AP282" s="78"/>
      <c r="AQ282" s="79"/>
      <c r="AR282" s="65"/>
      <c r="AT282" s="85"/>
      <c r="AU282" s="78"/>
      <c r="AV282" s="78"/>
      <c r="AW282" s="78"/>
      <c r="AX282" s="78"/>
      <c r="AY282" s="78"/>
      <c r="AZ282" s="79"/>
      <c r="BA282" s="65"/>
      <c r="BC282" s="85"/>
      <c r="BD282" s="78"/>
      <c r="BE282" s="78"/>
      <c r="BF282" s="78"/>
      <c r="BG282" s="78"/>
      <c r="BH282" s="78"/>
      <c r="BI282" s="78"/>
      <c r="BJ282" s="79"/>
      <c r="BK282" s="65"/>
      <c r="CU282" s="67"/>
      <c r="EC282" s="67"/>
      <c r="FK282" s="67"/>
      <c r="FL282" s="67"/>
      <c r="FM282" s="67"/>
      <c r="FN282" s="67"/>
      <c r="FO282" s="67"/>
      <c r="FP282" s="67"/>
      <c r="FQ282" s="67"/>
      <c r="FR282" s="67"/>
      <c r="FS282" s="67"/>
      <c r="FT282" s="67"/>
      <c r="FU282" s="67"/>
      <c r="FV282" s="67"/>
      <c r="FW282" s="67"/>
      <c r="FX282" s="67"/>
      <c r="FY282" s="67"/>
      <c r="FZ282" s="67"/>
      <c r="GA282" s="67"/>
      <c r="GB282" s="67"/>
      <c r="GC282" s="67"/>
      <c r="GD282" s="67"/>
      <c r="GE282" s="67"/>
      <c r="GF282" s="67"/>
      <c r="GG282" s="67"/>
      <c r="GH282" s="67"/>
      <c r="GI282" s="67"/>
      <c r="GJ282" s="67"/>
      <c r="GK282" s="67"/>
      <c r="GL282" s="67"/>
      <c r="GM282" s="67"/>
      <c r="GN282" s="67"/>
      <c r="GO282" s="67"/>
      <c r="GP282" s="67"/>
    </row>
    <row r="283" spans="5:198" s="66" customFormat="1">
      <c r="E283" s="67"/>
      <c r="G283" s="67"/>
      <c r="H283" s="67"/>
      <c r="I283" s="67"/>
      <c r="J283" s="67"/>
      <c r="K283" s="67"/>
      <c r="L283" s="67"/>
      <c r="M283" s="67"/>
      <c r="N283" s="67"/>
      <c r="O283" s="78"/>
      <c r="P283" s="78"/>
      <c r="S283" s="78"/>
      <c r="T283" s="78"/>
      <c r="U283" s="79"/>
      <c r="V283" s="65"/>
      <c r="Y283" s="78"/>
      <c r="Z283" s="78"/>
      <c r="AA283" s="78"/>
      <c r="AB283" s="78"/>
      <c r="AC283" s="78"/>
      <c r="AD283" s="78"/>
      <c r="AE283" s="78"/>
      <c r="AF283" s="78"/>
      <c r="AG283" s="79"/>
      <c r="AH283" s="65"/>
      <c r="AJ283" s="85"/>
      <c r="AK283" s="78"/>
      <c r="AL283" s="78"/>
      <c r="AM283" s="78"/>
      <c r="AN283" s="78"/>
      <c r="AO283" s="78"/>
      <c r="AP283" s="78"/>
      <c r="AQ283" s="79"/>
      <c r="AR283" s="65"/>
      <c r="AT283" s="85"/>
      <c r="AU283" s="78"/>
      <c r="AV283" s="78"/>
      <c r="AW283" s="78"/>
      <c r="AX283" s="78"/>
      <c r="AY283" s="78"/>
      <c r="AZ283" s="79"/>
      <c r="BA283" s="65"/>
      <c r="BC283" s="85"/>
      <c r="BD283" s="78"/>
      <c r="BE283" s="78"/>
      <c r="BF283" s="78"/>
      <c r="BG283" s="78"/>
      <c r="BH283" s="78"/>
      <c r="BI283" s="78"/>
      <c r="BJ283" s="79"/>
      <c r="BK283" s="65"/>
      <c r="CU283" s="67"/>
      <c r="EC283" s="67"/>
      <c r="FK283" s="67"/>
      <c r="FL283" s="67"/>
      <c r="FM283" s="67"/>
      <c r="FN283" s="67"/>
      <c r="FO283" s="67"/>
      <c r="FP283" s="67"/>
      <c r="FQ283" s="67"/>
      <c r="FR283" s="67"/>
      <c r="FS283" s="67"/>
      <c r="FT283" s="67"/>
      <c r="FU283" s="67"/>
      <c r="FV283" s="67"/>
      <c r="FW283" s="67"/>
      <c r="FX283" s="67"/>
      <c r="FY283" s="67"/>
      <c r="FZ283" s="67"/>
      <c r="GA283" s="67"/>
      <c r="GB283" s="67"/>
      <c r="GC283" s="67"/>
      <c r="GD283" s="67"/>
      <c r="GE283" s="67"/>
      <c r="GF283" s="67"/>
      <c r="GG283" s="67"/>
      <c r="GH283" s="67"/>
      <c r="GI283" s="67"/>
      <c r="GJ283" s="67"/>
      <c r="GK283" s="67"/>
      <c r="GL283" s="67"/>
      <c r="GM283" s="67"/>
      <c r="GN283" s="67"/>
      <c r="GO283" s="67"/>
      <c r="GP283" s="67"/>
    </row>
    <row r="284" spans="5:198" s="66" customFormat="1">
      <c r="E284" s="67"/>
      <c r="G284" s="67"/>
      <c r="H284" s="67"/>
      <c r="I284" s="67"/>
      <c r="J284" s="67"/>
      <c r="K284" s="67"/>
      <c r="L284" s="67"/>
      <c r="M284" s="67"/>
      <c r="N284" s="67"/>
      <c r="O284" s="78"/>
      <c r="P284" s="78"/>
      <c r="S284" s="78"/>
      <c r="T284" s="78"/>
      <c r="U284" s="79"/>
      <c r="V284" s="65"/>
      <c r="Y284" s="78"/>
      <c r="Z284" s="78"/>
      <c r="AA284" s="78"/>
      <c r="AB284" s="78"/>
      <c r="AC284" s="78"/>
      <c r="AD284" s="78"/>
      <c r="AE284" s="78"/>
      <c r="AF284" s="78"/>
      <c r="AG284" s="79"/>
      <c r="AH284" s="65"/>
      <c r="AJ284" s="85"/>
      <c r="AK284" s="78"/>
      <c r="AL284" s="78"/>
      <c r="AM284" s="78"/>
      <c r="AN284" s="78"/>
      <c r="AO284" s="78"/>
      <c r="AP284" s="78"/>
      <c r="AQ284" s="79"/>
      <c r="AR284" s="65"/>
      <c r="AT284" s="85"/>
      <c r="AU284" s="78"/>
      <c r="AV284" s="78"/>
      <c r="AW284" s="78"/>
      <c r="AX284" s="78"/>
      <c r="AY284" s="78"/>
      <c r="AZ284" s="79"/>
      <c r="BA284" s="65"/>
      <c r="BC284" s="85"/>
      <c r="BD284" s="78"/>
      <c r="BE284" s="78"/>
      <c r="BF284" s="78"/>
      <c r="BG284" s="78"/>
      <c r="BH284" s="78"/>
      <c r="BI284" s="78"/>
      <c r="BJ284" s="79"/>
      <c r="BK284" s="65"/>
      <c r="CU284" s="67"/>
      <c r="EC284" s="67"/>
      <c r="FK284" s="67"/>
      <c r="FL284" s="67"/>
      <c r="FM284" s="67"/>
      <c r="FN284" s="67"/>
      <c r="FO284" s="67"/>
      <c r="FP284" s="67"/>
      <c r="FQ284" s="67"/>
      <c r="FR284" s="67"/>
      <c r="FS284" s="67"/>
      <c r="FT284" s="67"/>
      <c r="FU284" s="67"/>
      <c r="FV284" s="67"/>
      <c r="FW284" s="67"/>
      <c r="FX284" s="67"/>
      <c r="FY284" s="67"/>
      <c r="FZ284" s="67"/>
      <c r="GA284" s="67"/>
      <c r="GB284" s="67"/>
      <c r="GC284" s="67"/>
      <c r="GD284" s="67"/>
      <c r="GE284" s="67"/>
      <c r="GF284" s="67"/>
      <c r="GG284" s="67"/>
      <c r="GH284" s="67"/>
      <c r="GI284" s="67"/>
      <c r="GJ284" s="67"/>
      <c r="GK284" s="67"/>
      <c r="GL284" s="67"/>
      <c r="GM284" s="67"/>
      <c r="GN284" s="67"/>
      <c r="GO284" s="67"/>
      <c r="GP284" s="67"/>
    </row>
    <row r="285" spans="5:198" s="66" customFormat="1">
      <c r="E285" s="67"/>
      <c r="G285" s="67"/>
      <c r="H285" s="67"/>
      <c r="I285" s="67"/>
      <c r="J285" s="67"/>
      <c r="K285" s="67"/>
      <c r="L285" s="67"/>
      <c r="M285" s="67"/>
      <c r="N285" s="67"/>
      <c r="O285" s="78"/>
      <c r="P285" s="78"/>
      <c r="S285" s="78"/>
      <c r="T285" s="78"/>
      <c r="U285" s="79"/>
      <c r="V285" s="65"/>
      <c r="Y285" s="78"/>
      <c r="Z285" s="78"/>
      <c r="AA285" s="78"/>
      <c r="AB285" s="78"/>
      <c r="AC285" s="78"/>
      <c r="AD285" s="78"/>
      <c r="AE285" s="78"/>
      <c r="AF285" s="78"/>
      <c r="AG285" s="79"/>
      <c r="AH285" s="65"/>
      <c r="AJ285" s="85"/>
      <c r="AK285" s="78"/>
      <c r="AL285" s="78"/>
      <c r="AM285" s="78"/>
      <c r="AN285" s="78"/>
      <c r="AO285" s="78"/>
      <c r="AP285" s="78"/>
      <c r="AQ285" s="79"/>
      <c r="AR285" s="65"/>
      <c r="AT285" s="85"/>
      <c r="AU285" s="78"/>
      <c r="AV285" s="78"/>
      <c r="AW285" s="78"/>
      <c r="AX285" s="78"/>
      <c r="AY285" s="78"/>
      <c r="AZ285" s="79"/>
      <c r="BA285" s="65"/>
      <c r="BC285" s="85"/>
      <c r="BD285" s="78"/>
      <c r="BE285" s="78"/>
      <c r="BF285" s="78"/>
      <c r="BG285" s="78"/>
      <c r="BH285" s="78"/>
      <c r="BI285" s="78"/>
      <c r="BJ285" s="79"/>
      <c r="BK285" s="65"/>
      <c r="CU285" s="67"/>
      <c r="EC285" s="67"/>
      <c r="FK285" s="67"/>
      <c r="FL285" s="67"/>
      <c r="FM285" s="67"/>
      <c r="FN285" s="67"/>
      <c r="FO285" s="67"/>
      <c r="FP285" s="67"/>
      <c r="FQ285" s="67"/>
      <c r="FR285" s="67"/>
      <c r="FS285" s="67"/>
      <c r="FT285" s="67"/>
      <c r="FU285" s="67"/>
      <c r="FV285" s="67"/>
      <c r="FW285" s="67"/>
      <c r="FX285" s="67"/>
      <c r="FY285" s="67"/>
      <c r="FZ285" s="67"/>
      <c r="GA285" s="67"/>
      <c r="GB285" s="67"/>
      <c r="GC285" s="67"/>
      <c r="GD285" s="67"/>
      <c r="GE285" s="67"/>
      <c r="GF285" s="67"/>
      <c r="GG285" s="67"/>
      <c r="GH285" s="67"/>
      <c r="GI285" s="67"/>
      <c r="GJ285" s="67"/>
      <c r="GK285" s="67"/>
      <c r="GL285" s="67"/>
      <c r="GM285" s="67"/>
      <c r="GN285" s="67"/>
      <c r="GO285" s="67"/>
      <c r="GP285" s="67"/>
    </row>
    <row r="286" spans="5:198" s="66" customFormat="1">
      <c r="E286" s="67"/>
      <c r="G286" s="67"/>
      <c r="H286" s="67"/>
      <c r="I286" s="67"/>
      <c r="J286" s="67"/>
      <c r="K286" s="67"/>
      <c r="L286" s="67"/>
      <c r="M286" s="67"/>
      <c r="N286" s="67"/>
      <c r="O286" s="78"/>
      <c r="P286" s="78"/>
      <c r="S286" s="78"/>
      <c r="T286" s="78"/>
      <c r="U286" s="79"/>
      <c r="V286" s="65"/>
      <c r="Y286" s="78"/>
      <c r="Z286" s="78"/>
      <c r="AA286" s="78"/>
      <c r="AB286" s="78"/>
      <c r="AC286" s="78"/>
      <c r="AD286" s="78"/>
      <c r="AE286" s="78"/>
      <c r="AF286" s="78"/>
      <c r="AG286" s="79"/>
      <c r="AH286" s="65"/>
      <c r="AJ286" s="85"/>
      <c r="AK286" s="78"/>
      <c r="AL286" s="78"/>
      <c r="AM286" s="78"/>
      <c r="AN286" s="78"/>
      <c r="AO286" s="78"/>
      <c r="AP286" s="78"/>
      <c r="AQ286" s="79"/>
      <c r="AR286" s="65"/>
      <c r="AT286" s="85"/>
      <c r="AU286" s="78"/>
      <c r="AV286" s="78"/>
      <c r="AW286" s="78"/>
      <c r="AX286" s="78"/>
      <c r="AY286" s="78"/>
      <c r="AZ286" s="79"/>
      <c r="BA286" s="65"/>
      <c r="BC286" s="85"/>
      <c r="BD286" s="78"/>
      <c r="BE286" s="78"/>
      <c r="BF286" s="78"/>
      <c r="BG286" s="78"/>
      <c r="BH286" s="78"/>
      <c r="BI286" s="78"/>
      <c r="BJ286" s="79"/>
      <c r="BK286" s="65"/>
      <c r="CU286" s="67"/>
      <c r="EC286" s="67"/>
      <c r="FK286" s="67"/>
      <c r="FL286" s="67"/>
      <c r="FM286" s="67"/>
      <c r="FN286" s="67"/>
      <c r="FO286" s="67"/>
      <c r="FP286" s="67"/>
      <c r="FQ286" s="67"/>
      <c r="FR286" s="67"/>
      <c r="FS286" s="67"/>
      <c r="FT286" s="67"/>
      <c r="FU286" s="67"/>
      <c r="FV286" s="67"/>
      <c r="FW286" s="67"/>
      <c r="FX286" s="67"/>
      <c r="FY286" s="67"/>
      <c r="FZ286" s="67"/>
      <c r="GA286" s="67"/>
      <c r="GB286" s="67"/>
      <c r="GC286" s="67"/>
      <c r="GD286" s="67"/>
      <c r="GE286" s="67"/>
      <c r="GF286" s="67"/>
      <c r="GG286" s="67"/>
      <c r="GH286" s="67"/>
      <c r="GI286" s="67"/>
      <c r="GJ286" s="67"/>
      <c r="GK286" s="67"/>
      <c r="GL286" s="67"/>
      <c r="GM286" s="67"/>
      <c r="GN286" s="67"/>
      <c r="GO286" s="67"/>
      <c r="GP286" s="67"/>
    </row>
    <row r="287" spans="5:198" s="66" customFormat="1">
      <c r="E287" s="67"/>
      <c r="G287" s="67"/>
      <c r="H287" s="67"/>
      <c r="I287" s="67"/>
      <c r="J287" s="67"/>
      <c r="K287" s="67"/>
      <c r="L287" s="67"/>
      <c r="M287" s="67"/>
      <c r="N287" s="67"/>
      <c r="O287" s="78"/>
      <c r="P287" s="78"/>
      <c r="S287" s="78"/>
      <c r="T287" s="78"/>
      <c r="U287" s="79"/>
      <c r="V287" s="65"/>
      <c r="Y287" s="78"/>
      <c r="Z287" s="78"/>
      <c r="AA287" s="78"/>
      <c r="AB287" s="78"/>
      <c r="AC287" s="78"/>
      <c r="AD287" s="78"/>
      <c r="AE287" s="78"/>
      <c r="AF287" s="78"/>
      <c r="AG287" s="79"/>
      <c r="AH287" s="65"/>
      <c r="AJ287" s="85"/>
      <c r="AK287" s="78"/>
      <c r="AL287" s="78"/>
      <c r="AM287" s="78"/>
      <c r="AN287" s="78"/>
      <c r="AO287" s="78"/>
      <c r="AP287" s="78"/>
      <c r="AQ287" s="79"/>
      <c r="AR287" s="65"/>
      <c r="AT287" s="85"/>
      <c r="AU287" s="78"/>
      <c r="AV287" s="78"/>
      <c r="AW287" s="78"/>
      <c r="AX287" s="78"/>
      <c r="AY287" s="78"/>
      <c r="AZ287" s="79"/>
      <c r="BA287" s="65"/>
      <c r="BC287" s="85"/>
      <c r="BD287" s="78"/>
      <c r="BE287" s="78"/>
      <c r="BF287" s="78"/>
      <c r="BG287" s="78"/>
      <c r="BH287" s="78"/>
      <c r="BI287" s="78"/>
      <c r="BJ287" s="79"/>
      <c r="BK287" s="65"/>
      <c r="CU287" s="67"/>
      <c r="EC287" s="67"/>
      <c r="FK287" s="67"/>
      <c r="FL287" s="67"/>
      <c r="FM287" s="67"/>
      <c r="FN287" s="67"/>
      <c r="FO287" s="67"/>
      <c r="FP287" s="67"/>
      <c r="FQ287" s="67"/>
      <c r="FR287" s="67"/>
      <c r="FS287" s="67"/>
      <c r="FT287" s="67"/>
      <c r="FU287" s="67"/>
      <c r="FV287" s="67"/>
      <c r="FW287" s="67"/>
      <c r="FX287" s="67"/>
      <c r="FY287" s="67"/>
      <c r="FZ287" s="67"/>
      <c r="GA287" s="67"/>
      <c r="GB287" s="67"/>
      <c r="GC287" s="67"/>
      <c r="GD287" s="67"/>
      <c r="GE287" s="67"/>
      <c r="GF287" s="67"/>
      <c r="GG287" s="67"/>
      <c r="GH287" s="67"/>
      <c r="GI287" s="67"/>
      <c r="GJ287" s="67"/>
      <c r="GK287" s="67"/>
      <c r="GL287" s="67"/>
      <c r="GM287" s="67"/>
      <c r="GN287" s="67"/>
      <c r="GO287" s="67"/>
      <c r="GP287" s="67"/>
    </row>
    <row r="288" spans="5:198" s="66" customFormat="1">
      <c r="E288" s="67"/>
      <c r="G288" s="67"/>
      <c r="H288" s="67"/>
      <c r="I288" s="67"/>
      <c r="J288" s="67"/>
      <c r="K288" s="67"/>
      <c r="L288" s="67"/>
      <c r="M288" s="67"/>
      <c r="N288" s="67"/>
      <c r="O288" s="78"/>
      <c r="P288" s="78"/>
      <c r="S288" s="78"/>
      <c r="T288" s="78"/>
      <c r="U288" s="79"/>
      <c r="V288" s="65"/>
      <c r="Y288" s="78"/>
      <c r="Z288" s="78"/>
      <c r="AA288" s="78"/>
      <c r="AB288" s="78"/>
      <c r="AC288" s="78"/>
      <c r="AD288" s="78"/>
      <c r="AE288" s="78"/>
      <c r="AF288" s="78"/>
      <c r="AG288" s="79"/>
      <c r="AH288" s="65"/>
      <c r="AJ288" s="85"/>
      <c r="AK288" s="78"/>
      <c r="AL288" s="78"/>
      <c r="AM288" s="78"/>
      <c r="AN288" s="78"/>
      <c r="AO288" s="78"/>
      <c r="AP288" s="78"/>
      <c r="AQ288" s="79"/>
      <c r="AR288" s="65"/>
      <c r="AT288" s="85"/>
      <c r="AU288" s="78"/>
      <c r="AV288" s="78"/>
      <c r="AW288" s="78"/>
      <c r="AX288" s="78"/>
      <c r="AY288" s="78"/>
      <c r="AZ288" s="79"/>
      <c r="BA288" s="65"/>
      <c r="BC288" s="85"/>
      <c r="BD288" s="78"/>
      <c r="BE288" s="78"/>
      <c r="BF288" s="78"/>
      <c r="BG288" s="78"/>
      <c r="BH288" s="78"/>
      <c r="BI288" s="78"/>
      <c r="BJ288" s="79"/>
      <c r="BK288" s="65"/>
      <c r="CU288" s="67"/>
      <c r="EC288" s="67"/>
      <c r="FK288" s="67"/>
      <c r="FL288" s="67"/>
      <c r="FM288" s="67"/>
      <c r="FN288" s="67"/>
      <c r="FO288" s="67"/>
      <c r="FP288" s="67"/>
      <c r="FQ288" s="67"/>
      <c r="FR288" s="67"/>
      <c r="FS288" s="67"/>
      <c r="FT288" s="67"/>
      <c r="FU288" s="67"/>
      <c r="FV288" s="67"/>
      <c r="FW288" s="67"/>
      <c r="FX288" s="67"/>
      <c r="FY288" s="67"/>
      <c r="FZ288" s="67"/>
      <c r="GA288" s="67"/>
      <c r="GB288" s="67"/>
      <c r="GC288" s="67"/>
      <c r="GD288" s="67"/>
      <c r="GE288" s="67"/>
      <c r="GF288" s="67"/>
      <c r="GG288" s="67"/>
      <c r="GH288" s="67"/>
      <c r="GI288" s="67"/>
      <c r="GJ288" s="67"/>
      <c r="GK288" s="67"/>
      <c r="GL288" s="67"/>
      <c r="GM288" s="67"/>
      <c r="GN288" s="67"/>
      <c r="GO288" s="67"/>
      <c r="GP288" s="67"/>
    </row>
    <row r="289" spans="5:198" s="66" customFormat="1">
      <c r="E289" s="67"/>
      <c r="G289" s="67"/>
      <c r="H289" s="67"/>
      <c r="I289" s="67"/>
      <c r="J289" s="67"/>
      <c r="K289" s="67"/>
      <c r="L289" s="67"/>
      <c r="M289" s="67"/>
      <c r="N289" s="67"/>
      <c r="O289" s="78"/>
      <c r="P289" s="78"/>
      <c r="S289" s="78"/>
      <c r="T289" s="78"/>
      <c r="U289" s="79"/>
      <c r="V289" s="65"/>
      <c r="Y289" s="78"/>
      <c r="Z289" s="78"/>
      <c r="AA289" s="78"/>
      <c r="AB289" s="78"/>
      <c r="AC289" s="78"/>
      <c r="AD289" s="78"/>
      <c r="AE289" s="78"/>
      <c r="AF289" s="78"/>
      <c r="AG289" s="79"/>
      <c r="AH289" s="65"/>
      <c r="AJ289" s="85"/>
      <c r="AK289" s="78"/>
      <c r="AL289" s="78"/>
      <c r="AM289" s="78"/>
      <c r="AN289" s="78"/>
      <c r="AO289" s="78"/>
      <c r="AP289" s="78"/>
      <c r="AQ289" s="79"/>
      <c r="AR289" s="65"/>
      <c r="AT289" s="85"/>
      <c r="AU289" s="78"/>
      <c r="AV289" s="78"/>
      <c r="AW289" s="78"/>
      <c r="AX289" s="78"/>
      <c r="AY289" s="78"/>
      <c r="AZ289" s="79"/>
      <c r="BA289" s="65"/>
      <c r="BC289" s="85"/>
      <c r="BD289" s="78"/>
      <c r="BE289" s="78"/>
      <c r="BF289" s="78"/>
      <c r="BG289" s="78"/>
      <c r="BH289" s="78"/>
      <c r="BI289" s="78"/>
      <c r="BJ289" s="79"/>
      <c r="BK289" s="65"/>
      <c r="CU289" s="67"/>
      <c r="EC289" s="67"/>
      <c r="FK289" s="67"/>
      <c r="FL289" s="67"/>
      <c r="FM289" s="67"/>
      <c r="FN289" s="67"/>
      <c r="FO289" s="67"/>
      <c r="FP289" s="67"/>
      <c r="FQ289" s="67"/>
      <c r="FR289" s="67"/>
      <c r="FS289" s="67"/>
      <c r="FT289" s="67"/>
      <c r="FU289" s="67"/>
      <c r="FV289" s="67"/>
      <c r="FW289" s="67"/>
      <c r="FX289" s="67"/>
      <c r="FY289" s="67"/>
      <c r="FZ289" s="67"/>
      <c r="GA289" s="67"/>
      <c r="GB289" s="67"/>
      <c r="GC289" s="67"/>
      <c r="GD289" s="67"/>
      <c r="GE289" s="67"/>
      <c r="GF289" s="67"/>
      <c r="GG289" s="67"/>
      <c r="GH289" s="67"/>
      <c r="GI289" s="67"/>
      <c r="GJ289" s="67"/>
      <c r="GK289" s="67"/>
      <c r="GL289" s="67"/>
      <c r="GM289" s="67"/>
      <c r="GN289" s="67"/>
      <c r="GO289" s="67"/>
      <c r="GP289" s="67"/>
    </row>
    <row r="290" spans="5:198" s="66" customFormat="1">
      <c r="E290" s="67"/>
      <c r="G290" s="67"/>
      <c r="H290" s="67"/>
      <c r="I290" s="67"/>
      <c r="J290" s="67"/>
      <c r="K290" s="67"/>
      <c r="L290" s="67"/>
      <c r="M290" s="67"/>
      <c r="N290" s="67"/>
      <c r="O290" s="78"/>
      <c r="P290" s="78"/>
      <c r="S290" s="78"/>
      <c r="T290" s="78"/>
      <c r="U290" s="79"/>
      <c r="V290" s="65"/>
      <c r="Y290" s="78"/>
      <c r="Z290" s="78"/>
      <c r="AA290" s="78"/>
      <c r="AB290" s="78"/>
      <c r="AC290" s="78"/>
      <c r="AD290" s="78"/>
      <c r="AE290" s="78"/>
      <c r="AF290" s="78"/>
      <c r="AG290" s="79"/>
      <c r="AH290" s="65"/>
      <c r="AJ290" s="85"/>
      <c r="AK290" s="78"/>
      <c r="AL290" s="78"/>
      <c r="AM290" s="78"/>
      <c r="AN290" s="78"/>
      <c r="AO290" s="78"/>
      <c r="AP290" s="78"/>
      <c r="AQ290" s="79"/>
      <c r="AR290" s="65"/>
      <c r="AT290" s="85"/>
      <c r="AU290" s="78"/>
      <c r="AV290" s="78"/>
      <c r="AW290" s="78"/>
      <c r="AX290" s="78"/>
      <c r="AY290" s="78"/>
      <c r="AZ290" s="79"/>
      <c r="BA290" s="65"/>
      <c r="BC290" s="85"/>
      <c r="BD290" s="78"/>
      <c r="BE290" s="78"/>
      <c r="BF290" s="78"/>
      <c r="BG290" s="78"/>
      <c r="BH290" s="78"/>
      <c r="BI290" s="78"/>
      <c r="BJ290" s="79"/>
      <c r="BK290" s="65"/>
      <c r="CU290" s="67"/>
      <c r="EC290" s="67"/>
      <c r="FK290" s="67"/>
      <c r="FL290" s="67"/>
      <c r="FM290" s="67"/>
      <c r="FN290" s="67"/>
      <c r="FO290" s="67"/>
      <c r="FP290" s="67"/>
      <c r="FQ290" s="67"/>
      <c r="FR290" s="67"/>
      <c r="FS290" s="67"/>
      <c r="FT290" s="67"/>
      <c r="FU290" s="67"/>
      <c r="FV290" s="67"/>
      <c r="FW290" s="67"/>
      <c r="FX290" s="67"/>
      <c r="FY290" s="67"/>
      <c r="FZ290" s="67"/>
      <c r="GA290" s="67"/>
      <c r="GB290" s="67"/>
      <c r="GC290" s="67"/>
      <c r="GD290" s="67"/>
      <c r="GE290" s="67"/>
      <c r="GF290" s="67"/>
      <c r="GG290" s="67"/>
      <c r="GH290" s="67"/>
      <c r="GI290" s="67"/>
      <c r="GJ290" s="67"/>
      <c r="GK290" s="67"/>
      <c r="GL290" s="67"/>
      <c r="GM290" s="67"/>
      <c r="GN290" s="67"/>
      <c r="GO290" s="67"/>
      <c r="GP290" s="67"/>
    </row>
    <row r="291" spans="5:198" s="66" customFormat="1">
      <c r="E291" s="67"/>
      <c r="G291" s="67"/>
      <c r="H291" s="67"/>
      <c r="I291" s="67"/>
      <c r="J291" s="67"/>
      <c r="K291" s="67"/>
      <c r="L291" s="67"/>
      <c r="M291" s="67"/>
      <c r="N291" s="67"/>
      <c r="O291" s="78"/>
      <c r="P291" s="78"/>
      <c r="S291" s="78"/>
      <c r="T291" s="78"/>
      <c r="U291" s="79"/>
      <c r="V291" s="65"/>
      <c r="Y291" s="78"/>
      <c r="Z291" s="78"/>
      <c r="AA291" s="78"/>
      <c r="AB291" s="78"/>
      <c r="AC291" s="78"/>
      <c r="AD291" s="78"/>
      <c r="AE291" s="78"/>
      <c r="AF291" s="78"/>
      <c r="AG291" s="79"/>
      <c r="AH291" s="65"/>
      <c r="AJ291" s="85"/>
      <c r="AK291" s="78"/>
      <c r="AL291" s="78"/>
      <c r="AM291" s="78"/>
      <c r="AN291" s="78"/>
      <c r="AO291" s="78"/>
      <c r="AP291" s="78"/>
      <c r="AQ291" s="79"/>
      <c r="AR291" s="65"/>
      <c r="AT291" s="85"/>
      <c r="AU291" s="78"/>
      <c r="AV291" s="78"/>
      <c r="AW291" s="78"/>
      <c r="AX291" s="78"/>
      <c r="AY291" s="78"/>
      <c r="AZ291" s="79"/>
      <c r="BA291" s="65"/>
      <c r="BC291" s="85"/>
      <c r="BD291" s="78"/>
      <c r="BE291" s="78"/>
      <c r="BF291" s="78"/>
      <c r="BG291" s="78"/>
      <c r="BH291" s="78"/>
      <c r="BI291" s="78"/>
      <c r="BJ291" s="79"/>
      <c r="BK291" s="65"/>
      <c r="CU291" s="67"/>
      <c r="EC291" s="67"/>
      <c r="FK291" s="67"/>
      <c r="FL291" s="67"/>
      <c r="FM291" s="67"/>
      <c r="FN291" s="67"/>
      <c r="FO291" s="67"/>
      <c r="FP291" s="67"/>
      <c r="FQ291" s="67"/>
      <c r="FR291" s="67"/>
      <c r="FS291" s="67"/>
      <c r="FT291" s="67"/>
      <c r="FU291" s="67"/>
      <c r="FV291" s="67"/>
      <c r="FW291" s="67"/>
      <c r="FX291" s="67"/>
      <c r="FY291" s="67"/>
      <c r="FZ291" s="67"/>
      <c r="GA291" s="67"/>
      <c r="GB291" s="67"/>
      <c r="GC291" s="67"/>
      <c r="GD291" s="67"/>
      <c r="GE291" s="67"/>
      <c r="GF291" s="67"/>
      <c r="GG291" s="67"/>
      <c r="GH291" s="67"/>
      <c r="GI291" s="67"/>
      <c r="GJ291" s="67"/>
      <c r="GK291" s="67"/>
      <c r="GL291" s="67"/>
      <c r="GM291" s="67"/>
      <c r="GN291" s="67"/>
      <c r="GO291" s="67"/>
      <c r="GP291" s="67"/>
    </row>
    <row r="292" spans="5:198" s="66" customFormat="1">
      <c r="E292" s="67"/>
      <c r="G292" s="67"/>
      <c r="H292" s="67"/>
      <c r="I292" s="67"/>
      <c r="J292" s="67"/>
      <c r="K292" s="67"/>
      <c r="L292" s="67"/>
      <c r="M292" s="67"/>
      <c r="N292" s="67"/>
      <c r="O292" s="78"/>
      <c r="P292" s="78"/>
      <c r="S292" s="78"/>
      <c r="T292" s="78"/>
      <c r="U292" s="79"/>
      <c r="V292" s="65"/>
      <c r="Y292" s="78"/>
      <c r="Z292" s="78"/>
      <c r="AA292" s="78"/>
      <c r="AB292" s="78"/>
      <c r="AC292" s="78"/>
      <c r="AD292" s="78"/>
      <c r="AE292" s="78"/>
      <c r="AF292" s="78"/>
      <c r="AG292" s="79"/>
      <c r="AH292" s="65"/>
      <c r="AJ292" s="85"/>
      <c r="AK292" s="78"/>
      <c r="AL292" s="78"/>
      <c r="AM292" s="78"/>
      <c r="AN292" s="78"/>
      <c r="AO292" s="78"/>
      <c r="AP292" s="78"/>
      <c r="AQ292" s="79"/>
      <c r="AR292" s="65"/>
      <c r="AT292" s="85"/>
      <c r="AU292" s="78"/>
      <c r="AV292" s="78"/>
      <c r="AW292" s="78"/>
      <c r="AX292" s="78"/>
      <c r="AY292" s="78"/>
      <c r="AZ292" s="79"/>
      <c r="BA292" s="65"/>
      <c r="BC292" s="85"/>
      <c r="BD292" s="78"/>
      <c r="BE292" s="78"/>
      <c r="BF292" s="78"/>
      <c r="BG292" s="78"/>
      <c r="BH292" s="78"/>
      <c r="BI292" s="78"/>
      <c r="BJ292" s="79"/>
      <c r="BK292" s="65"/>
      <c r="CU292" s="67"/>
      <c r="EC292" s="67"/>
      <c r="FK292" s="67"/>
      <c r="FL292" s="67"/>
      <c r="FM292" s="67"/>
      <c r="FN292" s="67"/>
      <c r="FO292" s="67"/>
      <c r="FP292" s="67"/>
      <c r="FQ292" s="67"/>
      <c r="FR292" s="67"/>
      <c r="FS292" s="67"/>
      <c r="FT292" s="67"/>
      <c r="FU292" s="67"/>
      <c r="FV292" s="67"/>
      <c r="FW292" s="67"/>
      <c r="FX292" s="67"/>
      <c r="FY292" s="67"/>
      <c r="FZ292" s="67"/>
      <c r="GA292" s="67"/>
      <c r="GB292" s="67"/>
      <c r="GC292" s="67"/>
      <c r="GD292" s="67"/>
      <c r="GE292" s="67"/>
      <c r="GF292" s="67"/>
      <c r="GG292" s="67"/>
      <c r="GH292" s="67"/>
      <c r="GI292" s="67"/>
      <c r="GJ292" s="67"/>
      <c r="GK292" s="67"/>
      <c r="GL292" s="67"/>
      <c r="GM292" s="67"/>
      <c r="GN292" s="67"/>
      <c r="GO292" s="67"/>
      <c r="GP292" s="67"/>
    </row>
    <row r="293" spans="5:198" s="66" customFormat="1">
      <c r="E293" s="67"/>
      <c r="G293" s="67"/>
      <c r="H293" s="67"/>
      <c r="I293" s="67"/>
      <c r="J293" s="67"/>
      <c r="K293" s="67"/>
      <c r="L293" s="67"/>
      <c r="M293" s="67"/>
      <c r="N293" s="67"/>
      <c r="O293" s="78"/>
      <c r="P293" s="78"/>
      <c r="S293" s="78"/>
      <c r="T293" s="78"/>
      <c r="U293" s="79"/>
      <c r="V293" s="65"/>
      <c r="Y293" s="78"/>
      <c r="Z293" s="78"/>
      <c r="AA293" s="78"/>
      <c r="AB293" s="78"/>
      <c r="AC293" s="78"/>
      <c r="AD293" s="78"/>
      <c r="AE293" s="78"/>
      <c r="AF293" s="78"/>
      <c r="AG293" s="79"/>
      <c r="AH293" s="65"/>
      <c r="AJ293" s="85"/>
      <c r="AK293" s="78"/>
      <c r="AL293" s="78"/>
      <c r="AM293" s="78"/>
      <c r="AN293" s="78"/>
      <c r="AO293" s="78"/>
      <c r="AP293" s="78"/>
      <c r="AQ293" s="79"/>
      <c r="AR293" s="65"/>
      <c r="AT293" s="85"/>
      <c r="AU293" s="78"/>
      <c r="AV293" s="78"/>
      <c r="AW293" s="78"/>
      <c r="AX293" s="78"/>
      <c r="AY293" s="78"/>
      <c r="AZ293" s="79"/>
      <c r="BA293" s="65"/>
      <c r="BC293" s="85"/>
      <c r="BD293" s="78"/>
      <c r="BE293" s="78"/>
      <c r="BF293" s="78"/>
      <c r="BG293" s="78"/>
      <c r="BH293" s="78"/>
      <c r="BI293" s="78"/>
      <c r="BJ293" s="79"/>
      <c r="BK293" s="65"/>
      <c r="CU293" s="67"/>
      <c r="EC293" s="67"/>
      <c r="FK293" s="67"/>
      <c r="FL293" s="67"/>
      <c r="FM293" s="67"/>
      <c r="FN293" s="67"/>
      <c r="FO293" s="67"/>
      <c r="FP293" s="67"/>
      <c r="FQ293" s="67"/>
      <c r="FR293" s="67"/>
      <c r="FS293" s="67"/>
      <c r="FT293" s="67"/>
      <c r="FU293" s="67"/>
      <c r="FV293" s="67"/>
      <c r="FW293" s="67"/>
      <c r="FX293" s="67"/>
      <c r="FY293" s="67"/>
      <c r="FZ293" s="67"/>
      <c r="GA293" s="67"/>
      <c r="GB293" s="67"/>
      <c r="GC293" s="67"/>
      <c r="GD293" s="67"/>
      <c r="GE293" s="67"/>
      <c r="GF293" s="67"/>
      <c r="GG293" s="67"/>
      <c r="GH293" s="67"/>
      <c r="GI293" s="67"/>
      <c r="GJ293" s="67"/>
      <c r="GK293" s="67"/>
      <c r="GL293" s="67"/>
      <c r="GM293" s="67"/>
      <c r="GN293" s="67"/>
      <c r="GO293" s="67"/>
      <c r="GP293" s="67"/>
    </row>
    <row r="294" spans="5:198" s="66" customFormat="1">
      <c r="E294" s="67"/>
      <c r="G294" s="67"/>
      <c r="H294" s="67"/>
      <c r="I294" s="67"/>
      <c r="J294" s="67"/>
      <c r="K294" s="67"/>
      <c r="L294" s="67"/>
      <c r="M294" s="67"/>
      <c r="N294" s="67"/>
      <c r="O294" s="78"/>
      <c r="P294" s="78"/>
      <c r="S294" s="78"/>
      <c r="T294" s="78"/>
      <c r="U294" s="79"/>
      <c r="V294" s="65"/>
      <c r="Y294" s="78"/>
      <c r="Z294" s="78"/>
      <c r="AA294" s="78"/>
      <c r="AB294" s="78"/>
      <c r="AC294" s="78"/>
      <c r="AD294" s="78"/>
      <c r="AE294" s="78"/>
      <c r="AF294" s="78"/>
      <c r="AG294" s="79"/>
      <c r="AH294" s="65"/>
      <c r="AJ294" s="85"/>
      <c r="AK294" s="78"/>
      <c r="AL294" s="78"/>
      <c r="AM294" s="78"/>
      <c r="AN294" s="78"/>
      <c r="AO294" s="78"/>
      <c r="AP294" s="78"/>
      <c r="AQ294" s="79"/>
      <c r="AR294" s="65"/>
      <c r="AT294" s="85"/>
      <c r="AU294" s="78"/>
      <c r="AV294" s="78"/>
      <c r="AW294" s="78"/>
      <c r="AX294" s="78"/>
      <c r="AY294" s="78"/>
      <c r="AZ294" s="79"/>
      <c r="BA294" s="65"/>
      <c r="BC294" s="85"/>
      <c r="BD294" s="78"/>
      <c r="BE294" s="78"/>
      <c r="BF294" s="78"/>
      <c r="BG294" s="78"/>
      <c r="BH294" s="78"/>
      <c r="BI294" s="78"/>
      <c r="BJ294" s="79"/>
      <c r="BK294" s="65"/>
      <c r="CU294" s="67"/>
      <c r="EC294" s="67"/>
      <c r="FK294" s="67"/>
      <c r="FL294" s="67"/>
      <c r="FM294" s="67"/>
      <c r="FN294" s="67"/>
      <c r="FO294" s="67"/>
      <c r="FP294" s="67"/>
      <c r="FQ294" s="67"/>
      <c r="FR294" s="67"/>
      <c r="FS294" s="67"/>
      <c r="FT294" s="67"/>
      <c r="FU294" s="67"/>
      <c r="FV294" s="67"/>
      <c r="FW294" s="67"/>
      <c r="FX294" s="67"/>
      <c r="FY294" s="67"/>
      <c r="FZ294" s="67"/>
      <c r="GA294" s="67"/>
      <c r="GB294" s="67"/>
      <c r="GC294" s="67"/>
      <c r="GD294" s="67"/>
      <c r="GE294" s="67"/>
      <c r="GF294" s="67"/>
      <c r="GG294" s="67"/>
      <c r="GH294" s="67"/>
      <c r="GI294" s="67"/>
      <c r="GJ294" s="67"/>
      <c r="GK294" s="67"/>
      <c r="GL294" s="67"/>
      <c r="GM294" s="67"/>
      <c r="GN294" s="67"/>
      <c r="GO294" s="67"/>
      <c r="GP294" s="67"/>
    </row>
    <row r="295" spans="5:198" s="66" customFormat="1">
      <c r="E295" s="67"/>
      <c r="G295" s="67"/>
      <c r="H295" s="67"/>
      <c r="I295" s="67"/>
      <c r="J295" s="67"/>
      <c r="K295" s="67"/>
      <c r="L295" s="67"/>
      <c r="M295" s="67"/>
      <c r="N295" s="67"/>
      <c r="O295" s="78"/>
      <c r="P295" s="78"/>
      <c r="S295" s="78"/>
      <c r="T295" s="78"/>
      <c r="U295" s="79"/>
      <c r="V295" s="65"/>
      <c r="Y295" s="78"/>
      <c r="Z295" s="78"/>
      <c r="AA295" s="78"/>
      <c r="AB295" s="78"/>
      <c r="AC295" s="78"/>
      <c r="AD295" s="78"/>
      <c r="AE295" s="78"/>
      <c r="AF295" s="78"/>
      <c r="AG295" s="79"/>
      <c r="AH295" s="65"/>
      <c r="AJ295" s="85"/>
      <c r="AK295" s="78"/>
      <c r="AL295" s="78"/>
      <c r="AM295" s="78"/>
      <c r="AN295" s="78"/>
      <c r="AO295" s="78"/>
      <c r="AP295" s="78"/>
      <c r="AQ295" s="79"/>
      <c r="AR295" s="65"/>
      <c r="AT295" s="85"/>
      <c r="AU295" s="78"/>
      <c r="AV295" s="78"/>
      <c r="AW295" s="78"/>
      <c r="AX295" s="78"/>
      <c r="AY295" s="78"/>
      <c r="AZ295" s="79"/>
      <c r="BA295" s="65"/>
      <c r="BC295" s="85"/>
      <c r="BD295" s="78"/>
      <c r="BE295" s="78"/>
      <c r="BF295" s="78"/>
      <c r="BG295" s="78"/>
      <c r="BH295" s="78"/>
      <c r="BI295" s="78"/>
      <c r="BJ295" s="79"/>
      <c r="BK295" s="65"/>
      <c r="CU295" s="67"/>
      <c r="EC295" s="67"/>
      <c r="FK295" s="67"/>
      <c r="FL295" s="67"/>
      <c r="FM295" s="67"/>
      <c r="FN295" s="67"/>
      <c r="FO295" s="67"/>
      <c r="FP295" s="67"/>
      <c r="FQ295" s="67"/>
      <c r="FR295" s="67"/>
      <c r="FS295" s="67"/>
      <c r="FT295" s="67"/>
      <c r="FU295" s="67"/>
      <c r="FV295" s="67"/>
      <c r="FW295" s="67"/>
      <c r="FX295" s="67"/>
      <c r="FY295" s="67"/>
      <c r="FZ295" s="67"/>
      <c r="GA295" s="67"/>
      <c r="GB295" s="67"/>
      <c r="GC295" s="67"/>
      <c r="GD295" s="67"/>
      <c r="GE295" s="67"/>
      <c r="GF295" s="67"/>
      <c r="GG295" s="67"/>
      <c r="GH295" s="67"/>
      <c r="GI295" s="67"/>
      <c r="GJ295" s="67"/>
      <c r="GK295" s="67"/>
      <c r="GL295" s="67"/>
      <c r="GM295" s="67"/>
      <c r="GN295" s="67"/>
      <c r="GO295" s="67"/>
      <c r="GP295" s="67"/>
    </row>
    <row r="296" spans="5:198" s="66" customFormat="1">
      <c r="E296" s="67"/>
      <c r="G296" s="67"/>
      <c r="H296" s="67"/>
      <c r="I296" s="67"/>
      <c r="J296" s="67"/>
      <c r="K296" s="67"/>
      <c r="L296" s="67"/>
      <c r="M296" s="67"/>
      <c r="N296" s="67"/>
      <c r="O296" s="78"/>
      <c r="P296" s="78"/>
      <c r="S296" s="78"/>
      <c r="T296" s="78"/>
      <c r="U296" s="79"/>
      <c r="V296" s="65"/>
      <c r="Y296" s="78"/>
      <c r="Z296" s="78"/>
      <c r="AA296" s="78"/>
      <c r="AB296" s="78"/>
      <c r="AC296" s="78"/>
      <c r="AD296" s="78"/>
      <c r="AE296" s="78"/>
      <c r="AF296" s="78"/>
      <c r="AG296" s="79"/>
      <c r="AH296" s="65"/>
      <c r="AJ296" s="85"/>
      <c r="AK296" s="78"/>
      <c r="AL296" s="78"/>
      <c r="AM296" s="78"/>
      <c r="AN296" s="78"/>
      <c r="AO296" s="78"/>
      <c r="AP296" s="78"/>
      <c r="AQ296" s="79"/>
      <c r="AR296" s="65"/>
      <c r="AT296" s="85"/>
      <c r="AU296" s="78"/>
      <c r="AV296" s="78"/>
      <c r="AW296" s="78"/>
      <c r="AX296" s="78"/>
      <c r="AY296" s="78"/>
      <c r="AZ296" s="79"/>
      <c r="BA296" s="65"/>
      <c r="BC296" s="85"/>
      <c r="BD296" s="78"/>
      <c r="BE296" s="78"/>
      <c r="BF296" s="78"/>
      <c r="BG296" s="78"/>
      <c r="BH296" s="78"/>
      <c r="BI296" s="78"/>
      <c r="BJ296" s="79"/>
      <c r="BK296" s="65"/>
      <c r="CU296" s="67"/>
      <c r="EC296" s="67"/>
      <c r="FK296" s="67"/>
      <c r="FL296" s="67"/>
      <c r="FM296" s="67"/>
      <c r="FN296" s="67"/>
      <c r="FO296" s="67"/>
      <c r="FP296" s="67"/>
      <c r="FQ296" s="67"/>
      <c r="FR296" s="67"/>
      <c r="FS296" s="67"/>
      <c r="FT296" s="67"/>
      <c r="FU296" s="67"/>
      <c r="FV296" s="67"/>
      <c r="FW296" s="67"/>
      <c r="FX296" s="67"/>
      <c r="FY296" s="67"/>
      <c r="FZ296" s="67"/>
      <c r="GA296" s="67"/>
      <c r="GB296" s="67"/>
      <c r="GC296" s="67"/>
      <c r="GD296" s="67"/>
      <c r="GE296" s="67"/>
      <c r="GF296" s="67"/>
      <c r="GG296" s="67"/>
      <c r="GH296" s="67"/>
      <c r="GI296" s="67"/>
      <c r="GJ296" s="67"/>
      <c r="GK296" s="67"/>
      <c r="GL296" s="67"/>
      <c r="GM296" s="67"/>
      <c r="GN296" s="67"/>
      <c r="GO296" s="67"/>
      <c r="GP296" s="67"/>
    </row>
    <row r="297" spans="5:198" s="66" customFormat="1">
      <c r="E297" s="67"/>
      <c r="G297" s="67"/>
      <c r="H297" s="67"/>
      <c r="I297" s="67"/>
      <c r="J297" s="67"/>
      <c r="K297" s="67"/>
      <c r="L297" s="67"/>
      <c r="M297" s="67"/>
      <c r="N297" s="67"/>
      <c r="O297" s="78"/>
      <c r="P297" s="78"/>
      <c r="S297" s="78"/>
      <c r="T297" s="78"/>
      <c r="U297" s="79"/>
      <c r="V297" s="65"/>
      <c r="Y297" s="78"/>
      <c r="Z297" s="78"/>
      <c r="AA297" s="78"/>
      <c r="AB297" s="78"/>
      <c r="AC297" s="78"/>
      <c r="AD297" s="78"/>
      <c r="AE297" s="78"/>
      <c r="AF297" s="78"/>
      <c r="AG297" s="79"/>
      <c r="AH297" s="65"/>
      <c r="AJ297" s="85"/>
      <c r="AK297" s="78"/>
      <c r="AL297" s="78"/>
      <c r="AM297" s="78"/>
      <c r="AN297" s="78"/>
      <c r="AO297" s="78"/>
      <c r="AP297" s="78"/>
      <c r="AQ297" s="79"/>
      <c r="AR297" s="65"/>
      <c r="AT297" s="85"/>
      <c r="AU297" s="78"/>
      <c r="AV297" s="78"/>
      <c r="AW297" s="78"/>
      <c r="AX297" s="78"/>
      <c r="AY297" s="78"/>
      <c r="AZ297" s="79"/>
      <c r="BA297" s="65"/>
      <c r="BC297" s="85"/>
      <c r="BD297" s="78"/>
      <c r="BE297" s="78"/>
      <c r="BF297" s="78"/>
      <c r="BG297" s="78"/>
      <c r="BH297" s="78"/>
      <c r="BI297" s="78"/>
      <c r="BJ297" s="79"/>
      <c r="BK297" s="65"/>
      <c r="CU297" s="67"/>
      <c r="EC297" s="67"/>
      <c r="FK297" s="67"/>
      <c r="FL297" s="67"/>
      <c r="FM297" s="67"/>
      <c r="FN297" s="67"/>
      <c r="FO297" s="67"/>
      <c r="FP297" s="67"/>
      <c r="FQ297" s="67"/>
      <c r="FR297" s="67"/>
      <c r="FS297" s="67"/>
      <c r="FT297" s="67"/>
      <c r="FU297" s="67"/>
      <c r="FV297" s="67"/>
      <c r="FW297" s="67"/>
      <c r="FX297" s="67"/>
      <c r="FY297" s="67"/>
      <c r="FZ297" s="67"/>
      <c r="GA297" s="67"/>
      <c r="GB297" s="67"/>
      <c r="GC297" s="67"/>
      <c r="GD297" s="67"/>
      <c r="GE297" s="67"/>
      <c r="GF297" s="67"/>
      <c r="GG297" s="67"/>
      <c r="GH297" s="67"/>
      <c r="GI297" s="67"/>
      <c r="GJ297" s="67"/>
      <c r="GK297" s="67"/>
      <c r="GL297" s="67"/>
      <c r="GM297" s="67"/>
      <c r="GN297" s="67"/>
      <c r="GO297" s="67"/>
      <c r="GP297" s="67"/>
    </row>
    <row r="298" spans="5:198" s="66" customFormat="1">
      <c r="E298" s="67"/>
      <c r="G298" s="67"/>
      <c r="H298" s="67"/>
      <c r="I298" s="67"/>
      <c r="J298" s="67"/>
      <c r="K298" s="67"/>
      <c r="L298" s="67"/>
      <c r="M298" s="67"/>
      <c r="N298" s="67"/>
      <c r="O298" s="78"/>
      <c r="P298" s="78"/>
      <c r="S298" s="78"/>
      <c r="T298" s="78"/>
      <c r="U298" s="79"/>
      <c r="V298" s="65"/>
      <c r="Y298" s="78"/>
      <c r="Z298" s="78"/>
      <c r="AA298" s="78"/>
      <c r="AB298" s="78"/>
      <c r="AC298" s="78"/>
      <c r="AD298" s="78"/>
      <c r="AE298" s="78"/>
      <c r="AF298" s="78"/>
      <c r="AG298" s="79"/>
      <c r="AH298" s="65"/>
      <c r="AJ298" s="85"/>
      <c r="AK298" s="78"/>
      <c r="AL298" s="78"/>
      <c r="AM298" s="78"/>
      <c r="AN298" s="78"/>
      <c r="AO298" s="78"/>
      <c r="AP298" s="78"/>
      <c r="AQ298" s="79"/>
      <c r="AR298" s="65"/>
      <c r="AT298" s="85"/>
      <c r="AU298" s="78"/>
      <c r="AV298" s="78"/>
      <c r="AW298" s="78"/>
      <c r="AX298" s="78"/>
      <c r="AY298" s="78"/>
      <c r="AZ298" s="79"/>
      <c r="BA298" s="65"/>
      <c r="BC298" s="85"/>
      <c r="BD298" s="78"/>
      <c r="BE298" s="78"/>
      <c r="BF298" s="78"/>
      <c r="BG298" s="78"/>
      <c r="BH298" s="78"/>
      <c r="BI298" s="78"/>
      <c r="BJ298" s="79"/>
      <c r="BK298" s="65"/>
      <c r="CU298" s="67"/>
      <c r="EC298" s="67"/>
      <c r="FK298" s="67"/>
      <c r="FL298" s="67"/>
      <c r="FM298" s="67"/>
      <c r="FN298" s="67"/>
      <c r="FO298" s="67"/>
      <c r="FP298" s="67"/>
      <c r="FQ298" s="67"/>
      <c r="FR298" s="67"/>
      <c r="FS298" s="67"/>
      <c r="FT298" s="67"/>
      <c r="FU298" s="67"/>
      <c r="FV298" s="67"/>
      <c r="FW298" s="67"/>
      <c r="FX298" s="67"/>
      <c r="FY298" s="67"/>
      <c r="FZ298" s="67"/>
      <c r="GA298" s="67"/>
      <c r="GB298" s="67"/>
      <c r="GC298" s="67"/>
      <c r="GD298" s="67"/>
      <c r="GE298" s="67"/>
      <c r="GF298" s="67"/>
      <c r="GG298" s="67"/>
      <c r="GH298" s="67"/>
      <c r="GI298" s="67"/>
      <c r="GJ298" s="67"/>
      <c r="GK298" s="67"/>
      <c r="GL298" s="67"/>
      <c r="GM298" s="67"/>
      <c r="GN298" s="67"/>
      <c r="GO298" s="67"/>
      <c r="GP298" s="67"/>
    </row>
    <row r="299" spans="5:198" s="66" customFormat="1">
      <c r="E299" s="67"/>
      <c r="G299" s="67"/>
      <c r="H299" s="67"/>
      <c r="I299" s="67"/>
      <c r="J299" s="67"/>
      <c r="K299" s="67"/>
      <c r="L299" s="67"/>
      <c r="M299" s="67"/>
      <c r="N299" s="67"/>
      <c r="O299" s="78"/>
      <c r="P299" s="78"/>
      <c r="S299" s="78"/>
      <c r="T299" s="78"/>
      <c r="U299" s="79"/>
      <c r="V299" s="65"/>
      <c r="Y299" s="78"/>
      <c r="Z299" s="78"/>
      <c r="AA299" s="78"/>
      <c r="AB299" s="78"/>
      <c r="AC299" s="78"/>
      <c r="AD299" s="78"/>
      <c r="AE299" s="78"/>
      <c r="AF299" s="78"/>
      <c r="AG299" s="79"/>
      <c r="AH299" s="65"/>
      <c r="AJ299" s="85"/>
      <c r="AK299" s="78"/>
      <c r="AL299" s="78"/>
      <c r="AM299" s="78"/>
      <c r="AN299" s="78"/>
      <c r="AO299" s="78"/>
      <c r="AP299" s="78"/>
      <c r="AQ299" s="79"/>
      <c r="AR299" s="65"/>
      <c r="AT299" s="85"/>
      <c r="AU299" s="78"/>
      <c r="AV299" s="78"/>
      <c r="AW299" s="78"/>
      <c r="AX299" s="78"/>
      <c r="AY299" s="78"/>
      <c r="AZ299" s="79"/>
      <c r="BA299" s="65"/>
      <c r="BC299" s="85"/>
      <c r="BD299" s="78"/>
      <c r="BE299" s="78"/>
      <c r="BF299" s="78"/>
      <c r="BG299" s="78"/>
      <c r="BH299" s="78"/>
      <c r="BI299" s="78"/>
      <c r="BJ299" s="79"/>
      <c r="BK299" s="65"/>
      <c r="CU299" s="67"/>
      <c r="EC299" s="67"/>
      <c r="FK299" s="67"/>
      <c r="FL299" s="67"/>
      <c r="FM299" s="67"/>
      <c r="FN299" s="67"/>
      <c r="FO299" s="67"/>
      <c r="FP299" s="67"/>
      <c r="FQ299" s="67"/>
      <c r="FR299" s="67"/>
      <c r="FS299" s="67"/>
      <c r="FT299" s="67"/>
      <c r="FU299" s="67"/>
      <c r="FV299" s="67"/>
      <c r="FW299" s="67"/>
      <c r="FX299" s="67"/>
      <c r="FY299" s="67"/>
      <c r="FZ299" s="67"/>
      <c r="GA299" s="67"/>
      <c r="GB299" s="67"/>
      <c r="GC299" s="67"/>
      <c r="GD299" s="67"/>
      <c r="GE299" s="67"/>
      <c r="GF299" s="67"/>
      <c r="GG299" s="67"/>
      <c r="GH299" s="67"/>
      <c r="GI299" s="67"/>
      <c r="GJ299" s="67"/>
      <c r="GK299" s="67"/>
      <c r="GL299" s="67"/>
      <c r="GM299" s="67"/>
      <c r="GN299" s="67"/>
      <c r="GO299" s="67"/>
      <c r="GP299" s="67"/>
    </row>
    <row r="300" spans="5:198" s="66" customFormat="1">
      <c r="E300" s="67"/>
      <c r="G300" s="67"/>
      <c r="H300" s="67"/>
      <c r="I300" s="67"/>
      <c r="J300" s="67"/>
      <c r="K300" s="67"/>
      <c r="L300" s="67"/>
      <c r="M300" s="67"/>
      <c r="N300" s="67"/>
      <c r="O300" s="78"/>
      <c r="P300" s="78"/>
      <c r="S300" s="78"/>
      <c r="T300" s="78"/>
      <c r="U300" s="79"/>
      <c r="V300" s="65"/>
      <c r="Y300" s="78"/>
      <c r="Z300" s="78"/>
      <c r="AA300" s="78"/>
      <c r="AB300" s="78"/>
      <c r="AC300" s="78"/>
      <c r="AD300" s="78"/>
      <c r="AE300" s="78"/>
      <c r="AF300" s="78"/>
      <c r="AG300" s="79"/>
      <c r="AH300" s="65"/>
      <c r="AJ300" s="85"/>
      <c r="AK300" s="78"/>
      <c r="AL300" s="78"/>
      <c r="AM300" s="78"/>
      <c r="AN300" s="78"/>
      <c r="AO300" s="78"/>
      <c r="AP300" s="78"/>
      <c r="AQ300" s="79"/>
      <c r="AR300" s="65"/>
      <c r="AT300" s="85"/>
      <c r="AU300" s="78"/>
      <c r="AV300" s="78"/>
      <c r="AW300" s="78"/>
      <c r="AX300" s="78"/>
      <c r="AY300" s="78"/>
      <c r="AZ300" s="79"/>
      <c r="BA300" s="65"/>
      <c r="BC300" s="85"/>
      <c r="BD300" s="78"/>
      <c r="BE300" s="78"/>
      <c r="BF300" s="78"/>
      <c r="BG300" s="78"/>
      <c r="BH300" s="78"/>
      <c r="BI300" s="78"/>
      <c r="BJ300" s="79"/>
      <c r="BK300" s="65"/>
      <c r="CU300" s="67"/>
      <c r="EC300" s="67"/>
      <c r="FK300" s="67"/>
      <c r="FL300" s="67"/>
      <c r="FM300" s="67"/>
      <c r="FN300" s="67"/>
      <c r="FO300" s="67"/>
      <c r="FP300" s="67"/>
      <c r="FQ300" s="67"/>
      <c r="FR300" s="67"/>
      <c r="FS300" s="67"/>
      <c r="FT300" s="67"/>
      <c r="FU300" s="67"/>
      <c r="FV300" s="67"/>
      <c r="FW300" s="67"/>
      <c r="FX300" s="67"/>
      <c r="FY300" s="67"/>
      <c r="FZ300" s="67"/>
      <c r="GA300" s="67"/>
      <c r="GB300" s="67"/>
      <c r="GC300" s="67"/>
      <c r="GD300" s="67"/>
      <c r="GE300" s="67"/>
      <c r="GF300" s="67"/>
      <c r="GG300" s="67"/>
      <c r="GH300" s="67"/>
      <c r="GI300" s="67"/>
      <c r="GJ300" s="67"/>
      <c r="GK300" s="67"/>
      <c r="GL300" s="67"/>
      <c r="GM300" s="67"/>
      <c r="GN300" s="67"/>
      <c r="GO300" s="67"/>
      <c r="GP300" s="67"/>
    </row>
    <row r="301" spans="5:198" s="66" customFormat="1">
      <c r="E301" s="67"/>
      <c r="G301" s="67"/>
      <c r="H301" s="67"/>
      <c r="I301" s="67"/>
      <c r="J301" s="67"/>
      <c r="K301" s="67"/>
      <c r="L301" s="67"/>
      <c r="M301" s="67"/>
      <c r="N301" s="67"/>
      <c r="O301" s="78"/>
      <c r="P301" s="78"/>
      <c r="S301" s="78"/>
      <c r="T301" s="78"/>
      <c r="U301" s="79"/>
      <c r="V301" s="65"/>
      <c r="Y301" s="78"/>
      <c r="Z301" s="78"/>
      <c r="AA301" s="78"/>
      <c r="AB301" s="78"/>
      <c r="AC301" s="78"/>
      <c r="AD301" s="78"/>
      <c r="AE301" s="78"/>
      <c r="AF301" s="78"/>
      <c r="AG301" s="79"/>
      <c r="AH301" s="65"/>
      <c r="AJ301" s="85"/>
      <c r="AK301" s="78"/>
      <c r="AL301" s="78"/>
      <c r="AM301" s="78"/>
      <c r="AN301" s="78"/>
      <c r="AO301" s="78"/>
      <c r="AP301" s="78"/>
      <c r="AQ301" s="79"/>
      <c r="AR301" s="65"/>
      <c r="AT301" s="85"/>
      <c r="AU301" s="78"/>
      <c r="AV301" s="78"/>
      <c r="AW301" s="78"/>
      <c r="AX301" s="78"/>
      <c r="AY301" s="78"/>
      <c r="AZ301" s="79"/>
      <c r="BA301" s="65"/>
      <c r="BC301" s="85"/>
      <c r="BD301" s="78"/>
      <c r="BE301" s="78"/>
      <c r="BF301" s="78"/>
      <c r="BG301" s="78"/>
      <c r="BH301" s="78"/>
      <c r="BI301" s="78"/>
      <c r="BJ301" s="79"/>
      <c r="BK301" s="65"/>
      <c r="CU301" s="67"/>
      <c r="EC301" s="67"/>
      <c r="FK301" s="67"/>
      <c r="FL301" s="67"/>
      <c r="FM301" s="67"/>
      <c r="FN301" s="67"/>
      <c r="FO301" s="67"/>
      <c r="FP301" s="67"/>
      <c r="FQ301" s="67"/>
      <c r="FR301" s="67"/>
      <c r="FS301" s="67"/>
      <c r="FT301" s="67"/>
      <c r="FU301" s="67"/>
      <c r="FV301" s="67"/>
      <c r="FW301" s="67"/>
      <c r="FX301" s="67"/>
      <c r="FY301" s="67"/>
      <c r="FZ301" s="67"/>
      <c r="GA301" s="67"/>
      <c r="GB301" s="67"/>
      <c r="GC301" s="67"/>
      <c r="GD301" s="67"/>
      <c r="GE301" s="67"/>
      <c r="GF301" s="67"/>
      <c r="GG301" s="67"/>
      <c r="GH301" s="67"/>
      <c r="GI301" s="67"/>
      <c r="GJ301" s="67"/>
      <c r="GK301" s="67"/>
      <c r="GL301" s="67"/>
      <c r="GM301" s="67"/>
      <c r="GN301" s="67"/>
      <c r="GO301" s="67"/>
      <c r="GP301" s="67"/>
    </row>
    <row r="302" spans="5:198" s="66" customFormat="1">
      <c r="E302" s="67"/>
      <c r="G302" s="67"/>
      <c r="H302" s="67"/>
      <c r="I302" s="67"/>
      <c r="J302" s="67"/>
      <c r="K302" s="67"/>
      <c r="L302" s="67"/>
      <c r="M302" s="67"/>
      <c r="N302" s="67"/>
      <c r="O302" s="78"/>
      <c r="P302" s="78"/>
      <c r="S302" s="78"/>
      <c r="T302" s="78"/>
      <c r="U302" s="79"/>
      <c r="V302" s="65"/>
      <c r="Y302" s="78"/>
      <c r="Z302" s="78"/>
      <c r="AA302" s="78"/>
      <c r="AB302" s="78"/>
      <c r="AC302" s="78"/>
      <c r="AD302" s="78"/>
      <c r="AE302" s="78"/>
      <c r="AF302" s="78"/>
      <c r="AG302" s="79"/>
      <c r="AH302" s="65"/>
      <c r="AJ302" s="85"/>
      <c r="AK302" s="78"/>
      <c r="AL302" s="78"/>
      <c r="AM302" s="78"/>
      <c r="AN302" s="78"/>
      <c r="AO302" s="78"/>
      <c r="AP302" s="78"/>
      <c r="AQ302" s="79"/>
      <c r="AR302" s="65"/>
      <c r="AT302" s="85"/>
      <c r="AU302" s="78"/>
      <c r="AV302" s="78"/>
      <c r="AW302" s="78"/>
      <c r="AX302" s="78"/>
      <c r="AY302" s="78"/>
      <c r="AZ302" s="79"/>
      <c r="BA302" s="65"/>
      <c r="BC302" s="85"/>
      <c r="BD302" s="78"/>
      <c r="BE302" s="78"/>
      <c r="BF302" s="78"/>
      <c r="BG302" s="78"/>
      <c r="BH302" s="78"/>
      <c r="BI302" s="78"/>
      <c r="BJ302" s="79"/>
      <c r="BK302" s="65"/>
      <c r="CU302" s="67"/>
      <c r="EC302" s="67"/>
      <c r="FK302" s="67"/>
      <c r="FL302" s="67"/>
      <c r="FM302" s="67"/>
      <c r="FN302" s="67"/>
      <c r="FO302" s="67"/>
      <c r="FP302" s="67"/>
      <c r="FQ302" s="67"/>
      <c r="FR302" s="67"/>
      <c r="FS302" s="67"/>
      <c r="FT302" s="67"/>
      <c r="FU302" s="67"/>
      <c r="FV302" s="67"/>
      <c r="FW302" s="67"/>
      <c r="FX302" s="67"/>
      <c r="FY302" s="67"/>
      <c r="FZ302" s="67"/>
      <c r="GA302" s="67"/>
      <c r="GB302" s="67"/>
      <c r="GC302" s="67"/>
      <c r="GD302" s="67"/>
      <c r="GE302" s="67"/>
      <c r="GF302" s="67"/>
      <c r="GG302" s="67"/>
      <c r="GH302" s="67"/>
      <c r="GI302" s="67"/>
      <c r="GJ302" s="67"/>
      <c r="GK302" s="67"/>
      <c r="GL302" s="67"/>
      <c r="GM302" s="67"/>
      <c r="GN302" s="67"/>
      <c r="GO302" s="67"/>
      <c r="GP302" s="67"/>
    </row>
    <row r="303" spans="5:198" s="66" customFormat="1">
      <c r="E303" s="67"/>
      <c r="G303" s="67"/>
      <c r="H303" s="67"/>
      <c r="I303" s="67"/>
      <c r="J303" s="67"/>
      <c r="K303" s="67"/>
      <c r="L303" s="67"/>
      <c r="M303" s="67"/>
      <c r="N303" s="67"/>
      <c r="O303" s="78"/>
      <c r="P303" s="78"/>
      <c r="S303" s="78"/>
      <c r="T303" s="78"/>
      <c r="U303" s="79"/>
      <c r="V303" s="65"/>
      <c r="Y303" s="78"/>
      <c r="Z303" s="78"/>
      <c r="AA303" s="78"/>
      <c r="AB303" s="78"/>
      <c r="AC303" s="78"/>
      <c r="AD303" s="78"/>
      <c r="AE303" s="78"/>
      <c r="AF303" s="78"/>
      <c r="AG303" s="79"/>
      <c r="AH303" s="65"/>
      <c r="AJ303" s="85"/>
      <c r="AK303" s="78"/>
      <c r="AL303" s="78"/>
      <c r="AM303" s="78"/>
      <c r="AN303" s="78"/>
      <c r="AO303" s="78"/>
      <c r="AP303" s="78"/>
      <c r="AQ303" s="79"/>
      <c r="AR303" s="65"/>
      <c r="AT303" s="85"/>
      <c r="AU303" s="78"/>
      <c r="AV303" s="78"/>
      <c r="AW303" s="78"/>
      <c r="AX303" s="78"/>
      <c r="AY303" s="78"/>
      <c r="AZ303" s="79"/>
      <c r="BA303" s="65"/>
      <c r="BC303" s="85"/>
      <c r="BD303" s="78"/>
      <c r="BE303" s="78"/>
      <c r="BF303" s="78"/>
      <c r="BG303" s="78"/>
      <c r="BH303" s="78"/>
      <c r="BI303" s="78"/>
      <c r="BJ303" s="79"/>
      <c r="BK303" s="65"/>
      <c r="CU303" s="67"/>
      <c r="EC303" s="67"/>
      <c r="FK303" s="67"/>
      <c r="FL303" s="67"/>
      <c r="FM303" s="67"/>
      <c r="FN303" s="67"/>
      <c r="FO303" s="67"/>
      <c r="FP303" s="67"/>
      <c r="FQ303" s="67"/>
      <c r="FR303" s="67"/>
      <c r="FS303" s="67"/>
      <c r="FT303" s="67"/>
      <c r="FU303" s="67"/>
      <c r="FV303" s="67"/>
      <c r="FW303" s="67"/>
      <c r="FX303" s="67"/>
      <c r="FY303" s="67"/>
      <c r="FZ303" s="67"/>
      <c r="GA303" s="67"/>
      <c r="GB303" s="67"/>
      <c r="GC303" s="67"/>
      <c r="GD303" s="67"/>
      <c r="GE303" s="67"/>
      <c r="GF303" s="67"/>
      <c r="GG303" s="67"/>
      <c r="GH303" s="67"/>
      <c r="GI303" s="67"/>
      <c r="GJ303" s="67"/>
      <c r="GK303" s="67"/>
      <c r="GL303" s="67"/>
      <c r="GM303" s="67"/>
      <c r="GN303" s="67"/>
      <c r="GO303" s="67"/>
      <c r="GP303" s="67"/>
    </row>
    <row r="304" spans="5:198" s="66" customFormat="1">
      <c r="E304" s="67"/>
      <c r="G304" s="67"/>
      <c r="H304" s="67"/>
      <c r="I304" s="67"/>
      <c r="J304" s="67"/>
      <c r="K304" s="67"/>
      <c r="L304" s="67"/>
      <c r="M304" s="67"/>
      <c r="N304" s="67"/>
      <c r="O304" s="78"/>
      <c r="P304" s="78"/>
      <c r="S304" s="78"/>
      <c r="T304" s="78"/>
      <c r="U304" s="79"/>
      <c r="V304" s="65"/>
      <c r="Y304" s="78"/>
      <c r="Z304" s="78"/>
      <c r="AA304" s="78"/>
      <c r="AB304" s="78"/>
      <c r="AC304" s="78"/>
      <c r="AD304" s="78"/>
      <c r="AE304" s="78"/>
      <c r="AF304" s="78"/>
      <c r="AG304" s="79"/>
      <c r="AH304" s="65"/>
      <c r="AJ304" s="85"/>
      <c r="AK304" s="78"/>
      <c r="AL304" s="78"/>
      <c r="AM304" s="78"/>
      <c r="AN304" s="78"/>
      <c r="AO304" s="78"/>
      <c r="AP304" s="78"/>
      <c r="AQ304" s="79"/>
      <c r="AR304" s="65"/>
      <c r="AT304" s="85"/>
      <c r="AU304" s="78"/>
      <c r="AV304" s="78"/>
      <c r="AW304" s="78"/>
      <c r="AX304" s="78"/>
      <c r="AY304" s="78"/>
      <c r="AZ304" s="79"/>
      <c r="BA304" s="65"/>
      <c r="BC304" s="85"/>
      <c r="BD304" s="78"/>
      <c r="BE304" s="78"/>
      <c r="BF304" s="78"/>
      <c r="BG304" s="78"/>
      <c r="BH304" s="78"/>
      <c r="BI304" s="78"/>
      <c r="BJ304" s="79"/>
      <c r="BK304" s="65"/>
      <c r="CU304" s="67"/>
      <c r="EC304" s="67"/>
      <c r="FK304" s="67"/>
      <c r="FL304" s="67"/>
      <c r="FM304" s="67"/>
      <c r="FN304" s="67"/>
      <c r="FO304" s="67"/>
      <c r="FP304" s="67"/>
      <c r="FQ304" s="67"/>
      <c r="FR304" s="67"/>
      <c r="FS304" s="67"/>
      <c r="FT304" s="67"/>
      <c r="FU304" s="67"/>
      <c r="FV304" s="67"/>
      <c r="FW304" s="67"/>
      <c r="FX304" s="67"/>
      <c r="FY304" s="67"/>
      <c r="FZ304" s="67"/>
      <c r="GA304" s="67"/>
      <c r="GB304" s="67"/>
      <c r="GC304" s="67"/>
      <c r="GD304" s="67"/>
      <c r="GE304" s="67"/>
      <c r="GF304" s="67"/>
      <c r="GG304" s="67"/>
      <c r="GH304" s="67"/>
      <c r="GI304" s="67"/>
      <c r="GJ304" s="67"/>
      <c r="GK304" s="67"/>
      <c r="GL304" s="67"/>
      <c r="GM304" s="67"/>
      <c r="GN304" s="67"/>
      <c r="GO304" s="67"/>
      <c r="GP304" s="67"/>
    </row>
    <row r="305" spans="5:198" s="66" customFormat="1">
      <c r="E305" s="67"/>
      <c r="G305" s="67"/>
      <c r="H305" s="67"/>
      <c r="I305" s="67"/>
      <c r="J305" s="67"/>
      <c r="K305" s="67"/>
      <c r="L305" s="67"/>
      <c r="M305" s="67"/>
      <c r="N305" s="67"/>
      <c r="O305" s="78"/>
      <c r="P305" s="78"/>
      <c r="S305" s="78"/>
      <c r="T305" s="78"/>
      <c r="U305" s="79"/>
      <c r="V305" s="65"/>
      <c r="Y305" s="78"/>
      <c r="Z305" s="78"/>
      <c r="AA305" s="78"/>
      <c r="AB305" s="78"/>
      <c r="AC305" s="78"/>
      <c r="AD305" s="78"/>
      <c r="AE305" s="78"/>
      <c r="AF305" s="78"/>
      <c r="AG305" s="79"/>
      <c r="AH305" s="65"/>
      <c r="AJ305" s="85"/>
      <c r="AK305" s="78"/>
      <c r="AL305" s="78"/>
      <c r="AM305" s="78"/>
      <c r="AN305" s="78"/>
      <c r="AO305" s="78"/>
      <c r="AP305" s="78"/>
      <c r="AQ305" s="79"/>
      <c r="AR305" s="65"/>
      <c r="AT305" s="85"/>
      <c r="AU305" s="78"/>
      <c r="AV305" s="78"/>
      <c r="AW305" s="78"/>
      <c r="AX305" s="78"/>
      <c r="AY305" s="78"/>
      <c r="AZ305" s="79"/>
      <c r="BA305" s="65"/>
      <c r="BC305" s="85"/>
      <c r="BD305" s="78"/>
      <c r="BE305" s="78"/>
      <c r="BF305" s="78"/>
      <c r="BG305" s="78"/>
      <c r="BH305" s="78"/>
      <c r="BI305" s="78"/>
      <c r="BJ305" s="79"/>
      <c r="BK305" s="65"/>
      <c r="CU305" s="67"/>
      <c r="EC305" s="67"/>
      <c r="FK305" s="67"/>
      <c r="FL305" s="67"/>
      <c r="FM305" s="67"/>
      <c r="FN305" s="67"/>
      <c r="FO305" s="67"/>
      <c r="FP305" s="67"/>
      <c r="FQ305" s="67"/>
      <c r="FR305" s="67"/>
      <c r="FS305" s="67"/>
      <c r="FT305" s="67"/>
      <c r="FU305" s="67"/>
      <c r="FV305" s="67"/>
      <c r="FW305" s="67"/>
      <c r="FX305" s="67"/>
      <c r="FY305" s="67"/>
      <c r="FZ305" s="67"/>
      <c r="GA305" s="67"/>
      <c r="GB305" s="67"/>
      <c r="GC305" s="67"/>
      <c r="GD305" s="67"/>
      <c r="GE305" s="67"/>
      <c r="GF305" s="67"/>
      <c r="GG305" s="67"/>
      <c r="GH305" s="67"/>
      <c r="GI305" s="67"/>
      <c r="GJ305" s="67"/>
      <c r="GK305" s="67"/>
      <c r="GL305" s="67"/>
      <c r="GM305" s="67"/>
      <c r="GN305" s="67"/>
      <c r="GO305" s="67"/>
      <c r="GP305" s="67"/>
    </row>
    <row r="306" spans="5:198" s="66" customFormat="1">
      <c r="E306" s="67"/>
      <c r="G306" s="67"/>
      <c r="H306" s="67"/>
      <c r="I306" s="67"/>
      <c r="J306" s="67"/>
      <c r="K306" s="67"/>
      <c r="L306" s="67"/>
      <c r="M306" s="67"/>
      <c r="N306" s="67"/>
      <c r="O306" s="78"/>
      <c r="P306" s="78"/>
      <c r="S306" s="78"/>
      <c r="T306" s="78"/>
      <c r="U306" s="79"/>
      <c r="V306" s="65"/>
      <c r="Y306" s="78"/>
      <c r="Z306" s="78"/>
      <c r="AA306" s="78"/>
      <c r="AB306" s="78"/>
      <c r="AC306" s="78"/>
      <c r="AD306" s="78"/>
      <c r="AE306" s="78"/>
      <c r="AF306" s="78"/>
      <c r="AG306" s="79"/>
      <c r="AH306" s="65"/>
      <c r="AJ306" s="85"/>
      <c r="AK306" s="78"/>
      <c r="AL306" s="78"/>
      <c r="AM306" s="78"/>
      <c r="AN306" s="78"/>
      <c r="AO306" s="78"/>
      <c r="AP306" s="78"/>
      <c r="AQ306" s="79"/>
      <c r="AR306" s="65"/>
      <c r="AT306" s="85"/>
      <c r="AU306" s="78"/>
      <c r="AV306" s="78"/>
      <c r="AW306" s="78"/>
      <c r="AX306" s="78"/>
      <c r="AY306" s="78"/>
      <c r="AZ306" s="79"/>
      <c r="BA306" s="65"/>
      <c r="BC306" s="85"/>
      <c r="BD306" s="78"/>
      <c r="BE306" s="78"/>
      <c r="BF306" s="78"/>
      <c r="BG306" s="78"/>
      <c r="BH306" s="78"/>
      <c r="BI306" s="78"/>
      <c r="BJ306" s="79"/>
      <c r="BK306" s="65"/>
      <c r="CU306" s="67"/>
      <c r="EC306" s="67"/>
      <c r="FK306" s="67"/>
      <c r="FL306" s="67"/>
      <c r="FM306" s="67"/>
      <c r="FN306" s="67"/>
      <c r="FO306" s="67"/>
      <c r="FP306" s="67"/>
      <c r="FQ306" s="67"/>
      <c r="FR306" s="67"/>
      <c r="FS306" s="67"/>
      <c r="FT306" s="67"/>
      <c r="FU306" s="67"/>
      <c r="FV306" s="67"/>
      <c r="FW306" s="67"/>
      <c r="FX306" s="67"/>
      <c r="FY306" s="67"/>
      <c r="FZ306" s="67"/>
      <c r="GA306" s="67"/>
      <c r="GB306" s="67"/>
      <c r="GC306" s="67"/>
      <c r="GD306" s="67"/>
      <c r="GE306" s="67"/>
      <c r="GF306" s="67"/>
      <c r="GG306" s="67"/>
      <c r="GH306" s="67"/>
      <c r="GI306" s="67"/>
      <c r="GJ306" s="67"/>
      <c r="GK306" s="67"/>
      <c r="GL306" s="67"/>
      <c r="GM306" s="67"/>
      <c r="GN306" s="67"/>
      <c r="GO306" s="67"/>
      <c r="GP306" s="67"/>
    </row>
    <row r="307" spans="5:198" s="66" customFormat="1">
      <c r="E307" s="67"/>
      <c r="G307" s="67"/>
      <c r="H307" s="67"/>
      <c r="I307" s="67"/>
      <c r="J307" s="67"/>
      <c r="K307" s="67"/>
      <c r="L307" s="67"/>
      <c r="M307" s="67"/>
      <c r="N307" s="67"/>
      <c r="O307" s="78"/>
      <c r="P307" s="78"/>
      <c r="S307" s="78"/>
      <c r="T307" s="78"/>
      <c r="U307" s="79"/>
      <c r="V307" s="65"/>
      <c r="Y307" s="78"/>
      <c r="Z307" s="78"/>
      <c r="AA307" s="78"/>
      <c r="AB307" s="78"/>
      <c r="AC307" s="78"/>
      <c r="AD307" s="78"/>
      <c r="AE307" s="78"/>
      <c r="AF307" s="78"/>
      <c r="AG307" s="79"/>
      <c r="AH307" s="65"/>
      <c r="AJ307" s="85"/>
      <c r="AK307" s="78"/>
      <c r="AL307" s="78"/>
      <c r="AM307" s="78"/>
      <c r="AN307" s="78"/>
      <c r="AO307" s="78"/>
      <c r="AP307" s="78"/>
      <c r="AQ307" s="79"/>
      <c r="AR307" s="65"/>
      <c r="AT307" s="85"/>
      <c r="AU307" s="78"/>
      <c r="AV307" s="78"/>
      <c r="AW307" s="78"/>
      <c r="AX307" s="78"/>
      <c r="AY307" s="78"/>
      <c r="AZ307" s="79"/>
      <c r="BA307" s="65"/>
      <c r="BC307" s="85"/>
      <c r="BD307" s="78"/>
      <c r="BE307" s="78"/>
      <c r="BF307" s="78"/>
      <c r="BG307" s="78"/>
      <c r="BH307" s="78"/>
      <c r="BI307" s="78"/>
      <c r="BJ307" s="79"/>
      <c r="BK307" s="65"/>
      <c r="CU307" s="67"/>
      <c r="EC307" s="67"/>
      <c r="FK307" s="67"/>
      <c r="FL307" s="67"/>
      <c r="FM307" s="67"/>
      <c r="FN307" s="67"/>
      <c r="FO307" s="67"/>
      <c r="FP307" s="67"/>
      <c r="FQ307" s="67"/>
      <c r="FR307" s="67"/>
      <c r="FS307" s="67"/>
      <c r="FT307" s="67"/>
      <c r="FU307" s="67"/>
      <c r="FV307" s="67"/>
      <c r="FW307" s="67"/>
      <c r="FX307" s="67"/>
      <c r="FY307" s="67"/>
      <c r="FZ307" s="67"/>
      <c r="GA307" s="67"/>
      <c r="GB307" s="67"/>
      <c r="GC307" s="67"/>
      <c r="GD307" s="67"/>
      <c r="GE307" s="67"/>
      <c r="GF307" s="67"/>
      <c r="GG307" s="67"/>
      <c r="GH307" s="67"/>
      <c r="GI307" s="67"/>
      <c r="GJ307" s="67"/>
      <c r="GK307" s="67"/>
      <c r="GL307" s="67"/>
      <c r="GM307" s="67"/>
      <c r="GN307" s="67"/>
      <c r="GO307" s="67"/>
      <c r="GP307" s="67"/>
    </row>
    <row r="308" spans="5:198" s="66" customFormat="1">
      <c r="E308" s="67"/>
      <c r="G308" s="67"/>
      <c r="H308" s="67"/>
      <c r="I308" s="67"/>
      <c r="J308" s="67"/>
      <c r="K308" s="67"/>
      <c r="L308" s="67"/>
      <c r="M308" s="67"/>
      <c r="N308" s="67"/>
      <c r="O308" s="78"/>
      <c r="P308" s="78"/>
      <c r="S308" s="78"/>
      <c r="T308" s="78"/>
      <c r="U308" s="79"/>
      <c r="V308" s="65"/>
      <c r="Y308" s="78"/>
      <c r="Z308" s="78"/>
      <c r="AA308" s="78"/>
      <c r="AB308" s="78"/>
      <c r="AC308" s="78"/>
      <c r="AD308" s="78"/>
      <c r="AE308" s="78"/>
      <c r="AF308" s="78"/>
      <c r="AG308" s="79"/>
      <c r="AH308" s="65"/>
      <c r="AJ308" s="85"/>
      <c r="AK308" s="78"/>
      <c r="AL308" s="78"/>
      <c r="AM308" s="78"/>
      <c r="AN308" s="78"/>
      <c r="AO308" s="78"/>
      <c r="AP308" s="78"/>
      <c r="AQ308" s="79"/>
      <c r="AR308" s="65"/>
      <c r="AT308" s="85"/>
      <c r="AU308" s="78"/>
      <c r="AV308" s="78"/>
      <c r="AW308" s="78"/>
      <c r="AX308" s="78"/>
      <c r="AY308" s="78"/>
      <c r="AZ308" s="79"/>
      <c r="BA308" s="65"/>
      <c r="BC308" s="85"/>
      <c r="BD308" s="78"/>
      <c r="BE308" s="78"/>
      <c r="BF308" s="78"/>
      <c r="BG308" s="78"/>
      <c r="BH308" s="78"/>
      <c r="BI308" s="78"/>
      <c r="BJ308" s="79"/>
      <c r="BK308" s="65"/>
      <c r="CU308" s="67"/>
      <c r="EC308" s="67"/>
      <c r="FK308" s="67"/>
      <c r="FL308" s="67"/>
      <c r="FM308" s="67"/>
      <c r="FN308" s="67"/>
      <c r="FO308" s="67"/>
      <c r="FP308" s="67"/>
      <c r="FQ308" s="67"/>
      <c r="FR308" s="67"/>
      <c r="FS308" s="67"/>
      <c r="FT308" s="67"/>
      <c r="FU308" s="67"/>
      <c r="FV308" s="67"/>
      <c r="FW308" s="67"/>
      <c r="FX308" s="67"/>
      <c r="FY308" s="67"/>
      <c r="FZ308" s="67"/>
      <c r="GA308" s="67"/>
      <c r="GB308" s="67"/>
      <c r="GC308" s="67"/>
      <c r="GD308" s="67"/>
      <c r="GE308" s="67"/>
      <c r="GF308" s="67"/>
      <c r="GG308" s="67"/>
      <c r="GH308" s="67"/>
      <c r="GI308" s="67"/>
      <c r="GJ308" s="67"/>
      <c r="GK308" s="67"/>
      <c r="GL308" s="67"/>
      <c r="GM308" s="67"/>
      <c r="GN308" s="67"/>
      <c r="GO308" s="67"/>
      <c r="GP308" s="67"/>
    </row>
    <row r="309" spans="5:198" s="66" customFormat="1">
      <c r="E309" s="67"/>
      <c r="G309" s="67"/>
      <c r="H309" s="67"/>
      <c r="I309" s="67"/>
      <c r="J309" s="67"/>
      <c r="K309" s="67"/>
      <c r="L309" s="67"/>
      <c r="M309" s="67"/>
      <c r="N309" s="67"/>
      <c r="O309" s="78"/>
      <c r="P309" s="78"/>
      <c r="S309" s="78"/>
      <c r="T309" s="78"/>
      <c r="U309" s="79"/>
      <c r="V309" s="65"/>
      <c r="Y309" s="78"/>
      <c r="Z309" s="78"/>
      <c r="AA309" s="78"/>
      <c r="AB309" s="78"/>
      <c r="AC309" s="78"/>
      <c r="AD309" s="78"/>
      <c r="AE309" s="78"/>
      <c r="AF309" s="78"/>
      <c r="AG309" s="79"/>
      <c r="AH309" s="65"/>
      <c r="AJ309" s="85"/>
      <c r="AK309" s="78"/>
      <c r="AL309" s="78"/>
      <c r="AM309" s="78"/>
      <c r="AN309" s="78"/>
      <c r="AO309" s="78"/>
      <c r="AP309" s="78"/>
      <c r="AQ309" s="79"/>
      <c r="AR309" s="65"/>
      <c r="AT309" s="85"/>
      <c r="AU309" s="78"/>
      <c r="AV309" s="78"/>
      <c r="AW309" s="78"/>
      <c r="AX309" s="78"/>
      <c r="AY309" s="78"/>
      <c r="AZ309" s="79"/>
      <c r="BA309" s="65"/>
      <c r="BC309" s="85"/>
      <c r="BD309" s="78"/>
      <c r="BE309" s="78"/>
      <c r="BF309" s="78"/>
      <c r="BG309" s="78"/>
      <c r="BH309" s="78"/>
      <c r="BI309" s="78"/>
      <c r="BJ309" s="79"/>
      <c r="BK309" s="65"/>
      <c r="CU309" s="67"/>
      <c r="EC309" s="67"/>
      <c r="FK309" s="67"/>
      <c r="FL309" s="67"/>
      <c r="FM309" s="67"/>
      <c r="FN309" s="67"/>
      <c r="FO309" s="67"/>
      <c r="FP309" s="67"/>
      <c r="FQ309" s="67"/>
      <c r="FR309" s="67"/>
      <c r="FS309" s="67"/>
      <c r="FT309" s="67"/>
      <c r="FU309" s="67"/>
      <c r="FV309" s="67"/>
      <c r="FW309" s="67"/>
      <c r="FX309" s="67"/>
      <c r="FY309" s="67"/>
      <c r="FZ309" s="67"/>
      <c r="GA309" s="67"/>
      <c r="GB309" s="67"/>
      <c r="GC309" s="67"/>
      <c r="GD309" s="67"/>
      <c r="GE309" s="67"/>
      <c r="GF309" s="67"/>
      <c r="GG309" s="67"/>
      <c r="GH309" s="67"/>
      <c r="GI309" s="67"/>
      <c r="GJ309" s="67"/>
      <c r="GK309" s="67"/>
      <c r="GL309" s="67"/>
      <c r="GM309" s="67"/>
      <c r="GN309" s="67"/>
      <c r="GO309" s="67"/>
      <c r="GP309" s="67"/>
    </row>
    <row r="310" spans="5:198" s="66" customFormat="1">
      <c r="E310" s="67"/>
      <c r="G310" s="67"/>
      <c r="H310" s="67"/>
      <c r="I310" s="67"/>
      <c r="J310" s="67"/>
      <c r="K310" s="67"/>
      <c r="L310" s="67"/>
      <c r="M310" s="67"/>
      <c r="N310" s="67"/>
      <c r="O310" s="78"/>
      <c r="P310" s="78"/>
      <c r="S310" s="78"/>
      <c r="T310" s="78"/>
      <c r="U310" s="79"/>
      <c r="V310" s="65"/>
      <c r="Y310" s="78"/>
      <c r="Z310" s="78"/>
      <c r="AA310" s="78"/>
      <c r="AB310" s="78"/>
      <c r="AC310" s="78"/>
      <c r="AD310" s="78"/>
      <c r="AE310" s="78"/>
      <c r="AF310" s="78"/>
      <c r="AG310" s="79"/>
      <c r="AH310" s="65"/>
      <c r="AJ310" s="85"/>
      <c r="AK310" s="78"/>
      <c r="AL310" s="78"/>
      <c r="AM310" s="78"/>
      <c r="AN310" s="78"/>
      <c r="AO310" s="78"/>
      <c r="AP310" s="78"/>
      <c r="AQ310" s="79"/>
      <c r="AR310" s="65"/>
      <c r="AT310" s="85"/>
      <c r="AU310" s="78"/>
      <c r="AV310" s="78"/>
      <c r="AW310" s="78"/>
      <c r="AX310" s="78"/>
      <c r="AY310" s="78"/>
      <c r="AZ310" s="79"/>
      <c r="BA310" s="65"/>
      <c r="BC310" s="85"/>
      <c r="BD310" s="78"/>
      <c r="BE310" s="78"/>
      <c r="BF310" s="78"/>
      <c r="BG310" s="78"/>
      <c r="BH310" s="78"/>
      <c r="BI310" s="78"/>
      <c r="BJ310" s="79"/>
      <c r="BK310" s="65"/>
      <c r="CU310" s="67"/>
      <c r="EC310" s="67"/>
      <c r="FK310" s="67"/>
      <c r="FL310" s="67"/>
      <c r="FM310" s="67"/>
      <c r="FN310" s="67"/>
      <c r="FO310" s="67"/>
      <c r="FP310" s="67"/>
      <c r="FQ310" s="67"/>
      <c r="FR310" s="67"/>
      <c r="FS310" s="67"/>
      <c r="FT310" s="67"/>
      <c r="FU310" s="67"/>
      <c r="FV310" s="67"/>
      <c r="FW310" s="67"/>
      <c r="FX310" s="67"/>
      <c r="FY310" s="67"/>
      <c r="FZ310" s="67"/>
      <c r="GA310" s="67"/>
      <c r="GB310" s="67"/>
      <c r="GC310" s="67"/>
      <c r="GD310" s="67"/>
      <c r="GE310" s="67"/>
      <c r="GF310" s="67"/>
      <c r="GG310" s="67"/>
      <c r="GH310" s="67"/>
      <c r="GI310" s="67"/>
      <c r="GJ310" s="67"/>
      <c r="GK310" s="67"/>
      <c r="GL310" s="67"/>
      <c r="GM310" s="67"/>
      <c r="GN310" s="67"/>
      <c r="GO310" s="67"/>
      <c r="GP310" s="67"/>
    </row>
    <row r="311" spans="5:198" s="66" customFormat="1">
      <c r="E311" s="67"/>
      <c r="G311" s="67"/>
      <c r="H311" s="67"/>
      <c r="I311" s="67"/>
      <c r="J311" s="67"/>
      <c r="K311" s="67"/>
      <c r="L311" s="67"/>
      <c r="M311" s="67"/>
      <c r="N311" s="67"/>
      <c r="O311" s="78"/>
      <c r="P311" s="78"/>
      <c r="S311" s="78"/>
      <c r="T311" s="78"/>
      <c r="U311" s="79"/>
      <c r="V311" s="65"/>
      <c r="Y311" s="78"/>
      <c r="Z311" s="78"/>
      <c r="AA311" s="78"/>
      <c r="AB311" s="78"/>
      <c r="AC311" s="78"/>
      <c r="AD311" s="78"/>
      <c r="AE311" s="78"/>
      <c r="AF311" s="78"/>
      <c r="AG311" s="79"/>
      <c r="AH311" s="65"/>
      <c r="AJ311" s="85"/>
      <c r="AK311" s="78"/>
      <c r="AL311" s="78"/>
      <c r="AM311" s="78"/>
      <c r="AN311" s="78"/>
      <c r="AO311" s="78"/>
      <c r="AP311" s="78"/>
      <c r="AQ311" s="79"/>
      <c r="AR311" s="65"/>
      <c r="AT311" s="85"/>
      <c r="AU311" s="78"/>
      <c r="AV311" s="78"/>
      <c r="AW311" s="78"/>
      <c r="AX311" s="78"/>
      <c r="AY311" s="78"/>
      <c r="AZ311" s="79"/>
      <c r="BA311" s="65"/>
      <c r="BC311" s="85"/>
      <c r="BD311" s="78"/>
      <c r="BE311" s="78"/>
      <c r="BF311" s="78"/>
      <c r="BG311" s="78"/>
      <c r="BH311" s="78"/>
      <c r="BI311" s="78"/>
      <c r="BJ311" s="79"/>
      <c r="BK311" s="65"/>
      <c r="CU311" s="67"/>
      <c r="EC311" s="67"/>
      <c r="FK311" s="67"/>
      <c r="FL311" s="67"/>
      <c r="FM311" s="67"/>
      <c r="FN311" s="67"/>
      <c r="FO311" s="67"/>
      <c r="FP311" s="67"/>
      <c r="FQ311" s="67"/>
      <c r="FR311" s="67"/>
      <c r="FS311" s="67"/>
      <c r="FT311" s="67"/>
      <c r="FU311" s="67"/>
      <c r="FV311" s="67"/>
      <c r="FW311" s="67"/>
      <c r="FX311" s="67"/>
      <c r="FY311" s="67"/>
      <c r="FZ311" s="67"/>
      <c r="GA311" s="67"/>
      <c r="GB311" s="67"/>
      <c r="GC311" s="67"/>
      <c r="GD311" s="67"/>
      <c r="GE311" s="67"/>
      <c r="GF311" s="67"/>
      <c r="GG311" s="67"/>
      <c r="GH311" s="67"/>
      <c r="GI311" s="67"/>
      <c r="GJ311" s="67"/>
      <c r="GK311" s="67"/>
      <c r="GL311" s="67"/>
      <c r="GM311" s="67"/>
      <c r="GN311" s="67"/>
      <c r="GO311" s="67"/>
      <c r="GP311" s="67"/>
    </row>
    <row r="312" spans="5:198" s="66" customFormat="1">
      <c r="E312" s="67"/>
      <c r="G312" s="67"/>
      <c r="H312" s="67"/>
      <c r="I312" s="67"/>
      <c r="J312" s="67"/>
      <c r="K312" s="67"/>
      <c r="L312" s="67"/>
      <c r="M312" s="67"/>
      <c r="N312" s="67"/>
      <c r="O312" s="78"/>
      <c r="P312" s="78"/>
      <c r="S312" s="78"/>
      <c r="T312" s="78"/>
      <c r="U312" s="79"/>
      <c r="V312" s="65"/>
      <c r="Y312" s="78"/>
      <c r="Z312" s="78"/>
      <c r="AA312" s="78"/>
      <c r="AB312" s="78"/>
      <c r="AC312" s="78"/>
      <c r="AD312" s="78"/>
      <c r="AE312" s="78"/>
      <c r="AF312" s="78"/>
      <c r="AG312" s="79"/>
      <c r="AH312" s="65"/>
      <c r="AJ312" s="85"/>
      <c r="AK312" s="78"/>
      <c r="AL312" s="78"/>
      <c r="AM312" s="78"/>
      <c r="AN312" s="78"/>
      <c r="AO312" s="78"/>
      <c r="AP312" s="78"/>
      <c r="AQ312" s="79"/>
      <c r="AR312" s="65"/>
      <c r="AT312" s="85"/>
      <c r="AU312" s="78"/>
      <c r="AV312" s="78"/>
      <c r="AW312" s="78"/>
      <c r="AX312" s="78"/>
      <c r="AY312" s="78"/>
      <c r="AZ312" s="79"/>
      <c r="BA312" s="65"/>
      <c r="BC312" s="85"/>
      <c r="BD312" s="78"/>
      <c r="BE312" s="78"/>
      <c r="BF312" s="78"/>
      <c r="BG312" s="78"/>
      <c r="BH312" s="78"/>
      <c r="BI312" s="78"/>
      <c r="BJ312" s="79"/>
      <c r="BK312" s="65"/>
      <c r="CU312" s="67"/>
      <c r="EC312" s="67"/>
      <c r="FK312" s="67"/>
      <c r="FL312" s="67"/>
      <c r="FM312" s="67"/>
      <c r="FN312" s="67"/>
      <c r="FO312" s="67"/>
      <c r="FP312" s="67"/>
      <c r="FQ312" s="67"/>
      <c r="FR312" s="67"/>
      <c r="FS312" s="67"/>
      <c r="FT312" s="67"/>
      <c r="FU312" s="67"/>
      <c r="FV312" s="67"/>
      <c r="FW312" s="67"/>
      <c r="FX312" s="67"/>
      <c r="FY312" s="67"/>
      <c r="FZ312" s="67"/>
      <c r="GA312" s="67"/>
      <c r="GB312" s="67"/>
      <c r="GC312" s="67"/>
      <c r="GD312" s="67"/>
      <c r="GE312" s="67"/>
      <c r="GF312" s="67"/>
      <c r="GG312" s="67"/>
      <c r="GH312" s="67"/>
      <c r="GI312" s="67"/>
      <c r="GJ312" s="67"/>
      <c r="GK312" s="67"/>
      <c r="GL312" s="67"/>
      <c r="GM312" s="67"/>
      <c r="GN312" s="67"/>
      <c r="GO312" s="67"/>
      <c r="GP312" s="67"/>
    </row>
    <row r="313" spans="5:198" s="66" customFormat="1">
      <c r="E313" s="67"/>
      <c r="G313" s="67"/>
      <c r="H313" s="67"/>
      <c r="I313" s="67"/>
      <c r="J313" s="67"/>
      <c r="K313" s="67"/>
      <c r="L313" s="67"/>
      <c r="M313" s="67"/>
      <c r="N313" s="67"/>
      <c r="O313" s="78"/>
      <c r="P313" s="78"/>
      <c r="S313" s="78"/>
      <c r="T313" s="78"/>
      <c r="U313" s="79"/>
      <c r="V313" s="65"/>
      <c r="Y313" s="78"/>
      <c r="Z313" s="78"/>
      <c r="AA313" s="78"/>
      <c r="AB313" s="78"/>
      <c r="AC313" s="78"/>
      <c r="AD313" s="78"/>
      <c r="AE313" s="78"/>
      <c r="AF313" s="78"/>
      <c r="AG313" s="79"/>
      <c r="AH313" s="65"/>
      <c r="AJ313" s="85"/>
      <c r="AK313" s="78"/>
      <c r="AL313" s="78"/>
      <c r="AM313" s="78"/>
      <c r="AN313" s="78"/>
      <c r="AO313" s="78"/>
      <c r="AP313" s="78"/>
      <c r="AQ313" s="79"/>
      <c r="AR313" s="65"/>
      <c r="AT313" s="85"/>
      <c r="AU313" s="78"/>
      <c r="AV313" s="78"/>
      <c r="AW313" s="78"/>
      <c r="AX313" s="78"/>
      <c r="AY313" s="78"/>
      <c r="AZ313" s="79"/>
      <c r="BA313" s="65"/>
      <c r="BC313" s="85"/>
      <c r="BD313" s="78"/>
      <c r="BE313" s="78"/>
      <c r="BF313" s="78"/>
      <c r="BG313" s="78"/>
      <c r="BH313" s="78"/>
      <c r="BI313" s="78"/>
      <c r="BJ313" s="79"/>
      <c r="BK313" s="65"/>
      <c r="CU313" s="67"/>
      <c r="EC313" s="67"/>
      <c r="FK313" s="67"/>
      <c r="FL313" s="67"/>
      <c r="FM313" s="67"/>
      <c r="FN313" s="67"/>
      <c r="FO313" s="67"/>
      <c r="FP313" s="67"/>
      <c r="FQ313" s="67"/>
      <c r="FR313" s="67"/>
      <c r="FS313" s="67"/>
      <c r="FT313" s="67"/>
      <c r="FU313" s="67"/>
      <c r="FV313" s="67"/>
      <c r="FW313" s="67"/>
      <c r="FX313" s="67"/>
      <c r="FY313" s="67"/>
      <c r="FZ313" s="67"/>
      <c r="GA313" s="67"/>
      <c r="GB313" s="67"/>
      <c r="GC313" s="67"/>
      <c r="GD313" s="67"/>
      <c r="GE313" s="67"/>
      <c r="GF313" s="67"/>
      <c r="GG313" s="67"/>
      <c r="GH313" s="67"/>
      <c r="GI313" s="67"/>
      <c r="GJ313" s="67"/>
      <c r="GK313" s="67"/>
      <c r="GL313" s="67"/>
      <c r="GM313" s="67"/>
      <c r="GN313" s="67"/>
      <c r="GO313" s="67"/>
      <c r="GP313" s="67"/>
    </row>
    <row r="314" spans="5:198" s="66" customFormat="1">
      <c r="E314" s="67"/>
      <c r="G314" s="67"/>
      <c r="H314" s="67"/>
      <c r="I314" s="67"/>
      <c r="J314" s="67"/>
      <c r="K314" s="67"/>
      <c r="L314" s="67"/>
      <c r="M314" s="67"/>
      <c r="N314" s="67"/>
      <c r="O314" s="78"/>
      <c r="P314" s="78"/>
      <c r="S314" s="78"/>
      <c r="T314" s="78"/>
      <c r="U314" s="79"/>
      <c r="V314" s="65"/>
      <c r="Y314" s="78"/>
      <c r="Z314" s="78"/>
      <c r="AA314" s="78"/>
      <c r="AB314" s="78"/>
      <c r="AC314" s="78"/>
      <c r="AD314" s="78"/>
      <c r="AE314" s="78"/>
      <c r="AF314" s="78"/>
      <c r="AG314" s="79"/>
      <c r="AH314" s="65"/>
      <c r="AJ314" s="85"/>
      <c r="AK314" s="78"/>
      <c r="AL314" s="78"/>
      <c r="AM314" s="78"/>
      <c r="AN314" s="78"/>
      <c r="AO314" s="78"/>
      <c r="AP314" s="78"/>
      <c r="AQ314" s="79"/>
      <c r="AR314" s="65"/>
      <c r="AT314" s="85"/>
      <c r="AU314" s="78"/>
      <c r="AV314" s="78"/>
      <c r="AW314" s="78"/>
      <c r="AX314" s="78"/>
      <c r="AY314" s="78"/>
      <c r="AZ314" s="79"/>
      <c r="BA314" s="65"/>
      <c r="BC314" s="85"/>
      <c r="BD314" s="78"/>
      <c r="BE314" s="78"/>
      <c r="BF314" s="78"/>
      <c r="BG314" s="78"/>
      <c r="BH314" s="78"/>
      <c r="BI314" s="78"/>
      <c r="BJ314" s="79"/>
      <c r="BK314" s="65"/>
      <c r="CU314" s="67"/>
      <c r="EC314" s="67"/>
      <c r="FK314" s="67"/>
      <c r="FL314" s="67"/>
      <c r="FM314" s="67"/>
      <c r="FN314" s="67"/>
      <c r="FO314" s="67"/>
      <c r="FP314" s="67"/>
      <c r="FQ314" s="67"/>
      <c r="FR314" s="67"/>
      <c r="FS314" s="67"/>
      <c r="FT314" s="67"/>
      <c r="FU314" s="67"/>
      <c r="FV314" s="67"/>
      <c r="FW314" s="67"/>
      <c r="FX314" s="67"/>
      <c r="FY314" s="67"/>
      <c r="FZ314" s="67"/>
      <c r="GA314" s="67"/>
      <c r="GB314" s="67"/>
      <c r="GC314" s="67"/>
      <c r="GD314" s="67"/>
      <c r="GE314" s="67"/>
      <c r="GF314" s="67"/>
      <c r="GG314" s="67"/>
      <c r="GH314" s="67"/>
      <c r="GI314" s="67"/>
      <c r="GJ314" s="67"/>
      <c r="GK314" s="67"/>
      <c r="GL314" s="67"/>
      <c r="GM314" s="67"/>
      <c r="GN314" s="67"/>
      <c r="GO314" s="67"/>
      <c r="GP314" s="67"/>
    </row>
    <row r="315" spans="5:198" s="66" customFormat="1">
      <c r="E315" s="67"/>
      <c r="G315" s="67"/>
      <c r="H315" s="67"/>
      <c r="I315" s="67"/>
      <c r="J315" s="67"/>
      <c r="K315" s="67"/>
      <c r="L315" s="67"/>
      <c r="M315" s="67"/>
      <c r="N315" s="67"/>
      <c r="O315" s="78"/>
      <c r="P315" s="78"/>
      <c r="S315" s="78"/>
      <c r="T315" s="78"/>
      <c r="U315" s="79"/>
      <c r="V315" s="65"/>
      <c r="Y315" s="78"/>
      <c r="Z315" s="78"/>
      <c r="AA315" s="78"/>
      <c r="AB315" s="78"/>
      <c r="AC315" s="78"/>
      <c r="AD315" s="78"/>
      <c r="AE315" s="78"/>
      <c r="AF315" s="78"/>
      <c r="AG315" s="79"/>
      <c r="AH315" s="65"/>
      <c r="AJ315" s="85"/>
      <c r="AK315" s="78"/>
      <c r="AL315" s="78"/>
      <c r="AM315" s="78"/>
      <c r="AN315" s="78"/>
      <c r="AO315" s="78"/>
      <c r="AP315" s="78"/>
      <c r="AQ315" s="79"/>
      <c r="AR315" s="65"/>
      <c r="AT315" s="85"/>
      <c r="AU315" s="78"/>
      <c r="AV315" s="78"/>
      <c r="AW315" s="78"/>
      <c r="AX315" s="78"/>
      <c r="AY315" s="78"/>
      <c r="AZ315" s="79"/>
      <c r="BA315" s="65"/>
      <c r="BC315" s="85"/>
      <c r="BD315" s="78"/>
      <c r="BE315" s="78"/>
      <c r="BF315" s="78"/>
      <c r="BG315" s="78"/>
      <c r="BH315" s="78"/>
      <c r="BI315" s="78"/>
      <c r="BJ315" s="79"/>
      <c r="BK315" s="65"/>
      <c r="CU315" s="67"/>
      <c r="EC315" s="67"/>
      <c r="FK315" s="67"/>
      <c r="FL315" s="67"/>
      <c r="FM315" s="67"/>
      <c r="FN315" s="67"/>
      <c r="FO315" s="67"/>
      <c r="FP315" s="67"/>
      <c r="FQ315" s="67"/>
      <c r="FR315" s="67"/>
      <c r="FS315" s="67"/>
      <c r="FT315" s="67"/>
      <c r="FU315" s="67"/>
      <c r="FV315" s="67"/>
      <c r="FW315" s="67"/>
      <c r="FX315" s="67"/>
      <c r="FY315" s="67"/>
      <c r="FZ315" s="67"/>
      <c r="GA315" s="67"/>
      <c r="GB315" s="67"/>
      <c r="GC315" s="67"/>
      <c r="GD315" s="67"/>
      <c r="GE315" s="67"/>
      <c r="GF315" s="67"/>
      <c r="GG315" s="67"/>
      <c r="GH315" s="67"/>
      <c r="GI315" s="67"/>
      <c r="GJ315" s="67"/>
      <c r="GK315" s="67"/>
      <c r="GL315" s="67"/>
      <c r="GM315" s="67"/>
      <c r="GN315" s="67"/>
      <c r="GO315" s="67"/>
      <c r="GP315" s="67"/>
    </row>
    <row r="316" spans="5:198" s="66" customFormat="1">
      <c r="E316" s="67"/>
      <c r="G316" s="67"/>
      <c r="H316" s="67"/>
      <c r="I316" s="67"/>
      <c r="J316" s="67"/>
      <c r="K316" s="67"/>
      <c r="L316" s="67"/>
      <c r="M316" s="67"/>
      <c r="N316" s="67"/>
      <c r="O316" s="78"/>
      <c r="P316" s="78"/>
      <c r="S316" s="78"/>
      <c r="T316" s="78"/>
      <c r="U316" s="79"/>
      <c r="V316" s="65"/>
      <c r="Y316" s="78"/>
      <c r="Z316" s="78"/>
      <c r="AA316" s="78"/>
      <c r="AB316" s="78"/>
      <c r="AC316" s="78"/>
      <c r="AD316" s="78"/>
      <c r="AE316" s="78"/>
      <c r="AF316" s="78"/>
      <c r="AG316" s="79"/>
      <c r="AH316" s="65"/>
      <c r="AJ316" s="85"/>
      <c r="AK316" s="78"/>
      <c r="AL316" s="78"/>
      <c r="AM316" s="78"/>
      <c r="AN316" s="78"/>
      <c r="AO316" s="78"/>
      <c r="AP316" s="78"/>
      <c r="AQ316" s="79"/>
      <c r="AR316" s="65"/>
      <c r="AT316" s="85"/>
      <c r="AU316" s="78"/>
      <c r="AV316" s="78"/>
      <c r="AW316" s="78"/>
      <c r="AX316" s="78"/>
      <c r="AY316" s="78"/>
      <c r="AZ316" s="79"/>
      <c r="BA316" s="65"/>
      <c r="BC316" s="85"/>
      <c r="BD316" s="78"/>
      <c r="BE316" s="78"/>
      <c r="BF316" s="78"/>
      <c r="BG316" s="78"/>
      <c r="BH316" s="78"/>
      <c r="BI316" s="78"/>
      <c r="BJ316" s="79"/>
      <c r="BK316" s="65"/>
      <c r="CU316" s="67"/>
      <c r="EC316" s="67"/>
      <c r="FK316" s="67"/>
      <c r="FL316" s="67"/>
      <c r="FM316" s="67"/>
      <c r="FN316" s="67"/>
      <c r="FO316" s="67"/>
      <c r="FP316" s="67"/>
      <c r="FQ316" s="67"/>
      <c r="FR316" s="67"/>
      <c r="FS316" s="67"/>
      <c r="FT316" s="67"/>
      <c r="FU316" s="67"/>
      <c r="FV316" s="67"/>
      <c r="FW316" s="67"/>
      <c r="FX316" s="67"/>
      <c r="FY316" s="67"/>
      <c r="FZ316" s="67"/>
      <c r="GA316" s="67"/>
      <c r="GB316" s="67"/>
      <c r="GC316" s="67"/>
      <c r="GD316" s="67"/>
      <c r="GE316" s="67"/>
      <c r="GF316" s="67"/>
      <c r="GG316" s="67"/>
      <c r="GH316" s="67"/>
      <c r="GI316" s="67"/>
      <c r="GJ316" s="67"/>
      <c r="GK316" s="67"/>
      <c r="GL316" s="67"/>
      <c r="GM316" s="67"/>
      <c r="GN316" s="67"/>
      <c r="GO316" s="67"/>
      <c r="GP316" s="67"/>
    </row>
    <row r="317" spans="5:198" s="66" customFormat="1">
      <c r="E317" s="67"/>
      <c r="G317" s="67"/>
      <c r="H317" s="67"/>
      <c r="I317" s="67"/>
      <c r="J317" s="67"/>
      <c r="K317" s="67"/>
      <c r="L317" s="67"/>
      <c r="M317" s="67"/>
      <c r="N317" s="67"/>
      <c r="O317" s="78"/>
      <c r="P317" s="78"/>
      <c r="S317" s="78"/>
      <c r="T317" s="78"/>
      <c r="U317" s="79"/>
      <c r="V317" s="65"/>
      <c r="Y317" s="78"/>
      <c r="Z317" s="78"/>
      <c r="AA317" s="78"/>
      <c r="AB317" s="78"/>
      <c r="AC317" s="78"/>
      <c r="AD317" s="78"/>
      <c r="AE317" s="78"/>
      <c r="AF317" s="78"/>
      <c r="AG317" s="79"/>
      <c r="AH317" s="65"/>
      <c r="AJ317" s="85"/>
      <c r="AK317" s="78"/>
      <c r="AL317" s="78"/>
      <c r="AM317" s="78"/>
      <c r="AN317" s="78"/>
      <c r="AO317" s="78"/>
      <c r="AP317" s="78"/>
      <c r="AQ317" s="79"/>
      <c r="AR317" s="65"/>
      <c r="AT317" s="85"/>
      <c r="AU317" s="78"/>
      <c r="AV317" s="78"/>
      <c r="AW317" s="78"/>
      <c r="AX317" s="78"/>
      <c r="AY317" s="78"/>
      <c r="AZ317" s="79"/>
      <c r="BA317" s="65"/>
      <c r="BC317" s="85"/>
      <c r="BD317" s="78"/>
      <c r="BE317" s="78"/>
      <c r="BF317" s="78"/>
      <c r="BG317" s="78"/>
      <c r="BH317" s="78"/>
      <c r="BI317" s="78"/>
      <c r="BJ317" s="79"/>
      <c r="BK317" s="65"/>
      <c r="CU317" s="67"/>
      <c r="EC317" s="67"/>
      <c r="FK317" s="67"/>
      <c r="FL317" s="67"/>
      <c r="FM317" s="67"/>
      <c r="FN317" s="67"/>
      <c r="FO317" s="67"/>
      <c r="FP317" s="67"/>
      <c r="FQ317" s="67"/>
      <c r="FR317" s="67"/>
      <c r="FS317" s="67"/>
      <c r="FT317" s="67"/>
      <c r="FU317" s="67"/>
      <c r="FV317" s="67"/>
      <c r="FW317" s="67"/>
      <c r="FX317" s="67"/>
      <c r="FY317" s="67"/>
      <c r="FZ317" s="67"/>
      <c r="GA317" s="67"/>
      <c r="GB317" s="67"/>
      <c r="GC317" s="67"/>
      <c r="GD317" s="67"/>
      <c r="GE317" s="67"/>
      <c r="GF317" s="67"/>
      <c r="GG317" s="67"/>
      <c r="GH317" s="67"/>
      <c r="GI317" s="67"/>
      <c r="GJ317" s="67"/>
      <c r="GK317" s="67"/>
      <c r="GL317" s="67"/>
      <c r="GM317" s="67"/>
      <c r="GN317" s="67"/>
      <c r="GO317" s="67"/>
      <c r="GP317" s="67"/>
    </row>
    <row r="318" spans="5:198" s="66" customFormat="1">
      <c r="E318" s="67"/>
      <c r="G318" s="67"/>
      <c r="H318" s="67"/>
      <c r="I318" s="67"/>
      <c r="J318" s="67"/>
      <c r="K318" s="67"/>
      <c r="L318" s="67"/>
      <c r="M318" s="67"/>
      <c r="N318" s="67"/>
      <c r="O318" s="78"/>
      <c r="P318" s="78"/>
      <c r="S318" s="78"/>
      <c r="T318" s="78"/>
      <c r="U318" s="79"/>
      <c r="V318" s="65"/>
      <c r="Y318" s="78"/>
      <c r="Z318" s="78"/>
      <c r="AA318" s="78"/>
      <c r="AB318" s="78"/>
      <c r="AC318" s="78"/>
      <c r="AD318" s="78"/>
      <c r="AE318" s="78"/>
      <c r="AF318" s="78"/>
      <c r="AG318" s="79"/>
      <c r="AH318" s="65"/>
      <c r="AJ318" s="85"/>
      <c r="AK318" s="78"/>
      <c r="AL318" s="78"/>
      <c r="AM318" s="78"/>
      <c r="AN318" s="78"/>
      <c r="AO318" s="78"/>
      <c r="AP318" s="78"/>
      <c r="AQ318" s="79"/>
      <c r="AR318" s="65"/>
      <c r="AT318" s="85"/>
      <c r="AU318" s="78"/>
      <c r="AV318" s="78"/>
      <c r="AW318" s="78"/>
      <c r="AX318" s="78"/>
      <c r="AY318" s="78"/>
      <c r="AZ318" s="79"/>
      <c r="BA318" s="65"/>
      <c r="BC318" s="85"/>
      <c r="BD318" s="78"/>
      <c r="BE318" s="78"/>
      <c r="BF318" s="78"/>
      <c r="BG318" s="78"/>
      <c r="BH318" s="78"/>
      <c r="BI318" s="78"/>
      <c r="BJ318" s="79"/>
      <c r="BK318" s="65"/>
      <c r="CU318" s="67"/>
      <c r="EC318" s="67"/>
      <c r="FK318" s="67"/>
      <c r="FL318" s="67"/>
      <c r="FM318" s="67"/>
      <c r="FN318" s="67"/>
      <c r="FO318" s="67"/>
      <c r="FP318" s="67"/>
      <c r="FQ318" s="67"/>
      <c r="FR318" s="67"/>
      <c r="FS318" s="67"/>
      <c r="FT318" s="67"/>
      <c r="FU318" s="67"/>
      <c r="FV318" s="67"/>
      <c r="FW318" s="67"/>
      <c r="FX318" s="67"/>
      <c r="FY318" s="67"/>
      <c r="FZ318" s="67"/>
      <c r="GA318" s="67"/>
      <c r="GB318" s="67"/>
      <c r="GC318" s="67"/>
      <c r="GD318" s="67"/>
      <c r="GE318" s="67"/>
      <c r="GF318" s="67"/>
      <c r="GG318" s="67"/>
      <c r="GH318" s="67"/>
      <c r="GI318" s="67"/>
      <c r="GJ318" s="67"/>
      <c r="GK318" s="67"/>
      <c r="GL318" s="67"/>
      <c r="GM318" s="67"/>
      <c r="GN318" s="67"/>
      <c r="GO318" s="67"/>
      <c r="GP318" s="67"/>
    </row>
    <row r="319" spans="5:198" s="66" customFormat="1">
      <c r="E319" s="67"/>
      <c r="G319" s="67"/>
      <c r="H319" s="67"/>
      <c r="I319" s="67"/>
      <c r="J319" s="67"/>
      <c r="K319" s="67"/>
      <c r="L319" s="67"/>
      <c r="M319" s="67"/>
      <c r="N319" s="67"/>
      <c r="O319" s="78"/>
      <c r="P319" s="78"/>
      <c r="S319" s="78"/>
      <c r="T319" s="78"/>
      <c r="U319" s="79"/>
      <c r="V319" s="65"/>
      <c r="Y319" s="78"/>
      <c r="Z319" s="78"/>
      <c r="AA319" s="78"/>
      <c r="AB319" s="78"/>
      <c r="AC319" s="78"/>
      <c r="AD319" s="78"/>
      <c r="AE319" s="78"/>
      <c r="AF319" s="78"/>
      <c r="AG319" s="79"/>
      <c r="AH319" s="65"/>
      <c r="AJ319" s="85"/>
      <c r="AK319" s="78"/>
      <c r="AL319" s="78"/>
      <c r="AM319" s="78"/>
      <c r="AN319" s="78"/>
      <c r="AO319" s="78"/>
      <c r="AP319" s="78"/>
      <c r="AQ319" s="79"/>
      <c r="AR319" s="65"/>
      <c r="AT319" s="85"/>
      <c r="AU319" s="78"/>
      <c r="AV319" s="78"/>
      <c r="AW319" s="78"/>
      <c r="AX319" s="78"/>
      <c r="AY319" s="78"/>
      <c r="AZ319" s="79"/>
      <c r="BA319" s="65"/>
      <c r="BC319" s="85"/>
      <c r="BD319" s="78"/>
      <c r="BE319" s="78"/>
      <c r="BF319" s="78"/>
      <c r="BG319" s="78"/>
      <c r="BH319" s="78"/>
      <c r="BI319" s="78"/>
      <c r="BJ319" s="79"/>
      <c r="BK319" s="65"/>
      <c r="CU319" s="67"/>
      <c r="EC319" s="67"/>
      <c r="FK319" s="67"/>
      <c r="FL319" s="67"/>
      <c r="FM319" s="67"/>
      <c r="FN319" s="67"/>
      <c r="FO319" s="67"/>
      <c r="FP319" s="67"/>
      <c r="FQ319" s="67"/>
      <c r="FR319" s="67"/>
      <c r="FS319" s="67"/>
      <c r="FT319" s="67"/>
      <c r="FU319" s="67"/>
      <c r="FV319" s="67"/>
      <c r="FW319" s="67"/>
      <c r="FX319" s="67"/>
      <c r="FY319" s="67"/>
      <c r="FZ319" s="67"/>
      <c r="GA319" s="67"/>
      <c r="GB319" s="67"/>
      <c r="GC319" s="67"/>
      <c r="GD319" s="67"/>
      <c r="GE319" s="67"/>
      <c r="GF319" s="67"/>
      <c r="GG319" s="67"/>
      <c r="GH319" s="67"/>
      <c r="GI319" s="67"/>
      <c r="GJ319" s="67"/>
      <c r="GK319" s="67"/>
      <c r="GL319" s="67"/>
      <c r="GM319" s="67"/>
      <c r="GN319" s="67"/>
      <c r="GO319" s="67"/>
      <c r="GP319" s="67"/>
    </row>
    <row r="320" spans="5:198" s="66" customFormat="1">
      <c r="E320" s="67"/>
      <c r="G320" s="67"/>
      <c r="H320" s="67"/>
      <c r="I320" s="67"/>
      <c r="J320" s="67"/>
      <c r="K320" s="67"/>
      <c r="L320" s="67"/>
      <c r="M320" s="67"/>
      <c r="N320" s="67"/>
      <c r="O320" s="78"/>
      <c r="P320" s="78"/>
      <c r="S320" s="78"/>
      <c r="T320" s="78"/>
      <c r="U320" s="79"/>
      <c r="V320" s="65"/>
      <c r="Y320" s="78"/>
      <c r="Z320" s="78"/>
      <c r="AA320" s="78"/>
      <c r="AB320" s="78"/>
      <c r="AC320" s="78"/>
      <c r="AD320" s="78"/>
      <c r="AE320" s="78"/>
      <c r="AF320" s="78"/>
      <c r="AG320" s="79"/>
      <c r="AH320" s="65"/>
      <c r="AJ320" s="85"/>
      <c r="AK320" s="78"/>
      <c r="AL320" s="78"/>
      <c r="AM320" s="78"/>
      <c r="AN320" s="78"/>
      <c r="AO320" s="78"/>
      <c r="AP320" s="78"/>
      <c r="AQ320" s="79"/>
      <c r="AR320" s="65"/>
      <c r="AT320" s="85"/>
      <c r="AU320" s="78"/>
      <c r="AV320" s="78"/>
      <c r="AW320" s="78"/>
      <c r="AX320" s="78"/>
      <c r="AY320" s="78"/>
      <c r="AZ320" s="79"/>
      <c r="BA320" s="65"/>
      <c r="BC320" s="85"/>
      <c r="BD320" s="78"/>
      <c r="BE320" s="78"/>
      <c r="BF320" s="78"/>
      <c r="BG320" s="78"/>
      <c r="BH320" s="78"/>
      <c r="BI320" s="78"/>
      <c r="BJ320" s="79"/>
      <c r="BK320" s="65"/>
      <c r="CU320" s="67"/>
      <c r="EC320" s="67"/>
      <c r="FK320" s="67"/>
      <c r="FL320" s="67"/>
      <c r="FM320" s="67"/>
      <c r="FN320" s="67"/>
      <c r="FO320" s="67"/>
      <c r="FP320" s="67"/>
      <c r="FQ320" s="67"/>
      <c r="FR320" s="67"/>
      <c r="FS320" s="67"/>
      <c r="FT320" s="67"/>
      <c r="FU320" s="67"/>
      <c r="FV320" s="67"/>
      <c r="FW320" s="67"/>
      <c r="FX320" s="67"/>
      <c r="FY320" s="67"/>
      <c r="FZ320" s="67"/>
      <c r="GA320" s="67"/>
      <c r="GB320" s="67"/>
      <c r="GC320" s="67"/>
      <c r="GD320" s="67"/>
      <c r="GE320" s="67"/>
      <c r="GF320" s="67"/>
      <c r="GG320" s="67"/>
      <c r="GH320" s="67"/>
      <c r="GI320" s="67"/>
      <c r="GJ320" s="67"/>
      <c r="GK320" s="67"/>
      <c r="GL320" s="67"/>
      <c r="GM320" s="67"/>
      <c r="GN320" s="67"/>
      <c r="GO320" s="67"/>
      <c r="GP320" s="67"/>
    </row>
    <row r="321" spans="5:198" s="66" customFormat="1">
      <c r="E321" s="67"/>
      <c r="G321" s="67"/>
      <c r="H321" s="67"/>
      <c r="I321" s="67"/>
      <c r="J321" s="67"/>
      <c r="K321" s="67"/>
      <c r="L321" s="67"/>
      <c r="M321" s="67"/>
      <c r="N321" s="67"/>
      <c r="O321" s="78"/>
      <c r="P321" s="78"/>
      <c r="S321" s="78"/>
      <c r="T321" s="78"/>
      <c r="U321" s="79"/>
      <c r="V321" s="65"/>
      <c r="Y321" s="78"/>
      <c r="Z321" s="78"/>
      <c r="AA321" s="78"/>
      <c r="AB321" s="78"/>
      <c r="AC321" s="78"/>
      <c r="AD321" s="78"/>
      <c r="AE321" s="78"/>
      <c r="AF321" s="78"/>
      <c r="AG321" s="79"/>
      <c r="AH321" s="65"/>
      <c r="AJ321" s="85"/>
      <c r="AK321" s="78"/>
      <c r="AL321" s="78"/>
      <c r="AM321" s="78"/>
      <c r="AN321" s="78"/>
      <c r="AO321" s="78"/>
      <c r="AP321" s="78"/>
      <c r="AQ321" s="79"/>
      <c r="AR321" s="65"/>
      <c r="AT321" s="85"/>
      <c r="AU321" s="78"/>
      <c r="AV321" s="78"/>
      <c r="AW321" s="78"/>
      <c r="AX321" s="78"/>
      <c r="AY321" s="78"/>
      <c r="AZ321" s="79"/>
      <c r="BA321" s="65"/>
      <c r="BC321" s="85"/>
      <c r="BD321" s="78"/>
      <c r="BE321" s="78"/>
      <c r="BF321" s="78"/>
      <c r="BG321" s="78"/>
      <c r="BH321" s="78"/>
      <c r="BI321" s="78"/>
      <c r="BJ321" s="79"/>
      <c r="BK321" s="65"/>
      <c r="CU321" s="67"/>
      <c r="EC321" s="67"/>
      <c r="FK321" s="67"/>
      <c r="FL321" s="67"/>
      <c r="FM321" s="67"/>
      <c r="FN321" s="67"/>
      <c r="FO321" s="67"/>
      <c r="FP321" s="67"/>
      <c r="FQ321" s="67"/>
      <c r="FR321" s="67"/>
      <c r="FS321" s="67"/>
      <c r="FT321" s="67"/>
      <c r="FU321" s="67"/>
      <c r="FV321" s="67"/>
      <c r="FW321" s="67"/>
      <c r="FX321" s="67"/>
      <c r="FY321" s="67"/>
      <c r="FZ321" s="67"/>
      <c r="GA321" s="67"/>
      <c r="GB321" s="67"/>
      <c r="GC321" s="67"/>
      <c r="GD321" s="67"/>
      <c r="GE321" s="67"/>
      <c r="GF321" s="67"/>
      <c r="GG321" s="67"/>
      <c r="GH321" s="67"/>
      <c r="GI321" s="67"/>
      <c r="GJ321" s="67"/>
      <c r="GK321" s="67"/>
      <c r="GL321" s="67"/>
      <c r="GM321" s="67"/>
      <c r="GN321" s="67"/>
      <c r="GO321" s="67"/>
      <c r="GP321" s="67"/>
    </row>
    <row r="322" spans="5:198" s="66" customFormat="1">
      <c r="E322" s="67"/>
      <c r="G322" s="67"/>
      <c r="H322" s="67"/>
      <c r="I322" s="67"/>
      <c r="J322" s="67"/>
      <c r="K322" s="67"/>
      <c r="L322" s="67"/>
      <c r="M322" s="67"/>
      <c r="N322" s="67"/>
      <c r="O322" s="78"/>
      <c r="P322" s="78"/>
      <c r="S322" s="78"/>
      <c r="T322" s="78"/>
      <c r="U322" s="79"/>
      <c r="V322" s="65"/>
      <c r="Y322" s="78"/>
      <c r="Z322" s="78"/>
      <c r="AA322" s="78"/>
      <c r="AB322" s="78"/>
      <c r="AC322" s="78"/>
      <c r="AD322" s="78"/>
      <c r="AE322" s="78"/>
      <c r="AF322" s="78"/>
      <c r="AG322" s="79"/>
      <c r="AH322" s="65"/>
      <c r="AJ322" s="85"/>
      <c r="AK322" s="78"/>
      <c r="AL322" s="78"/>
      <c r="AM322" s="78"/>
      <c r="AN322" s="78"/>
      <c r="AO322" s="78"/>
      <c r="AP322" s="78"/>
      <c r="AQ322" s="79"/>
      <c r="AR322" s="65"/>
      <c r="AT322" s="85"/>
      <c r="AU322" s="78"/>
      <c r="AV322" s="78"/>
      <c r="AW322" s="78"/>
      <c r="AX322" s="78"/>
      <c r="AY322" s="78"/>
      <c r="AZ322" s="79"/>
      <c r="BA322" s="65"/>
      <c r="BC322" s="85"/>
      <c r="BD322" s="78"/>
      <c r="BE322" s="78"/>
      <c r="BF322" s="78"/>
      <c r="BG322" s="78"/>
      <c r="BH322" s="78"/>
      <c r="BI322" s="78"/>
      <c r="BJ322" s="79"/>
      <c r="BK322" s="65"/>
      <c r="CU322" s="67"/>
      <c r="EC322" s="67"/>
      <c r="FK322" s="67"/>
      <c r="FL322" s="67"/>
      <c r="FM322" s="67"/>
      <c r="FN322" s="67"/>
      <c r="FO322" s="67"/>
      <c r="FP322" s="67"/>
      <c r="FQ322" s="67"/>
      <c r="FR322" s="67"/>
      <c r="FS322" s="67"/>
      <c r="FT322" s="67"/>
      <c r="FU322" s="67"/>
      <c r="FV322" s="67"/>
      <c r="FW322" s="67"/>
      <c r="FX322" s="67"/>
      <c r="FY322" s="67"/>
      <c r="FZ322" s="67"/>
      <c r="GA322" s="67"/>
      <c r="GB322" s="67"/>
      <c r="GC322" s="67"/>
      <c r="GD322" s="67"/>
      <c r="GE322" s="67"/>
      <c r="GF322" s="67"/>
      <c r="GG322" s="67"/>
      <c r="GH322" s="67"/>
      <c r="GI322" s="67"/>
      <c r="GJ322" s="67"/>
      <c r="GK322" s="67"/>
      <c r="GL322" s="67"/>
      <c r="GM322" s="67"/>
      <c r="GN322" s="67"/>
      <c r="GO322" s="67"/>
      <c r="GP322" s="67"/>
    </row>
    <row r="323" spans="5:198" s="66" customFormat="1">
      <c r="E323" s="67"/>
      <c r="G323" s="67"/>
      <c r="H323" s="67"/>
      <c r="I323" s="67"/>
      <c r="J323" s="67"/>
      <c r="K323" s="67"/>
      <c r="L323" s="67"/>
      <c r="M323" s="67"/>
      <c r="N323" s="67"/>
      <c r="O323" s="78"/>
      <c r="P323" s="78"/>
      <c r="S323" s="78"/>
      <c r="T323" s="78"/>
      <c r="U323" s="79"/>
      <c r="V323" s="65"/>
      <c r="Y323" s="78"/>
      <c r="Z323" s="78"/>
      <c r="AA323" s="78"/>
      <c r="AB323" s="78"/>
      <c r="AC323" s="78"/>
      <c r="AD323" s="78"/>
      <c r="AE323" s="78"/>
      <c r="AF323" s="78"/>
      <c r="AG323" s="79"/>
      <c r="AH323" s="65"/>
      <c r="AJ323" s="85"/>
      <c r="AK323" s="78"/>
      <c r="AL323" s="78"/>
      <c r="AM323" s="78"/>
      <c r="AN323" s="78"/>
      <c r="AO323" s="78"/>
      <c r="AP323" s="78"/>
      <c r="AQ323" s="79"/>
      <c r="AR323" s="65"/>
      <c r="AT323" s="85"/>
      <c r="AU323" s="78"/>
      <c r="AV323" s="78"/>
      <c r="AW323" s="78"/>
      <c r="AX323" s="78"/>
      <c r="AY323" s="78"/>
      <c r="AZ323" s="79"/>
      <c r="BA323" s="65"/>
      <c r="BC323" s="85"/>
      <c r="BD323" s="78"/>
      <c r="BE323" s="78"/>
      <c r="BF323" s="78"/>
      <c r="BG323" s="78"/>
      <c r="BH323" s="78"/>
      <c r="BI323" s="78"/>
      <c r="BJ323" s="79"/>
      <c r="BK323" s="65"/>
      <c r="CU323" s="67"/>
      <c r="EC323" s="67"/>
      <c r="FK323" s="67"/>
      <c r="FL323" s="67"/>
      <c r="FM323" s="67"/>
      <c r="FN323" s="67"/>
      <c r="FO323" s="67"/>
      <c r="FP323" s="67"/>
      <c r="FQ323" s="67"/>
      <c r="FR323" s="67"/>
      <c r="FS323" s="67"/>
      <c r="FT323" s="67"/>
      <c r="FU323" s="67"/>
      <c r="FV323" s="67"/>
      <c r="FW323" s="67"/>
      <c r="FX323" s="67"/>
      <c r="FY323" s="67"/>
      <c r="FZ323" s="67"/>
      <c r="GA323" s="67"/>
      <c r="GB323" s="67"/>
      <c r="GC323" s="67"/>
      <c r="GD323" s="67"/>
      <c r="GE323" s="67"/>
      <c r="GF323" s="67"/>
      <c r="GG323" s="67"/>
      <c r="GH323" s="67"/>
      <c r="GI323" s="67"/>
      <c r="GJ323" s="67"/>
      <c r="GK323" s="67"/>
      <c r="GL323" s="67"/>
      <c r="GM323" s="67"/>
      <c r="GN323" s="67"/>
      <c r="GO323" s="67"/>
      <c r="GP323" s="67"/>
    </row>
    <row r="324" spans="5:198" s="66" customFormat="1">
      <c r="E324" s="67"/>
      <c r="G324" s="67"/>
      <c r="H324" s="67"/>
      <c r="I324" s="67"/>
      <c r="J324" s="67"/>
      <c r="K324" s="67"/>
      <c r="L324" s="67"/>
      <c r="M324" s="67"/>
      <c r="N324" s="67"/>
      <c r="O324" s="78"/>
      <c r="P324" s="78"/>
      <c r="S324" s="78"/>
      <c r="T324" s="78"/>
      <c r="U324" s="79"/>
      <c r="V324" s="65"/>
      <c r="Y324" s="78"/>
      <c r="Z324" s="78"/>
      <c r="AA324" s="78"/>
      <c r="AB324" s="78"/>
      <c r="AC324" s="78"/>
      <c r="AD324" s="78"/>
      <c r="AE324" s="78"/>
      <c r="AF324" s="78"/>
      <c r="AG324" s="79"/>
      <c r="AH324" s="65"/>
      <c r="AJ324" s="85"/>
      <c r="AK324" s="78"/>
      <c r="AL324" s="78"/>
      <c r="AM324" s="78"/>
      <c r="AN324" s="78"/>
      <c r="AO324" s="78"/>
      <c r="AP324" s="78"/>
      <c r="AQ324" s="79"/>
      <c r="AR324" s="65"/>
      <c r="AT324" s="85"/>
      <c r="AU324" s="78"/>
      <c r="AV324" s="78"/>
      <c r="AW324" s="78"/>
      <c r="AX324" s="78"/>
      <c r="AY324" s="78"/>
      <c r="AZ324" s="79"/>
      <c r="BA324" s="65"/>
      <c r="BC324" s="85"/>
      <c r="BD324" s="78"/>
      <c r="BE324" s="78"/>
      <c r="BF324" s="78"/>
      <c r="BG324" s="78"/>
      <c r="BH324" s="78"/>
      <c r="BI324" s="78"/>
      <c r="BJ324" s="79"/>
      <c r="BK324" s="65"/>
      <c r="CU324" s="67"/>
      <c r="EC324" s="67"/>
      <c r="FK324" s="67"/>
      <c r="FL324" s="67"/>
      <c r="FM324" s="67"/>
      <c r="FN324" s="67"/>
      <c r="FO324" s="67"/>
      <c r="FP324" s="67"/>
      <c r="FQ324" s="67"/>
      <c r="FR324" s="67"/>
      <c r="FS324" s="67"/>
      <c r="FT324" s="67"/>
      <c r="FU324" s="67"/>
      <c r="FV324" s="67"/>
      <c r="FW324" s="67"/>
      <c r="FX324" s="67"/>
      <c r="FY324" s="67"/>
      <c r="FZ324" s="67"/>
      <c r="GA324" s="67"/>
      <c r="GB324" s="67"/>
      <c r="GC324" s="67"/>
      <c r="GD324" s="67"/>
      <c r="GE324" s="67"/>
      <c r="GF324" s="67"/>
      <c r="GG324" s="67"/>
      <c r="GH324" s="67"/>
      <c r="GI324" s="67"/>
      <c r="GJ324" s="67"/>
      <c r="GK324" s="67"/>
      <c r="GL324" s="67"/>
      <c r="GM324" s="67"/>
      <c r="GN324" s="67"/>
      <c r="GO324" s="67"/>
      <c r="GP324" s="67"/>
    </row>
    <row r="325" spans="5:198" s="66" customFormat="1">
      <c r="E325" s="67"/>
      <c r="G325" s="67"/>
      <c r="H325" s="67"/>
      <c r="I325" s="67"/>
      <c r="J325" s="67"/>
      <c r="K325" s="67"/>
      <c r="L325" s="67"/>
      <c r="M325" s="67"/>
      <c r="N325" s="67"/>
      <c r="O325" s="78"/>
      <c r="P325" s="78"/>
      <c r="S325" s="78"/>
      <c r="T325" s="78"/>
      <c r="U325" s="79"/>
      <c r="V325" s="65"/>
      <c r="Y325" s="78"/>
      <c r="Z325" s="78"/>
      <c r="AA325" s="78"/>
      <c r="AB325" s="78"/>
      <c r="AC325" s="78"/>
      <c r="AD325" s="78"/>
      <c r="AE325" s="78"/>
      <c r="AF325" s="78"/>
      <c r="AG325" s="79"/>
      <c r="AH325" s="65"/>
      <c r="AJ325" s="85"/>
      <c r="AK325" s="78"/>
      <c r="AL325" s="78"/>
      <c r="AM325" s="78"/>
      <c r="AN325" s="78"/>
      <c r="AO325" s="78"/>
      <c r="AP325" s="78"/>
      <c r="AQ325" s="79"/>
      <c r="AR325" s="65"/>
      <c r="AT325" s="85"/>
      <c r="AU325" s="78"/>
      <c r="AV325" s="78"/>
      <c r="AW325" s="78"/>
      <c r="AX325" s="78"/>
      <c r="AY325" s="78"/>
      <c r="AZ325" s="79"/>
      <c r="BA325" s="65"/>
      <c r="BC325" s="85"/>
      <c r="BD325" s="78"/>
      <c r="BE325" s="78"/>
      <c r="BF325" s="78"/>
      <c r="BG325" s="78"/>
      <c r="BH325" s="78"/>
      <c r="BI325" s="78"/>
      <c r="BJ325" s="79"/>
      <c r="BK325" s="65"/>
      <c r="CU325" s="67"/>
      <c r="EC325" s="67"/>
      <c r="FK325" s="67"/>
      <c r="FL325" s="67"/>
      <c r="FM325" s="67"/>
      <c r="FN325" s="67"/>
      <c r="FO325" s="67"/>
      <c r="FP325" s="67"/>
      <c r="FQ325" s="67"/>
      <c r="FR325" s="67"/>
      <c r="FS325" s="67"/>
      <c r="FT325" s="67"/>
      <c r="FU325" s="67"/>
      <c r="FV325" s="67"/>
      <c r="FW325" s="67"/>
      <c r="FX325" s="67"/>
      <c r="FY325" s="67"/>
      <c r="FZ325" s="67"/>
      <c r="GA325" s="67"/>
      <c r="GB325" s="67"/>
      <c r="GC325" s="67"/>
      <c r="GD325" s="67"/>
      <c r="GE325" s="67"/>
      <c r="GF325" s="67"/>
      <c r="GG325" s="67"/>
      <c r="GH325" s="67"/>
      <c r="GI325" s="67"/>
      <c r="GJ325" s="67"/>
      <c r="GK325" s="67"/>
      <c r="GL325" s="67"/>
      <c r="GM325" s="67"/>
      <c r="GN325" s="67"/>
      <c r="GO325" s="67"/>
      <c r="GP325" s="67"/>
    </row>
    <row r="326" spans="5:198" s="66" customFormat="1">
      <c r="E326" s="67"/>
      <c r="G326" s="67"/>
      <c r="H326" s="67"/>
      <c r="I326" s="67"/>
      <c r="J326" s="67"/>
      <c r="K326" s="67"/>
      <c r="L326" s="67"/>
      <c r="M326" s="67"/>
      <c r="N326" s="67"/>
      <c r="O326" s="78"/>
      <c r="P326" s="78"/>
      <c r="S326" s="78"/>
      <c r="T326" s="78"/>
      <c r="U326" s="79"/>
      <c r="V326" s="65"/>
      <c r="Y326" s="78"/>
      <c r="Z326" s="78"/>
      <c r="AA326" s="78"/>
      <c r="AB326" s="78"/>
      <c r="AC326" s="78"/>
      <c r="AD326" s="78"/>
      <c r="AE326" s="78"/>
      <c r="AF326" s="78"/>
      <c r="AG326" s="79"/>
      <c r="AH326" s="65"/>
      <c r="AJ326" s="85"/>
      <c r="AK326" s="78"/>
      <c r="AL326" s="78"/>
      <c r="AM326" s="78"/>
      <c r="AN326" s="78"/>
      <c r="AO326" s="78"/>
      <c r="AP326" s="78"/>
      <c r="AQ326" s="79"/>
      <c r="AR326" s="65"/>
      <c r="AT326" s="85"/>
      <c r="AU326" s="78"/>
      <c r="AV326" s="78"/>
      <c r="AW326" s="78"/>
      <c r="AX326" s="78"/>
      <c r="AY326" s="78"/>
      <c r="AZ326" s="79"/>
      <c r="BA326" s="65"/>
      <c r="BC326" s="85"/>
      <c r="BD326" s="78"/>
      <c r="BE326" s="78"/>
      <c r="BF326" s="78"/>
      <c r="BG326" s="78"/>
      <c r="BH326" s="78"/>
      <c r="BI326" s="78"/>
      <c r="BJ326" s="79"/>
      <c r="BK326" s="65"/>
      <c r="CU326" s="67"/>
      <c r="EC326" s="67"/>
      <c r="FK326" s="67"/>
      <c r="FL326" s="67"/>
      <c r="FM326" s="67"/>
      <c r="FN326" s="67"/>
      <c r="FO326" s="67"/>
      <c r="FP326" s="67"/>
      <c r="FQ326" s="67"/>
      <c r="FR326" s="67"/>
      <c r="FS326" s="67"/>
      <c r="FT326" s="67"/>
      <c r="FU326" s="67"/>
      <c r="FV326" s="67"/>
      <c r="FW326" s="67"/>
      <c r="FX326" s="67"/>
      <c r="FY326" s="67"/>
      <c r="FZ326" s="67"/>
      <c r="GA326" s="67"/>
      <c r="GB326" s="67"/>
      <c r="GC326" s="67"/>
      <c r="GD326" s="67"/>
      <c r="GE326" s="67"/>
      <c r="GF326" s="67"/>
      <c r="GG326" s="67"/>
      <c r="GH326" s="67"/>
      <c r="GI326" s="67"/>
      <c r="GJ326" s="67"/>
      <c r="GK326" s="67"/>
      <c r="GL326" s="67"/>
      <c r="GM326" s="67"/>
      <c r="GN326" s="67"/>
      <c r="GO326" s="67"/>
      <c r="GP326" s="67"/>
    </row>
    <row r="327" spans="5:198" s="66" customFormat="1">
      <c r="E327" s="67"/>
      <c r="G327" s="67"/>
      <c r="H327" s="67"/>
      <c r="I327" s="67"/>
      <c r="J327" s="67"/>
      <c r="K327" s="67"/>
      <c r="L327" s="67"/>
      <c r="M327" s="67"/>
      <c r="N327" s="67"/>
      <c r="O327" s="78"/>
      <c r="P327" s="78"/>
      <c r="S327" s="78"/>
      <c r="T327" s="78"/>
      <c r="U327" s="79"/>
      <c r="V327" s="65"/>
      <c r="Y327" s="78"/>
      <c r="Z327" s="78"/>
      <c r="AA327" s="78"/>
      <c r="AB327" s="78"/>
      <c r="AC327" s="78"/>
      <c r="AD327" s="78"/>
      <c r="AE327" s="78"/>
      <c r="AF327" s="78"/>
      <c r="AG327" s="79"/>
      <c r="AH327" s="65"/>
      <c r="AJ327" s="85"/>
      <c r="AK327" s="78"/>
      <c r="AL327" s="78"/>
      <c r="AM327" s="78"/>
      <c r="AN327" s="78"/>
      <c r="AO327" s="78"/>
      <c r="AP327" s="78"/>
      <c r="AQ327" s="79"/>
      <c r="AR327" s="65"/>
      <c r="AT327" s="85"/>
      <c r="AU327" s="78"/>
      <c r="AV327" s="78"/>
      <c r="AW327" s="78"/>
      <c r="AX327" s="78"/>
      <c r="AY327" s="78"/>
      <c r="AZ327" s="79"/>
      <c r="BA327" s="65"/>
      <c r="BC327" s="85"/>
      <c r="BD327" s="78"/>
      <c r="BE327" s="78"/>
      <c r="BF327" s="78"/>
      <c r="BG327" s="78"/>
      <c r="BH327" s="78"/>
      <c r="BI327" s="78"/>
      <c r="BJ327" s="79"/>
      <c r="BK327" s="65"/>
      <c r="CU327" s="67"/>
      <c r="EC327" s="67"/>
      <c r="FK327" s="67"/>
      <c r="FL327" s="67"/>
      <c r="FM327" s="67"/>
      <c r="FN327" s="67"/>
      <c r="FO327" s="67"/>
      <c r="FP327" s="67"/>
      <c r="FQ327" s="67"/>
      <c r="FR327" s="67"/>
      <c r="FS327" s="67"/>
      <c r="FT327" s="67"/>
      <c r="FU327" s="67"/>
      <c r="FV327" s="67"/>
      <c r="FW327" s="67"/>
      <c r="FX327" s="67"/>
      <c r="FY327" s="67"/>
      <c r="FZ327" s="67"/>
      <c r="GA327" s="67"/>
      <c r="GB327" s="67"/>
      <c r="GC327" s="67"/>
      <c r="GD327" s="67"/>
      <c r="GE327" s="67"/>
      <c r="GF327" s="67"/>
      <c r="GG327" s="67"/>
      <c r="GH327" s="67"/>
      <c r="GI327" s="67"/>
      <c r="GJ327" s="67"/>
      <c r="GK327" s="67"/>
      <c r="GL327" s="67"/>
      <c r="GM327" s="67"/>
      <c r="GN327" s="67"/>
      <c r="GO327" s="67"/>
      <c r="GP327" s="67"/>
    </row>
    <row r="328" spans="5:198" s="66" customFormat="1">
      <c r="E328" s="67"/>
      <c r="G328" s="67"/>
      <c r="H328" s="67"/>
      <c r="I328" s="67"/>
      <c r="J328" s="67"/>
      <c r="K328" s="67"/>
      <c r="L328" s="67"/>
      <c r="M328" s="67"/>
      <c r="N328" s="67"/>
      <c r="O328" s="78"/>
      <c r="P328" s="78"/>
      <c r="S328" s="78"/>
      <c r="T328" s="78"/>
      <c r="U328" s="79"/>
      <c r="V328" s="65"/>
      <c r="Y328" s="78"/>
      <c r="Z328" s="78"/>
      <c r="AA328" s="78"/>
      <c r="AB328" s="78"/>
      <c r="AC328" s="78"/>
      <c r="AD328" s="78"/>
      <c r="AE328" s="78"/>
      <c r="AF328" s="78"/>
      <c r="AG328" s="79"/>
      <c r="AH328" s="65"/>
      <c r="AJ328" s="85"/>
      <c r="AK328" s="78"/>
      <c r="AL328" s="78"/>
      <c r="AM328" s="78"/>
      <c r="AN328" s="78"/>
      <c r="AO328" s="78"/>
      <c r="AP328" s="78"/>
      <c r="AQ328" s="79"/>
      <c r="AR328" s="65"/>
      <c r="AT328" s="85"/>
      <c r="AU328" s="78"/>
      <c r="AV328" s="78"/>
      <c r="AW328" s="78"/>
      <c r="AX328" s="78"/>
      <c r="AY328" s="78"/>
      <c r="AZ328" s="79"/>
      <c r="BA328" s="65"/>
      <c r="BC328" s="85"/>
      <c r="BD328" s="78"/>
      <c r="BE328" s="78"/>
      <c r="BF328" s="78"/>
      <c r="BG328" s="78"/>
      <c r="BH328" s="78"/>
      <c r="BI328" s="78"/>
      <c r="BJ328" s="79"/>
      <c r="BK328" s="65"/>
      <c r="CU328" s="67"/>
      <c r="EC328" s="67"/>
      <c r="FK328" s="67"/>
      <c r="FL328" s="67"/>
      <c r="FM328" s="67"/>
      <c r="FN328" s="67"/>
      <c r="FO328" s="67"/>
      <c r="FP328" s="67"/>
      <c r="FQ328" s="67"/>
      <c r="FR328" s="67"/>
      <c r="FS328" s="67"/>
      <c r="FT328" s="67"/>
      <c r="FU328" s="67"/>
      <c r="FV328" s="67"/>
      <c r="FW328" s="67"/>
      <c r="FX328" s="67"/>
      <c r="FY328" s="67"/>
      <c r="FZ328" s="67"/>
      <c r="GA328" s="67"/>
      <c r="GB328" s="67"/>
      <c r="GC328" s="67"/>
      <c r="GD328" s="67"/>
      <c r="GE328" s="67"/>
      <c r="GF328" s="67"/>
      <c r="GG328" s="67"/>
      <c r="GH328" s="67"/>
      <c r="GI328" s="67"/>
      <c r="GJ328" s="67"/>
      <c r="GK328" s="67"/>
      <c r="GL328" s="67"/>
      <c r="GM328" s="67"/>
      <c r="GN328" s="67"/>
      <c r="GO328" s="67"/>
      <c r="GP328" s="67"/>
    </row>
    <row r="329" spans="5:198" s="66" customFormat="1">
      <c r="E329" s="67"/>
      <c r="G329" s="67"/>
      <c r="H329" s="67"/>
      <c r="I329" s="67"/>
      <c r="J329" s="67"/>
      <c r="K329" s="67"/>
      <c r="L329" s="67"/>
      <c r="M329" s="67"/>
      <c r="N329" s="67"/>
      <c r="O329" s="78"/>
      <c r="P329" s="78"/>
      <c r="S329" s="78"/>
      <c r="T329" s="78"/>
      <c r="U329" s="79"/>
      <c r="V329" s="65"/>
      <c r="Y329" s="78"/>
      <c r="Z329" s="78"/>
      <c r="AA329" s="78"/>
      <c r="AB329" s="78"/>
      <c r="AC329" s="78"/>
      <c r="AD329" s="78"/>
      <c r="AE329" s="78"/>
      <c r="AF329" s="78"/>
      <c r="AG329" s="79"/>
      <c r="AH329" s="65"/>
      <c r="AJ329" s="85"/>
      <c r="AK329" s="78"/>
      <c r="AL329" s="78"/>
      <c r="AM329" s="78"/>
      <c r="AN329" s="78"/>
      <c r="AO329" s="78"/>
      <c r="AP329" s="78"/>
      <c r="AQ329" s="79"/>
      <c r="AR329" s="65"/>
      <c r="AT329" s="85"/>
      <c r="AU329" s="78"/>
      <c r="AV329" s="78"/>
      <c r="AW329" s="78"/>
      <c r="AX329" s="78"/>
      <c r="AY329" s="78"/>
      <c r="AZ329" s="79"/>
      <c r="BA329" s="65"/>
      <c r="BC329" s="85"/>
      <c r="BD329" s="78"/>
      <c r="BE329" s="78"/>
      <c r="BF329" s="78"/>
      <c r="BG329" s="78"/>
      <c r="BH329" s="78"/>
      <c r="BI329" s="78"/>
      <c r="BJ329" s="79"/>
      <c r="BK329" s="65"/>
      <c r="CU329" s="67"/>
      <c r="EC329" s="67"/>
      <c r="FK329" s="67"/>
      <c r="FL329" s="67"/>
      <c r="FM329" s="67"/>
      <c r="FN329" s="67"/>
      <c r="FO329" s="67"/>
      <c r="FP329" s="67"/>
      <c r="FQ329" s="67"/>
      <c r="FR329" s="67"/>
      <c r="FS329" s="67"/>
      <c r="FT329" s="67"/>
      <c r="FU329" s="67"/>
      <c r="FV329" s="67"/>
      <c r="FW329" s="67"/>
      <c r="FX329" s="67"/>
      <c r="FY329" s="67"/>
      <c r="FZ329" s="67"/>
      <c r="GA329" s="67"/>
      <c r="GB329" s="67"/>
      <c r="GC329" s="67"/>
      <c r="GD329" s="67"/>
      <c r="GE329" s="67"/>
      <c r="GF329" s="67"/>
      <c r="GG329" s="67"/>
      <c r="GH329" s="67"/>
      <c r="GI329" s="67"/>
      <c r="GJ329" s="67"/>
      <c r="GK329" s="67"/>
      <c r="GL329" s="67"/>
      <c r="GM329" s="67"/>
      <c r="GN329" s="67"/>
      <c r="GO329" s="67"/>
      <c r="GP329" s="67"/>
    </row>
    <row r="330" spans="5:198" s="66" customFormat="1">
      <c r="E330" s="67"/>
      <c r="G330" s="67"/>
      <c r="H330" s="67"/>
      <c r="I330" s="67"/>
      <c r="J330" s="67"/>
      <c r="K330" s="67"/>
      <c r="L330" s="67"/>
      <c r="M330" s="67"/>
      <c r="N330" s="67"/>
      <c r="O330" s="78"/>
      <c r="P330" s="78"/>
      <c r="S330" s="78"/>
      <c r="T330" s="78"/>
      <c r="U330" s="79"/>
      <c r="V330" s="65"/>
      <c r="Y330" s="78"/>
      <c r="Z330" s="78"/>
      <c r="AA330" s="78"/>
      <c r="AB330" s="78"/>
      <c r="AC330" s="78"/>
      <c r="AD330" s="78"/>
      <c r="AE330" s="78"/>
      <c r="AF330" s="78"/>
      <c r="AG330" s="79"/>
      <c r="AH330" s="65"/>
      <c r="AJ330" s="85"/>
      <c r="AK330" s="78"/>
      <c r="AL330" s="78"/>
      <c r="AM330" s="78"/>
      <c r="AN330" s="78"/>
      <c r="AO330" s="78"/>
      <c r="AP330" s="78"/>
      <c r="AQ330" s="79"/>
      <c r="AR330" s="65"/>
      <c r="AT330" s="85"/>
      <c r="AU330" s="78"/>
      <c r="AV330" s="78"/>
      <c r="AW330" s="78"/>
      <c r="AX330" s="78"/>
      <c r="AY330" s="78"/>
      <c r="AZ330" s="79"/>
      <c r="BA330" s="65"/>
      <c r="BC330" s="85"/>
      <c r="BD330" s="78"/>
      <c r="BE330" s="78"/>
      <c r="BF330" s="78"/>
      <c r="BG330" s="78"/>
      <c r="BH330" s="78"/>
      <c r="BI330" s="78"/>
      <c r="BJ330" s="79"/>
      <c r="BK330" s="65"/>
      <c r="CU330" s="67"/>
      <c r="EC330" s="67"/>
      <c r="FK330" s="67"/>
      <c r="FL330" s="67"/>
      <c r="FM330" s="67"/>
      <c r="FN330" s="67"/>
      <c r="FO330" s="67"/>
      <c r="FP330" s="67"/>
      <c r="FQ330" s="67"/>
      <c r="FR330" s="67"/>
      <c r="FS330" s="67"/>
      <c r="FT330" s="67"/>
      <c r="FU330" s="67"/>
      <c r="FV330" s="67"/>
      <c r="FW330" s="67"/>
      <c r="FX330" s="67"/>
      <c r="FY330" s="67"/>
      <c r="FZ330" s="67"/>
      <c r="GA330" s="67"/>
      <c r="GB330" s="67"/>
      <c r="GC330" s="67"/>
      <c r="GD330" s="67"/>
      <c r="GE330" s="67"/>
      <c r="GF330" s="67"/>
      <c r="GG330" s="67"/>
      <c r="GH330" s="67"/>
      <c r="GI330" s="67"/>
      <c r="GJ330" s="67"/>
      <c r="GK330" s="67"/>
      <c r="GL330" s="67"/>
      <c r="GM330" s="67"/>
      <c r="GN330" s="67"/>
      <c r="GO330" s="67"/>
      <c r="GP330" s="67"/>
    </row>
    <row r="331" spans="5:198" s="66" customFormat="1">
      <c r="E331" s="67"/>
      <c r="G331" s="67"/>
      <c r="H331" s="67"/>
      <c r="I331" s="67"/>
      <c r="J331" s="67"/>
      <c r="K331" s="67"/>
      <c r="L331" s="67"/>
      <c r="M331" s="67"/>
      <c r="N331" s="67"/>
      <c r="O331" s="78"/>
      <c r="P331" s="78"/>
      <c r="S331" s="78"/>
      <c r="T331" s="78"/>
      <c r="U331" s="79"/>
      <c r="V331" s="65"/>
      <c r="Y331" s="78"/>
      <c r="Z331" s="78"/>
      <c r="AA331" s="78"/>
      <c r="AB331" s="78"/>
      <c r="AC331" s="78"/>
      <c r="AD331" s="78"/>
      <c r="AE331" s="78"/>
      <c r="AF331" s="78"/>
      <c r="AG331" s="79"/>
      <c r="AH331" s="65"/>
      <c r="AJ331" s="85"/>
      <c r="AK331" s="78"/>
      <c r="AL331" s="78"/>
      <c r="AM331" s="78"/>
      <c r="AN331" s="78"/>
      <c r="AO331" s="78"/>
      <c r="AP331" s="78"/>
      <c r="AQ331" s="79"/>
      <c r="AR331" s="65"/>
      <c r="AT331" s="85"/>
      <c r="AU331" s="78"/>
      <c r="AV331" s="78"/>
      <c r="AW331" s="78"/>
      <c r="AX331" s="78"/>
      <c r="AY331" s="78"/>
      <c r="AZ331" s="79"/>
      <c r="BA331" s="65"/>
      <c r="BC331" s="85"/>
      <c r="BD331" s="78"/>
      <c r="BE331" s="78"/>
      <c r="BF331" s="78"/>
      <c r="BG331" s="78"/>
      <c r="BH331" s="78"/>
      <c r="BI331" s="78"/>
      <c r="BJ331" s="79"/>
      <c r="BK331" s="65"/>
      <c r="CU331" s="67"/>
      <c r="EC331" s="67"/>
      <c r="FK331" s="67"/>
      <c r="FL331" s="67"/>
      <c r="FM331" s="67"/>
      <c r="FN331" s="67"/>
      <c r="FO331" s="67"/>
      <c r="FP331" s="67"/>
      <c r="FQ331" s="67"/>
      <c r="FR331" s="67"/>
      <c r="FS331" s="67"/>
      <c r="FT331" s="67"/>
      <c r="FU331" s="67"/>
      <c r="FV331" s="67"/>
      <c r="FW331" s="67"/>
      <c r="FX331" s="67"/>
      <c r="FY331" s="67"/>
      <c r="FZ331" s="67"/>
      <c r="GA331" s="67"/>
      <c r="GB331" s="67"/>
      <c r="GC331" s="67"/>
      <c r="GD331" s="67"/>
      <c r="GE331" s="67"/>
      <c r="GF331" s="67"/>
      <c r="GG331" s="67"/>
      <c r="GH331" s="67"/>
      <c r="GI331" s="67"/>
      <c r="GJ331" s="67"/>
      <c r="GK331" s="67"/>
      <c r="GL331" s="67"/>
      <c r="GM331" s="67"/>
      <c r="GN331" s="67"/>
      <c r="GO331" s="67"/>
      <c r="GP331" s="67"/>
    </row>
    <row r="332" spans="5:198" s="66" customFormat="1">
      <c r="E332" s="67"/>
      <c r="G332" s="67"/>
      <c r="H332" s="67"/>
      <c r="I332" s="67"/>
      <c r="J332" s="67"/>
      <c r="K332" s="67"/>
      <c r="L332" s="67"/>
      <c r="M332" s="67"/>
      <c r="N332" s="67"/>
      <c r="O332" s="78"/>
      <c r="P332" s="78"/>
      <c r="S332" s="78"/>
      <c r="T332" s="78"/>
      <c r="U332" s="79"/>
      <c r="V332" s="65"/>
      <c r="Y332" s="78"/>
      <c r="Z332" s="78"/>
      <c r="AA332" s="78"/>
      <c r="AB332" s="78"/>
      <c r="AC332" s="78"/>
      <c r="AD332" s="78"/>
      <c r="AE332" s="78"/>
      <c r="AF332" s="78"/>
      <c r="AG332" s="79"/>
      <c r="AH332" s="65"/>
      <c r="AJ332" s="85"/>
      <c r="AK332" s="78"/>
      <c r="AL332" s="78"/>
      <c r="AM332" s="78"/>
      <c r="AN332" s="78"/>
      <c r="AO332" s="78"/>
      <c r="AP332" s="78"/>
      <c r="AQ332" s="79"/>
      <c r="AR332" s="65"/>
      <c r="AT332" s="85"/>
      <c r="AU332" s="78"/>
      <c r="AV332" s="78"/>
      <c r="AW332" s="78"/>
      <c r="AX332" s="78"/>
      <c r="AY332" s="78"/>
      <c r="AZ332" s="79"/>
      <c r="BA332" s="65"/>
      <c r="BC332" s="85"/>
      <c r="BD332" s="78"/>
      <c r="BE332" s="78"/>
      <c r="BF332" s="78"/>
      <c r="BG332" s="78"/>
      <c r="BH332" s="78"/>
      <c r="BI332" s="78"/>
      <c r="BJ332" s="79"/>
      <c r="BK332" s="65"/>
      <c r="CU332" s="67"/>
      <c r="EC332" s="67"/>
      <c r="FK332" s="67"/>
      <c r="FL332" s="67"/>
      <c r="FM332" s="67"/>
      <c r="FN332" s="67"/>
      <c r="FO332" s="67"/>
      <c r="FP332" s="67"/>
      <c r="FQ332" s="67"/>
      <c r="FR332" s="67"/>
      <c r="FS332" s="67"/>
      <c r="FT332" s="67"/>
      <c r="FU332" s="67"/>
      <c r="FV332" s="67"/>
      <c r="FW332" s="67"/>
      <c r="FX332" s="67"/>
      <c r="FY332" s="67"/>
      <c r="FZ332" s="67"/>
      <c r="GA332" s="67"/>
      <c r="GB332" s="67"/>
      <c r="GC332" s="67"/>
      <c r="GD332" s="67"/>
      <c r="GE332" s="67"/>
      <c r="GF332" s="67"/>
      <c r="GG332" s="67"/>
      <c r="GH332" s="67"/>
      <c r="GI332" s="67"/>
      <c r="GJ332" s="67"/>
      <c r="GK332" s="67"/>
      <c r="GL332" s="67"/>
      <c r="GM332" s="67"/>
      <c r="GN332" s="67"/>
      <c r="GO332" s="67"/>
      <c r="GP332" s="67"/>
    </row>
    <row r="333" spans="5:198" s="66" customFormat="1">
      <c r="E333" s="67"/>
      <c r="G333" s="67"/>
      <c r="H333" s="67"/>
      <c r="I333" s="67"/>
      <c r="J333" s="67"/>
      <c r="K333" s="67"/>
      <c r="L333" s="67"/>
      <c r="M333" s="67"/>
      <c r="N333" s="67"/>
      <c r="O333" s="78"/>
      <c r="P333" s="78"/>
      <c r="S333" s="78"/>
      <c r="T333" s="78"/>
      <c r="U333" s="79"/>
      <c r="V333" s="65"/>
      <c r="Y333" s="78"/>
      <c r="Z333" s="78"/>
      <c r="AA333" s="78"/>
      <c r="AB333" s="78"/>
      <c r="AC333" s="78"/>
      <c r="AD333" s="78"/>
      <c r="AE333" s="78"/>
      <c r="AF333" s="78"/>
      <c r="AG333" s="79"/>
      <c r="AH333" s="65"/>
      <c r="AJ333" s="85"/>
      <c r="AK333" s="78"/>
      <c r="AL333" s="78"/>
      <c r="AM333" s="78"/>
      <c r="AN333" s="78"/>
      <c r="AO333" s="78"/>
      <c r="AP333" s="78"/>
      <c r="AQ333" s="79"/>
      <c r="AR333" s="65"/>
      <c r="AT333" s="85"/>
      <c r="AU333" s="78"/>
      <c r="AV333" s="78"/>
      <c r="AW333" s="78"/>
      <c r="AX333" s="78"/>
      <c r="AY333" s="78"/>
      <c r="AZ333" s="79"/>
      <c r="BA333" s="65"/>
      <c r="BC333" s="85"/>
      <c r="BD333" s="78"/>
      <c r="BE333" s="78"/>
      <c r="BF333" s="78"/>
      <c r="BG333" s="78"/>
      <c r="BH333" s="78"/>
      <c r="BI333" s="78"/>
      <c r="BJ333" s="79"/>
      <c r="BK333" s="65"/>
      <c r="CU333" s="67"/>
      <c r="EC333" s="67"/>
      <c r="FK333" s="67"/>
      <c r="FL333" s="67"/>
      <c r="FM333" s="67"/>
      <c r="FN333" s="67"/>
      <c r="FO333" s="67"/>
      <c r="FP333" s="67"/>
      <c r="FQ333" s="67"/>
      <c r="FR333" s="67"/>
      <c r="FS333" s="67"/>
      <c r="FT333" s="67"/>
      <c r="FU333" s="67"/>
      <c r="FV333" s="67"/>
      <c r="FW333" s="67"/>
      <c r="FX333" s="67"/>
      <c r="FY333" s="67"/>
      <c r="FZ333" s="67"/>
      <c r="GA333" s="67"/>
      <c r="GB333" s="67"/>
      <c r="GC333" s="67"/>
      <c r="GD333" s="67"/>
      <c r="GE333" s="67"/>
      <c r="GF333" s="67"/>
      <c r="GG333" s="67"/>
      <c r="GH333" s="67"/>
      <c r="GI333" s="67"/>
      <c r="GJ333" s="67"/>
      <c r="GK333" s="67"/>
      <c r="GL333" s="67"/>
      <c r="GM333" s="67"/>
      <c r="GN333" s="67"/>
      <c r="GO333" s="67"/>
      <c r="GP333" s="67"/>
    </row>
    <row r="334" spans="5:198" s="66" customFormat="1">
      <c r="E334" s="67"/>
      <c r="G334" s="67"/>
      <c r="H334" s="67"/>
      <c r="I334" s="67"/>
      <c r="J334" s="67"/>
      <c r="K334" s="67"/>
      <c r="L334" s="67"/>
      <c r="M334" s="67"/>
      <c r="N334" s="67"/>
      <c r="O334" s="78"/>
      <c r="P334" s="78"/>
      <c r="S334" s="78"/>
      <c r="T334" s="78"/>
      <c r="U334" s="79"/>
      <c r="V334" s="65"/>
      <c r="Y334" s="78"/>
      <c r="Z334" s="78"/>
      <c r="AA334" s="78"/>
      <c r="AB334" s="78"/>
      <c r="AC334" s="78"/>
      <c r="AD334" s="78"/>
      <c r="AE334" s="78"/>
      <c r="AF334" s="78"/>
      <c r="AG334" s="79"/>
      <c r="AH334" s="65"/>
      <c r="AJ334" s="85"/>
      <c r="AK334" s="78"/>
      <c r="AL334" s="78"/>
      <c r="AM334" s="78"/>
      <c r="AN334" s="78"/>
      <c r="AO334" s="78"/>
      <c r="AP334" s="78"/>
      <c r="AQ334" s="79"/>
      <c r="AR334" s="65"/>
      <c r="AT334" s="85"/>
      <c r="AU334" s="78"/>
      <c r="AV334" s="78"/>
      <c r="AW334" s="78"/>
      <c r="AX334" s="78"/>
      <c r="AY334" s="78"/>
      <c r="AZ334" s="79"/>
      <c r="BA334" s="65"/>
      <c r="BC334" s="85"/>
      <c r="BD334" s="78"/>
      <c r="BE334" s="78"/>
      <c r="BF334" s="78"/>
      <c r="BG334" s="78"/>
      <c r="BH334" s="78"/>
      <c r="BI334" s="78"/>
      <c r="BJ334" s="79"/>
      <c r="BK334" s="65"/>
      <c r="CU334" s="67"/>
      <c r="EC334" s="67"/>
      <c r="FK334" s="67"/>
      <c r="FL334" s="67"/>
      <c r="FM334" s="67"/>
      <c r="FN334" s="67"/>
      <c r="FO334" s="67"/>
      <c r="FP334" s="67"/>
      <c r="FQ334" s="67"/>
      <c r="FR334" s="67"/>
      <c r="FS334" s="67"/>
      <c r="FT334" s="67"/>
      <c r="FU334" s="67"/>
      <c r="FV334" s="67"/>
      <c r="FW334" s="67"/>
      <c r="FX334" s="67"/>
      <c r="FY334" s="67"/>
      <c r="FZ334" s="67"/>
      <c r="GA334" s="67"/>
      <c r="GB334" s="67"/>
      <c r="GC334" s="67"/>
      <c r="GD334" s="67"/>
      <c r="GE334" s="67"/>
      <c r="GF334" s="67"/>
      <c r="GG334" s="67"/>
      <c r="GH334" s="67"/>
      <c r="GI334" s="67"/>
      <c r="GJ334" s="67"/>
      <c r="GK334" s="67"/>
      <c r="GL334" s="67"/>
      <c r="GM334" s="67"/>
      <c r="GN334" s="67"/>
      <c r="GO334" s="67"/>
      <c r="GP334" s="67"/>
    </row>
    <row r="335" spans="5:198" s="66" customFormat="1">
      <c r="E335" s="67"/>
      <c r="G335" s="67"/>
      <c r="H335" s="67"/>
      <c r="I335" s="67"/>
      <c r="J335" s="67"/>
      <c r="K335" s="67"/>
      <c r="L335" s="67"/>
      <c r="M335" s="67"/>
      <c r="N335" s="67"/>
      <c r="O335" s="78"/>
      <c r="P335" s="78"/>
      <c r="S335" s="78"/>
      <c r="T335" s="78"/>
      <c r="U335" s="79"/>
      <c r="V335" s="65"/>
      <c r="Y335" s="78"/>
      <c r="Z335" s="78"/>
      <c r="AA335" s="78"/>
      <c r="AB335" s="78"/>
      <c r="AC335" s="78"/>
      <c r="AD335" s="78"/>
      <c r="AE335" s="78"/>
      <c r="AF335" s="78"/>
      <c r="AG335" s="79"/>
      <c r="AH335" s="65"/>
      <c r="AJ335" s="85"/>
      <c r="AK335" s="78"/>
      <c r="AL335" s="78"/>
      <c r="AM335" s="78"/>
      <c r="AN335" s="78"/>
      <c r="AO335" s="78"/>
      <c r="AP335" s="78"/>
      <c r="AQ335" s="79"/>
      <c r="AR335" s="65"/>
      <c r="AT335" s="85"/>
      <c r="AU335" s="78"/>
      <c r="AV335" s="78"/>
      <c r="AW335" s="78"/>
      <c r="AX335" s="78"/>
      <c r="AY335" s="78"/>
      <c r="AZ335" s="79"/>
      <c r="BA335" s="65"/>
      <c r="BC335" s="85"/>
      <c r="BD335" s="78"/>
      <c r="BE335" s="78"/>
      <c r="BF335" s="78"/>
      <c r="BG335" s="78"/>
      <c r="BH335" s="78"/>
      <c r="BI335" s="78"/>
      <c r="BJ335" s="79"/>
      <c r="BK335" s="65"/>
      <c r="CU335" s="67"/>
      <c r="EC335" s="67"/>
      <c r="FK335" s="67"/>
      <c r="FL335" s="67"/>
      <c r="FM335" s="67"/>
      <c r="FN335" s="67"/>
      <c r="FO335" s="67"/>
      <c r="FP335" s="67"/>
      <c r="FQ335" s="67"/>
      <c r="FR335" s="67"/>
      <c r="FS335" s="67"/>
      <c r="FT335" s="67"/>
      <c r="FU335" s="67"/>
      <c r="FV335" s="67"/>
      <c r="FW335" s="67"/>
      <c r="FX335" s="67"/>
      <c r="FY335" s="67"/>
      <c r="FZ335" s="67"/>
      <c r="GA335" s="67"/>
      <c r="GB335" s="67"/>
      <c r="GC335" s="67"/>
      <c r="GD335" s="67"/>
      <c r="GE335" s="67"/>
      <c r="GF335" s="67"/>
      <c r="GG335" s="67"/>
      <c r="GH335" s="67"/>
      <c r="GI335" s="67"/>
      <c r="GJ335" s="67"/>
      <c r="GK335" s="67"/>
      <c r="GL335" s="67"/>
      <c r="GM335" s="67"/>
      <c r="GN335" s="67"/>
      <c r="GO335" s="67"/>
      <c r="GP335" s="67"/>
    </row>
    <row r="336" spans="5:198" s="66" customFormat="1">
      <c r="E336" s="67"/>
      <c r="G336" s="67"/>
      <c r="H336" s="67"/>
      <c r="I336" s="67"/>
      <c r="J336" s="67"/>
      <c r="K336" s="67"/>
      <c r="L336" s="67"/>
      <c r="M336" s="67"/>
      <c r="N336" s="67"/>
      <c r="O336" s="78"/>
      <c r="P336" s="78"/>
      <c r="S336" s="78"/>
      <c r="T336" s="78"/>
      <c r="U336" s="79"/>
      <c r="V336" s="65"/>
      <c r="Y336" s="78"/>
      <c r="Z336" s="78"/>
      <c r="AA336" s="78"/>
      <c r="AB336" s="78"/>
      <c r="AC336" s="78"/>
      <c r="AD336" s="78"/>
      <c r="AE336" s="78"/>
      <c r="AF336" s="78"/>
      <c r="AG336" s="79"/>
      <c r="AH336" s="65"/>
      <c r="AJ336" s="85"/>
      <c r="AK336" s="78"/>
      <c r="AL336" s="78"/>
      <c r="AM336" s="78"/>
      <c r="AN336" s="78"/>
      <c r="AO336" s="78"/>
      <c r="AP336" s="78"/>
      <c r="AQ336" s="79"/>
      <c r="AR336" s="65"/>
      <c r="AT336" s="85"/>
      <c r="AU336" s="78"/>
      <c r="AV336" s="78"/>
      <c r="AW336" s="78"/>
      <c r="AX336" s="78"/>
      <c r="AY336" s="78"/>
      <c r="AZ336" s="79"/>
      <c r="BA336" s="65"/>
      <c r="BC336" s="85"/>
      <c r="BD336" s="78"/>
      <c r="BE336" s="78"/>
      <c r="BF336" s="78"/>
      <c r="BG336" s="78"/>
      <c r="BH336" s="78"/>
      <c r="BI336" s="78"/>
      <c r="BJ336" s="79"/>
      <c r="BK336" s="65"/>
      <c r="CU336" s="67"/>
      <c r="EC336" s="67"/>
      <c r="FK336" s="67"/>
      <c r="FL336" s="67"/>
      <c r="FM336" s="67"/>
      <c r="FN336" s="67"/>
      <c r="FO336" s="67"/>
      <c r="FP336" s="67"/>
      <c r="FQ336" s="67"/>
      <c r="FR336" s="67"/>
      <c r="FS336" s="67"/>
      <c r="FT336" s="67"/>
      <c r="FU336" s="67"/>
      <c r="FV336" s="67"/>
      <c r="FW336" s="67"/>
      <c r="FX336" s="67"/>
      <c r="FY336" s="67"/>
      <c r="FZ336" s="67"/>
      <c r="GA336" s="67"/>
      <c r="GB336" s="67"/>
      <c r="GC336" s="67"/>
      <c r="GD336" s="67"/>
      <c r="GE336" s="67"/>
      <c r="GF336" s="67"/>
      <c r="GG336" s="67"/>
      <c r="GH336" s="67"/>
      <c r="GI336" s="67"/>
      <c r="GJ336" s="67"/>
      <c r="GK336" s="67"/>
      <c r="GL336" s="67"/>
      <c r="GM336" s="67"/>
      <c r="GN336" s="67"/>
      <c r="GO336" s="67"/>
      <c r="GP336" s="67"/>
    </row>
    <row r="337" spans="5:198" s="66" customFormat="1">
      <c r="E337" s="67"/>
      <c r="G337" s="67"/>
      <c r="H337" s="67"/>
      <c r="I337" s="67"/>
      <c r="J337" s="67"/>
      <c r="K337" s="67"/>
      <c r="L337" s="67"/>
      <c r="M337" s="67"/>
      <c r="N337" s="67"/>
      <c r="O337" s="78"/>
      <c r="P337" s="78"/>
      <c r="S337" s="78"/>
      <c r="T337" s="78"/>
      <c r="U337" s="79"/>
      <c r="V337" s="65"/>
      <c r="Y337" s="78"/>
      <c r="Z337" s="78"/>
      <c r="AA337" s="78"/>
      <c r="AB337" s="78"/>
      <c r="AC337" s="78"/>
      <c r="AD337" s="78"/>
      <c r="AE337" s="78"/>
      <c r="AF337" s="78"/>
      <c r="AG337" s="79"/>
      <c r="AH337" s="65"/>
      <c r="AJ337" s="85"/>
      <c r="AK337" s="78"/>
      <c r="AL337" s="78"/>
      <c r="AM337" s="78"/>
      <c r="AN337" s="78"/>
      <c r="AO337" s="78"/>
      <c r="AP337" s="78"/>
      <c r="AQ337" s="79"/>
      <c r="AR337" s="65"/>
      <c r="AT337" s="85"/>
      <c r="AU337" s="78"/>
      <c r="AV337" s="78"/>
      <c r="AW337" s="78"/>
      <c r="AX337" s="78"/>
      <c r="AY337" s="78"/>
      <c r="AZ337" s="79"/>
      <c r="BA337" s="65"/>
      <c r="BC337" s="85"/>
      <c r="BD337" s="78"/>
      <c r="BE337" s="78"/>
      <c r="BF337" s="78"/>
      <c r="BG337" s="78"/>
      <c r="BH337" s="78"/>
      <c r="BI337" s="78"/>
      <c r="BJ337" s="79"/>
      <c r="BK337" s="65"/>
      <c r="CU337" s="67"/>
      <c r="EC337" s="67"/>
      <c r="FK337" s="67"/>
      <c r="FL337" s="67"/>
      <c r="FM337" s="67"/>
      <c r="FN337" s="67"/>
      <c r="FO337" s="67"/>
      <c r="FP337" s="67"/>
      <c r="FQ337" s="67"/>
      <c r="FR337" s="67"/>
      <c r="FS337" s="67"/>
      <c r="FT337" s="67"/>
      <c r="FU337" s="67"/>
      <c r="FV337" s="67"/>
      <c r="FW337" s="67"/>
      <c r="FX337" s="67"/>
      <c r="FY337" s="67"/>
      <c r="FZ337" s="67"/>
      <c r="GA337" s="67"/>
      <c r="GB337" s="67"/>
      <c r="GC337" s="67"/>
      <c r="GD337" s="67"/>
      <c r="GE337" s="67"/>
      <c r="GF337" s="67"/>
      <c r="GG337" s="67"/>
      <c r="GH337" s="67"/>
      <c r="GI337" s="67"/>
      <c r="GJ337" s="67"/>
      <c r="GK337" s="67"/>
      <c r="GL337" s="67"/>
      <c r="GM337" s="67"/>
      <c r="GN337" s="67"/>
      <c r="GO337" s="67"/>
      <c r="GP337" s="67"/>
    </row>
    <row r="338" spans="5:198" s="66" customFormat="1">
      <c r="E338" s="67"/>
      <c r="G338" s="67"/>
      <c r="H338" s="67"/>
      <c r="I338" s="67"/>
      <c r="J338" s="67"/>
      <c r="K338" s="67"/>
      <c r="L338" s="67"/>
      <c r="M338" s="67"/>
      <c r="N338" s="67"/>
      <c r="O338" s="78"/>
      <c r="P338" s="78"/>
      <c r="S338" s="78"/>
      <c r="T338" s="78"/>
      <c r="U338" s="79"/>
      <c r="V338" s="65"/>
      <c r="Y338" s="78"/>
      <c r="Z338" s="78"/>
      <c r="AA338" s="78"/>
      <c r="AB338" s="78"/>
      <c r="AC338" s="78"/>
      <c r="AD338" s="78"/>
      <c r="AE338" s="78"/>
      <c r="AF338" s="78"/>
      <c r="AG338" s="79"/>
      <c r="AH338" s="65"/>
      <c r="AJ338" s="85"/>
      <c r="AK338" s="78"/>
      <c r="AL338" s="78"/>
      <c r="AM338" s="78"/>
      <c r="AN338" s="78"/>
      <c r="AO338" s="78"/>
      <c r="AP338" s="78"/>
      <c r="AQ338" s="79"/>
      <c r="AR338" s="65"/>
      <c r="AT338" s="85"/>
      <c r="AU338" s="78"/>
      <c r="AV338" s="78"/>
      <c r="AW338" s="78"/>
      <c r="AX338" s="78"/>
      <c r="AY338" s="78"/>
      <c r="AZ338" s="79"/>
      <c r="BA338" s="65"/>
      <c r="BC338" s="85"/>
      <c r="BD338" s="78"/>
      <c r="BE338" s="78"/>
      <c r="BF338" s="78"/>
      <c r="BG338" s="78"/>
      <c r="BH338" s="78"/>
      <c r="BI338" s="78"/>
      <c r="BJ338" s="79"/>
      <c r="BK338" s="65"/>
      <c r="CU338" s="67"/>
      <c r="EC338" s="67"/>
      <c r="FK338" s="67"/>
      <c r="FL338" s="67"/>
      <c r="FM338" s="67"/>
      <c r="FN338" s="67"/>
      <c r="FO338" s="67"/>
      <c r="FP338" s="67"/>
      <c r="FQ338" s="67"/>
      <c r="FR338" s="67"/>
      <c r="FS338" s="67"/>
      <c r="FT338" s="67"/>
      <c r="FU338" s="67"/>
      <c r="FV338" s="67"/>
      <c r="FW338" s="67"/>
      <c r="FX338" s="67"/>
      <c r="FY338" s="67"/>
      <c r="FZ338" s="67"/>
      <c r="GA338" s="67"/>
      <c r="GB338" s="67"/>
      <c r="GC338" s="67"/>
      <c r="GD338" s="67"/>
      <c r="GE338" s="67"/>
      <c r="GF338" s="67"/>
      <c r="GG338" s="67"/>
      <c r="GH338" s="67"/>
      <c r="GI338" s="67"/>
      <c r="GJ338" s="67"/>
      <c r="GK338" s="67"/>
      <c r="GL338" s="67"/>
      <c r="GM338" s="67"/>
      <c r="GN338" s="67"/>
      <c r="GO338" s="67"/>
      <c r="GP338" s="67"/>
    </row>
    <row r="339" spans="5:198" s="66" customFormat="1">
      <c r="E339" s="67"/>
      <c r="G339" s="67"/>
      <c r="H339" s="67"/>
      <c r="I339" s="67"/>
      <c r="J339" s="67"/>
      <c r="K339" s="67"/>
      <c r="L339" s="67"/>
      <c r="M339" s="67"/>
      <c r="N339" s="67"/>
      <c r="O339" s="78"/>
      <c r="P339" s="78"/>
      <c r="S339" s="78"/>
      <c r="T339" s="78"/>
      <c r="U339" s="79"/>
      <c r="V339" s="65"/>
      <c r="Y339" s="78"/>
      <c r="Z339" s="78"/>
      <c r="AA339" s="78"/>
      <c r="AB339" s="78"/>
      <c r="AC339" s="78"/>
      <c r="AD339" s="78"/>
      <c r="AE339" s="78"/>
      <c r="AF339" s="78"/>
      <c r="AG339" s="79"/>
      <c r="AH339" s="65"/>
      <c r="AJ339" s="85"/>
      <c r="AK339" s="78"/>
      <c r="AL339" s="78"/>
      <c r="AM339" s="78"/>
      <c r="AN339" s="78"/>
      <c r="AO339" s="78"/>
      <c r="AP339" s="78"/>
      <c r="AQ339" s="79"/>
      <c r="AR339" s="65"/>
      <c r="AT339" s="85"/>
      <c r="AU339" s="78"/>
      <c r="AV339" s="78"/>
      <c r="AW339" s="78"/>
      <c r="AX339" s="78"/>
      <c r="AY339" s="78"/>
      <c r="AZ339" s="79"/>
      <c r="BA339" s="65"/>
      <c r="BC339" s="85"/>
      <c r="BD339" s="78"/>
      <c r="BE339" s="78"/>
      <c r="BF339" s="78"/>
      <c r="BG339" s="78"/>
      <c r="BH339" s="78"/>
      <c r="BI339" s="78"/>
      <c r="BJ339" s="79"/>
      <c r="BK339" s="65"/>
      <c r="CU339" s="67"/>
      <c r="EC339" s="67"/>
      <c r="FK339" s="67"/>
      <c r="FL339" s="67"/>
      <c r="FM339" s="67"/>
      <c r="FN339" s="67"/>
      <c r="FO339" s="67"/>
      <c r="FP339" s="67"/>
      <c r="FQ339" s="67"/>
      <c r="FR339" s="67"/>
      <c r="FS339" s="67"/>
      <c r="FT339" s="67"/>
      <c r="FU339" s="67"/>
      <c r="FV339" s="67"/>
      <c r="FW339" s="67"/>
      <c r="FX339" s="67"/>
      <c r="FY339" s="67"/>
      <c r="FZ339" s="67"/>
      <c r="GA339" s="67"/>
      <c r="GB339" s="67"/>
      <c r="GC339" s="67"/>
      <c r="GD339" s="67"/>
      <c r="GE339" s="67"/>
      <c r="GF339" s="67"/>
      <c r="GG339" s="67"/>
      <c r="GH339" s="67"/>
      <c r="GI339" s="67"/>
      <c r="GJ339" s="67"/>
      <c r="GK339" s="67"/>
      <c r="GL339" s="67"/>
      <c r="GM339" s="67"/>
      <c r="GN339" s="67"/>
      <c r="GO339" s="67"/>
      <c r="GP339" s="67"/>
    </row>
    <row r="340" spans="5:198" s="66" customFormat="1">
      <c r="E340" s="67"/>
      <c r="G340" s="67"/>
      <c r="H340" s="67"/>
      <c r="I340" s="67"/>
      <c r="J340" s="67"/>
      <c r="K340" s="67"/>
      <c r="L340" s="67"/>
      <c r="M340" s="67"/>
      <c r="N340" s="67"/>
      <c r="O340" s="78"/>
      <c r="P340" s="78"/>
      <c r="S340" s="78"/>
      <c r="T340" s="78"/>
      <c r="U340" s="79"/>
      <c r="V340" s="65"/>
      <c r="Y340" s="78"/>
      <c r="Z340" s="78"/>
      <c r="AA340" s="78"/>
      <c r="AB340" s="78"/>
      <c r="AC340" s="78"/>
      <c r="AD340" s="78"/>
      <c r="AE340" s="78"/>
      <c r="AF340" s="78"/>
      <c r="AG340" s="79"/>
      <c r="AH340" s="65"/>
      <c r="AJ340" s="85"/>
      <c r="AK340" s="78"/>
      <c r="AL340" s="78"/>
      <c r="AM340" s="78"/>
      <c r="AN340" s="78"/>
      <c r="AO340" s="78"/>
      <c r="AP340" s="78"/>
      <c r="AQ340" s="79"/>
      <c r="AR340" s="65"/>
      <c r="AT340" s="85"/>
      <c r="AU340" s="78"/>
      <c r="AV340" s="78"/>
      <c r="AW340" s="78"/>
      <c r="AX340" s="78"/>
      <c r="AY340" s="78"/>
      <c r="AZ340" s="79"/>
      <c r="BA340" s="65"/>
      <c r="BC340" s="85"/>
      <c r="BD340" s="78"/>
      <c r="BE340" s="78"/>
      <c r="BF340" s="78"/>
      <c r="BG340" s="78"/>
      <c r="BH340" s="78"/>
      <c r="BI340" s="78"/>
      <c r="BJ340" s="79"/>
      <c r="BK340" s="65"/>
      <c r="CU340" s="67"/>
      <c r="EC340" s="67"/>
      <c r="FK340" s="67"/>
      <c r="FL340" s="67"/>
      <c r="FM340" s="67"/>
      <c r="FN340" s="67"/>
      <c r="FO340" s="67"/>
      <c r="FP340" s="67"/>
      <c r="FQ340" s="67"/>
      <c r="FR340" s="67"/>
      <c r="FS340" s="67"/>
      <c r="FT340" s="67"/>
      <c r="FU340" s="67"/>
      <c r="FV340" s="67"/>
      <c r="FW340" s="67"/>
      <c r="FX340" s="67"/>
      <c r="FY340" s="67"/>
      <c r="FZ340" s="67"/>
      <c r="GA340" s="67"/>
      <c r="GB340" s="67"/>
      <c r="GC340" s="67"/>
      <c r="GD340" s="67"/>
      <c r="GE340" s="67"/>
      <c r="GF340" s="67"/>
      <c r="GG340" s="67"/>
      <c r="GH340" s="67"/>
      <c r="GI340" s="67"/>
      <c r="GJ340" s="67"/>
      <c r="GK340" s="67"/>
      <c r="GL340" s="67"/>
      <c r="GM340" s="67"/>
      <c r="GN340" s="67"/>
      <c r="GO340" s="67"/>
      <c r="GP340" s="67"/>
    </row>
    <row r="341" spans="5:198" s="66" customFormat="1">
      <c r="E341" s="67"/>
      <c r="G341" s="67"/>
      <c r="H341" s="67"/>
      <c r="I341" s="67"/>
      <c r="J341" s="67"/>
      <c r="K341" s="67"/>
      <c r="L341" s="67"/>
      <c r="M341" s="67"/>
      <c r="N341" s="67"/>
      <c r="O341" s="78"/>
      <c r="P341" s="78"/>
      <c r="S341" s="78"/>
      <c r="T341" s="78"/>
      <c r="U341" s="79"/>
      <c r="V341" s="65"/>
      <c r="Y341" s="78"/>
      <c r="Z341" s="78"/>
      <c r="AA341" s="78"/>
      <c r="AB341" s="78"/>
      <c r="AC341" s="78"/>
      <c r="AD341" s="78"/>
      <c r="AE341" s="78"/>
      <c r="AF341" s="78"/>
      <c r="AG341" s="79"/>
      <c r="AH341" s="65"/>
      <c r="AJ341" s="85"/>
      <c r="AK341" s="78"/>
      <c r="AL341" s="78"/>
      <c r="AM341" s="78"/>
      <c r="AN341" s="78"/>
      <c r="AO341" s="78"/>
      <c r="AP341" s="78"/>
      <c r="AQ341" s="79"/>
      <c r="AR341" s="65"/>
      <c r="AT341" s="85"/>
      <c r="AU341" s="78"/>
      <c r="AV341" s="78"/>
      <c r="AW341" s="78"/>
      <c r="AX341" s="78"/>
      <c r="AY341" s="78"/>
      <c r="AZ341" s="79"/>
      <c r="BA341" s="65"/>
      <c r="BC341" s="85"/>
      <c r="BD341" s="78"/>
      <c r="BE341" s="78"/>
      <c r="BF341" s="78"/>
      <c r="BG341" s="78"/>
      <c r="BH341" s="78"/>
      <c r="BI341" s="78"/>
      <c r="BJ341" s="79"/>
      <c r="BK341" s="65"/>
      <c r="CU341" s="67"/>
      <c r="EC341" s="67"/>
      <c r="FK341" s="67"/>
      <c r="FL341" s="67"/>
      <c r="FM341" s="67"/>
      <c r="FN341" s="67"/>
      <c r="FO341" s="67"/>
      <c r="FP341" s="67"/>
      <c r="FQ341" s="67"/>
      <c r="FR341" s="67"/>
      <c r="FS341" s="67"/>
      <c r="FT341" s="67"/>
      <c r="FU341" s="67"/>
      <c r="FV341" s="67"/>
      <c r="FW341" s="67"/>
      <c r="FX341" s="67"/>
      <c r="FY341" s="67"/>
      <c r="FZ341" s="67"/>
      <c r="GA341" s="67"/>
      <c r="GB341" s="67"/>
      <c r="GC341" s="67"/>
      <c r="GD341" s="67"/>
      <c r="GE341" s="67"/>
      <c r="GF341" s="67"/>
      <c r="GG341" s="67"/>
      <c r="GH341" s="67"/>
      <c r="GI341" s="67"/>
      <c r="GJ341" s="67"/>
      <c r="GK341" s="67"/>
      <c r="GL341" s="67"/>
      <c r="GM341" s="67"/>
      <c r="GN341" s="67"/>
      <c r="GO341" s="67"/>
      <c r="GP341" s="67"/>
    </row>
    <row r="342" spans="5:198" s="66" customFormat="1">
      <c r="E342" s="67"/>
      <c r="G342" s="67"/>
      <c r="H342" s="67"/>
      <c r="I342" s="67"/>
      <c r="J342" s="67"/>
      <c r="K342" s="67"/>
      <c r="L342" s="67"/>
      <c r="M342" s="67"/>
      <c r="N342" s="67"/>
      <c r="O342" s="78"/>
      <c r="P342" s="78"/>
      <c r="S342" s="78"/>
      <c r="T342" s="78"/>
      <c r="U342" s="79"/>
      <c r="V342" s="65"/>
      <c r="Y342" s="78"/>
      <c r="Z342" s="78"/>
      <c r="AA342" s="78"/>
      <c r="AB342" s="78"/>
      <c r="AC342" s="78"/>
      <c r="AD342" s="78"/>
      <c r="AE342" s="78"/>
      <c r="AF342" s="78"/>
      <c r="AG342" s="79"/>
      <c r="AH342" s="65"/>
      <c r="AJ342" s="85"/>
      <c r="AK342" s="78"/>
      <c r="AL342" s="78"/>
      <c r="AM342" s="78"/>
      <c r="AN342" s="78"/>
      <c r="AO342" s="78"/>
      <c r="AP342" s="78"/>
      <c r="AQ342" s="79"/>
      <c r="AR342" s="65"/>
      <c r="AT342" s="85"/>
      <c r="AU342" s="78"/>
      <c r="AV342" s="78"/>
      <c r="AW342" s="78"/>
      <c r="AX342" s="78"/>
      <c r="AY342" s="78"/>
      <c r="AZ342" s="79"/>
      <c r="BA342" s="65"/>
      <c r="BC342" s="85"/>
      <c r="BD342" s="78"/>
      <c r="BE342" s="78"/>
      <c r="BF342" s="78"/>
      <c r="BG342" s="78"/>
      <c r="BH342" s="78"/>
      <c r="BI342" s="78"/>
      <c r="BJ342" s="79"/>
      <c r="BK342" s="65"/>
      <c r="CU342" s="67"/>
      <c r="EC342" s="67"/>
      <c r="FK342" s="67"/>
      <c r="FL342" s="67"/>
      <c r="FM342" s="67"/>
      <c r="FN342" s="67"/>
      <c r="FO342" s="67"/>
      <c r="FP342" s="67"/>
      <c r="FQ342" s="67"/>
      <c r="FR342" s="67"/>
      <c r="FS342" s="67"/>
      <c r="FT342" s="67"/>
      <c r="FU342" s="67"/>
      <c r="FV342" s="67"/>
      <c r="FW342" s="67"/>
      <c r="FX342" s="67"/>
      <c r="FY342" s="67"/>
      <c r="FZ342" s="67"/>
      <c r="GA342" s="67"/>
      <c r="GB342" s="67"/>
      <c r="GC342" s="67"/>
      <c r="GD342" s="67"/>
      <c r="GE342" s="67"/>
      <c r="GF342" s="67"/>
      <c r="GG342" s="67"/>
      <c r="GH342" s="67"/>
      <c r="GI342" s="67"/>
      <c r="GJ342" s="67"/>
      <c r="GK342" s="67"/>
      <c r="GL342" s="67"/>
      <c r="GM342" s="67"/>
      <c r="GN342" s="67"/>
      <c r="GO342" s="67"/>
      <c r="GP342" s="67"/>
    </row>
    <row r="343" spans="5:198" s="66" customFormat="1">
      <c r="E343" s="67"/>
      <c r="G343" s="67"/>
      <c r="H343" s="67"/>
      <c r="I343" s="67"/>
      <c r="J343" s="67"/>
      <c r="K343" s="67"/>
      <c r="L343" s="67"/>
      <c r="M343" s="67"/>
      <c r="N343" s="67"/>
      <c r="O343" s="78"/>
      <c r="P343" s="78"/>
      <c r="S343" s="78"/>
      <c r="T343" s="78"/>
      <c r="U343" s="79"/>
      <c r="V343" s="65"/>
      <c r="Y343" s="78"/>
      <c r="Z343" s="78"/>
      <c r="AA343" s="78"/>
      <c r="AB343" s="78"/>
      <c r="AC343" s="78"/>
      <c r="AD343" s="78"/>
      <c r="AE343" s="78"/>
      <c r="AF343" s="78"/>
      <c r="AG343" s="79"/>
      <c r="AH343" s="65"/>
      <c r="AJ343" s="85"/>
      <c r="AK343" s="78"/>
      <c r="AL343" s="78"/>
      <c r="AM343" s="78"/>
      <c r="AN343" s="78"/>
      <c r="AO343" s="78"/>
      <c r="AP343" s="78"/>
      <c r="AQ343" s="79"/>
      <c r="AR343" s="65"/>
      <c r="AT343" s="85"/>
      <c r="AU343" s="78"/>
      <c r="AV343" s="78"/>
      <c r="AW343" s="78"/>
      <c r="AX343" s="78"/>
      <c r="AY343" s="78"/>
      <c r="AZ343" s="79"/>
      <c r="BA343" s="65"/>
      <c r="BC343" s="85"/>
      <c r="BD343" s="78"/>
      <c r="BE343" s="78"/>
      <c r="BF343" s="78"/>
      <c r="BG343" s="78"/>
      <c r="BH343" s="78"/>
      <c r="BI343" s="78"/>
      <c r="BJ343" s="79"/>
      <c r="BK343" s="65"/>
      <c r="CU343" s="67"/>
      <c r="EC343" s="67"/>
      <c r="FK343" s="67"/>
      <c r="FL343" s="67"/>
      <c r="FM343" s="67"/>
      <c r="FN343" s="67"/>
      <c r="FO343" s="67"/>
      <c r="FP343" s="67"/>
      <c r="FQ343" s="67"/>
      <c r="FR343" s="67"/>
      <c r="FS343" s="67"/>
      <c r="FT343" s="67"/>
      <c r="FU343" s="67"/>
      <c r="FV343" s="67"/>
      <c r="FW343" s="67"/>
      <c r="FX343" s="67"/>
      <c r="FY343" s="67"/>
      <c r="FZ343" s="67"/>
      <c r="GA343" s="67"/>
      <c r="GB343" s="67"/>
      <c r="GC343" s="67"/>
      <c r="GD343" s="67"/>
      <c r="GE343" s="67"/>
      <c r="GF343" s="67"/>
      <c r="GG343" s="67"/>
      <c r="GH343" s="67"/>
      <c r="GI343" s="67"/>
      <c r="GJ343" s="67"/>
      <c r="GK343" s="67"/>
      <c r="GL343" s="67"/>
      <c r="GM343" s="67"/>
      <c r="GN343" s="67"/>
      <c r="GO343" s="67"/>
      <c r="GP343" s="67"/>
    </row>
    <row r="344" spans="5:198" s="66" customFormat="1">
      <c r="E344" s="67"/>
      <c r="G344" s="67"/>
      <c r="H344" s="67"/>
      <c r="I344" s="67"/>
      <c r="J344" s="67"/>
      <c r="K344" s="67"/>
      <c r="L344" s="67"/>
      <c r="M344" s="67"/>
      <c r="N344" s="67"/>
      <c r="O344" s="78"/>
      <c r="P344" s="78"/>
      <c r="S344" s="78"/>
      <c r="T344" s="78"/>
      <c r="U344" s="79"/>
      <c r="V344" s="65"/>
      <c r="Y344" s="78"/>
      <c r="Z344" s="78"/>
      <c r="AA344" s="78"/>
      <c r="AB344" s="78"/>
      <c r="AC344" s="78"/>
      <c r="AD344" s="78"/>
      <c r="AE344" s="78"/>
      <c r="AF344" s="78"/>
      <c r="AG344" s="79"/>
      <c r="AH344" s="65"/>
      <c r="AJ344" s="85"/>
      <c r="AK344" s="78"/>
      <c r="AL344" s="78"/>
      <c r="AM344" s="78"/>
      <c r="AN344" s="78"/>
      <c r="AO344" s="78"/>
      <c r="AP344" s="78"/>
      <c r="AQ344" s="79"/>
      <c r="AR344" s="65"/>
      <c r="AT344" s="85"/>
      <c r="AU344" s="78"/>
      <c r="AV344" s="78"/>
      <c r="AW344" s="78"/>
      <c r="AX344" s="78"/>
      <c r="AY344" s="78"/>
      <c r="AZ344" s="79"/>
      <c r="BA344" s="65"/>
      <c r="BC344" s="85"/>
      <c r="BD344" s="78"/>
      <c r="BE344" s="78"/>
      <c r="BF344" s="78"/>
      <c r="BG344" s="78"/>
      <c r="BH344" s="78"/>
      <c r="BI344" s="78"/>
      <c r="BJ344" s="79"/>
      <c r="BK344" s="65"/>
      <c r="CU344" s="67"/>
      <c r="EC344" s="67"/>
      <c r="FK344" s="67"/>
      <c r="FL344" s="67"/>
      <c r="FM344" s="67"/>
      <c r="FN344" s="67"/>
      <c r="FO344" s="67"/>
      <c r="FP344" s="67"/>
      <c r="FQ344" s="67"/>
      <c r="FR344" s="67"/>
      <c r="FS344" s="67"/>
      <c r="FT344" s="67"/>
      <c r="FU344" s="67"/>
      <c r="FV344" s="67"/>
      <c r="FW344" s="67"/>
      <c r="FX344" s="67"/>
      <c r="FY344" s="67"/>
      <c r="FZ344" s="67"/>
      <c r="GA344" s="67"/>
      <c r="GB344" s="67"/>
      <c r="GC344" s="67"/>
      <c r="GD344" s="67"/>
      <c r="GE344" s="67"/>
      <c r="GF344" s="67"/>
      <c r="GG344" s="67"/>
      <c r="GH344" s="67"/>
      <c r="GI344" s="67"/>
      <c r="GJ344" s="67"/>
      <c r="GK344" s="67"/>
      <c r="GL344" s="67"/>
      <c r="GM344" s="67"/>
      <c r="GN344" s="67"/>
      <c r="GO344" s="67"/>
      <c r="GP344" s="67"/>
    </row>
    <row r="345" spans="5:198" s="66" customFormat="1">
      <c r="E345" s="67"/>
      <c r="G345" s="67"/>
      <c r="H345" s="67"/>
      <c r="I345" s="67"/>
      <c r="J345" s="67"/>
      <c r="K345" s="67"/>
      <c r="L345" s="67"/>
      <c r="M345" s="67"/>
      <c r="N345" s="67"/>
      <c r="O345" s="78"/>
      <c r="P345" s="78"/>
      <c r="S345" s="78"/>
      <c r="T345" s="78"/>
      <c r="U345" s="79"/>
      <c r="V345" s="65"/>
      <c r="Y345" s="78"/>
      <c r="Z345" s="78"/>
      <c r="AA345" s="78"/>
      <c r="AB345" s="78"/>
      <c r="AC345" s="78"/>
      <c r="AD345" s="78"/>
      <c r="AE345" s="78"/>
      <c r="AF345" s="78"/>
      <c r="AG345" s="79"/>
      <c r="AH345" s="65"/>
      <c r="AJ345" s="85"/>
      <c r="AK345" s="78"/>
      <c r="AL345" s="78"/>
      <c r="AM345" s="78"/>
      <c r="AN345" s="78"/>
      <c r="AO345" s="78"/>
      <c r="AP345" s="78"/>
      <c r="AQ345" s="79"/>
      <c r="AR345" s="65"/>
      <c r="AT345" s="85"/>
      <c r="AU345" s="78"/>
      <c r="AV345" s="78"/>
      <c r="AW345" s="78"/>
      <c r="AX345" s="78"/>
      <c r="AY345" s="78"/>
      <c r="AZ345" s="79"/>
      <c r="BA345" s="65"/>
      <c r="BC345" s="85"/>
      <c r="BD345" s="78"/>
      <c r="BE345" s="78"/>
      <c r="BF345" s="78"/>
      <c r="BG345" s="78"/>
      <c r="BH345" s="78"/>
      <c r="BI345" s="78"/>
      <c r="BJ345" s="79"/>
      <c r="BK345" s="65"/>
      <c r="CU345" s="67"/>
      <c r="EC345" s="67"/>
      <c r="FK345" s="67"/>
      <c r="FL345" s="67"/>
      <c r="FM345" s="67"/>
      <c r="FN345" s="67"/>
      <c r="FO345" s="67"/>
      <c r="FP345" s="67"/>
      <c r="FQ345" s="67"/>
      <c r="FR345" s="67"/>
      <c r="FS345" s="67"/>
      <c r="FT345" s="67"/>
      <c r="FU345" s="67"/>
      <c r="FV345" s="67"/>
      <c r="FW345" s="67"/>
      <c r="FX345" s="67"/>
      <c r="FY345" s="67"/>
      <c r="FZ345" s="67"/>
      <c r="GA345" s="67"/>
      <c r="GB345" s="67"/>
      <c r="GC345" s="67"/>
      <c r="GD345" s="67"/>
      <c r="GE345" s="67"/>
      <c r="GF345" s="67"/>
      <c r="GG345" s="67"/>
      <c r="GH345" s="67"/>
      <c r="GI345" s="67"/>
      <c r="GJ345" s="67"/>
      <c r="GK345" s="67"/>
      <c r="GL345" s="67"/>
      <c r="GM345" s="67"/>
      <c r="GN345" s="67"/>
      <c r="GO345" s="67"/>
      <c r="GP345" s="67"/>
    </row>
    <row r="346" spans="5:198" s="66" customFormat="1">
      <c r="E346" s="67"/>
      <c r="G346" s="67"/>
      <c r="H346" s="67"/>
      <c r="I346" s="67"/>
      <c r="J346" s="67"/>
      <c r="K346" s="67"/>
      <c r="L346" s="67"/>
      <c r="M346" s="67"/>
      <c r="N346" s="67"/>
      <c r="O346" s="78"/>
      <c r="P346" s="78"/>
      <c r="S346" s="78"/>
      <c r="T346" s="78"/>
      <c r="U346" s="79"/>
      <c r="V346" s="65"/>
      <c r="Y346" s="78"/>
      <c r="Z346" s="78"/>
      <c r="AA346" s="78"/>
      <c r="AB346" s="78"/>
      <c r="AC346" s="78"/>
      <c r="AD346" s="78"/>
      <c r="AE346" s="78"/>
      <c r="AF346" s="78"/>
      <c r="AG346" s="79"/>
      <c r="AH346" s="65"/>
      <c r="AJ346" s="85"/>
      <c r="AK346" s="78"/>
      <c r="AL346" s="78"/>
      <c r="AM346" s="78"/>
      <c r="AN346" s="78"/>
      <c r="AO346" s="78"/>
      <c r="AP346" s="78"/>
      <c r="AQ346" s="79"/>
      <c r="AR346" s="65"/>
      <c r="AT346" s="85"/>
      <c r="AU346" s="78"/>
      <c r="AV346" s="78"/>
      <c r="AW346" s="78"/>
      <c r="AX346" s="78"/>
      <c r="AY346" s="78"/>
      <c r="AZ346" s="79"/>
      <c r="BA346" s="65"/>
      <c r="BC346" s="85"/>
      <c r="BD346" s="78"/>
      <c r="BE346" s="78"/>
      <c r="BF346" s="78"/>
      <c r="BG346" s="78"/>
      <c r="BH346" s="78"/>
      <c r="BI346" s="78"/>
      <c r="BJ346" s="79"/>
      <c r="BK346" s="65"/>
      <c r="CU346" s="67"/>
      <c r="EC346" s="67"/>
      <c r="FK346" s="67"/>
      <c r="FL346" s="67"/>
      <c r="FM346" s="67"/>
      <c r="FN346" s="67"/>
      <c r="FO346" s="67"/>
      <c r="FP346" s="67"/>
      <c r="FQ346" s="67"/>
      <c r="FR346" s="67"/>
      <c r="FS346" s="67"/>
      <c r="FT346" s="67"/>
      <c r="FU346" s="67"/>
      <c r="FV346" s="67"/>
      <c r="FW346" s="67"/>
      <c r="FX346" s="67"/>
      <c r="FY346" s="67"/>
      <c r="FZ346" s="67"/>
      <c r="GA346" s="67"/>
      <c r="GB346" s="67"/>
      <c r="GC346" s="67"/>
      <c r="GD346" s="67"/>
      <c r="GE346" s="67"/>
      <c r="GF346" s="67"/>
      <c r="GG346" s="67"/>
      <c r="GH346" s="67"/>
      <c r="GI346" s="67"/>
      <c r="GJ346" s="67"/>
      <c r="GK346" s="67"/>
      <c r="GL346" s="67"/>
      <c r="GM346" s="67"/>
      <c r="GN346" s="67"/>
      <c r="GO346" s="67"/>
      <c r="GP346" s="67"/>
    </row>
    <row r="347" spans="5:198" s="66" customFormat="1">
      <c r="E347" s="67"/>
      <c r="G347" s="67"/>
      <c r="H347" s="67"/>
      <c r="I347" s="67"/>
      <c r="J347" s="67"/>
      <c r="K347" s="67"/>
      <c r="L347" s="67"/>
      <c r="M347" s="67"/>
      <c r="N347" s="67"/>
      <c r="O347" s="78"/>
      <c r="P347" s="78"/>
      <c r="S347" s="78"/>
      <c r="T347" s="78"/>
      <c r="U347" s="79"/>
      <c r="V347" s="65"/>
      <c r="Y347" s="78"/>
      <c r="Z347" s="78"/>
      <c r="AA347" s="78"/>
      <c r="AB347" s="78"/>
      <c r="AC347" s="78"/>
      <c r="AD347" s="78"/>
      <c r="AE347" s="78"/>
      <c r="AF347" s="78"/>
      <c r="AG347" s="79"/>
      <c r="AH347" s="65"/>
      <c r="AJ347" s="85"/>
      <c r="AK347" s="78"/>
      <c r="AL347" s="78"/>
      <c r="AM347" s="78"/>
      <c r="AN347" s="78"/>
      <c r="AO347" s="78"/>
      <c r="AP347" s="78"/>
      <c r="AQ347" s="79"/>
      <c r="AR347" s="65"/>
      <c r="AT347" s="85"/>
      <c r="AU347" s="78"/>
      <c r="AV347" s="78"/>
      <c r="AW347" s="78"/>
      <c r="AX347" s="78"/>
      <c r="AY347" s="78"/>
      <c r="AZ347" s="79"/>
      <c r="BA347" s="65"/>
      <c r="BC347" s="85"/>
      <c r="BD347" s="78"/>
      <c r="BE347" s="78"/>
      <c r="BF347" s="78"/>
      <c r="BG347" s="78"/>
      <c r="BH347" s="78"/>
      <c r="BI347" s="78"/>
      <c r="BJ347" s="79"/>
      <c r="BK347" s="65"/>
      <c r="CU347" s="67"/>
      <c r="EC347" s="67"/>
      <c r="FK347" s="67"/>
      <c r="FL347" s="67"/>
      <c r="FM347" s="67"/>
      <c r="FN347" s="67"/>
      <c r="FO347" s="67"/>
      <c r="FP347" s="67"/>
      <c r="FQ347" s="67"/>
      <c r="FR347" s="67"/>
      <c r="FS347" s="67"/>
      <c r="FT347" s="67"/>
      <c r="FU347" s="67"/>
      <c r="FV347" s="67"/>
      <c r="FW347" s="67"/>
      <c r="FX347" s="67"/>
      <c r="FY347" s="67"/>
      <c r="FZ347" s="67"/>
      <c r="GA347" s="67"/>
      <c r="GB347" s="67"/>
      <c r="GC347" s="67"/>
      <c r="GD347" s="67"/>
      <c r="GE347" s="67"/>
      <c r="GF347" s="67"/>
      <c r="GG347" s="67"/>
      <c r="GH347" s="67"/>
      <c r="GI347" s="67"/>
      <c r="GJ347" s="67"/>
      <c r="GK347" s="67"/>
      <c r="GL347" s="67"/>
      <c r="GM347" s="67"/>
      <c r="GN347" s="67"/>
      <c r="GO347" s="67"/>
      <c r="GP347" s="67"/>
    </row>
    <row r="348" spans="5:198" s="66" customFormat="1">
      <c r="E348" s="67"/>
      <c r="G348" s="67"/>
      <c r="H348" s="67"/>
      <c r="I348" s="67"/>
      <c r="J348" s="67"/>
      <c r="K348" s="67"/>
      <c r="L348" s="67"/>
      <c r="M348" s="67"/>
      <c r="N348" s="67"/>
      <c r="O348" s="78"/>
      <c r="P348" s="78"/>
      <c r="S348" s="78"/>
      <c r="T348" s="78"/>
      <c r="U348" s="79"/>
      <c r="V348" s="65"/>
      <c r="Y348" s="78"/>
      <c r="Z348" s="78"/>
      <c r="AA348" s="78"/>
      <c r="AB348" s="78"/>
      <c r="AC348" s="78"/>
      <c r="AD348" s="78"/>
      <c r="AE348" s="78"/>
      <c r="AF348" s="78"/>
      <c r="AG348" s="79"/>
      <c r="AH348" s="65"/>
      <c r="AJ348" s="85"/>
      <c r="AK348" s="78"/>
      <c r="AL348" s="78"/>
      <c r="AM348" s="78"/>
      <c r="AN348" s="78"/>
      <c r="AO348" s="78"/>
      <c r="AP348" s="78"/>
      <c r="AQ348" s="79"/>
      <c r="AR348" s="65"/>
      <c r="AT348" s="85"/>
      <c r="AU348" s="78"/>
      <c r="AV348" s="78"/>
      <c r="AW348" s="78"/>
      <c r="AX348" s="78"/>
      <c r="AY348" s="78"/>
      <c r="AZ348" s="79"/>
      <c r="BA348" s="65"/>
      <c r="BC348" s="85"/>
      <c r="BD348" s="78"/>
      <c r="BE348" s="78"/>
      <c r="BF348" s="78"/>
      <c r="BG348" s="78"/>
      <c r="BH348" s="78"/>
      <c r="BI348" s="78"/>
      <c r="BJ348" s="79"/>
      <c r="BK348" s="65"/>
      <c r="CU348" s="67"/>
      <c r="EC348" s="67"/>
      <c r="FK348" s="67"/>
      <c r="FL348" s="67"/>
      <c r="FM348" s="67"/>
      <c r="FN348" s="67"/>
      <c r="FO348" s="67"/>
      <c r="FP348" s="67"/>
      <c r="FQ348" s="67"/>
      <c r="FR348" s="67"/>
      <c r="FS348" s="67"/>
      <c r="FT348" s="67"/>
      <c r="FU348" s="67"/>
      <c r="FV348" s="67"/>
      <c r="FW348" s="67"/>
      <c r="FX348" s="67"/>
      <c r="FY348" s="67"/>
      <c r="FZ348" s="67"/>
      <c r="GA348" s="67"/>
      <c r="GB348" s="67"/>
      <c r="GC348" s="67"/>
      <c r="GD348" s="67"/>
      <c r="GE348" s="67"/>
      <c r="GF348" s="67"/>
      <c r="GG348" s="67"/>
      <c r="GH348" s="67"/>
      <c r="GI348" s="67"/>
      <c r="GJ348" s="67"/>
      <c r="GK348" s="67"/>
      <c r="GL348" s="67"/>
      <c r="GM348" s="67"/>
      <c r="GN348" s="67"/>
      <c r="GO348" s="67"/>
      <c r="GP348" s="67"/>
    </row>
    <row r="349" spans="5:198" s="66" customFormat="1">
      <c r="E349" s="67"/>
      <c r="G349" s="67"/>
      <c r="H349" s="67"/>
      <c r="I349" s="67"/>
      <c r="J349" s="67"/>
      <c r="K349" s="67"/>
      <c r="L349" s="67"/>
      <c r="M349" s="67"/>
      <c r="N349" s="67"/>
      <c r="O349" s="78"/>
      <c r="P349" s="78"/>
      <c r="S349" s="78"/>
      <c r="T349" s="78"/>
      <c r="U349" s="79"/>
      <c r="V349" s="65"/>
      <c r="Y349" s="78"/>
      <c r="Z349" s="78"/>
      <c r="AA349" s="78"/>
      <c r="AB349" s="78"/>
      <c r="AC349" s="78"/>
      <c r="AD349" s="78"/>
      <c r="AE349" s="78"/>
      <c r="AF349" s="78"/>
      <c r="AG349" s="79"/>
      <c r="AH349" s="65"/>
      <c r="AJ349" s="85"/>
      <c r="AK349" s="78"/>
      <c r="AL349" s="78"/>
      <c r="AM349" s="78"/>
      <c r="AN349" s="78"/>
      <c r="AO349" s="78"/>
      <c r="AP349" s="78"/>
      <c r="AQ349" s="79"/>
      <c r="AR349" s="65"/>
      <c r="AT349" s="85"/>
      <c r="AU349" s="78"/>
      <c r="AV349" s="78"/>
      <c r="AW349" s="78"/>
      <c r="AX349" s="78"/>
      <c r="AY349" s="78"/>
      <c r="AZ349" s="79"/>
      <c r="BA349" s="65"/>
      <c r="BC349" s="85"/>
      <c r="BD349" s="78"/>
      <c r="BE349" s="78"/>
      <c r="BF349" s="78"/>
      <c r="BG349" s="78"/>
      <c r="BH349" s="78"/>
      <c r="BI349" s="78"/>
      <c r="BJ349" s="79"/>
      <c r="BK349" s="65"/>
      <c r="CU349" s="67"/>
      <c r="EC349" s="67"/>
      <c r="FK349" s="67"/>
      <c r="FL349" s="67"/>
      <c r="FM349" s="67"/>
      <c r="FN349" s="67"/>
      <c r="FO349" s="67"/>
      <c r="FP349" s="67"/>
      <c r="FQ349" s="67"/>
      <c r="FR349" s="67"/>
      <c r="FS349" s="67"/>
      <c r="FT349" s="67"/>
      <c r="FU349" s="67"/>
      <c r="FV349" s="67"/>
      <c r="FW349" s="67"/>
      <c r="FX349" s="67"/>
      <c r="FY349" s="67"/>
      <c r="FZ349" s="67"/>
      <c r="GA349" s="67"/>
      <c r="GB349" s="67"/>
      <c r="GC349" s="67"/>
      <c r="GD349" s="67"/>
      <c r="GE349" s="67"/>
      <c r="GF349" s="67"/>
      <c r="GG349" s="67"/>
      <c r="GH349" s="67"/>
      <c r="GI349" s="67"/>
      <c r="GJ349" s="67"/>
      <c r="GK349" s="67"/>
      <c r="GL349" s="67"/>
      <c r="GM349" s="67"/>
      <c r="GN349" s="67"/>
      <c r="GO349" s="67"/>
      <c r="GP349" s="67"/>
    </row>
    <row r="350" spans="5:198" s="66" customFormat="1">
      <c r="E350" s="67"/>
      <c r="G350" s="67"/>
      <c r="H350" s="67"/>
      <c r="I350" s="67"/>
      <c r="J350" s="67"/>
      <c r="K350" s="67"/>
      <c r="L350" s="67"/>
      <c r="M350" s="67"/>
      <c r="N350" s="67"/>
      <c r="O350" s="78"/>
      <c r="P350" s="78"/>
      <c r="S350" s="78"/>
      <c r="T350" s="78"/>
      <c r="U350" s="79"/>
      <c r="V350" s="65"/>
      <c r="Y350" s="78"/>
      <c r="Z350" s="78"/>
      <c r="AA350" s="78"/>
      <c r="AB350" s="78"/>
      <c r="AC350" s="78"/>
      <c r="AD350" s="78"/>
      <c r="AE350" s="78"/>
      <c r="AF350" s="78"/>
      <c r="AG350" s="79"/>
      <c r="AH350" s="65"/>
      <c r="AJ350" s="85"/>
      <c r="AK350" s="78"/>
      <c r="AL350" s="78"/>
      <c r="AM350" s="78"/>
      <c r="AN350" s="78"/>
      <c r="AO350" s="78"/>
      <c r="AP350" s="78"/>
      <c r="AQ350" s="79"/>
      <c r="AR350" s="65"/>
      <c r="AT350" s="85"/>
      <c r="AU350" s="78"/>
      <c r="AV350" s="78"/>
      <c r="AW350" s="78"/>
      <c r="AX350" s="78"/>
      <c r="AY350" s="78"/>
      <c r="AZ350" s="79"/>
      <c r="BA350" s="65"/>
      <c r="BC350" s="85"/>
      <c r="BD350" s="78"/>
      <c r="BE350" s="78"/>
      <c r="BF350" s="78"/>
      <c r="BG350" s="78"/>
      <c r="BH350" s="78"/>
      <c r="BI350" s="78"/>
      <c r="BJ350" s="79"/>
      <c r="BK350" s="65"/>
      <c r="CU350" s="67"/>
      <c r="EC350" s="67"/>
      <c r="FK350" s="67"/>
      <c r="FL350" s="67"/>
      <c r="FM350" s="67"/>
      <c r="FN350" s="67"/>
      <c r="FO350" s="67"/>
      <c r="FP350" s="67"/>
      <c r="FQ350" s="67"/>
      <c r="FR350" s="67"/>
      <c r="FS350" s="67"/>
      <c r="FT350" s="67"/>
      <c r="FU350" s="67"/>
      <c r="FV350" s="67"/>
      <c r="FW350" s="67"/>
      <c r="FX350" s="67"/>
      <c r="FY350" s="67"/>
      <c r="FZ350" s="67"/>
      <c r="GA350" s="67"/>
      <c r="GB350" s="67"/>
      <c r="GC350" s="67"/>
      <c r="GD350" s="67"/>
      <c r="GE350" s="67"/>
      <c r="GF350" s="67"/>
      <c r="GG350" s="67"/>
      <c r="GH350" s="67"/>
      <c r="GI350" s="67"/>
      <c r="GJ350" s="67"/>
      <c r="GK350" s="67"/>
      <c r="GL350" s="67"/>
      <c r="GM350" s="67"/>
      <c r="GN350" s="67"/>
      <c r="GO350" s="67"/>
      <c r="GP350" s="67"/>
    </row>
    <row r="351" spans="5:198" s="66" customFormat="1">
      <c r="E351" s="67"/>
      <c r="G351" s="67"/>
      <c r="H351" s="67"/>
      <c r="I351" s="67"/>
      <c r="J351" s="67"/>
      <c r="K351" s="67"/>
      <c r="L351" s="67"/>
      <c r="M351" s="67"/>
      <c r="N351" s="67"/>
      <c r="O351" s="78"/>
      <c r="P351" s="78"/>
      <c r="S351" s="78"/>
      <c r="T351" s="78"/>
      <c r="U351" s="79"/>
      <c r="V351" s="65"/>
      <c r="Y351" s="78"/>
      <c r="Z351" s="78"/>
      <c r="AA351" s="78"/>
      <c r="AB351" s="78"/>
      <c r="AC351" s="78"/>
      <c r="AD351" s="78"/>
      <c r="AE351" s="78"/>
      <c r="AF351" s="78"/>
      <c r="AG351" s="79"/>
      <c r="AH351" s="65"/>
      <c r="AJ351" s="85"/>
      <c r="AK351" s="78"/>
      <c r="AL351" s="78"/>
      <c r="AM351" s="78"/>
      <c r="AN351" s="78"/>
      <c r="AO351" s="78"/>
      <c r="AP351" s="78"/>
      <c r="AQ351" s="79"/>
      <c r="AR351" s="65"/>
      <c r="AT351" s="85"/>
      <c r="AU351" s="78"/>
      <c r="AV351" s="78"/>
      <c r="AW351" s="78"/>
      <c r="AX351" s="78"/>
      <c r="AY351" s="78"/>
      <c r="AZ351" s="79"/>
      <c r="BA351" s="65"/>
      <c r="BC351" s="85"/>
      <c r="BD351" s="78"/>
      <c r="BE351" s="78"/>
      <c r="BF351" s="78"/>
      <c r="BG351" s="78"/>
      <c r="BH351" s="78"/>
      <c r="BI351" s="78"/>
      <c r="BJ351" s="79"/>
      <c r="BK351" s="65"/>
      <c r="CU351" s="67"/>
      <c r="EC351" s="67"/>
      <c r="FK351" s="67"/>
      <c r="FL351" s="67"/>
      <c r="FM351" s="67"/>
      <c r="FN351" s="67"/>
      <c r="FO351" s="67"/>
      <c r="FP351" s="67"/>
      <c r="FQ351" s="67"/>
      <c r="FR351" s="67"/>
      <c r="FS351" s="67"/>
      <c r="FT351" s="67"/>
      <c r="FU351" s="67"/>
      <c r="FV351" s="67"/>
      <c r="FW351" s="67"/>
      <c r="FX351" s="67"/>
      <c r="FY351" s="67"/>
      <c r="FZ351" s="67"/>
      <c r="GA351" s="67"/>
      <c r="GB351" s="67"/>
      <c r="GC351" s="67"/>
      <c r="GD351" s="67"/>
      <c r="GE351" s="67"/>
      <c r="GF351" s="67"/>
      <c r="GG351" s="67"/>
      <c r="GH351" s="67"/>
      <c r="GI351" s="67"/>
      <c r="GJ351" s="67"/>
      <c r="GK351" s="67"/>
      <c r="GL351" s="67"/>
      <c r="GM351" s="67"/>
      <c r="GN351" s="67"/>
      <c r="GO351" s="67"/>
      <c r="GP351" s="67"/>
    </row>
    <row r="352" spans="5:198" s="66" customFormat="1">
      <c r="E352" s="67"/>
      <c r="G352" s="67"/>
      <c r="H352" s="67"/>
      <c r="I352" s="67"/>
      <c r="J352" s="67"/>
      <c r="K352" s="67"/>
      <c r="L352" s="67"/>
      <c r="M352" s="67"/>
      <c r="N352" s="67"/>
      <c r="O352" s="78"/>
      <c r="P352" s="78"/>
      <c r="S352" s="78"/>
      <c r="T352" s="78"/>
      <c r="U352" s="79"/>
      <c r="V352" s="65"/>
      <c r="Y352" s="78"/>
      <c r="Z352" s="78"/>
      <c r="AA352" s="78"/>
      <c r="AB352" s="78"/>
      <c r="AC352" s="78"/>
      <c r="AD352" s="78"/>
      <c r="AE352" s="78"/>
      <c r="AF352" s="78"/>
      <c r="AG352" s="79"/>
      <c r="AH352" s="65"/>
      <c r="AJ352" s="85"/>
      <c r="AK352" s="78"/>
      <c r="AL352" s="78"/>
      <c r="AM352" s="78"/>
      <c r="AN352" s="78"/>
      <c r="AO352" s="78"/>
      <c r="AP352" s="78"/>
      <c r="AQ352" s="79"/>
      <c r="AR352" s="65"/>
      <c r="AT352" s="85"/>
      <c r="AU352" s="78"/>
      <c r="AV352" s="78"/>
      <c r="AW352" s="78"/>
      <c r="AX352" s="78"/>
      <c r="AY352" s="78"/>
      <c r="AZ352" s="79"/>
      <c r="BA352" s="65"/>
      <c r="BC352" s="85"/>
      <c r="BD352" s="78"/>
      <c r="BE352" s="78"/>
      <c r="BF352" s="78"/>
      <c r="BG352" s="78"/>
      <c r="BH352" s="78"/>
      <c r="BI352" s="78"/>
      <c r="BJ352" s="79"/>
      <c r="BK352" s="65"/>
      <c r="CU352" s="67"/>
      <c r="EC352" s="67"/>
      <c r="FK352" s="67"/>
      <c r="FL352" s="67"/>
      <c r="FM352" s="67"/>
      <c r="FN352" s="67"/>
      <c r="FO352" s="67"/>
      <c r="FP352" s="67"/>
      <c r="FQ352" s="67"/>
      <c r="FR352" s="67"/>
      <c r="FS352" s="67"/>
      <c r="FT352" s="67"/>
      <c r="FU352" s="67"/>
      <c r="FV352" s="67"/>
      <c r="FW352" s="67"/>
      <c r="FX352" s="67"/>
      <c r="FY352" s="67"/>
      <c r="FZ352" s="67"/>
      <c r="GA352" s="67"/>
      <c r="GB352" s="67"/>
      <c r="GC352" s="67"/>
      <c r="GD352" s="67"/>
      <c r="GE352" s="67"/>
      <c r="GF352" s="67"/>
      <c r="GG352" s="67"/>
      <c r="GH352" s="67"/>
      <c r="GI352" s="67"/>
      <c r="GJ352" s="67"/>
      <c r="GK352" s="67"/>
      <c r="GL352" s="67"/>
      <c r="GM352" s="67"/>
      <c r="GN352" s="67"/>
      <c r="GO352" s="67"/>
      <c r="GP352" s="67"/>
    </row>
    <row r="353" spans="5:198" s="66" customFormat="1">
      <c r="E353" s="67"/>
      <c r="G353" s="67"/>
      <c r="H353" s="67"/>
      <c r="I353" s="67"/>
      <c r="J353" s="67"/>
      <c r="K353" s="67"/>
      <c r="L353" s="67"/>
      <c r="M353" s="67"/>
      <c r="N353" s="67"/>
      <c r="O353" s="78"/>
      <c r="P353" s="78"/>
      <c r="S353" s="78"/>
      <c r="T353" s="78"/>
      <c r="U353" s="79"/>
      <c r="V353" s="65"/>
      <c r="Y353" s="78"/>
      <c r="Z353" s="78"/>
      <c r="AA353" s="78"/>
      <c r="AB353" s="78"/>
      <c r="AC353" s="78"/>
      <c r="AD353" s="78"/>
      <c r="AE353" s="78"/>
      <c r="AF353" s="78"/>
      <c r="AG353" s="79"/>
      <c r="AH353" s="65"/>
      <c r="AJ353" s="85"/>
      <c r="AK353" s="78"/>
      <c r="AL353" s="78"/>
      <c r="AM353" s="78"/>
      <c r="AN353" s="78"/>
      <c r="AO353" s="78"/>
      <c r="AP353" s="78"/>
      <c r="AQ353" s="79"/>
      <c r="AR353" s="65"/>
      <c r="AT353" s="85"/>
      <c r="AU353" s="78"/>
      <c r="AV353" s="78"/>
      <c r="AW353" s="78"/>
      <c r="AX353" s="78"/>
      <c r="AY353" s="78"/>
      <c r="AZ353" s="79"/>
      <c r="BA353" s="65"/>
      <c r="BC353" s="85"/>
      <c r="BD353" s="78"/>
      <c r="BE353" s="78"/>
      <c r="BF353" s="78"/>
      <c r="BG353" s="78"/>
      <c r="BH353" s="78"/>
      <c r="BI353" s="78"/>
      <c r="BJ353" s="79"/>
      <c r="BK353" s="65"/>
      <c r="CU353" s="67"/>
      <c r="EC353" s="67"/>
      <c r="FK353" s="67"/>
      <c r="FL353" s="67"/>
      <c r="FM353" s="67"/>
      <c r="FN353" s="67"/>
      <c r="FO353" s="67"/>
      <c r="FP353" s="67"/>
      <c r="FQ353" s="67"/>
      <c r="FR353" s="67"/>
      <c r="FS353" s="67"/>
      <c r="FT353" s="67"/>
      <c r="FU353" s="67"/>
      <c r="FV353" s="67"/>
      <c r="FW353" s="67"/>
      <c r="FX353" s="67"/>
      <c r="FY353" s="67"/>
      <c r="FZ353" s="67"/>
      <c r="GA353" s="67"/>
      <c r="GB353" s="67"/>
      <c r="GC353" s="67"/>
      <c r="GD353" s="67"/>
      <c r="GE353" s="67"/>
      <c r="GF353" s="67"/>
      <c r="GG353" s="67"/>
      <c r="GH353" s="67"/>
      <c r="GI353" s="67"/>
      <c r="GJ353" s="67"/>
      <c r="GK353" s="67"/>
      <c r="GL353" s="67"/>
      <c r="GM353" s="67"/>
      <c r="GN353" s="67"/>
      <c r="GO353" s="67"/>
      <c r="GP353" s="67"/>
    </row>
    <row r="354" spans="5:198" s="66" customFormat="1">
      <c r="E354" s="67"/>
      <c r="G354" s="67"/>
      <c r="H354" s="67"/>
      <c r="I354" s="67"/>
      <c r="J354" s="67"/>
      <c r="K354" s="67"/>
      <c r="L354" s="67"/>
      <c r="M354" s="67"/>
      <c r="N354" s="67"/>
      <c r="O354" s="78"/>
      <c r="P354" s="78"/>
      <c r="S354" s="78"/>
      <c r="T354" s="78"/>
      <c r="U354" s="79"/>
      <c r="V354" s="65"/>
      <c r="Y354" s="78"/>
      <c r="Z354" s="78"/>
      <c r="AA354" s="78"/>
      <c r="AB354" s="78"/>
      <c r="AC354" s="78"/>
      <c r="AD354" s="78"/>
      <c r="AE354" s="78"/>
      <c r="AF354" s="78"/>
      <c r="AG354" s="79"/>
      <c r="AH354" s="65"/>
      <c r="AJ354" s="85"/>
      <c r="AK354" s="78"/>
      <c r="AL354" s="78"/>
      <c r="AM354" s="78"/>
      <c r="AN354" s="78"/>
      <c r="AO354" s="78"/>
      <c r="AP354" s="78"/>
      <c r="AQ354" s="79"/>
      <c r="AR354" s="65"/>
      <c r="AT354" s="85"/>
      <c r="AU354" s="78"/>
      <c r="AV354" s="78"/>
      <c r="AW354" s="78"/>
      <c r="AX354" s="78"/>
      <c r="AY354" s="78"/>
      <c r="AZ354" s="79"/>
      <c r="BA354" s="65"/>
      <c r="BC354" s="85"/>
      <c r="BD354" s="78"/>
      <c r="BE354" s="78"/>
      <c r="BF354" s="78"/>
      <c r="BG354" s="78"/>
      <c r="BH354" s="78"/>
      <c r="BI354" s="78"/>
      <c r="BJ354" s="79"/>
      <c r="BK354" s="65"/>
      <c r="CU354" s="67"/>
      <c r="EC354" s="67"/>
      <c r="FK354" s="67"/>
      <c r="FL354" s="67"/>
      <c r="FM354" s="67"/>
      <c r="FN354" s="67"/>
      <c r="FO354" s="67"/>
      <c r="FP354" s="67"/>
      <c r="FQ354" s="67"/>
      <c r="FR354" s="67"/>
      <c r="FS354" s="67"/>
      <c r="FT354" s="67"/>
      <c r="FU354" s="67"/>
      <c r="FV354" s="67"/>
      <c r="FW354" s="67"/>
      <c r="FX354" s="67"/>
      <c r="FY354" s="67"/>
      <c r="FZ354" s="67"/>
      <c r="GA354" s="67"/>
      <c r="GB354" s="67"/>
      <c r="GC354" s="67"/>
      <c r="GD354" s="67"/>
      <c r="GE354" s="67"/>
      <c r="GF354" s="67"/>
      <c r="GG354" s="67"/>
      <c r="GH354" s="67"/>
      <c r="GI354" s="67"/>
      <c r="GJ354" s="67"/>
      <c r="GK354" s="67"/>
      <c r="GL354" s="67"/>
      <c r="GM354" s="67"/>
      <c r="GN354" s="67"/>
      <c r="GO354" s="67"/>
      <c r="GP354" s="67"/>
    </row>
    <row r="355" spans="5:198" s="66" customFormat="1">
      <c r="E355" s="67"/>
      <c r="G355" s="67"/>
      <c r="H355" s="67"/>
      <c r="I355" s="67"/>
      <c r="J355" s="67"/>
      <c r="K355" s="67"/>
      <c r="L355" s="67"/>
      <c r="M355" s="67"/>
      <c r="N355" s="67"/>
      <c r="O355" s="78"/>
      <c r="P355" s="78"/>
      <c r="S355" s="78"/>
      <c r="T355" s="78"/>
      <c r="U355" s="79"/>
      <c r="V355" s="65"/>
      <c r="Y355" s="78"/>
      <c r="Z355" s="78"/>
      <c r="AA355" s="78"/>
      <c r="AB355" s="78"/>
      <c r="AC355" s="78"/>
      <c r="AD355" s="78"/>
      <c r="AE355" s="78"/>
      <c r="AF355" s="78"/>
      <c r="AG355" s="79"/>
      <c r="AH355" s="65"/>
      <c r="AJ355" s="85"/>
      <c r="AK355" s="78"/>
      <c r="AL355" s="78"/>
      <c r="AM355" s="78"/>
      <c r="AN355" s="78"/>
      <c r="AO355" s="78"/>
      <c r="AP355" s="78"/>
      <c r="AQ355" s="79"/>
      <c r="AR355" s="65"/>
      <c r="AT355" s="85"/>
      <c r="AU355" s="78"/>
      <c r="AV355" s="78"/>
      <c r="AW355" s="78"/>
      <c r="AX355" s="78"/>
      <c r="AY355" s="78"/>
      <c r="AZ355" s="79"/>
      <c r="BA355" s="65"/>
      <c r="BC355" s="85"/>
      <c r="BD355" s="78"/>
      <c r="BE355" s="78"/>
      <c r="BF355" s="78"/>
      <c r="BG355" s="78"/>
      <c r="BH355" s="78"/>
      <c r="BI355" s="78"/>
      <c r="BJ355" s="79"/>
      <c r="BK355" s="65"/>
      <c r="CU355" s="67"/>
      <c r="EC355" s="67"/>
      <c r="FK355" s="67"/>
      <c r="FL355" s="67"/>
      <c r="FM355" s="67"/>
      <c r="FN355" s="67"/>
      <c r="FO355" s="67"/>
      <c r="FP355" s="67"/>
      <c r="FQ355" s="67"/>
      <c r="FR355" s="67"/>
      <c r="FS355" s="67"/>
      <c r="FT355" s="67"/>
      <c r="FU355" s="67"/>
      <c r="FV355" s="67"/>
      <c r="FW355" s="67"/>
      <c r="FX355" s="67"/>
      <c r="FY355" s="67"/>
      <c r="FZ355" s="67"/>
      <c r="GA355" s="67"/>
      <c r="GB355" s="67"/>
      <c r="GC355" s="67"/>
      <c r="GD355" s="67"/>
      <c r="GE355" s="67"/>
      <c r="GF355" s="67"/>
      <c r="GG355" s="67"/>
      <c r="GH355" s="67"/>
      <c r="GI355" s="67"/>
      <c r="GJ355" s="67"/>
      <c r="GK355" s="67"/>
      <c r="GL355" s="67"/>
      <c r="GM355" s="67"/>
      <c r="GN355" s="67"/>
      <c r="GO355" s="67"/>
      <c r="GP355" s="67"/>
    </row>
    <row r="356" spans="5:198" s="66" customFormat="1">
      <c r="E356" s="67"/>
      <c r="G356" s="67"/>
      <c r="H356" s="67"/>
      <c r="I356" s="67"/>
      <c r="J356" s="67"/>
      <c r="K356" s="67"/>
      <c r="L356" s="67"/>
      <c r="M356" s="67"/>
      <c r="N356" s="67"/>
      <c r="O356" s="78"/>
      <c r="P356" s="78"/>
      <c r="S356" s="78"/>
      <c r="T356" s="78"/>
      <c r="U356" s="79"/>
      <c r="V356" s="65"/>
      <c r="Y356" s="78"/>
      <c r="Z356" s="78"/>
      <c r="AA356" s="78"/>
      <c r="AB356" s="78"/>
      <c r="AC356" s="78"/>
      <c r="AD356" s="78"/>
      <c r="AE356" s="78"/>
      <c r="AF356" s="78"/>
      <c r="AG356" s="79"/>
      <c r="AH356" s="65"/>
      <c r="AJ356" s="85"/>
      <c r="AK356" s="78"/>
      <c r="AL356" s="78"/>
      <c r="AM356" s="78"/>
      <c r="AN356" s="78"/>
      <c r="AO356" s="78"/>
      <c r="AP356" s="78"/>
      <c r="AQ356" s="79"/>
      <c r="AR356" s="65"/>
      <c r="AT356" s="85"/>
      <c r="AU356" s="78"/>
      <c r="AV356" s="78"/>
      <c r="AW356" s="78"/>
      <c r="AX356" s="78"/>
      <c r="AY356" s="78"/>
      <c r="AZ356" s="79"/>
      <c r="BA356" s="65"/>
      <c r="BC356" s="85"/>
      <c r="BD356" s="78"/>
      <c r="BE356" s="78"/>
      <c r="BF356" s="78"/>
      <c r="BG356" s="78"/>
      <c r="BH356" s="78"/>
      <c r="BI356" s="78"/>
      <c r="BJ356" s="79"/>
      <c r="BK356" s="65"/>
      <c r="CU356" s="67"/>
      <c r="EC356" s="67"/>
      <c r="FK356" s="67"/>
      <c r="FL356" s="67"/>
      <c r="FM356" s="67"/>
      <c r="FN356" s="67"/>
      <c r="FO356" s="67"/>
      <c r="FP356" s="67"/>
      <c r="FQ356" s="67"/>
      <c r="FR356" s="67"/>
      <c r="FS356" s="67"/>
      <c r="FT356" s="67"/>
      <c r="FU356" s="67"/>
      <c r="FV356" s="67"/>
      <c r="FW356" s="67"/>
      <c r="FX356" s="67"/>
      <c r="FY356" s="67"/>
      <c r="FZ356" s="67"/>
      <c r="GA356" s="67"/>
      <c r="GB356" s="67"/>
      <c r="GC356" s="67"/>
      <c r="GD356" s="67"/>
      <c r="GE356" s="67"/>
      <c r="GF356" s="67"/>
      <c r="GG356" s="67"/>
      <c r="GH356" s="67"/>
      <c r="GI356" s="67"/>
      <c r="GJ356" s="67"/>
      <c r="GK356" s="67"/>
      <c r="GL356" s="67"/>
      <c r="GM356" s="67"/>
      <c r="GN356" s="67"/>
      <c r="GO356" s="67"/>
      <c r="GP356" s="67"/>
    </row>
    <row r="357" spans="5:198" s="66" customFormat="1">
      <c r="E357" s="67"/>
      <c r="G357" s="67"/>
      <c r="H357" s="67"/>
      <c r="I357" s="67"/>
      <c r="J357" s="67"/>
      <c r="K357" s="67"/>
      <c r="L357" s="67"/>
      <c r="M357" s="67"/>
      <c r="N357" s="67"/>
      <c r="O357" s="78"/>
      <c r="P357" s="78"/>
      <c r="S357" s="78"/>
      <c r="T357" s="78"/>
      <c r="U357" s="79"/>
      <c r="V357" s="65"/>
      <c r="Y357" s="78"/>
      <c r="Z357" s="78"/>
      <c r="AA357" s="78"/>
      <c r="AB357" s="78"/>
      <c r="AC357" s="78"/>
      <c r="AD357" s="78"/>
      <c r="AE357" s="78"/>
      <c r="AF357" s="78"/>
      <c r="AG357" s="79"/>
      <c r="AH357" s="65"/>
      <c r="AJ357" s="85"/>
      <c r="AK357" s="78"/>
      <c r="AL357" s="78"/>
      <c r="AM357" s="78"/>
      <c r="AN357" s="78"/>
      <c r="AO357" s="78"/>
      <c r="AP357" s="78"/>
      <c r="AQ357" s="79"/>
      <c r="AR357" s="65"/>
      <c r="AT357" s="85"/>
      <c r="AU357" s="78"/>
      <c r="AV357" s="78"/>
      <c r="AW357" s="78"/>
      <c r="AX357" s="78"/>
      <c r="AY357" s="78"/>
      <c r="AZ357" s="79"/>
      <c r="BA357" s="65"/>
      <c r="BC357" s="85"/>
      <c r="BD357" s="78"/>
      <c r="BE357" s="78"/>
      <c r="BF357" s="78"/>
      <c r="BG357" s="78"/>
      <c r="BH357" s="78"/>
      <c r="BI357" s="78"/>
      <c r="BJ357" s="79"/>
      <c r="BK357" s="65"/>
      <c r="CU357" s="67"/>
      <c r="EC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</row>
    <row r="358" spans="5:198" s="66" customFormat="1">
      <c r="E358" s="67"/>
      <c r="G358" s="67"/>
      <c r="H358" s="67"/>
      <c r="I358" s="67"/>
      <c r="J358" s="67"/>
      <c r="K358" s="67"/>
      <c r="L358" s="67"/>
      <c r="M358" s="67"/>
      <c r="N358" s="67"/>
      <c r="O358" s="78"/>
      <c r="P358" s="78"/>
      <c r="S358" s="78"/>
      <c r="T358" s="78"/>
      <c r="U358" s="79"/>
      <c r="V358" s="65"/>
      <c r="Y358" s="78"/>
      <c r="Z358" s="78"/>
      <c r="AA358" s="78"/>
      <c r="AB358" s="78"/>
      <c r="AC358" s="78"/>
      <c r="AD358" s="78"/>
      <c r="AE358" s="78"/>
      <c r="AF358" s="78"/>
      <c r="AG358" s="79"/>
      <c r="AH358" s="65"/>
      <c r="AJ358" s="85"/>
      <c r="AK358" s="78"/>
      <c r="AL358" s="78"/>
      <c r="AM358" s="78"/>
      <c r="AN358" s="78"/>
      <c r="AO358" s="78"/>
      <c r="AP358" s="78"/>
      <c r="AQ358" s="79"/>
      <c r="AR358" s="65"/>
      <c r="AT358" s="85"/>
      <c r="AU358" s="78"/>
      <c r="AV358" s="78"/>
      <c r="AW358" s="78"/>
      <c r="AX358" s="78"/>
      <c r="AY358" s="78"/>
      <c r="AZ358" s="79"/>
      <c r="BA358" s="65"/>
      <c r="BC358" s="85"/>
      <c r="BD358" s="78"/>
      <c r="BE358" s="78"/>
      <c r="BF358" s="78"/>
      <c r="BG358" s="78"/>
      <c r="BH358" s="78"/>
      <c r="BI358" s="78"/>
      <c r="BJ358" s="79"/>
      <c r="BK358" s="65"/>
      <c r="CU358" s="67"/>
      <c r="EC358" s="67"/>
      <c r="FK358" s="67"/>
      <c r="FL358" s="67"/>
      <c r="FM358" s="67"/>
      <c r="FN358" s="67"/>
      <c r="FO358" s="67"/>
      <c r="FP358" s="67"/>
      <c r="FQ358" s="67"/>
      <c r="FR358" s="67"/>
      <c r="FS358" s="67"/>
      <c r="FT358" s="67"/>
      <c r="FU358" s="67"/>
      <c r="FV358" s="67"/>
      <c r="FW358" s="67"/>
      <c r="FX358" s="67"/>
      <c r="FY358" s="67"/>
      <c r="FZ358" s="67"/>
      <c r="GA358" s="67"/>
      <c r="GB358" s="67"/>
      <c r="GC358" s="67"/>
      <c r="GD358" s="67"/>
      <c r="GE358" s="67"/>
      <c r="GF358" s="67"/>
      <c r="GG358" s="67"/>
      <c r="GH358" s="67"/>
      <c r="GI358" s="67"/>
      <c r="GJ358" s="67"/>
      <c r="GK358" s="67"/>
      <c r="GL358" s="67"/>
      <c r="GM358" s="67"/>
      <c r="GN358" s="67"/>
      <c r="GO358" s="67"/>
      <c r="GP358" s="67"/>
    </row>
    <row r="359" spans="5:198" s="66" customFormat="1">
      <c r="E359" s="67"/>
      <c r="G359" s="67"/>
      <c r="H359" s="67"/>
      <c r="I359" s="67"/>
      <c r="J359" s="67"/>
      <c r="K359" s="67"/>
      <c r="L359" s="67"/>
      <c r="M359" s="67"/>
      <c r="N359" s="67"/>
      <c r="O359" s="78"/>
      <c r="P359" s="78"/>
      <c r="S359" s="78"/>
      <c r="T359" s="78"/>
      <c r="U359" s="79"/>
      <c r="V359" s="65"/>
      <c r="Y359" s="78"/>
      <c r="Z359" s="78"/>
      <c r="AA359" s="78"/>
      <c r="AB359" s="78"/>
      <c r="AC359" s="78"/>
      <c r="AD359" s="78"/>
      <c r="AE359" s="78"/>
      <c r="AF359" s="78"/>
      <c r="AG359" s="79"/>
      <c r="AH359" s="65"/>
      <c r="AJ359" s="85"/>
      <c r="AK359" s="78"/>
      <c r="AL359" s="78"/>
      <c r="AM359" s="78"/>
      <c r="AN359" s="78"/>
      <c r="AO359" s="78"/>
      <c r="AP359" s="78"/>
      <c r="AQ359" s="79"/>
      <c r="AR359" s="65"/>
      <c r="AT359" s="85"/>
      <c r="AU359" s="78"/>
      <c r="AV359" s="78"/>
      <c r="AW359" s="78"/>
      <c r="AX359" s="78"/>
      <c r="AY359" s="78"/>
      <c r="AZ359" s="79"/>
      <c r="BA359" s="65"/>
      <c r="BC359" s="85"/>
      <c r="BD359" s="78"/>
      <c r="BE359" s="78"/>
      <c r="BF359" s="78"/>
      <c r="BG359" s="78"/>
      <c r="BH359" s="78"/>
      <c r="BI359" s="78"/>
      <c r="BJ359" s="79"/>
      <c r="BK359" s="65"/>
      <c r="CU359" s="67"/>
      <c r="EC359" s="67"/>
      <c r="FK359" s="67"/>
      <c r="FL359" s="67"/>
      <c r="FM359" s="67"/>
      <c r="FN359" s="67"/>
      <c r="FO359" s="67"/>
      <c r="FP359" s="67"/>
      <c r="FQ359" s="67"/>
      <c r="FR359" s="67"/>
      <c r="FS359" s="67"/>
      <c r="FT359" s="67"/>
      <c r="FU359" s="67"/>
      <c r="FV359" s="67"/>
      <c r="FW359" s="67"/>
      <c r="FX359" s="67"/>
      <c r="FY359" s="67"/>
      <c r="FZ359" s="67"/>
      <c r="GA359" s="67"/>
      <c r="GB359" s="67"/>
      <c r="GC359" s="67"/>
      <c r="GD359" s="67"/>
      <c r="GE359" s="67"/>
      <c r="GF359" s="67"/>
      <c r="GG359" s="67"/>
      <c r="GH359" s="67"/>
      <c r="GI359" s="67"/>
      <c r="GJ359" s="67"/>
      <c r="GK359" s="67"/>
      <c r="GL359" s="67"/>
      <c r="GM359" s="67"/>
      <c r="GN359" s="67"/>
      <c r="GO359" s="67"/>
      <c r="GP359" s="67"/>
    </row>
    <row r="360" spans="5:198" s="66" customFormat="1">
      <c r="E360" s="67"/>
      <c r="G360" s="67"/>
      <c r="H360" s="67"/>
      <c r="I360" s="67"/>
      <c r="J360" s="67"/>
      <c r="K360" s="67"/>
      <c r="L360" s="67"/>
      <c r="M360" s="67"/>
      <c r="N360" s="67"/>
      <c r="O360" s="78"/>
      <c r="P360" s="78"/>
      <c r="S360" s="78"/>
      <c r="T360" s="78"/>
      <c r="U360" s="79"/>
      <c r="V360" s="65"/>
      <c r="Y360" s="78"/>
      <c r="Z360" s="78"/>
      <c r="AA360" s="78"/>
      <c r="AB360" s="78"/>
      <c r="AC360" s="78"/>
      <c r="AD360" s="78"/>
      <c r="AE360" s="78"/>
      <c r="AF360" s="78"/>
      <c r="AG360" s="79"/>
      <c r="AH360" s="65"/>
      <c r="AJ360" s="85"/>
      <c r="AK360" s="78"/>
      <c r="AL360" s="78"/>
      <c r="AM360" s="78"/>
      <c r="AN360" s="78"/>
      <c r="AO360" s="78"/>
      <c r="AP360" s="78"/>
      <c r="AQ360" s="79"/>
      <c r="AR360" s="65"/>
      <c r="AT360" s="85"/>
      <c r="AU360" s="78"/>
      <c r="AV360" s="78"/>
      <c r="AW360" s="78"/>
      <c r="AX360" s="78"/>
      <c r="AY360" s="78"/>
      <c r="AZ360" s="79"/>
      <c r="BA360" s="65"/>
      <c r="BC360" s="85"/>
      <c r="BD360" s="78"/>
      <c r="BE360" s="78"/>
      <c r="BF360" s="78"/>
      <c r="BG360" s="78"/>
      <c r="BH360" s="78"/>
      <c r="BI360" s="78"/>
      <c r="BJ360" s="79"/>
      <c r="BK360" s="65"/>
      <c r="CU360" s="67"/>
      <c r="EC360" s="67"/>
      <c r="FK360" s="67"/>
      <c r="FL360" s="67"/>
      <c r="FM360" s="67"/>
      <c r="FN360" s="67"/>
      <c r="FO360" s="67"/>
      <c r="FP360" s="67"/>
      <c r="FQ360" s="67"/>
      <c r="FR360" s="67"/>
      <c r="FS360" s="67"/>
      <c r="FT360" s="67"/>
      <c r="FU360" s="67"/>
      <c r="FV360" s="67"/>
      <c r="FW360" s="67"/>
      <c r="FX360" s="67"/>
      <c r="FY360" s="67"/>
      <c r="FZ360" s="67"/>
      <c r="GA360" s="67"/>
      <c r="GB360" s="67"/>
      <c r="GC360" s="67"/>
      <c r="GD360" s="67"/>
      <c r="GE360" s="67"/>
      <c r="GF360" s="67"/>
      <c r="GG360" s="67"/>
      <c r="GH360" s="67"/>
      <c r="GI360" s="67"/>
      <c r="GJ360" s="67"/>
      <c r="GK360" s="67"/>
      <c r="GL360" s="67"/>
      <c r="GM360" s="67"/>
      <c r="GN360" s="67"/>
      <c r="GO360" s="67"/>
      <c r="GP360" s="67"/>
    </row>
    <row r="361" spans="5:198" s="66" customFormat="1">
      <c r="E361" s="67"/>
      <c r="G361" s="67"/>
      <c r="H361" s="67"/>
      <c r="I361" s="67"/>
      <c r="J361" s="67"/>
      <c r="K361" s="67"/>
      <c r="L361" s="67"/>
      <c r="M361" s="67"/>
      <c r="N361" s="67"/>
      <c r="O361" s="78"/>
      <c r="P361" s="78"/>
      <c r="S361" s="78"/>
      <c r="T361" s="78"/>
      <c r="U361" s="79"/>
      <c r="V361" s="65"/>
      <c r="Y361" s="78"/>
      <c r="Z361" s="78"/>
      <c r="AA361" s="78"/>
      <c r="AB361" s="78"/>
      <c r="AC361" s="78"/>
      <c r="AD361" s="78"/>
      <c r="AE361" s="78"/>
      <c r="AF361" s="78"/>
      <c r="AG361" s="79"/>
      <c r="AH361" s="65"/>
      <c r="AJ361" s="85"/>
      <c r="AK361" s="78"/>
      <c r="AL361" s="78"/>
      <c r="AM361" s="78"/>
      <c r="AN361" s="78"/>
      <c r="AO361" s="78"/>
      <c r="AP361" s="78"/>
      <c r="AQ361" s="79"/>
      <c r="AR361" s="65"/>
      <c r="AT361" s="85"/>
      <c r="AU361" s="78"/>
      <c r="AV361" s="78"/>
      <c r="AW361" s="78"/>
      <c r="AX361" s="78"/>
      <c r="AY361" s="78"/>
      <c r="AZ361" s="79"/>
      <c r="BA361" s="65"/>
      <c r="BC361" s="85"/>
      <c r="BD361" s="78"/>
      <c r="BE361" s="78"/>
      <c r="BF361" s="78"/>
      <c r="BG361" s="78"/>
      <c r="BH361" s="78"/>
      <c r="BI361" s="78"/>
      <c r="BJ361" s="79"/>
      <c r="BK361" s="65"/>
      <c r="CU361" s="67"/>
      <c r="EC361" s="67"/>
      <c r="FK361" s="67"/>
      <c r="FL361" s="67"/>
      <c r="FM361" s="67"/>
      <c r="FN361" s="67"/>
      <c r="FO361" s="67"/>
      <c r="FP361" s="67"/>
      <c r="FQ361" s="67"/>
      <c r="FR361" s="67"/>
      <c r="FS361" s="67"/>
      <c r="FT361" s="67"/>
      <c r="FU361" s="67"/>
      <c r="FV361" s="67"/>
      <c r="FW361" s="67"/>
      <c r="FX361" s="67"/>
      <c r="FY361" s="67"/>
      <c r="FZ361" s="67"/>
      <c r="GA361" s="67"/>
      <c r="GB361" s="67"/>
      <c r="GC361" s="67"/>
      <c r="GD361" s="67"/>
      <c r="GE361" s="67"/>
      <c r="GF361" s="67"/>
      <c r="GG361" s="67"/>
      <c r="GH361" s="67"/>
      <c r="GI361" s="67"/>
      <c r="GJ361" s="67"/>
      <c r="GK361" s="67"/>
      <c r="GL361" s="67"/>
      <c r="GM361" s="67"/>
      <c r="GN361" s="67"/>
      <c r="GO361" s="67"/>
      <c r="GP361" s="67"/>
    </row>
    <row r="362" spans="5:198" s="66" customFormat="1">
      <c r="E362" s="67"/>
      <c r="G362" s="67"/>
      <c r="H362" s="67"/>
      <c r="I362" s="67"/>
      <c r="J362" s="67"/>
      <c r="K362" s="67"/>
      <c r="L362" s="67"/>
      <c r="M362" s="67"/>
      <c r="N362" s="67"/>
      <c r="O362" s="78"/>
      <c r="P362" s="78"/>
      <c r="S362" s="78"/>
      <c r="T362" s="78"/>
      <c r="U362" s="79"/>
      <c r="V362" s="65"/>
      <c r="Y362" s="78"/>
      <c r="Z362" s="78"/>
      <c r="AA362" s="78"/>
      <c r="AB362" s="78"/>
      <c r="AC362" s="78"/>
      <c r="AD362" s="78"/>
      <c r="AE362" s="78"/>
      <c r="AF362" s="78"/>
      <c r="AG362" s="79"/>
      <c r="AH362" s="65"/>
      <c r="AJ362" s="85"/>
      <c r="AK362" s="78"/>
      <c r="AL362" s="78"/>
      <c r="AM362" s="78"/>
      <c r="AN362" s="78"/>
      <c r="AO362" s="78"/>
      <c r="AP362" s="78"/>
      <c r="AQ362" s="79"/>
      <c r="AR362" s="65"/>
      <c r="AT362" s="85"/>
      <c r="AU362" s="78"/>
      <c r="AV362" s="78"/>
      <c r="AW362" s="78"/>
      <c r="AX362" s="78"/>
      <c r="AY362" s="78"/>
      <c r="AZ362" s="79"/>
      <c r="BA362" s="65"/>
      <c r="BC362" s="85"/>
      <c r="BD362" s="78"/>
      <c r="BE362" s="78"/>
      <c r="BF362" s="78"/>
      <c r="BG362" s="78"/>
      <c r="BH362" s="78"/>
      <c r="BI362" s="78"/>
      <c r="BJ362" s="79"/>
      <c r="BK362" s="65"/>
      <c r="CU362" s="67"/>
      <c r="EC362" s="67"/>
      <c r="FK362" s="67"/>
      <c r="FL362" s="67"/>
      <c r="FM362" s="67"/>
      <c r="FN362" s="67"/>
      <c r="FO362" s="67"/>
      <c r="FP362" s="67"/>
      <c r="FQ362" s="67"/>
      <c r="FR362" s="67"/>
      <c r="FS362" s="67"/>
      <c r="FT362" s="67"/>
      <c r="FU362" s="67"/>
      <c r="FV362" s="67"/>
      <c r="FW362" s="67"/>
      <c r="FX362" s="67"/>
      <c r="FY362" s="67"/>
      <c r="FZ362" s="67"/>
      <c r="GA362" s="67"/>
      <c r="GB362" s="67"/>
      <c r="GC362" s="67"/>
      <c r="GD362" s="67"/>
      <c r="GE362" s="67"/>
      <c r="GF362" s="67"/>
      <c r="GG362" s="67"/>
      <c r="GH362" s="67"/>
      <c r="GI362" s="67"/>
      <c r="GJ362" s="67"/>
      <c r="GK362" s="67"/>
      <c r="GL362" s="67"/>
      <c r="GM362" s="67"/>
      <c r="GN362" s="67"/>
      <c r="GO362" s="67"/>
      <c r="GP362" s="67"/>
    </row>
    <row r="363" spans="5:198" s="66" customFormat="1">
      <c r="E363" s="67"/>
      <c r="G363" s="67"/>
      <c r="H363" s="67"/>
      <c r="I363" s="67"/>
      <c r="J363" s="67"/>
      <c r="K363" s="67"/>
      <c r="L363" s="67"/>
      <c r="M363" s="67"/>
      <c r="N363" s="67"/>
      <c r="O363" s="78"/>
      <c r="P363" s="78"/>
      <c r="S363" s="78"/>
      <c r="T363" s="78"/>
      <c r="U363" s="79"/>
      <c r="V363" s="65"/>
      <c r="Y363" s="78"/>
      <c r="Z363" s="78"/>
      <c r="AA363" s="78"/>
      <c r="AB363" s="78"/>
      <c r="AC363" s="78"/>
      <c r="AD363" s="78"/>
      <c r="AE363" s="78"/>
      <c r="AF363" s="78"/>
      <c r="AG363" s="79"/>
      <c r="AH363" s="65"/>
      <c r="AJ363" s="85"/>
      <c r="AK363" s="78"/>
      <c r="AL363" s="78"/>
      <c r="AM363" s="78"/>
      <c r="AN363" s="78"/>
      <c r="AO363" s="78"/>
      <c r="AP363" s="78"/>
      <c r="AQ363" s="79"/>
      <c r="AR363" s="65"/>
      <c r="AT363" s="85"/>
      <c r="AU363" s="78"/>
      <c r="AV363" s="78"/>
      <c r="AW363" s="78"/>
      <c r="AX363" s="78"/>
      <c r="AY363" s="78"/>
      <c r="AZ363" s="79"/>
      <c r="BA363" s="65"/>
      <c r="BC363" s="85"/>
      <c r="BD363" s="78"/>
      <c r="BE363" s="78"/>
      <c r="BF363" s="78"/>
      <c r="BG363" s="78"/>
      <c r="BH363" s="78"/>
      <c r="BI363" s="78"/>
      <c r="BJ363" s="79"/>
      <c r="BK363" s="65"/>
      <c r="CU363" s="67"/>
      <c r="EC363" s="67"/>
      <c r="FK363" s="67"/>
      <c r="FL363" s="67"/>
      <c r="FM363" s="67"/>
      <c r="FN363" s="67"/>
      <c r="FO363" s="67"/>
      <c r="FP363" s="67"/>
      <c r="FQ363" s="67"/>
      <c r="FR363" s="67"/>
      <c r="FS363" s="67"/>
      <c r="FT363" s="67"/>
      <c r="FU363" s="67"/>
      <c r="FV363" s="67"/>
      <c r="FW363" s="67"/>
      <c r="FX363" s="67"/>
      <c r="FY363" s="67"/>
      <c r="FZ363" s="67"/>
      <c r="GA363" s="67"/>
      <c r="GB363" s="67"/>
      <c r="GC363" s="67"/>
      <c r="GD363" s="67"/>
      <c r="GE363" s="67"/>
      <c r="GF363" s="67"/>
      <c r="GG363" s="67"/>
      <c r="GH363" s="67"/>
      <c r="GI363" s="67"/>
      <c r="GJ363" s="67"/>
      <c r="GK363" s="67"/>
      <c r="GL363" s="67"/>
      <c r="GM363" s="67"/>
      <c r="GN363" s="67"/>
      <c r="GO363" s="67"/>
      <c r="GP363" s="67"/>
    </row>
    <row r="364" spans="5:198" s="66" customFormat="1">
      <c r="E364" s="67"/>
      <c r="G364" s="67"/>
      <c r="H364" s="67"/>
      <c r="I364" s="67"/>
      <c r="J364" s="67"/>
      <c r="K364" s="67"/>
      <c r="L364" s="67"/>
      <c r="M364" s="67"/>
      <c r="N364" s="67"/>
      <c r="O364" s="78"/>
      <c r="P364" s="78"/>
      <c r="S364" s="78"/>
      <c r="T364" s="78"/>
      <c r="U364" s="79"/>
      <c r="V364" s="65"/>
      <c r="Y364" s="78"/>
      <c r="Z364" s="78"/>
      <c r="AA364" s="78"/>
      <c r="AB364" s="78"/>
      <c r="AC364" s="78"/>
      <c r="AD364" s="78"/>
      <c r="AE364" s="78"/>
      <c r="AF364" s="78"/>
      <c r="AG364" s="79"/>
      <c r="AH364" s="65"/>
      <c r="AJ364" s="85"/>
      <c r="AK364" s="78"/>
      <c r="AL364" s="78"/>
      <c r="AM364" s="78"/>
      <c r="AN364" s="78"/>
      <c r="AO364" s="78"/>
      <c r="AP364" s="78"/>
      <c r="AQ364" s="79"/>
      <c r="AR364" s="65"/>
      <c r="AT364" s="85"/>
      <c r="AU364" s="78"/>
      <c r="AV364" s="78"/>
      <c r="AW364" s="78"/>
      <c r="AX364" s="78"/>
      <c r="AY364" s="78"/>
      <c r="AZ364" s="79"/>
      <c r="BA364" s="65"/>
      <c r="BC364" s="85"/>
      <c r="BD364" s="78"/>
      <c r="BE364" s="78"/>
      <c r="BF364" s="78"/>
      <c r="BG364" s="78"/>
      <c r="BH364" s="78"/>
      <c r="BI364" s="78"/>
      <c r="BJ364" s="79"/>
      <c r="BK364" s="65"/>
      <c r="CU364" s="67"/>
      <c r="EC364" s="67"/>
      <c r="FK364" s="67"/>
      <c r="FL364" s="67"/>
      <c r="FM364" s="67"/>
      <c r="FN364" s="67"/>
      <c r="FO364" s="67"/>
      <c r="FP364" s="67"/>
      <c r="FQ364" s="67"/>
      <c r="FR364" s="67"/>
      <c r="FS364" s="67"/>
      <c r="FT364" s="67"/>
      <c r="FU364" s="67"/>
      <c r="FV364" s="67"/>
      <c r="FW364" s="67"/>
      <c r="FX364" s="67"/>
      <c r="FY364" s="67"/>
      <c r="FZ364" s="67"/>
      <c r="GA364" s="67"/>
      <c r="GB364" s="67"/>
      <c r="GC364" s="67"/>
      <c r="GD364" s="67"/>
      <c r="GE364" s="67"/>
      <c r="GF364" s="67"/>
      <c r="GG364" s="67"/>
      <c r="GH364" s="67"/>
      <c r="GI364" s="67"/>
      <c r="GJ364" s="67"/>
      <c r="GK364" s="67"/>
      <c r="GL364" s="67"/>
      <c r="GM364" s="67"/>
      <c r="GN364" s="67"/>
      <c r="GO364" s="67"/>
      <c r="GP364" s="67"/>
    </row>
    <row r="365" spans="5:198" s="66" customFormat="1">
      <c r="E365" s="67"/>
      <c r="G365" s="67"/>
      <c r="H365" s="67"/>
      <c r="I365" s="67"/>
      <c r="J365" s="67"/>
      <c r="K365" s="67"/>
      <c r="L365" s="67"/>
      <c r="M365" s="67"/>
      <c r="N365" s="67"/>
      <c r="O365" s="78"/>
      <c r="P365" s="78"/>
      <c r="S365" s="78"/>
      <c r="T365" s="78"/>
      <c r="U365" s="79"/>
      <c r="V365" s="65"/>
      <c r="Y365" s="78"/>
      <c r="Z365" s="78"/>
      <c r="AA365" s="78"/>
      <c r="AB365" s="78"/>
      <c r="AC365" s="78"/>
      <c r="AD365" s="78"/>
      <c r="AE365" s="78"/>
      <c r="AF365" s="78"/>
      <c r="AG365" s="79"/>
      <c r="AH365" s="65"/>
      <c r="AJ365" s="85"/>
      <c r="AK365" s="78"/>
      <c r="AL365" s="78"/>
      <c r="AM365" s="78"/>
      <c r="AN365" s="78"/>
      <c r="AO365" s="78"/>
      <c r="AP365" s="78"/>
      <c r="AQ365" s="79"/>
      <c r="AR365" s="65"/>
      <c r="AT365" s="85"/>
      <c r="AU365" s="78"/>
      <c r="AV365" s="78"/>
      <c r="AW365" s="78"/>
      <c r="AX365" s="78"/>
      <c r="AY365" s="78"/>
      <c r="AZ365" s="79"/>
      <c r="BA365" s="65"/>
      <c r="BC365" s="85"/>
      <c r="BD365" s="78"/>
      <c r="BE365" s="78"/>
      <c r="BF365" s="78"/>
      <c r="BG365" s="78"/>
      <c r="BH365" s="78"/>
      <c r="BI365" s="78"/>
      <c r="BJ365" s="79"/>
      <c r="BK365" s="65"/>
      <c r="CU365" s="67"/>
      <c r="EC365" s="67"/>
      <c r="FK365" s="67"/>
      <c r="FL365" s="67"/>
      <c r="FM365" s="67"/>
      <c r="FN365" s="67"/>
      <c r="FO365" s="67"/>
      <c r="FP365" s="67"/>
      <c r="FQ365" s="67"/>
      <c r="FR365" s="67"/>
      <c r="FS365" s="67"/>
      <c r="FT365" s="67"/>
      <c r="FU365" s="67"/>
      <c r="FV365" s="67"/>
      <c r="FW365" s="67"/>
      <c r="FX365" s="67"/>
      <c r="FY365" s="67"/>
      <c r="FZ365" s="67"/>
      <c r="GA365" s="67"/>
      <c r="GB365" s="67"/>
      <c r="GC365" s="67"/>
      <c r="GD365" s="67"/>
      <c r="GE365" s="67"/>
      <c r="GF365" s="67"/>
      <c r="GG365" s="67"/>
      <c r="GH365" s="67"/>
      <c r="GI365" s="67"/>
      <c r="GJ365" s="67"/>
      <c r="GK365" s="67"/>
      <c r="GL365" s="67"/>
      <c r="GM365" s="67"/>
      <c r="GN365" s="67"/>
      <c r="GO365" s="67"/>
      <c r="GP365" s="67"/>
    </row>
    <row r="366" spans="5:198" s="66" customFormat="1">
      <c r="E366" s="67"/>
      <c r="G366" s="67"/>
      <c r="H366" s="67"/>
      <c r="I366" s="67"/>
      <c r="J366" s="67"/>
      <c r="K366" s="67"/>
      <c r="L366" s="67"/>
      <c r="M366" s="67"/>
      <c r="N366" s="67"/>
      <c r="O366" s="78"/>
      <c r="P366" s="78"/>
      <c r="S366" s="78"/>
      <c r="T366" s="78"/>
      <c r="U366" s="79"/>
      <c r="V366" s="65"/>
      <c r="Y366" s="78"/>
      <c r="Z366" s="78"/>
      <c r="AA366" s="78"/>
      <c r="AB366" s="78"/>
      <c r="AC366" s="78"/>
      <c r="AD366" s="78"/>
      <c r="AE366" s="78"/>
      <c r="AF366" s="78"/>
      <c r="AG366" s="79"/>
      <c r="AH366" s="65"/>
      <c r="AJ366" s="85"/>
      <c r="AK366" s="78"/>
      <c r="AL366" s="78"/>
      <c r="AM366" s="78"/>
      <c r="AN366" s="78"/>
      <c r="AO366" s="78"/>
      <c r="AP366" s="78"/>
      <c r="AQ366" s="79"/>
      <c r="AR366" s="65"/>
      <c r="AT366" s="85"/>
      <c r="AU366" s="78"/>
      <c r="AV366" s="78"/>
      <c r="AW366" s="78"/>
      <c r="AX366" s="78"/>
      <c r="AY366" s="78"/>
      <c r="AZ366" s="79"/>
      <c r="BA366" s="65"/>
      <c r="BC366" s="85"/>
      <c r="BD366" s="78"/>
      <c r="BE366" s="78"/>
      <c r="BF366" s="78"/>
      <c r="BG366" s="78"/>
      <c r="BH366" s="78"/>
      <c r="BI366" s="78"/>
      <c r="BJ366" s="79"/>
      <c r="BK366" s="65"/>
      <c r="CU366" s="67"/>
      <c r="EC366" s="67"/>
      <c r="FK366" s="67"/>
      <c r="FL366" s="67"/>
      <c r="FM366" s="67"/>
      <c r="FN366" s="67"/>
      <c r="FO366" s="67"/>
      <c r="FP366" s="67"/>
      <c r="FQ366" s="67"/>
      <c r="FR366" s="67"/>
      <c r="FS366" s="67"/>
      <c r="FT366" s="67"/>
      <c r="FU366" s="67"/>
      <c r="FV366" s="67"/>
      <c r="FW366" s="67"/>
      <c r="FX366" s="67"/>
      <c r="FY366" s="67"/>
      <c r="FZ366" s="67"/>
      <c r="GA366" s="67"/>
      <c r="GB366" s="67"/>
      <c r="GC366" s="67"/>
      <c r="GD366" s="67"/>
      <c r="GE366" s="67"/>
      <c r="GF366" s="67"/>
      <c r="GG366" s="67"/>
      <c r="GH366" s="67"/>
      <c r="GI366" s="67"/>
      <c r="GJ366" s="67"/>
      <c r="GK366" s="67"/>
      <c r="GL366" s="67"/>
      <c r="GM366" s="67"/>
      <c r="GN366" s="67"/>
      <c r="GO366" s="67"/>
      <c r="GP366" s="67"/>
    </row>
    <row r="367" spans="5:198" s="66" customFormat="1">
      <c r="E367" s="67"/>
      <c r="G367" s="67"/>
      <c r="H367" s="67"/>
      <c r="I367" s="67"/>
      <c r="J367" s="67"/>
      <c r="K367" s="67"/>
      <c r="L367" s="67"/>
      <c r="M367" s="67"/>
      <c r="N367" s="67"/>
      <c r="O367" s="78"/>
      <c r="P367" s="78"/>
      <c r="S367" s="78"/>
      <c r="T367" s="78"/>
      <c r="U367" s="79"/>
      <c r="V367" s="65"/>
      <c r="Y367" s="78"/>
      <c r="Z367" s="78"/>
      <c r="AA367" s="78"/>
      <c r="AB367" s="78"/>
      <c r="AC367" s="78"/>
      <c r="AD367" s="78"/>
      <c r="AE367" s="78"/>
      <c r="AF367" s="78"/>
      <c r="AG367" s="79"/>
      <c r="AH367" s="65"/>
      <c r="AJ367" s="85"/>
      <c r="AK367" s="78"/>
      <c r="AL367" s="78"/>
      <c r="AM367" s="78"/>
      <c r="AN367" s="78"/>
      <c r="AO367" s="78"/>
      <c r="AP367" s="78"/>
      <c r="AQ367" s="79"/>
      <c r="AR367" s="65"/>
      <c r="AT367" s="85"/>
      <c r="AU367" s="78"/>
      <c r="AV367" s="78"/>
      <c r="AW367" s="78"/>
      <c r="AX367" s="78"/>
      <c r="AY367" s="78"/>
      <c r="AZ367" s="79"/>
      <c r="BA367" s="65"/>
      <c r="BC367" s="85"/>
      <c r="BD367" s="78"/>
      <c r="BE367" s="78"/>
      <c r="BF367" s="78"/>
      <c r="BG367" s="78"/>
      <c r="BH367" s="78"/>
      <c r="BI367" s="78"/>
      <c r="BJ367" s="79"/>
      <c r="BK367" s="65"/>
      <c r="CU367" s="67"/>
      <c r="EC367" s="67"/>
      <c r="FK367" s="67"/>
      <c r="FL367" s="67"/>
      <c r="FM367" s="67"/>
      <c r="FN367" s="67"/>
      <c r="FO367" s="67"/>
      <c r="FP367" s="67"/>
      <c r="FQ367" s="67"/>
      <c r="FR367" s="67"/>
      <c r="FS367" s="67"/>
      <c r="FT367" s="67"/>
      <c r="FU367" s="67"/>
      <c r="FV367" s="67"/>
      <c r="FW367" s="67"/>
      <c r="FX367" s="67"/>
      <c r="FY367" s="67"/>
      <c r="FZ367" s="67"/>
      <c r="GA367" s="67"/>
      <c r="GB367" s="67"/>
      <c r="GC367" s="67"/>
      <c r="GD367" s="67"/>
      <c r="GE367" s="67"/>
      <c r="GF367" s="67"/>
      <c r="GG367" s="67"/>
      <c r="GH367" s="67"/>
      <c r="GI367" s="67"/>
      <c r="GJ367" s="67"/>
      <c r="GK367" s="67"/>
      <c r="GL367" s="67"/>
      <c r="GM367" s="67"/>
      <c r="GN367" s="67"/>
      <c r="GO367" s="67"/>
      <c r="GP367" s="67"/>
    </row>
    <row r="368" spans="5:198" s="66" customFormat="1">
      <c r="E368" s="67"/>
      <c r="G368" s="67"/>
      <c r="H368" s="67"/>
      <c r="I368" s="67"/>
      <c r="J368" s="67"/>
      <c r="K368" s="67"/>
      <c r="L368" s="67"/>
      <c r="M368" s="67"/>
      <c r="N368" s="67"/>
      <c r="O368" s="78"/>
      <c r="P368" s="78"/>
      <c r="S368" s="78"/>
      <c r="T368" s="78"/>
      <c r="U368" s="79"/>
      <c r="V368" s="65"/>
      <c r="Y368" s="78"/>
      <c r="Z368" s="78"/>
      <c r="AA368" s="78"/>
      <c r="AB368" s="78"/>
      <c r="AC368" s="78"/>
      <c r="AD368" s="78"/>
      <c r="AE368" s="78"/>
      <c r="AF368" s="78"/>
      <c r="AG368" s="79"/>
      <c r="AH368" s="65"/>
      <c r="AJ368" s="85"/>
      <c r="AK368" s="78"/>
      <c r="AL368" s="78"/>
      <c r="AM368" s="78"/>
      <c r="AN368" s="78"/>
      <c r="AO368" s="78"/>
      <c r="AP368" s="78"/>
      <c r="AQ368" s="79"/>
      <c r="AR368" s="65"/>
      <c r="AT368" s="85"/>
      <c r="AU368" s="78"/>
      <c r="AV368" s="78"/>
      <c r="AW368" s="78"/>
      <c r="AX368" s="78"/>
      <c r="AY368" s="78"/>
      <c r="AZ368" s="79"/>
      <c r="BA368" s="65"/>
      <c r="BC368" s="85"/>
      <c r="BD368" s="78"/>
      <c r="BE368" s="78"/>
      <c r="BF368" s="78"/>
      <c r="BG368" s="78"/>
      <c r="BH368" s="78"/>
      <c r="BI368" s="78"/>
      <c r="BJ368" s="79"/>
      <c r="BK368" s="65"/>
      <c r="CU368" s="67"/>
      <c r="EC368" s="67"/>
      <c r="FK368" s="67"/>
      <c r="FL368" s="67"/>
      <c r="FM368" s="67"/>
      <c r="FN368" s="67"/>
      <c r="FO368" s="67"/>
      <c r="FP368" s="67"/>
      <c r="FQ368" s="67"/>
      <c r="FR368" s="67"/>
      <c r="FS368" s="67"/>
      <c r="FT368" s="67"/>
      <c r="FU368" s="67"/>
      <c r="FV368" s="67"/>
      <c r="FW368" s="67"/>
      <c r="FX368" s="67"/>
      <c r="FY368" s="67"/>
      <c r="FZ368" s="67"/>
      <c r="GA368" s="67"/>
      <c r="GB368" s="67"/>
      <c r="GC368" s="67"/>
      <c r="GD368" s="67"/>
      <c r="GE368" s="67"/>
      <c r="GF368" s="67"/>
      <c r="GG368" s="67"/>
      <c r="GH368" s="67"/>
      <c r="GI368" s="67"/>
      <c r="GJ368" s="67"/>
      <c r="GK368" s="67"/>
      <c r="GL368" s="67"/>
      <c r="GM368" s="67"/>
      <c r="GN368" s="67"/>
      <c r="GO368" s="67"/>
      <c r="GP368" s="67"/>
    </row>
    <row r="369" spans="5:198" s="66" customFormat="1">
      <c r="E369" s="67"/>
      <c r="G369" s="67"/>
      <c r="H369" s="67"/>
      <c r="I369" s="67"/>
      <c r="J369" s="67"/>
      <c r="K369" s="67"/>
      <c r="L369" s="67"/>
      <c r="M369" s="67"/>
      <c r="N369" s="67"/>
      <c r="O369" s="78"/>
      <c r="P369" s="78"/>
      <c r="S369" s="78"/>
      <c r="T369" s="78"/>
      <c r="U369" s="79"/>
      <c r="V369" s="65"/>
      <c r="Y369" s="78"/>
      <c r="Z369" s="78"/>
      <c r="AA369" s="78"/>
      <c r="AB369" s="78"/>
      <c r="AC369" s="78"/>
      <c r="AD369" s="78"/>
      <c r="AE369" s="78"/>
      <c r="AF369" s="78"/>
      <c r="AG369" s="79"/>
      <c r="AH369" s="65"/>
      <c r="AJ369" s="85"/>
      <c r="AK369" s="78"/>
      <c r="AL369" s="78"/>
      <c r="AM369" s="78"/>
      <c r="AN369" s="78"/>
      <c r="AO369" s="78"/>
      <c r="AP369" s="78"/>
      <c r="AQ369" s="79"/>
      <c r="AR369" s="65"/>
      <c r="AT369" s="85"/>
      <c r="AU369" s="78"/>
      <c r="AV369" s="78"/>
      <c r="AW369" s="78"/>
      <c r="AX369" s="78"/>
      <c r="AY369" s="78"/>
      <c r="AZ369" s="79"/>
      <c r="BA369" s="65"/>
      <c r="BC369" s="85"/>
      <c r="BD369" s="78"/>
      <c r="BE369" s="78"/>
      <c r="BF369" s="78"/>
      <c r="BG369" s="78"/>
      <c r="BH369" s="78"/>
      <c r="BI369" s="78"/>
      <c r="BJ369" s="79"/>
      <c r="BK369" s="65"/>
      <c r="CU369" s="67"/>
      <c r="EC369" s="67"/>
      <c r="FK369" s="67"/>
      <c r="FL369" s="67"/>
      <c r="FM369" s="67"/>
      <c r="FN369" s="67"/>
      <c r="FO369" s="67"/>
      <c r="FP369" s="67"/>
      <c r="FQ369" s="67"/>
      <c r="FR369" s="67"/>
      <c r="FS369" s="67"/>
      <c r="FT369" s="67"/>
      <c r="FU369" s="67"/>
      <c r="FV369" s="67"/>
      <c r="FW369" s="67"/>
      <c r="FX369" s="67"/>
      <c r="FY369" s="67"/>
      <c r="FZ369" s="67"/>
      <c r="GA369" s="67"/>
      <c r="GB369" s="67"/>
      <c r="GC369" s="67"/>
      <c r="GD369" s="67"/>
      <c r="GE369" s="67"/>
      <c r="GF369" s="67"/>
      <c r="GG369" s="67"/>
      <c r="GH369" s="67"/>
      <c r="GI369" s="67"/>
      <c r="GJ369" s="67"/>
      <c r="GK369" s="67"/>
      <c r="GL369" s="67"/>
      <c r="GM369" s="67"/>
      <c r="GN369" s="67"/>
      <c r="GO369" s="67"/>
      <c r="GP369" s="67"/>
    </row>
    <row r="370" spans="5:198" s="66" customFormat="1">
      <c r="E370" s="67"/>
      <c r="G370" s="67"/>
      <c r="H370" s="67"/>
      <c r="I370" s="67"/>
      <c r="J370" s="67"/>
      <c r="K370" s="67"/>
      <c r="L370" s="67"/>
      <c r="M370" s="67"/>
      <c r="N370" s="67"/>
      <c r="O370" s="78"/>
      <c r="P370" s="78"/>
      <c r="S370" s="78"/>
      <c r="T370" s="78"/>
      <c r="U370" s="79"/>
      <c r="V370" s="65"/>
      <c r="Y370" s="78"/>
      <c r="Z370" s="78"/>
      <c r="AA370" s="78"/>
      <c r="AB370" s="78"/>
      <c r="AC370" s="78"/>
      <c r="AD370" s="78"/>
      <c r="AE370" s="78"/>
      <c r="AF370" s="78"/>
      <c r="AG370" s="79"/>
      <c r="AH370" s="65"/>
      <c r="AJ370" s="85"/>
      <c r="AK370" s="78"/>
      <c r="AL370" s="78"/>
      <c r="AM370" s="78"/>
      <c r="AN370" s="78"/>
      <c r="AO370" s="78"/>
      <c r="AP370" s="78"/>
      <c r="AQ370" s="79"/>
      <c r="AR370" s="65"/>
      <c r="AT370" s="85"/>
      <c r="AU370" s="78"/>
      <c r="AV370" s="78"/>
      <c r="AW370" s="78"/>
      <c r="AX370" s="78"/>
      <c r="AY370" s="78"/>
      <c r="AZ370" s="79"/>
      <c r="BA370" s="65"/>
      <c r="BC370" s="85"/>
      <c r="BD370" s="78"/>
      <c r="BE370" s="78"/>
      <c r="BF370" s="78"/>
      <c r="BG370" s="78"/>
      <c r="BH370" s="78"/>
      <c r="BI370" s="78"/>
      <c r="BJ370" s="79"/>
      <c r="BK370" s="65"/>
      <c r="CU370" s="67"/>
      <c r="EC370" s="67"/>
      <c r="FK370" s="67"/>
      <c r="FL370" s="67"/>
      <c r="FM370" s="67"/>
      <c r="FN370" s="67"/>
      <c r="FO370" s="67"/>
      <c r="FP370" s="67"/>
      <c r="FQ370" s="67"/>
      <c r="FR370" s="67"/>
      <c r="FS370" s="67"/>
      <c r="FT370" s="67"/>
      <c r="FU370" s="67"/>
      <c r="FV370" s="67"/>
      <c r="FW370" s="67"/>
      <c r="FX370" s="67"/>
      <c r="FY370" s="67"/>
      <c r="FZ370" s="67"/>
      <c r="GA370" s="67"/>
      <c r="GB370" s="67"/>
      <c r="GC370" s="67"/>
      <c r="GD370" s="67"/>
      <c r="GE370" s="67"/>
      <c r="GF370" s="67"/>
      <c r="GG370" s="67"/>
      <c r="GH370" s="67"/>
      <c r="GI370" s="67"/>
      <c r="GJ370" s="67"/>
      <c r="GK370" s="67"/>
      <c r="GL370" s="67"/>
      <c r="GM370" s="67"/>
      <c r="GN370" s="67"/>
      <c r="GO370" s="67"/>
      <c r="GP370" s="67"/>
    </row>
    <row r="371" spans="5:198" s="66" customFormat="1">
      <c r="E371" s="67"/>
      <c r="G371" s="67"/>
      <c r="H371" s="67"/>
      <c r="I371" s="67"/>
      <c r="J371" s="67"/>
      <c r="K371" s="67"/>
      <c r="L371" s="67"/>
      <c r="M371" s="67"/>
      <c r="N371" s="67"/>
      <c r="O371" s="78"/>
      <c r="P371" s="78"/>
      <c r="S371" s="78"/>
      <c r="T371" s="78"/>
      <c r="U371" s="79"/>
      <c r="V371" s="65"/>
      <c r="Y371" s="78"/>
      <c r="Z371" s="78"/>
      <c r="AA371" s="78"/>
      <c r="AB371" s="78"/>
      <c r="AC371" s="78"/>
      <c r="AD371" s="78"/>
      <c r="AE371" s="78"/>
      <c r="AF371" s="78"/>
      <c r="AG371" s="79"/>
      <c r="AH371" s="65"/>
      <c r="AJ371" s="85"/>
      <c r="AK371" s="78"/>
      <c r="AL371" s="78"/>
      <c r="AM371" s="78"/>
      <c r="AN371" s="78"/>
      <c r="AO371" s="78"/>
      <c r="AP371" s="78"/>
      <c r="AQ371" s="79"/>
      <c r="AR371" s="65"/>
      <c r="AT371" s="85"/>
      <c r="AU371" s="78"/>
      <c r="AV371" s="78"/>
      <c r="AW371" s="78"/>
      <c r="AX371" s="78"/>
      <c r="AY371" s="78"/>
      <c r="AZ371" s="79"/>
      <c r="BA371" s="65"/>
      <c r="BC371" s="85"/>
      <c r="BD371" s="78"/>
      <c r="BE371" s="78"/>
      <c r="BF371" s="78"/>
      <c r="BG371" s="78"/>
      <c r="BH371" s="78"/>
      <c r="BI371" s="78"/>
      <c r="BJ371" s="79"/>
      <c r="BK371" s="65"/>
      <c r="CU371" s="67"/>
      <c r="EC371" s="67"/>
      <c r="FK371" s="67"/>
      <c r="FL371" s="67"/>
      <c r="FM371" s="67"/>
      <c r="FN371" s="67"/>
      <c r="FO371" s="67"/>
      <c r="FP371" s="67"/>
      <c r="FQ371" s="67"/>
      <c r="FR371" s="67"/>
      <c r="FS371" s="67"/>
      <c r="FT371" s="67"/>
      <c r="FU371" s="67"/>
      <c r="FV371" s="67"/>
      <c r="FW371" s="67"/>
      <c r="FX371" s="67"/>
      <c r="FY371" s="67"/>
      <c r="FZ371" s="67"/>
      <c r="GA371" s="67"/>
      <c r="GB371" s="67"/>
      <c r="GC371" s="67"/>
      <c r="GD371" s="67"/>
      <c r="GE371" s="67"/>
      <c r="GF371" s="67"/>
      <c r="GG371" s="67"/>
      <c r="GH371" s="67"/>
      <c r="GI371" s="67"/>
      <c r="GJ371" s="67"/>
      <c r="GK371" s="67"/>
      <c r="GL371" s="67"/>
      <c r="GM371" s="67"/>
      <c r="GN371" s="67"/>
      <c r="GO371" s="67"/>
      <c r="GP371" s="67"/>
    </row>
    <row r="372" spans="5:198" s="66" customFormat="1">
      <c r="E372" s="67"/>
      <c r="G372" s="67"/>
      <c r="H372" s="67"/>
      <c r="I372" s="67"/>
      <c r="J372" s="67"/>
      <c r="K372" s="67"/>
      <c r="L372" s="67"/>
      <c r="M372" s="67"/>
      <c r="N372" s="67"/>
      <c r="O372" s="78"/>
      <c r="P372" s="78"/>
      <c r="S372" s="78"/>
      <c r="T372" s="78"/>
      <c r="U372" s="79"/>
      <c r="V372" s="65"/>
      <c r="Y372" s="78"/>
      <c r="Z372" s="78"/>
      <c r="AA372" s="78"/>
      <c r="AB372" s="78"/>
      <c r="AC372" s="78"/>
      <c r="AD372" s="78"/>
      <c r="AE372" s="78"/>
      <c r="AF372" s="78"/>
      <c r="AG372" s="79"/>
      <c r="AH372" s="65"/>
      <c r="AJ372" s="85"/>
      <c r="AK372" s="78"/>
      <c r="AL372" s="78"/>
      <c r="AM372" s="78"/>
      <c r="AN372" s="78"/>
      <c r="AO372" s="78"/>
      <c r="AP372" s="78"/>
      <c r="AQ372" s="79"/>
      <c r="AR372" s="65"/>
      <c r="AT372" s="85"/>
      <c r="AU372" s="78"/>
      <c r="AV372" s="78"/>
      <c r="AW372" s="78"/>
      <c r="AX372" s="78"/>
      <c r="AY372" s="78"/>
      <c r="AZ372" s="79"/>
      <c r="BA372" s="65"/>
      <c r="BC372" s="85"/>
      <c r="BD372" s="78"/>
      <c r="BE372" s="78"/>
      <c r="BF372" s="78"/>
      <c r="BG372" s="78"/>
      <c r="BH372" s="78"/>
      <c r="BI372" s="78"/>
      <c r="BJ372" s="79"/>
      <c r="BK372" s="65"/>
      <c r="CU372" s="67"/>
      <c r="EC372" s="67"/>
      <c r="FK372" s="67"/>
      <c r="FL372" s="67"/>
      <c r="FM372" s="67"/>
      <c r="FN372" s="67"/>
      <c r="FO372" s="67"/>
      <c r="FP372" s="67"/>
      <c r="FQ372" s="67"/>
      <c r="FR372" s="67"/>
      <c r="FS372" s="67"/>
      <c r="FT372" s="67"/>
      <c r="FU372" s="67"/>
      <c r="FV372" s="67"/>
      <c r="FW372" s="67"/>
      <c r="FX372" s="67"/>
      <c r="FY372" s="67"/>
      <c r="FZ372" s="67"/>
      <c r="GA372" s="67"/>
      <c r="GB372" s="67"/>
      <c r="GC372" s="67"/>
      <c r="GD372" s="67"/>
      <c r="GE372" s="67"/>
      <c r="GF372" s="67"/>
      <c r="GG372" s="67"/>
      <c r="GH372" s="67"/>
      <c r="GI372" s="67"/>
      <c r="GJ372" s="67"/>
      <c r="GK372" s="67"/>
      <c r="GL372" s="67"/>
      <c r="GM372" s="67"/>
      <c r="GN372" s="67"/>
      <c r="GO372" s="67"/>
      <c r="GP372" s="67"/>
    </row>
    <row r="373" spans="5:198" s="66" customFormat="1">
      <c r="E373" s="67"/>
      <c r="G373" s="67"/>
      <c r="H373" s="67"/>
      <c r="I373" s="67"/>
      <c r="J373" s="67"/>
      <c r="K373" s="67"/>
      <c r="L373" s="67"/>
      <c r="M373" s="67"/>
      <c r="N373" s="67"/>
      <c r="O373" s="78"/>
      <c r="P373" s="78"/>
      <c r="S373" s="78"/>
      <c r="T373" s="78"/>
      <c r="U373" s="79"/>
      <c r="V373" s="65"/>
      <c r="Y373" s="78"/>
      <c r="Z373" s="78"/>
      <c r="AA373" s="78"/>
      <c r="AB373" s="78"/>
      <c r="AC373" s="78"/>
      <c r="AD373" s="78"/>
      <c r="AE373" s="78"/>
      <c r="AF373" s="78"/>
      <c r="AG373" s="79"/>
      <c r="AH373" s="65"/>
      <c r="AJ373" s="85"/>
      <c r="AK373" s="78"/>
      <c r="AL373" s="78"/>
      <c r="AM373" s="78"/>
      <c r="AN373" s="78"/>
      <c r="AO373" s="78"/>
      <c r="AP373" s="78"/>
      <c r="AQ373" s="79"/>
      <c r="AR373" s="65"/>
      <c r="AT373" s="85"/>
      <c r="AU373" s="78"/>
      <c r="AV373" s="78"/>
      <c r="AW373" s="78"/>
      <c r="AX373" s="78"/>
      <c r="AY373" s="78"/>
      <c r="AZ373" s="79"/>
      <c r="BA373" s="65"/>
      <c r="BC373" s="85"/>
      <c r="BD373" s="78"/>
      <c r="BE373" s="78"/>
      <c r="BF373" s="78"/>
      <c r="BG373" s="78"/>
      <c r="BH373" s="78"/>
      <c r="BI373" s="78"/>
      <c r="BJ373" s="79"/>
      <c r="BK373" s="65"/>
      <c r="CU373" s="67"/>
      <c r="EC373" s="67"/>
      <c r="FK373" s="67"/>
      <c r="FL373" s="67"/>
      <c r="FM373" s="67"/>
      <c r="FN373" s="67"/>
      <c r="FO373" s="67"/>
      <c r="FP373" s="67"/>
      <c r="FQ373" s="67"/>
      <c r="FR373" s="67"/>
      <c r="FS373" s="67"/>
      <c r="FT373" s="67"/>
      <c r="FU373" s="67"/>
      <c r="FV373" s="67"/>
      <c r="FW373" s="67"/>
      <c r="FX373" s="67"/>
      <c r="FY373" s="67"/>
      <c r="FZ373" s="67"/>
      <c r="GA373" s="67"/>
      <c r="GB373" s="67"/>
      <c r="GC373" s="67"/>
      <c r="GD373" s="67"/>
      <c r="GE373" s="67"/>
      <c r="GF373" s="67"/>
      <c r="GG373" s="67"/>
      <c r="GH373" s="67"/>
      <c r="GI373" s="67"/>
      <c r="GJ373" s="67"/>
      <c r="GK373" s="67"/>
      <c r="GL373" s="67"/>
      <c r="GM373" s="67"/>
      <c r="GN373" s="67"/>
      <c r="GO373" s="67"/>
      <c r="GP373" s="67"/>
    </row>
    <row r="374" spans="5:198" s="66" customFormat="1">
      <c r="E374" s="67"/>
      <c r="G374" s="67"/>
      <c r="H374" s="67"/>
      <c r="I374" s="67"/>
      <c r="J374" s="67"/>
      <c r="K374" s="67"/>
      <c r="L374" s="67"/>
      <c r="M374" s="67"/>
      <c r="N374" s="67"/>
      <c r="O374" s="78"/>
      <c r="P374" s="78"/>
      <c r="S374" s="78"/>
      <c r="T374" s="78"/>
      <c r="U374" s="79"/>
      <c r="V374" s="65"/>
      <c r="Y374" s="78"/>
      <c r="Z374" s="78"/>
      <c r="AA374" s="78"/>
      <c r="AB374" s="78"/>
      <c r="AC374" s="78"/>
      <c r="AD374" s="78"/>
      <c r="AE374" s="78"/>
      <c r="AF374" s="78"/>
      <c r="AG374" s="79"/>
      <c r="AH374" s="65"/>
      <c r="AJ374" s="85"/>
      <c r="AK374" s="78"/>
      <c r="AL374" s="78"/>
      <c r="AM374" s="78"/>
      <c r="AN374" s="78"/>
      <c r="AO374" s="78"/>
      <c r="AP374" s="78"/>
      <c r="AQ374" s="79"/>
      <c r="AR374" s="65"/>
      <c r="AT374" s="85"/>
      <c r="AU374" s="78"/>
      <c r="AV374" s="78"/>
      <c r="AW374" s="78"/>
      <c r="AX374" s="78"/>
      <c r="AY374" s="78"/>
      <c r="AZ374" s="79"/>
      <c r="BA374" s="65"/>
      <c r="BC374" s="85"/>
      <c r="BD374" s="78"/>
      <c r="BE374" s="78"/>
      <c r="BF374" s="78"/>
      <c r="BG374" s="78"/>
      <c r="BH374" s="78"/>
      <c r="BI374" s="78"/>
      <c r="BJ374" s="79"/>
      <c r="BK374" s="65"/>
      <c r="CU374" s="67"/>
      <c r="EC374" s="67"/>
      <c r="FK374" s="67"/>
      <c r="FL374" s="67"/>
      <c r="FM374" s="67"/>
      <c r="FN374" s="67"/>
      <c r="FO374" s="67"/>
      <c r="FP374" s="67"/>
      <c r="FQ374" s="67"/>
      <c r="FR374" s="67"/>
      <c r="FS374" s="67"/>
      <c r="FT374" s="67"/>
      <c r="FU374" s="67"/>
      <c r="FV374" s="67"/>
      <c r="FW374" s="67"/>
      <c r="FX374" s="67"/>
      <c r="FY374" s="67"/>
      <c r="FZ374" s="67"/>
      <c r="GA374" s="67"/>
      <c r="GB374" s="67"/>
      <c r="GC374" s="67"/>
      <c r="GD374" s="67"/>
      <c r="GE374" s="67"/>
      <c r="GF374" s="67"/>
      <c r="GG374" s="67"/>
      <c r="GH374" s="67"/>
      <c r="GI374" s="67"/>
      <c r="GJ374" s="67"/>
      <c r="GK374" s="67"/>
      <c r="GL374" s="67"/>
      <c r="GM374" s="67"/>
      <c r="GN374" s="67"/>
      <c r="GO374" s="67"/>
      <c r="GP374" s="67"/>
    </row>
    <row r="375" spans="5:198" s="66" customFormat="1">
      <c r="E375" s="67"/>
      <c r="G375" s="67"/>
      <c r="H375" s="67"/>
      <c r="I375" s="67"/>
      <c r="J375" s="67"/>
      <c r="K375" s="67"/>
      <c r="L375" s="67"/>
      <c r="M375" s="67"/>
      <c r="N375" s="67"/>
      <c r="O375" s="78"/>
      <c r="P375" s="78"/>
      <c r="S375" s="78"/>
      <c r="T375" s="78"/>
      <c r="U375" s="79"/>
      <c r="V375" s="65"/>
      <c r="Y375" s="78"/>
      <c r="Z375" s="78"/>
      <c r="AA375" s="78"/>
      <c r="AB375" s="78"/>
      <c r="AC375" s="78"/>
      <c r="AD375" s="78"/>
      <c r="AE375" s="78"/>
      <c r="AF375" s="78"/>
      <c r="AG375" s="79"/>
      <c r="AH375" s="65"/>
      <c r="AJ375" s="85"/>
      <c r="AK375" s="78"/>
      <c r="AL375" s="78"/>
      <c r="AM375" s="78"/>
      <c r="AN375" s="78"/>
      <c r="AO375" s="78"/>
      <c r="AP375" s="78"/>
      <c r="AQ375" s="79"/>
      <c r="AR375" s="65"/>
      <c r="AT375" s="85"/>
      <c r="AU375" s="78"/>
      <c r="AV375" s="78"/>
      <c r="AW375" s="78"/>
      <c r="AX375" s="78"/>
      <c r="AY375" s="78"/>
      <c r="AZ375" s="79"/>
      <c r="BA375" s="65"/>
      <c r="BC375" s="85"/>
      <c r="BD375" s="78"/>
      <c r="BE375" s="78"/>
      <c r="BF375" s="78"/>
      <c r="BG375" s="78"/>
      <c r="BH375" s="78"/>
      <c r="BI375" s="78"/>
      <c r="BJ375" s="79"/>
      <c r="BK375" s="65"/>
      <c r="CU375" s="67"/>
      <c r="EC375" s="67"/>
      <c r="FK375" s="67"/>
      <c r="FL375" s="67"/>
      <c r="FM375" s="67"/>
      <c r="FN375" s="67"/>
      <c r="FO375" s="67"/>
      <c r="FP375" s="67"/>
      <c r="FQ375" s="67"/>
      <c r="FR375" s="67"/>
      <c r="FS375" s="67"/>
      <c r="FT375" s="67"/>
      <c r="FU375" s="67"/>
      <c r="FV375" s="67"/>
      <c r="FW375" s="67"/>
      <c r="FX375" s="67"/>
      <c r="FY375" s="67"/>
      <c r="FZ375" s="67"/>
      <c r="GA375" s="67"/>
      <c r="GB375" s="67"/>
      <c r="GC375" s="67"/>
      <c r="GD375" s="67"/>
      <c r="GE375" s="67"/>
      <c r="GF375" s="67"/>
      <c r="GG375" s="67"/>
      <c r="GH375" s="67"/>
      <c r="GI375" s="67"/>
      <c r="GJ375" s="67"/>
      <c r="GK375" s="67"/>
      <c r="GL375" s="67"/>
      <c r="GM375" s="67"/>
      <c r="GN375" s="67"/>
      <c r="GO375" s="67"/>
      <c r="GP375" s="67"/>
    </row>
    <row r="376" spans="5:198" s="66" customFormat="1">
      <c r="E376" s="67"/>
      <c r="G376" s="67"/>
      <c r="H376" s="67"/>
      <c r="I376" s="67"/>
      <c r="J376" s="67"/>
      <c r="K376" s="67"/>
      <c r="L376" s="67"/>
      <c r="M376" s="67"/>
      <c r="N376" s="67"/>
      <c r="O376" s="78"/>
      <c r="P376" s="78"/>
      <c r="S376" s="78"/>
      <c r="T376" s="78"/>
      <c r="U376" s="79"/>
      <c r="V376" s="65"/>
      <c r="Y376" s="78"/>
      <c r="Z376" s="78"/>
      <c r="AA376" s="78"/>
      <c r="AB376" s="78"/>
      <c r="AC376" s="78"/>
      <c r="AD376" s="78"/>
      <c r="AE376" s="78"/>
      <c r="AF376" s="78"/>
      <c r="AG376" s="79"/>
      <c r="AH376" s="65"/>
      <c r="AJ376" s="85"/>
      <c r="AK376" s="78"/>
      <c r="AL376" s="78"/>
      <c r="AM376" s="78"/>
      <c r="AN376" s="78"/>
      <c r="AO376" s="78"/>
      <c r="AP376" s="78"/>
      <c r="AQ376" s="79"/>
      <c r="AR376" s="65"/>
      <c r="AT376" s="85"/>
      <c r="AU376" s="78"/>
      <c r="AV376" s="78"/>
      <c r="AW376" s="78"/>
      <c r="AX376" s="78"/>
      <c r="AY376" s="78"/>
      <c r="AZ376" s="79"/>
      <c r="BA376" s="65"/>
      <c r="BC376" s="85"/>
      <c r="BD376" s="78"/>
      <c r="BE376" s="78"/>
      <c r="BF376" s="78"/>
      <c r="BG376" s="78"/>
      <c r="BH376" s="78"/>
      <c r="BI376" s="78"/>
      <c r="BJ376" s="79"/>
      <c r="BK376" s="65"/>
      <c r="CU376" s="67"/>
      <c r="EC376" s="67"/>
      <c r="FK376" s="67"/>
      <c r="FL376" s="67"/>
      <c r="FM376" s="67"/>
      <c r="FN376" s="67"/>
      <c r="FO376" s="67"/>
      <c r="FP376" s="67"/>
      <c r="FQ376" s="67"/>
      <c r="FR376" s="67"/>
      <c r="FS376" s="67"/>
      <c r="FT376" s="67"/>
      <c r="FU376" s="67"/>
      <c r="FV376" s="67"/>
      <c r="FW376" s="67"/>
      <c r="FX376" s="67"/>
      <c r="FY376" s="67"/>
      <c r="FZ376" s="67"/>
      <c r="GA376" s="67"/>
      <c r="GB376" s="67"/>
      <c r="GC376" s="67"/>
      <c r="GD376" s="67"/>
      <c r="GE376" s="67"/>
      <c r="GF376" s="67"/>
      <c r="GG376" s="67"/>
      <c r="GH376" s="67"/>
      <c r="GI376" s="67"/>
      <c r="GJ376" s="67"/>
      <c r="GK376" s="67"/>
      <c r="GL376" s="67"/>
      <c r="GM376" s="67"/>
      <c r="GN376" s="67"/>
      <c r="GO376" s="67"/>
      <c r="GP376" s="67"/>
    </row>
    <row r="377" spans="5:198" s="66" customFormat="1">
      <c r="E377" s="67"/>
      <c r="G377" s="67"/>
      <c r="H377" s="67"/>
      <c r="I377" s="67"/>
      <c r="J377" s="67"/>
      <c r="K377" s="67"/>
      <c r="L377" s="67"/>
      <c r="M377" s="67"/>
      <c r="N377" s="67"/>
      <c r="O377" s="78"/>
      <c r="P377" s="78"/>
      <c r="S377" s="78"/>
      <c r="T377" s="78"/>
      <c r="U377" s="79"/>
      <c r="V377" s="65"/>
      <c r="Y377" s="78"/>
      <c r="Z377" s="78"/>
      <c r="AA377" s="78"/>
      <c r="AB377" s="78"/>
      <c r="AC377" s="78"/>
      <c r="AD377" s="78"/>
      <c r="AE377" s="78"/>
      <c r="AF377" s="78"/>
      <c r="AG377" s="79"/>
      <c r="AH377" s="65"/>
      <c r="AJ377" s="85"/>
      <c r="AK377" s="78"/>
      <c r="AL377" s="78"/>
      <c r="AM377" s="78"/>
      <c r="AN377" s="78"/>
      <c r="AO377" s="78"/>
      <c r="AP377" s="78"/>
      <c r="AQ377" s="79"/>
      <c r="AR377" s="65"/>
      <c r="AT377" s="85"/>
      <c r="AU377" s="78"/>
      <c r="AV377" s="78"/>
      <c r="AW377" s="78"/>
      <c r="AX377" s="78"/>
      <c r="AY377" s="78"/>
      <c r="AZ377" s="79"/>
      <c r="BA377" s="65"/>
      <c r="BC377" s="85"/>
      <c r="BD377" s="78"/>
      <c r="BE377" s="78"/>
      <c r="BF377" s="78"/>
      <c r="BG377" s="78"/>
      <c r="BH377" s="78"/>
      <c r="BI377" s="78"/>
      <c r="BJ377" s="79"/>
      <c r="BK377" s="65"/>
      <c r="CU377" s="67"/>
      <c r="EC377" s="67"/>
      <c r="FK377" s="67"/>
      <c r="FL377" s="67"/>
      <c r="FM377" s="67"/>
      <c r="FN377" s="67"/>
      <c r="FO377" s="67"/>
      <c r="FP377" s="67"/>
      <c r="FQ377" s="67"/>
      <c r="FR377" s="67"/>
      <c r="FS377" s="67"/>
      <c r="FT377" s="67"/>
      <c r="FU377" s="67"/>
      <c r="FV377" s="67"/>
      <c r="FW377" s="67"/>
      <c r="FX377" s="67"/>
      <c r="FY377" s="67"/>
      <c r="FZ377" s="67"/>
      <c r="GA377" s="67"/>
      <c r="GB377" s="67"/>
      <c r="GC377" s="67"/>
      <c r="GD377" s="67"/>
      <c r="GE377" s="67"/>
      <c r="GF377" s="67"/>
      <c r="GG377" s="67"/>
      <c r="GH377" s="67"/>
      <c r="GI377" s="67"/>
      <c r="GJ377" s="67"/>
      <c r="GK377" s="67"/>
      <c r="GL377" s="67"/>
      <c r="GM377" s="67"/>
      <c r="GN377" s="67"/>
      <c r="GO377" s="67"/>
      <c r="GP377" s="67"/>
    </row>
    <row r="378" spans="5:198" s="66" customFormat="1">
      <c r="E378" s="67"/>
      <c r="G378" s="67"/>
      <c r="H378" s="67"/>
      <c r="I378" s="67"/>
      <c r="J378" s="67"/>
      <c r="K378" s="67"/>
      <c r="L378" s="67"/>
      <c r="M378" s="67"/>
      <c r="N378" s="67"/>
      <c r="O378" s="78"/>
      <c r="P378" s="78"/>
      <c r="S378" s="78"/>
      <c r="T378" s="78"/>
      <c r="U378" s="79"/>
      <c r="V378" s="65"/>
      <c r="Y378" s="78"/>
      <c r="Z378" s="78"/>
      <c r="AA378" s="78"/>
      <c r="AB378" s="78"/>
      <c r="AC378" s="78"/>
      <c r="AD378" s="78"/>
      <c r="AE378" s="78"/>
      <c r="AF378" s="78"/>
      <c r="AG378" s="79"/>
      <c r="AH378" s="65"/>
      <c r="AJ378" s="85"/>
      <c r="AK378" s="78"/>
      <c r="AL378" s="78"/>
      <c r="AM378" s="78"/>
      <c r="AN378" s="78"/>
      <c r="AO378" s="78"/>
      <c r="AP378" s="78"/>
      <c r="AQ378" s="79"/>
      <c r="AR378" s="65"/>
      <c r="AT378" s="85"/>
      <c r="AU378" s="78"/>
      <c r="AV378" s="78"/>
      <c r="AW378" s="78"/>
      <c r="AX378" s="78"/>
      <c r="AY378" s="78"/>
      <c r="AZ378" s="79"/>
      <c r="BA378" s="65"/>
      <c r="BC378" s="85"/>
      <c r="BD378" s="78"/>
      <c r="BE378" s="78"/>
      <c r="BF378" s="78"/>
      <c r="BG378" s="78"/>
      <c r="BH378" s="78"/>
      <c r="BI378" s="78"/>
      <c r="BJ378" s="79"/>
      <c r="BK378" s="65"/>
      <c r="CU378" s="67"/>
      <c r="EC378" s="67"/>
      <c r="FK378" s="67"/>
      <c r="FL378" s="67"/>
      <c r="FM378" s="67"/>
      <c r="FN378" s="67"/>
      <c r="FO378" s="67"/>
      <c r="FP378" s="67"/>
      <c r="FQ378" s="67"/>
      <c r="FR378" s="67"/>
      <c r="FS378" s="67"/>
      <c r="FT378" s="67"/>
      <c r="FU378" s="67"/>
      <c r="FV378" s="67"/>
      <c r="FW378" s="67"/>
      <c r="FX378" s="67"/>
      <c r="FY378" s="67"/>
      <c r="FZ378" s="67"/>
      <c r="GA378" s="67"/>
      <c r="GB378" s="67"/>
      <c r="GC378" s="67"/>
      <c r="GD378" s="67"/>
      <c r="GE378" s="67"/>
      <c r="GF378" s="67"/>
      <c r="GG378" s="67"/>
      <c r="GH378" s="67"/>
      <c r="GI378" s="67"/>
      <c r="GJ378" s="67"/>
      <c r="GK378" s="67"/>
      <c r="GL378" s="67"/>
      <c r="GM378" s="67"/>
      <c r="GN378" s="67"/>
      <c r="GO378" s="67"/>
      <c r="GP378" s="67"/>
    </row>
    <row r="379" spans="5:198" s="66" customFormat="1">
      <c r="E379" s="67"/>
      <c r="G379" s="67"/>
      <c r="H379" s="67"/>
      <c r="I379" s="67"/>
      <c r="J379" s="67"/>
      <c r="K379" s="67"/>
      <c r="L379" s="67"/>
      <c r="M379" s="67"/>
      <c r="N379" s="67"/>
      <c r="O379" s="78"/>
      <c r="P379" s="78"/>
      <c r="S379" s="78"/>
      <c r="T379" s="78"/>
      <c r="U379" s="79"/>
      <c r="V379" s="65"/>
      <c r="Y379" s="78"/>
      <c r="Z379" s="78"/>
      <c r="AA379" s="78"/>
      <c r="AB379" s="78"/>
      <c r="AC379" s="78"/>
      <c r="AD379" s="78"/>
      <c r="AE379" s="78"/>
      <c r="AF379" s="78"/>
      <c r="AG379" s="79"/>
      <c r="AH379" s="65"/>
      <c r="AJ379" s="85"/>
      <c r="AK379" s="78"/>
      <c r="AL379" s="78"/>
      <c r="AM379" s="78"/>
      <c r="AN379" s="78"/>
      <c r="AO379" s="78"/>
      <c r="AP379" s="78"/>
      <c r="AQ379" s="79"/>
      <c r="AR379" s="65"/>
      <c r="AT379" s="85"/>
      <c r="AU379" s="78"/>
      <c r="AV379" s="78"/>
      <c r="AW379" s="78"/>
      <c r="AX379" s="78"/>
      <c r="AY379" s="78"/>
      <c r="AZ379" s="79"/>
      <c r="BA379" s="65"/>
      <c r="BC379" s="85"/>
      <c r="BD379" s="78"/>
      <c r="BE379" s="78"/>
      <c r="BF379" s="78"/>
      <c r="BG379" s="78"/>
      <c r="BH379" s="78"/>
      <c r="BI379" s="78"/>
      <c r="BJ379" s="79"/>
      <c r="BK379" s="65"/>
      <c r="CU379" s="67"/>
      <c r="EC379" s="67"/>
      <c r="FK379" s="67"/>
      <c r="FL379" s="67"/>
      <c r="FM379" s="67"/>
      <c r="FN379" s="67"/>
      <c r="FO379" s="67"/>
      <c r="FP379" s="67"/>
      <c r="FQ379" s="67"/>
      <c r="FR379" s="67"/>
      <c r="FS379" s="67"/>
      <c r="FT379" s="67"/>
      <c r="FU379" s="67"/>
      <c r="FV379" s="67"/>
      <c r="FW379" s="67"/>
      <c r="FX379" s="67"/>
      <c r="FY379" s="67"/>
      <c r="FZ379" s="67"/>
      <c r="GA379" s="67"/>
      <c r="GB379" s="67"/>
      <c r="GC379" s="67"/>
      <c r="GD379" s="67"/>
      <c r="GE379" s="67"/>
      <c r="GF379" s="67"/>
      <c r="GG379" s="67"/>
      <c r="GH379" s="67"/>
      <c r="GI379" s="67"/>
      <c r="GJ379" s="67"/>
      <c r="GK379" s="67"/>
      <c r="GL379" s="67"/>
      <c r="GM379" s="67"/>
      <c r="GN379" s="67"/>
      <c r="GO379" s="67"/>
      <c r="GP379" s="67"/>
    </row>
    <row r="380" spans="5:198" s="66" customFormat="1">
      <c r="E380" s="67"/>
      <c r="G380" s="67"/>
      <c r="H380" s="67"/>
      <c r="I380" s="67"/>
      <c r="J380" s="67"/>
      <c r="K380" s="67"/>
      <c r="L380" s="67"/>
      <c r="M380" s="67"/>
      <c r="N380" s="67"/>
      <c r="O380" s="78"/>
      <c r="P380" s="78"/>
      <c r="S380" s="78"/>
      <c r="T380" s="78"/>
      <c r="U380" s="79"/>
      <c r="V380" s="65"/>
      <c r="Y380" s="78"/>
      <c r="Z380" s="78"/>
      <c r="AA380" s="78"/>
      <c r="AB380" s="78"/>
      <c r="AC380" s="78"/>
      <c r="AD380" s="78"/>
      <c r="AE380" s="78"/>
      <c r="AF380" s="78"/>
      <c r="AG380" s="79"/>
      <c r="AH380" s="65"/>
      <c r="AJ380" s="85"/>
      <c r="AK380" s="78"/>
      <c r="AL380" s="78"/>
      <c r="AM380" s="78"/>
      <c r="AN380" s="78"/>
      <c r="AO380" s="78"/>
      <c r="AP380" s="78"/>
      <c r="AQ380" s="79"/>
      <c r="AR380" s="65"/>
      <c r="AT380" s="85"/>
      <c r="AU380" s="78"/>
      <c r="AV380" s="78"/>
      <c r="AW380" s="78"/>
      <c r="AX380" s="78"/>
      <c r="AY380" s="78"/>
      <c r="AZ380" s="79"/>
      <c r="BA380" s="65"/>
      <c r="BC380" s="85"/>
      <c r="BD380" s="78"/>
      <c r="BE380" s="78"/>
      <c r="BF380" s="78"/>
      <c r="BG380" s="78"/>
      <c r="BH380" s="78"/>
      <c r="BI380" s="78"/>
      <c r="BJ380" s="79"/>
      <c r="BK380" s="65"/>
      <c r="CU380" s="67"/>
      <c r="EC380" s="67"/>
      <c r="FK380" s="67"/>
      <c r="FL380" s="67"/>
      <c r="FM380" s="67"/>
      <c r="FN380" s="67"/>
      <c r="FO380" s="67"/>
      <c r="FP380" s="67"/>
      <c r="FQ380" s="67"/>
      <c r="FR380" s="67"/>
      <c r="FS380" s="67"/>
      <c r="FT380" s="67"/>
      <c r="FU380" s="67"/>
      <c r="FV380" s="67"/>
      <c r="FW380" s="67"/>
      <c r="FX380" s="67"/>
      <c r="FY380" s="67"/>
      <c r="FZ380" s="67"/>
      <c r="GA380" s="67"/>
      <c r="GB380" s="67"/>
      <c r="GC380" s="67"/>
      <c r="GD380" s="67"/>
      <c r="GE380" s="67"/>
      <c r="GF380" s="67"/>
      <c r="GG380" s="67"/>
      <c r="GH380" s="67"/>
      <c r="GI380" s="67"/>
      <c r="GJ380" s="67"/>
      <c r="GK380" s="67"/>
      <c r="GL380" s="67"/>
      <c r="GM380" s="67"/>
      <c r="GN380" s="67"/>
      <c r="GO380" s="67"/>
      <c r="GP380" s="67"/>
    </row>
    <row r="381" spans="5:198" s="66" customFormat="1">
      <c r="E381" s="67"/>
      <c r="G381" s="67"/>
      <c r="H381" s="67"/>
      <c r="I381" s="67"/>
      <c r="J381" s="67"/>
      <c r="K381" s="67"/>
      <c r="L381" s="67"/>
      <c r="M381" s="67"/>
      <c r="N381" s="67"/>
      <c r="O381" s="78"/>
      <c r="P381" s="78"/>
      <c r="S381" s="78"/>
      <c r="T381" s="78"/>
      <c r="U381" s="79"/>
      <c r="V381" s="65"/>
      <c r="Y381" s="78"/>
      <c r="Z381" s="78"/>
      <c r="AA381" s="78"/>
      <c r="AB381" s="78"/>
      <c r="AC381" s="78"/>
      <c r="AD381" s="78"/>
      <c r="AE381" s="78"/>
      <c r="AF381" s="78"/>
      <c r="AG381" s="79"/>
      <c r="AH381" s="65"/>
      <c r="AJ381" s="85"/>
      <c r="AK381" s="78"/>
      <c r="AL381" s="78"/>
      <c r="AM381" s="78"/>
      <c r="AN381" s="78"/>
      <c r="AO381" s="78"/>
      <c r="AP381" s="78"/>
      <c r="AQ381" s="79"/>
      <c r="AR381" s="65"/>
      <c r="AT381" s="85"/>
      <c r="AU381" s="78"/>
      <c r="AV381" s="78"/>
      <c r="AW381" s="78"/>
      <c r="AX381" s="78"/>
      <c r="AY381" s="78"/>
      <c r="AZ381" s="79"/>
      <c r="BA381" s="65"/>
      <c r="BC381" s="85"/>
      <c r="BD381" s="78"/>
      <c r="BE381" s="78"/>
      <c r="BF381" s="78"/>
      <c r="BG381" s="78"/>
      <c r="BH381" s="78"/>
      <c r="BI381" s="78"/>
      <c r="BJ381" s="79"/>
      <c r="BK381" s="65"/>
      <c r="CU381" s="67"/>
      <c r="EC381" s="67"/>
      <c r="FK381" s="67"/>
      <c r="FL381" s="67"/>
      <c r="FM381" s="67"/>
      <c r="FN381" s="67"/>
      <c r="FO381" s="67"/>
      <c r="FP381" s="67"/>
      <c r="FQ381" s="67"/>
      <c r="FR381" s="67"/>
      <c r="FS381" s="67"/>
      <c r="FT381" s="67"/>
      <c r="FU381" s="67"/>
      <c r="FV381" s="67"/>
      <c r="FW381" s="67"/>
      <c r="FX381" s="67"/>
      <c r="FY381" s="67"/>
      <c r="FZ381" s="67"/>
      <c r="GA381" s="67"/>
      <c r="GB381" s="67"/>
      <c r="GC381" s="67"/>
      <c r="GD381" s="67"/>
      <c r="GE381" s="67"/>
      <c r="GF381" s="67"/>
      <c r="GG381" s="67"/>
      <c r="GH381" s="67"/>
      <c r="GI381" s="67"/>
      <c r="GJ381" s="67"/>
      <c r="GK381" s="67"/>
      <c r="GL381" s="67"/>
      <c r="GM381" s="67"/>
      <c r="GN381" s="67"/>
      <c r="GO381" s="67"/>
      <c r="GP381" s="67"/>
    </row>
    <row r="382" spans="5:198" s="66" customFormat="1">
      <c r="E382" s="67"/>
      <c r="G382" s="67"/>
      <c r="H382" s="67"/>
      <c r="I382" s="67"/>
      <c r="J382" s="67"/>
      <c r="K382" s="67"/>
      <c r="L382" s="67"/>
      <c r="M382" s="67"/>
      <c r="N382" s="67"/>
      <c r="O382" s="78"/>
      <c r="P382" s="78"/>
      <c r="S382" s="78"/>
      <c r="T382" s="78"/>
      <c r="U382" s="79"/>
      <c r="V382" s="65"/>
      <c r="Y382" s="78"/>
      <c r="Z382" s="78"/>
      <c r="AA382" s="78"/>
      <c r="AB382" s="78"/>
      <c r="AC382" s="78"/>
      <c r="AD382" s="78"/>
      <c r="AE382" s="78"/>
      <c r="AF382" s="78"/>
      <c r="AG382" s="79"/>
      <c r="AH382" s="65"/>
      <c r="AJ382" s="85"/>
      <c r="AK382" s="78"/>
      <c r="AL382" s="78"/>
      <c r="AM382" s="78"/>
      <c r="AN382" s="78"/>
      <c r="AO382" s="78"/>
      <c r="AP382" s="78"/>
      <c r="AQ382" s="79"/>
      <c r="AR382" s="65"/>
      <c r="AT382" s="85"/>
      <c r="AU382" s="78"/>
      <c r="AV382" s="78"/>
      <c r="AW382" s="78"/>
      <c r="AX382" s="78"/>
      <c r="AY382" s="78"/>
      <c r="AZ382" s="79"/>
      <c r="BA382" s="65"/>
      <c r="BC382" s="85"/>
      <c r="BD382" s="78"/>
      <c r="BE382" s="78"/>
      <c r="BF382" s="78"/>
      <c r="BG382" s="78"/>
      <c r="BH382" s="78"/>
      <c r="BI382" s="78"/>
      <c r="BJ382" s="79"/>
      <c r="BK382" s="65"/>
      <c r="CU382" s="67"/>
      <c r="EC382" s="67"/>
      <c r="FK382" s="67"/>
      <c r="FL382" s="67"/>
      <c r="FM382" s="67"/>
      <c r="FN382" s="67"/>
      <c r="FO382" s="67"/>
      <c r="FP382" s="67"/>
      <c r="FQ382" s="67"/>
      <c r="FR382" s="67"/>
      <c r="FS382" s="67"/>
      <c r="FT382" s="67"/>
      <c r="FU382" s="67"/>
      <c r="FV382" s="67"/>
      <c r="FW382" s="67"/>
      <c r="FX382" s="67"/>
      <c r="FY382" s="67"/>
      <c r="FZ382" s="67"/>
      <c r="GA382" s="67"/>
      <c r="GB382" s="67"/>
      <c r="GC382" s="67"/>
      <c r="GD382" s="67"/>
      <c r="GE382" s="67"/>
      <c r="GF382" s="67"/>
      <c r="GG382" s="67"/>
      <c r="GH382" s="67"/>
      <c r="GI382" s="67"/>
      <c r="GJ382" s="67"/>
      <c r="GK382" s="67"/>
      <c r="GL382" s="67"/>
      <c r="GM382" s="67"/>
      <c r="GN382" s="67"/>
      <c r="GO382" s="67"/>
      <c r="GP382" s="67"/>
    </row>
    <row r="383" spans="5:198" s="66" customFormat="1">
      <c r="E383" s="67"/>
      <c r="G383" s="67"/>
      <c r="H383" s="67"/>
      <c r="I383" s="67"/>
      <c r="J383" s="67"/>
      <c r="K383" s="67"/>
      <c r="L383" s="67"/>
      <c r="M383" s="67"/>
      <c r="N383" s="67"/>
      <c r="O383" s="78"/>
      <c r="P383" s="78"/>
      <c r="S383" s="78"/>
      <c r="T383" s="78"/>
      <c r="U383" s="79"/>
      <c r="V383" s="65"/>
      <c r="Y383" s="78"/>
      <c r="Z383" s="78"/>
      <c r="AA383" s="78"/>
      <c r="AB383" s="78"/>
      <c r="AC383" s="78"/>
      <c r="AD383" s="78"/>
      <c r="AE383" s="78"/>
      <c r="AF383" s="78"/>
      <c r="AG383" s="79"/>
      <c r="AH383" s="65"/>
      <c r="AJ383" s="85"/>
      <c r="AK383" s="78"/>
      <c r="AL383" s="78"/>
      <c r="AM383" s="78"/>
      <c r="AN383" s="78"/>
      <c r="AO383" s="78"/>
      <c r="AP383" s="78"/>
      <c r="AQ383" s="79"/>
      <c r="AR383" s="65"/>
      <c r="AT383" s="85"/>
      <c r="AU383" s="78"/>
      <c r="AV383" s="78"/>
      <c r="AW383" s="78"/>
      <c r="AX383" s="78"/>
      <c r="AY383" s="78"/>
      <c r="AZ383" s="79"/>
      <c r="BA383" s="65"/>
      <c r="BC383" s="85"/>
      <c r="BD383" s="78"/>
      <c r="BE383" s="78"/>
      <c r="BF383" s="78"/>
      <c r="BG383" s="78"/>
      <c r="BH383" s="78"/>
      <c r="BI383" s="78"/>
      <c r="BJ383" s="79"/>
      <c r="BK383" s="65"/>
      <c r="CU383" s="67"/>
      <c r="EC383" s="67"/>
      <c r="FK383" s="67"/>
      <c r="FL383" s="67"/>
      <c r="FM383" s="67"/>
      <c r="FN383" s="67"/>
      <c r="FO383" s="67"/>
      <c r="FP383" s="67"/>
      <c r="FQ383" s="67"/>
      <c r="FR383" s="67"/>
      <c r="FS383" s="67"/>
      <c r="FT383" s="67"/>
      <c r="FU383" s="67"/>
      <c r="FV383" s="67"/>
      <c r="FW383" s="67"/>
      <c r="FX383" s="67"/>
      <c r="FY383" s="67"/>
      <c r="FZ383" s="67"/>
      <c r="GA383" s="67"/>
      <c r="GB383" s="67"/>
      <c r="GC383" s="67"/>
      <c r="GD383" s="67"/>
      <c r="GE383" s="67"/>
      <c r="GF383" s="67"/>
      <c r="GG383" s="67"/>
      <c r="GH383" s="67"/>
      <c r="GI383" s="67"/>
      <c r="GJ383" s="67"/>
      <c r="GK383" s="67"/>
      <c r="GL383" s="67"/>
      <c r="GM383" s="67"/>
      <c r="GN383" s="67"/>
      <c r="GO383" s="67"/>
      <c r="GP383" s="67"/>
    </row>
    <row r="384" spans="5:198" s="66" customFormat="1">
      <c r="E384" s="67"/>
      <c r="G384" s="67"/>
      <c r="H384" s="67"/>
      <c r="I384" s="67"/>
      <c r="J384" s="67"/>
      <c r="K384" s="67"/>
      <c r="L384" s="67"/>
      <c r="M384" s="67"/>
      <c r="N384" s="67"/>
      <c r="O384" s="78"/>
      <c r="P384" s="78"/>
      <c r="S384" s="78"/>
      <c r="T384" s="78"/>
      <c r="U384" s="79"/>
      <c r="V384" s="65"/>
      <c r="Y384" s="78"/>
      <c r="Z384" s="78"/>
      <c r="AA384" s="78"/>
      <c r="AB384" s="78"/>
      <c r="AC384" s="78"/>
      <c r="AD384" s="78"/>
      <c r="AE384" s="78"/>
      <c r="AF384" s="78"/>
      <c r="AG384" s="79"/>
      <c r="AH384" s="65"/>
      <c r="AJ384" s="85"/>
      <c r="AK384" s="78"/>
      <c r="AL384" s="78"/>
      <c r="AM384" s="78"/>
      <c r="AN384" s="78"/>
      <c r="AO384" s="78"/>
      <c r="AP384" s="78"/>
      <c r="AQ384" s="79"/>
      <c r="AR384" s="65"/>
      <c r="AT384" s="85"/>
      <c r="AU384" s="78"/>
      <c r="AV384" s="78"/>
      <c r="AW384" s="78"/>
      <c r="AX384" s="78"/>
      <c r="AY384" s="78"/>
      <c r="AZ384" s="79"/>
      <c r="BA384" s="65"/>
      <c r="BC384" s="85"/>
      <c r="BD384" s="78"/>
      <c r="BE384" s="78"/>
      <c r="BF384" s="78"/>
      <c r="BG384" s="78"/>
      <c r="BH384" s="78"/>
      <c r="BI384" s="78"/>
      <c r="BJ384" s="79"/>
      <c r="BK384" s="65"/>
      <c r="CU384" s="67"/>
      <c r="EC384" s="67"/>
      <c r="FK384" s="67"/>
      <c r="FL384" s="67"/>
      <c r="FM384" s="67"/>
      <c r="FN384" s="67"/>
      <c r="FO384" s="67"/>
      <c r="FP384" s="67"/>
      <c r="FQ384" s="67"/>
      <c r="FR384" s="67"/>
      <c r="FS384" s="67"/>
      <c r="FT384" s="67"/>
      <c r="FU384" s="67"/>
      <c r="FV384" s="67"/>
      <c r="FW384" s="67"/>
      <c r="FX384" s="67"/>
      <c r="FY384" s="67"/>
      <c r="FZ384" s="67"/>
      <c r="GA384" s="67"/>
      <c r="GB384" s="67"/>
      <c r="GC384" s="67"/>
      <c r="GD384" s="67"/>
      <c r="GE384" s="67"/>
      <c r="GF384" s="67"/>
      <c r="GG384" s="67"/>
      <c r="GH384" s="67"/>
      <c r="GI384" s="67"/>
      <c r="GJ384" s="67"/>
      <c r="GK384" s="67"/>
      <c r="GL384" s="67"/>
      <c r="GM384" s="67"/>
      <c r="GN384" s="67"/>
      <c r="GO384" s="67"/>
      <c r="GP384" s="67"/>
    </row>
    <row r="385" spans="5:198" s="66" customFormat="1">
      <c r="E385" s="67"/>
      <c r="G385" s="67"/>
      <c r="H385" s="67"/>
      <c r="I385" s="67"/>
      <c r="J385" s="67"/>
      <c r="K385" s="67"/>
      <c r="L385" s="67"/>
      <c r="M385" s="67"/>
      <c r="N385" s="67"/>
      <c r="O385" s="78"/>
      <c r="P385" s="78"/>
      <c r="S385" s="78"/>
      <c r="T385" s="78"/>
      <c r="U385" s="79"/>
      <c r="V385" s="65"/>
      <c r="Y385" s="78"/>
      <c r="Z385" s="78"/>
      <c r="AA385" s="78"/>
      <c r="AB385" s="78"/>
      <c r="AC385" s="78"/>
      <c r="AD385" s="78"/>
      <c r="AE385" s="78"/>
      <c r="AF385" s="78"/>
      <c r="AG385" s="79"/>
      <c r="AH385" s="65"/>
      <c r="AJ385" s="85"/>
      <c r="AK385" s="78"/>
      <c r="AL385" s="78"/>
      <c r="AM385" s="78"/>
      <c r="AN385" s="78"/>
      <c r="AO385" s="78"/>
      <c r="AP385" s="78"/>
      <c r="AQ385" s="79"/>
      <c r="AR385" s="65"/>
      <c r="AT385" s="85"/>
      <c r="AU385" s="78"/>
      <c r="AV385" s="78"/>
      <c r="AW385" s="78"/>
      <c r="AX385" s="78"/>
      <c r="AY385" s="78"/>
      <c r="AZ385" s="79"/>
      <c r="BA385" s="65"/>
      <c r="BC385" s="85"/>
      <c r="BD385" s="78"/>
      <c r="BE385" s="78"/>
      <c r="BF385" s="78"/>
      <c r="BG385" s="78"/>
      <c r="BH385" s="78"/>
      <c r="BI385" s="78"/>
      <c r="BJ385" s="79"/>
      <c r="BK385" s="65"/>
      <c r="CU385" s="67"/>
      <c r="EC385" s="67"/>
      <c r="FK385" s="67"/>
      <c r="FL385" s="67"/>
      <c r="FM385" s="67"/>
      <c r="FN385" s="67"/>
      <c r="FO385" s="67"/>
      <c r="FP385" s="67"/>
      <c r="FQ385" s="67"/>
      <c r="FR385" s="67"/>
      <c r="FS385" s="67"/>
      <c r="FT385" s="67"/>
      <c r="FU385" s="67"/>
      <c r="FV385" s="67"/>
      <c r="FW385" s="67"/>
      <c r="FX385" s="67"/>
      <c r="FY385" s="67"/>
      <c r="FZ385" s="67"/>
      <c r="GA385" s="67"/>
      <c r="GB385" s="67"/>
      <c r="GC385" s="67"/>
      <c r="GD385" s="67"/>
      <c r="GE385" s="67"/>
      <c r="GF385" s="67"/>
      <c r="GG385" s="67"/>
      <c r="GH385" s="67"/>
      <c r="GI385" s="67"/>
      <c r="GJ385" s="67"/>
      <c r="GK385" s="67"/>
      <c r="GL385" s="67"/>
      <c r="GM385" s="67"/>
      <c r="GN385" s="67"/>
      <c r="GO385" s="67"/>
      <c r="GP385" s="67"/>
    </row>
    <row r="386" spans="5:198" s="66" customFormat="1">
      <c r="E386" s="67"/>
      <c r="G386" s="67"/>
      <c r="H386" s="67"/>
      <c r="I386" s="67"/>
      <c r="J386" s="67"/>
      <c r="K386" s="67"/>
      <c r="L386" s="67"/>
      <c r="M386" s="67"/>
      <c r="N386" s="67"/>
      <c r="O386" s="78"/>
      <c r="P386" s="78"/>
      <c r="S386" s="78"/>
      <c r="T386" s="78"/>
      <c r="U386" s="79"/>
      <c r="V386" s="65"/>
      <c r="Y386" s="78"/>
      <c r="Z386" s="78"/>
      <c r="AA386" s="78"/>
      <c r="AB386" s="78"/>
      <c r="AC386" s="78"/>
      <c r="AD386" s="78"/>
      <c r="AE386" s="78"/>
      <c r="AF386" s="78"/>
      <c r="AG386" s="79"/>
      <c r="AH386" s="65"/>
      <c r="AJ386" s="85"/>
      <c r="AK386" s="78"/>
      <c r="AL386" s="78"/>
      <c r="AM386" s="78"/>
      <c r="AN386" s="78"/>
      <c r="AO386" s="78"/>
      <c r="AP386" s="78"/>
      <c r="AQ386" s="79"/>
      <c r="AR386" s="65"/>
      <c r="AT386" s="85"/>
      <c r="AU386" s="78"/>
      <c r="AV386" s="78"/>
      <c r="AW386" s="78"/>
      <c r="AX386" s="78"/>
      <c r="AY386" s="78"/>
      <c r="AZ386" s="79"/>
      <c r="BA386" s="65"/>
      <c r="BC386" s="85"/>
      <c r="BD386" s="78"/>
      <c r="BE386" s="78"/>
      <c r="BF386" s="78"/>
      <c r="BG386" s="78"/>
      <c r="BH386" s="78"/>
      <c r="BI386" s="78"/>
      <c r="BJ386" s="79"/>
      <c r="BK386" s="65"/>
      <c r="CU386" s="67"/>
      <c r="EC386" s="67"/>
      <c r="FK386" s="67"/>
      <c r="FL386" s="67"/>
      <c r="FM386" s="67"/>
      <c r="FN386" s="67"/>
      <c r="FO386" s="67"/>
      <c r="FP386" s="67"/>
      <c r="FQ386" s="67"/>
      <c r="FR386" s="67"/>
      <c r="FS386" s="67"/>
      <c r="FT386" s="67"/>
      <c r="FU386" s="67"/>
      <c r="FV386" s="67"/>
      <c r="FW386" s="67"/>
      <c r="FX386" s="67"/>
      <c r="FY386" s="67"/>
      <c r="FZ386" s="67"/>
      <c r="GA386" s="67"/>
      <c r="GB386" s="67"/>
      <c r="GC386" s="67"/>
      <c r="GD386" s="67"/>
      <c r="GE386" s="67"/>
      <c r="GF386" s="67"/>
      <c r="GG386" s="67"/>
      <c r="GH386" s="67"/>
      <c r="GI386" s="67"/>
      <c r="GJ386" s="67"/>
      <c r="GK386" s="67"/>
      <c r="GL386" s="67"/>
      <c r="GM386" s="67"/>
      <c r="GN386" s="67"/>
      <c r="GO386" s="67"/>
      <c r="GP386" s="67"/>
    </row>
    <row r="387" spans="5:198" s="66" customFormat="1">
      <c r="E387" s="67"/>
      <c r="G387" s="67"/>
      <c r="H387" s="67"/>
      <c r="I387" s="67"/>
      <c r="J387" s="67"/>
      <c r="K387" s="67"/>
      <c r="L387" s="67"/>
      <c r="M387" s="67"/>
      <c r="N387" s="67"/>
      <c r="O387" s="78"/>
      <c r="P387" s="78"/>
      <c r="S387" s="78"/>
      <c r="T387" s="78"/>
      <c r="U387" s="79"/>
      <c r="V387" s="65"/>
      <c r="Y387" s="78"/>
      <c r="Z387" s="78"/>
      <c r="AA387" s="78"/>
      <c r="AB387" s="78"/>
      <c r="AC387" s="78"/>
      <c r="AD387" s="78"/>
      <c r="AE387" s="78"/>
      <c r="AF387" s="78"/>
      <c r="AG387" s="79"/>
      <c r="AH387" s="65"/>
      <c r="AJ387" s="85"/>
      <c r="AK387" s="78"/>
      <c r="AL387" s="78"/>
      <c r="AM387" s="78"/>
      <c r="AN387" s="78"/>
      <c r="AO387" s="78"/>
      <c r="AP387" s="78"/>
      <c r="AQ387" s="79"/>
      <c r="AR387" s="65"/>
      <c r="AT387" s="85"/>
      <c r="AU387" s="78"/>
      <c r="AV387" s="78"/>
      <c r="AW387" s="78"/>
      <c r="AX387" s="78"/>
      <c r="AY387" s="78"/>
      <c r="AZ387" s="79"/>
      <c r="BA387" s="65"/>
      <c r="BC387" s="85"/>
      <c r="BD387" s="78"/>
      <c r="BE387" s="78"/>
      <c r="BF387" s="78"/>
      <c r="BG387" s="78"/>
      <c r="BH387" s="78"/>
      <c r="BI387" s="78"/>
      <c r="BJ387" s="79"/>
      <c r="BK387" s="65"/>
      <c r="CU387" s="67"/>
      <c r="EC387" s="67"/>
      <c r="FK387" s="67"/>
      <c r="FL387" s="67"/>
      <c r="FM387" s="67"/>
      <c r="FN387" s="67"/>
      <c r="FO387" s="67"/>
      <c r="FP387" s="67"/>
      <c r="FQ387" s="67"/>
      <c r="FR387" s="67"/>
      <c r="FS387" s="67"/>
      <c r="FT387" s="67"/>
      <c r="FU387" s="67"/>
      <c r="FV387" s="67"/>
      <c r="FW387" s="67"/>
      <c r="FX387" s="67"/>
      <c r="FY387" s="67"/>
      <c r="FZ387" s="67"/>
      <c r="GA387" s="67"/>
      <c r="GB387" s="67"/>
      <c r="GC387" s="67"/>
      <c r="GD387" s="67"/>
      <c r="GE387" s="67"/>
      <c r="GF387" s="67"/>
      <c r="GG387" s="67"/>
      <c r="GH387" s="67"/>
      <c r="GI387" s="67"/>
      <c r="GJ387" s="67"/>
      <c r="GK387" s="67"/>
      <c r="GL387" s="67"/>
      <c r="GM387" s="67"/>
      <c r="GN387" s="67"/>
      <c r="GO387" s="67"/>
      <c r="GP387" s="67"/>
    </row>
    <row r="388" spans="5:198" s="66" customFormat="1">
      <c r="E388" s="67"/>
      <c r="G388" s="67"/>
      <c r="H388" s="67"/>
      <c r="I388" s="67"/>
      <c r="J388" s="67"/>
      <c r="K388" s="67"/>
      <c r="L388" s="67"/>
      <c r="M388" s="67"/>
      <c r="N388" s="67"/>
      <c r="O388" s="78"/>
      <c r="P388" s="78"/>
      <c r="S388" s="78"/>
      <c r="T388" s="78"/>
      <c r="U388" s="79"/>
      <c r="V388" s="65"/>
      <c r="Y388" s="78"/>
      <c r="Z388" s="78"/>
      <c r="AA388" s="78"/>
      <c r="AB388" s="78"/>
      <c r="AC388" s="78"/>
      <c r="AD388" s="78"/>
      <c r="AE388" s="78"/>
      <c r="AF388" s="78"/>
      <c r="AG388" s="79"/>
      <c r="AH388" s="65"/>
      <c r="AJ388" s="85"/>
      <c r="AK388" s="78"/>
      <c r="AL388" s="78"/>
      <c r="AM388" s="78"/>
      <c r="AN388" s="78"/>
      <c r="AO388" s="78"/>
      <c r="AP388" s="78"/>
      <c r="AQ388" s="79"/>
      <c r="AR388" s="65"/>
      <c r="AT388" s="85"/>
      <c r="AU388" s="78"/>
      <c r="AV388" s="78"/>
      <c r="AW388" s="78"/>
      <c r="AX388" s="78"/>
      <c r="AY388" s="78"/>
      <c r="AZ388" s="79"/>
      <c r="BA388" s="65"/>
      <c r="BC388" s="85"/>
      <c r="BD388" s="78"/>
      <c r="BE388" s="78"/>
      <c r="BF388" s="78"/>
      <c r="BG388" s="78"/>
      <c r="BH388" s="78"/>
      <c r="BI388" s="78"/>
      <c r="BJ388" s="79"/>
      <c r="BK388" s="65"/>
      <c r="CU388" s="67"/>
      <c r="EC388" s="67"/>
      <c r="FK388" s="67"/>
      <c r="FL388" s="67"/>
      <c r="FM388" s="67"/>
      <c r="FN388" s="67"/>
      <c r="FO388" s="67"/>
      <c r="FP388" s="67"/>
      <c r="FQ388" s="67"/>
      <c r="FR388" s="67"/>
      <c r="FS388" s="67"/>
      <c r="FT388" s="67"/>
      <c r="FU388" s="67"/>
      <c r="FV388" s="67"/>
      <c r="FW388" s="67"/>
      <c r="FX388" s="67"/>
      <c r="FY388" s="67"/>
      <c r="FZ388" s="67"/>
      <c r="GA388" s="67"/>
      <c r="GB388" s="67"/>
      <c r="GC388" s="67"/>
      <c r="GD388" s="67"/>
      <c r="GE388" s="67"/>
      <c r="GF388" s="67"/>
      <c r="GG388" s="67"/>
      <c r="GH388" s="67"/>
      <c r="GI388" s="67"/>
      <c r="GJ388" s="67"/>
      <c r="GK388" s="67"/>
      <c r="GL388" s="67"/>
      <c r="GM388" s="67"/>
      <c r="GN388" s="67"/>
      <c r="GO388" s="67"/>
      <c r="GP388" s="67"/>
    </row>
    <row r="389" spans="5:198" s="66" customFormat="1">
      <c r="E389" s="67"/>
      <c r="G389" s="67"/>
      <c r="H389" s="67"/>
      <c r="I389" s="67"/>
      <c r="J389" s="67"/>
      <c r="K389" s="67"/>
      <c r="L389" s="67"/>
      <c r="M389" s="67"/>
      <c r="N389" s="67"/>
      <c r="O389" s="78"/>
      <c r="P389" s="78"/>
      <c r="S389" s="78"/>
      <c r="T389" s="78"/>
      <c r="U389" s="79"/>
      <c r="V389" s="65"/>
      <c r="Y389" s="78"/>
      <c r="Z389" s="78"/>
      <c r="AA389" s="78"/>
      <c r="AB389" s="78"/>
      <c r="AC389" s="78"/>
      <c r="AD389" s="78"/>
      <c r="AE389" s="78"/>
      <c r="AF389" s="78"/>
      <c r="AG389" s="79"/>
      <c r="AH389" s="65"/>
      <c r="AJ389" s="85"/>
      <c r="AK389" s="78"/>
      <c r="AL389" s="78"/>
      <c r="AM389" s="78"/>
      <c r="AN389" s="78"/>
      <c r="AO389" s="78"/>
      <c r="AP389" s="78"/>
      <c r="AQ389" s="79"/>
      <c r="AR389" s="65"/>
      <c r="AT389" s="85"/>
      <c r="AU389" s="78"/>
      <c r="AV389" s="78"/>
      <c r="AW389" s="78"/>
      <c r="AX389" s="78"/>
      <c r="AY389" s="78"/>
      <c r="AZ389" s="79"/>
      <c r="BA389" s="65"/>
      <c r="BC389" s="85"/>
      <c r="BD389" s="78"/>
      <c r="BE389" s="78"/>
      <c r="BF389" s="78"/>
      <c r="BG389" s="78"/>
      <c r="BH389" s="78"/>
      <c r="BI389" s="78"/>
      <c r="BJ389" s="79"/>
      <c r="BK389" s="65"/>
      <c r="CU389" s="67"/>
      <c r="EC389" s="67"/>
      <c r="FK389" s="67"/>
      <c r="FL389" s="67"/>
      <c r="FM389" s="67"/>
      <c r="FN389" s="67"/>
      <c r="FO389" s="67"/>
      <c r="FP389" s="67"/>
      <c r="FQ389" s="67"/>
      <c r="FR389" s="67"/>
      <c r="FS389" s="67"/>
      <c r="FT389" s="67"/>
      <c r="FU389" s="67"/>
      <c r="FV389" s="67"/>
      <c r="FW389" s="67"/>
      <c r="FX389" s="67"/>
      <c r="FY389" s="67"/>
      <c r="FZ389" s="67"/>
      <c r="GA389" s="67"/>
      <c r="GB389" s="67"/>
      <c r="GC389" s="67"/>
      <c r="GD389" s="67"/>
      <c r="GE389" s="67"/>
      <c r="GF389" s="67"/>
      <c r="GG389" s="67"/>
      <c r="GH389" s="67"/>
      <c r="GI389" s="67"/>
      <c r="GJ389" s="67"/>
      <c r="GK389" s="67"/>
      <c r="GL389" s="67"/>
      <c r="GM389" s="67"/>
      <c r="GN389" s="67"/>
      <c r="GO389" s="67"/>
      <c r="GP389" s="67"/>
    </row>
    <row r="390" spans="5:198" s="66" customFormat="1">
      <c r="E390" s="67"/>
      <c r="G390" s="67"/>
      <c r="H390" s="67"/>
      <c r="I390" s="67"/>
      <c r="J390" s="67"/>
      <c r="K390" s="67"/>
      <c r="L390" s="67"/>
      <c r="M390" s="67"/>
      <c r="N390" s="67"/>
      <c r="O390" s="78"/>
      <c r="P390" s="78"/>
      <c r="S390" s="78"/>
      <c r="T390" s="78"/>
      <c r="U390" s="79"/>
      <c r="V390" s="65"/>
      <c r="Y390" s="78"/>
      <c r="Z390" s="78"/>
      <c r="AA390" s="78"/>
      <c r="AB390" s="78"/>
      <c r="AC390" s="78"/>
      <c r="AD390" s="78"/>
      <c r="AE390" s="78"/>
      <c r="AF390" s="78"/>
      <c r="AG390" s="79"/>
      <c r="AH390" s="65"/>
      <c r="AJ390" s="85"/>
      <c r="AK390" s="78"/>
      <c r="AL390" s="78"/>
      <c r="AM390" s="78"/>
      <c r="AN390" s="78"/>
      <c r="AO390" s="78"/>
      <c r="AP390" s="78"/>
      <c r="AQ390" s="79"/>
      <c r="AR390" s="65"/>
      <c r="AT390" s="85"/>
      <c r="AU390" s="78"/>
      <c r="AV390" s="78"/>
      <c r="AW390" s="78"/>
      <c r="AX390" s="78"/>
      <c r="AY390" s="78"/>
      <c r="AZ390" s="79"/>
      <c r="BA390" s="65"/>
      <c r="BC390" s="85"/>
      <c r="BD390" s="78"/>
      <c r="BE390" s="78"/>
      <c r="BF390" s="78"/>
      <c r="BG390" s="78"/>
      <c r="BH390" s="78"/>
      <c r="BI390" s="78"/>
      <c r="BJ390" s="79"/>
      <c r="BK390" s="65"/>
      <c r="CU390" s="67"/>
      <c r="EC390" s="67"/>
      <c r="FK390" s="67"/>
      <c r="FL390" s="67"/>
      <c r="FM390" s="67"/>
      <c r="FN390" s="67"/>
      <c r="FO390" s="67"/>
      <c r="FP390" s="67"/>
      <c r="FQ390" s="67"/>
      <c r="FR390" s="67"/>
      <c r="FS390" s="67"/>
      <c r="FT390" s="67"/>
      <c r="FU390" s="67"/>
      <c r="FV390" s="67"/>
      <c r="FW390" s="67"/>
      <c r="FX390" s="67"/>
      <c r="FY390" s="67"/>
      <c r="FZ390" s="67"/>
      <c r="GA390" s="67"/>
      <c r="GB390" s="67"/>
      <c r="GC390" s="67"/>
      <c r="GD390" s="67"/>
      <c r="GE390" s="67"/>
      <c r="GF390" s="67"/>
      <c r="GG390" s="67"/>
      <c r="GH390" s="67"/>
      <c r="GI390" s="67"/>
      <c r="GJ390" s="67"/>
      <c r="GK390" s="67"/>
      <c r="GL390" s="67"/>
      <c r="GM390" s="67"/>
      <c r="GN390" s="67"/>
      <c r="GO390" s="67"/>
      <c r="GP390" s="67"/>
    </row>
    <row r="391" spans="5:198" s="66" customFormat="1">
      <c r="E391" s="67"/>
      <c r="G391" s="67"/>
      <c r="H391" s="67"/>
      <c r="I391" s="67"/>
      <c r="J391" s="67"/>
      <c r="K391" s="67"/>
      <c r="L391" s="67"/>
      <c r="M391" s="67"/>
      <c r="N391" s="67"/>
      <c r="O391" s="78"/>
      <c r="P391" s="78"/>
      <c r="S391" s="78"/>
      <c r="T391" s="78"/>
      <c r="U391" s="79"/>
      <c r="V391" s="65"/>
      <c r="Y391" s="78"/>
      <c r="Z391" s="78"/>
      <c r="AA391" s="78"/>
      <c r="AB391" s="78"/>
      <c r="AC391" s="78"/>
      <c r="AD391" s="78"/>
      <c r="AE391" s="78"/>
      <c r="AF391" s="78"/>
      <c r="AG391" s="79"/>
      <c r="AH391" s="65"/>
      <c r="AJ391" s="85"/>
      <c r="AK391" s="78"/>
      <c r="AL391" s="78"/>
      <c r="AM391" s="78"/>
      <c r="AN391" s="78"/>
      <c r="AO391" s="78"/>
      <c r="AP391" s="78"/>
      <c r="AQ391" s="79"/>
      <c r="AR391" s="65"/>
      <c r="AT391" s="85"/>
      <c r="AU391" s="78"/>
      <c r="AV391" s="78"/>
      <c r="AW391" s="78"/>
      <c r="AX391" s="78"/>
      <c r="AY391" s="78"/>
      <c r="AZ391" s="79"/>
      <c r="BA391" s="65"/>
      <c r="BC391" s="85"/>
      <c r="BD391" s="78"/>
      <c r="BE391" s="78"/>
      <c r="BF391" s="78"/>
      <c r="BG391" s="78"/>
      <c r="BH391" s="78"/>
      <c r="BI391" s="78"/>
      <c r="BJ391" s="79"/>
      <c r="BK391" s="65"/>
      <c r="CU391" s="67"/>
      <c r="EC391" s="67"/>
      <c r="FK391" s="67"/>
      <c r="FL391" s="67"/>
      <c r="FM391" s="67"/>
      <c r="FN391" s="67"/>
      <c r="FO391" s="67"/>
      <c r="FP391" s="67"/>
      <c r="FQ391" s="67"/>
      <c r="FR391" s="67"/>
      <c r="FS391" s="67"/>
      <c r="FT391" s="67"/>
      <c r="FU391" s="67"/>
      <c r="FV391" s="67"/>
      <c r="FW391" s="67"/>
      <c r="FX391" s="67"/>
      <c r="FY391" s="67"/>
      <c r="FZ391" s="67"/>
      <c r="GA391" s="67"/>
      <c r="GB391" s="67"/>
      <c r="GC391" s="67"/>
      <c r="GD391" s="67"/>
      <c r="GE391" s="67"/>
      <c r="GF391" s="67"/>
      <c r="GG391" s="67"/>
      <c r="GH391" s="67"/>
      <c r="GI391" s="67"/>
      <c r="GJ391" s="67"/>
      <c r="GK391" s="67"/>
      <c r="GL391" s="67"/>
      <c r="GM391" s="67"/>
      <c r="GN391" s="67"/>
      <c r="GO391" s="67"/>
      <c r="GP391" s="67"/>
    </row>
    <row r="392" spans="5:198" s="66" customFormat="1">
      <c r="E392" s="67"/>
      <c r="G392" s="67"/>
      <c r="H392" s="67"/>
      <c r="I392" s="67"/>
      <c r="J392" s="67"/>
      <c r="K392" s="67"/>
      <c r="L392" s="67"/>
      <c r="M392" s="67"/>
      <c r="N392" s="67"/>
      <c r="O392" s="78"/>
      <c r="P392" s="78"/>
      <c r="S392" s="78"/>
      <c r="T392" s="78"/>
      <c r="U392" s="79"/>
      <c r="V392" s="65"/>
      <c r="Y392" s="78"/>
      <c r="Z392" s="78"/>
      <c r="AA392" s="78"/>
      <c r="AB392" s="78"/>
      <c r="AC392" s="78"/>
      <c r="AD392" s="78"/>
      <c r="AE392" s="78"/>
      <c r="AF392" s="78"/>
      <c r="AG392" s="79"/>
      <c r="AH392" s="65"/>
      <c r="AJ392" s="85"/>
      <c r="AK392" s="78"/>
      <c r="AL392" s="78"/>
      <c r="AM392" s="78"/>
      <c r="AN392" s="78"/>
      <c r="AO392" s="78"/>
      <c r="AP392" s="78"/>
      <c r="AQ392" s="79"/>
      <c r="AR392" s="65"/>
      <c r="AT392" s="85"/>
      <c r="AU392" s="78"/>
      <c r="AV392" s="78"/>
      <c r="AW392" s="78"/>
      <c r="AX392" s="78"/>
      <c r="AY392" s="78"/>
      <c r="AZ392" s="79"/>
      <c r="BA392" s="65"/>
      <c r="BC392" s="85"/>
      <c r="BD392" s="78"/>
      <c r="BE392" s="78"/>
      <c r="BF392" s="78"/>
      <c r="BG392" s="78"/>
      <c r="BH392" s="78"/>
      <c r="BI392" s="78"/>
      <c r="BJ392" s="79"/>
      <c r="BK392" s="65"/>
      <c r="CU392" s="67"/>
      <c r="EC392" s="67"/>
      <c r="FK392" s="67"/>
      <c r="FL392" s="67"/>
      <c r="FM392" s="67"/>
      <c r="FN392" s="67"/>
      <c r="FO392" s="67"/>
      <c r="FP392" s="67"/>
      <c r="FQ392" s="67"/>
      <c r="FR392" s="67"/>
      <c r="FS392" s="67"/>
      <c r="FT392" s="67"/>
      <c r="FU392" s="67"/>
      <c r="FV392" s="67"/>
      <c r="FW392" s="67"/>
      <c r="FX392" s="67"/>
      <c r="FY392" s="67"/>
      <c r="FZ392" s="67"/>
      <c r="GA392" s="67"/>
      <c r="GB392" s="67"/>
      <c r="GC392" s="67"/>
      <c r="GD392" s="67"/>
      <c r="GE392" s="67"/>
      <c r="GF392" s="67"/>
      <c r="GG392" s="67"/>
      <c r="GH392" s="67"/>
      <c r="GI392" s="67"/>
      <c r="GJ392" s="67"/>
      <c r="GK392" s="67"/>
      <c r="GL392" s="67"/>
      <c r="GM392" s="67"/>
      <c r="GN392" s="67"/>
      <c r="GO392" s="67"/>
      <c r="GP392" s="67"/>
    </row>
    <row r="393" spans="5:198" s="66" customFormat="1">
      <c r="E393" s="67"/>
      <c r="G393" s="67"/>
      <c r="H393" s="67"/>
      <c r="I393" s="67"/>
      <c r="J393" s="67"/>
      <c r="K393" s="67"/>
      <c r="L393" s="67"/>
      <c r="M393" s="67"/>
      <c r="N393" s="67"/>
      <c r="O393" s="78"/>
      <c r="P393" s="78"/>
      <c r="S393" s="78"/>
      <c r="T393" s="78"/>
      <c r="U393" s="79"/>
      <c r="V393" s="65"/>
      <c r="Y393" s="78"/>
      <c r="Z393" s="78"/>
      <c r="AA393" s="78"/>
      <c r="AB393" s="78"/>
      <c r="AC393" s="78"/>
      <c r="AD393" s="78"/>
      <c r="AE393" s="78"/>
      <c r="AF393" s="78"/>
      <c r="AG393" s="79"/>
      <c r="AH393" s="65"/>
      <c r="AJ393" s="85"/>
      <c r="AK393" s="78"/>
      <c r="AL393" s="78"/>
      <c r="AM393" s="78"/>
      <c r="AN393" s="78"/>
      <c r="AO393" s="78"/>
      <c r="AP393" s="78"/>
      <c r="AQ393" s="79"/>
      <c r="AR393" s="65"/>
      <c r="AT393" s="85"/>
      <c r="AU393" s="78"/>
      <c r="AV393" s="78"/>
      <c r="AW393" s="78"/>
      <c r="AX393" s="78"/>
      <c r="AY393" s="78"/>
      <c r="AZ393" s="79"/>
      <c r="BA393" s="65"/>
      <c r="BC393" s="85"/>
      <c r="BD393" s="78"/>
      <c r="BE393" s="78"/>
      <c r="BF393" s="78"/>
      <c r="BG393" s="78"/>
      <c r="BH393" s="78"/>
      <c r="BI393" s="78"/>
      <c r="BJ393" s="79"/>
      <c r="BK393" s="65"/>
      <c r="CU393" s="67"/>
      <c r="EC393" s="67"/>
      <c r="FK393" s="67"/>
      <c r="FL393" s="67"/>
      <c r="FM393" s="67"/>
      <c r="FN393" s="67"/>
      <c r="FO393" s="67"/>
      <c r="FP393" s="67"/>
      <c r="FQ393" s="67"/>
      <c r="FR393" s="67"/>
      <c r="FS393" s="67"/>
      <c r="FT393" s="67"/>
      <c r="FU393" s="67"/>
      <c r="FV393" s="67"/>
      <c r="FW393" s="67"/>
      <c r="FX393" s="67"/>
      <c r="FY393" s="67"/>
      <c r="FZ393" s="67"/>
      <c r="GA393" s="67"/>
      <c r="GB393" s="67"/>
      <c r="GC393" s="67"/>
      <c r="GD393" s="67"/>
      <c r="GE393" s="67"/>
      <c r="GF393" s="67"/>
      <c r="GG393" s="67"/>
      <c r="GH393" s="67"/>
      <c r="GI393" s="67"/>
      <c r="GJ393" s="67"/>
      <c r="GK393" s="67"/>
      <c r="GL393" s="67"/>
      <c r="GM393" s="67"/>
      <c r="GN393" s="67"/>
      <c r="GO393" s="67"/>
      <c r="GP393" s="67"/>
    </row>
    <row r="394" spans="5:198" s="66" customFormat="1">
      <c r="E394" s="67"/>
      <c r="G394" s="67"/>
      <c r="H394" s="67"/>
      <c r="I394" s="67"/>
      <c r="J394" s="67"/>
      <c r="K394" s="67"/>
      <c r="L394" s="67"/>
      <c r="M394" s="67"/>
      <c r="N394" s="67"/>
      <c r="O394" s="78"/>
      <c r="P394" s="78"/>
      <c r="S394" s="78"/>
      <c r="T394" s="78"/>
      <c r="U394" s="79"/>
      <c r="V394" s="65"/>
      <c r="Y394" s="78"/>
      <c r="Z394" s="78"/>
      <c r="AA394" s="78"/>
      <c r="AB394" s="78"/>
      <c r="AC394" s="78"/>
      <c r="AD394" s="78"/>
      <c r="AE394" s="78"/>
      <c r="AF394" s="78"/>
      <c r="AG394" s="79"/>
      <c r="AH394" s="65"/>
      <c r="AJ394" s="85"/>
      <c r="AK394" s="78"/>
      <c r="AL394" s="78"/>
      <c r="AM394" s="78"/>
      <c r="AN394" s="78"/>
      <c r="AO394" s="78"/>
      <c r="AP394" s="78"/>
      <c r="AQ394" s="79"/>
      <c r="AR394" s="65"/>
      <c r="AT394" s="85"/>
      <c r="AU394" s="78"/>
      <c r="AV394" s="78"/>
      <c r="AW394" s="78"/>
      <c r="AX394" s="78"/>
      <c r="AY394" s="78"/>
      <c r="AZ394" s="79"/>
      <c r="BA394" s="65"/>
      <c r="BC394" s="85"/>
      <c r="BD394" s="78"/>
      <c r="BE394" s="78"/>
      <c r="BF394" s="78"/>
      <c r="BG394" s="78"/>
      <c r="BH394" s="78"/>
      <c r="BI394" s="78"/>
      <c r="BJ394" s="79"/>
      <c r="BK394" s="65"/>
      <c r="CU394" s="67"/>
      <c r="EC394" s="67"/>
      <c r="FK394" s="67"/>
      <c r="FL394" s="67"/>
      <c r="FM394" s="67"/>
      <c r="FN394" s="67"/>
      <c r="FO394" s="67"/>
      <c r="FP394" s="67"/>
      <c r="FQ394" s="67"/>
      <c r="FR394" s="67"/>
      <c r="FS394" s="67"/>
      <c r="FT394" s="67"/>
      <c r="FU394" s="67"/>
      <c r="FV394" s="67"/>
      <c r="FW394" s="67"/>
      <c r="FX394" s="67"/>
      <c r="FY394" s="67"/>
      <c r="FZ394" s="67"/>
      <c r="GA394" s="67"/>
      <c r="GB394" s="67"/>
      <c r="GC394" s="67"/>
      <c r="GD394" s="67"/>
      <c r="GE394" s="67"/>
      <c r="GF394" s="67"/>
      <c r="GG394" s="67"/>
      <c r="GH394" s="67"/>
      <c r="GI394" s="67"/>
      <c r="GJ394" s="67"/>
      <c r="GK394" s="67"/>
      <c r="GL394" s="67"/>
      <c r="GM394" s="67"/>
      <c r="GN394" s="67"/>
      <c r="GO394" s="67"/>
      <c r="GP394" s="67"/>
    </row>
    <row r="395" spans="5:198" s="66" customFormat="1">
      <c r="E395" s="67"/>
      <c r="G395" s="67"/>
      <c r="H395" s="67"/>
      <c r="I395" s="67"/>
      <c r="J395" s="67"/>
      <c r="K395" s="67"/>
      <c r="L395" s="67"/>
      <c r="M395" s="67"/>
      <c r="N395" s="67"/>
      <c r="O395" s="78"/>
      <c r="P395" s="78"/>
      <c r="S395" s="78"/>
      <c r="T395" s="78"/>
      <c r="U395" s="79"/>
      <c r="V395" s="65"/>
      <c r="Y395" s="78"/>
      <c r="Z395" s="78"/>
      <c r="AA395" s="78"/>
      <c r="AB395" s="78"/>
      <c r="AC395" s="78"/>
      <c r="AD395" s="78"/>
      <c r="AE395" s="78"/>
      <c r="AF395" s="78"/>
      <c r="AG395" s="79"/>
      <c r="AH395" s="65"/>
      <c r="AJ395" s="85"/>
      <c r="AK395" s="78"/>
      <c r="AL395" s="78"/>
      <c r="AM395" s="78"/>
      <c r="AN395" s="78"/>
      <c r="AO395" s="78"/>
      <c r="AP395" s="78"/>
      <c r="AQ395" s="79"/>
      <c r="AR395" s="65"/>
      <c r="AT395" s="85"/>
      <c r="AU395" s="78"/>
      <c r="AV395" s="78"/>
      <c r="AW395" s="78"/>
      <c r="AX395" s="78"/>
      <c r="AY395" s="78"/>
      <c r="AZ395" s="79"/>
      <c r="BA395" s="65"/>
      <c r="BC395" s="85"/>
      <c r="BD395" s="78"/>
      <c r="BE395" s="78"/>
      <c r="BF395" s="78"/>
      <c r="BG395" s="78"/>
      <c r="BH395" s="78"/>
      <c r="BI395" s="78"/>
      <c r="BJ395" s="79"/>
      <c r="BK395" s="65"/>
      <c r="CU395" s="67"/>
      <c r="EC395" s="67"/>
      <c r="FK395" s="67"/>
      <c r="FL395" s="67"/>
      <c r="FM395" s="67"/>
      <c r="FN395" s="67"/>
      <c r="FO395" s="67"/>
      <c r="FP395" s="67"/>
      <c r="FQ395" s="67"/>
      <c r="FR395" s="67"/>
      <c r="FS395" s="67"/>
      <c r="FT395" s="67"/>
      <c r="FU395" s="67"/>
      <c r="FV395" s="67"/>
      <c r="FW395" s="67"/>
      <c r="FX395" s="67"/>
      <c r="FY395" s="67"/>
      <c r="FZ395" s="67"/>
      <c r="GA395" s="67"/>
      <c r="GB395" s="67"/>
      <c r="GC395" s="67"/>
      <c r="GD395" s="67"/>
      <c r="GE395" s="67"/>
      <c r="GF395" s="67"/>
      <c r="GG395" s="67"/>
      <c r="GH395" s="67"/>
      <c r="GI395" s="67"/>
      <c r="GJ395" s="67"/>
      <c r="GK395" s="67"/>
      <c r="GL395" s="67"/>
      <c r="GM395" s="67"/>
      <c r="GN395" s="67"/>
      <c r="GO395" s="67"/>
      <c r="GP395" s="67"/>
    </row>
    <row r="396" spans="5:198" s="66" customFormat="1">
      <c r="E396" s="67"/>
      <c r="G396" s="67"/>
      <c r="H396" s="67"/>
      <c r="I396" s="67"/>
      <c r="J396" s="67"/>
      <c r="K396" s="67"/>
      <c r="L396" s="67"/>
      <c r="M396" s="67"/>
      <c r="N396" s="67"/>
      <c r="O396" s="78"/>
      <c r="P396" s="78"/>
      <c r="S396" s="78"/>
      <c r="T396" s="78"/>
      <c r="U396" s="79"/>
      <c r="V396" s="65"/>
      <c r="Y396" s="78"/>
      <c r="Z396" s="78"/>
      <c r="AA396" s="78"/>
      <c r="AB396" s="78"/>
      <c r="AC396" s="78"/>
      <c r="AD396" s="78"/>
      <c r="AE396" s="78"/>
      <c r="AF396" s="78"/>
      <c r="AG396" s="79"/>
      <c r="AH396" s="65"/>
      <c r="AJ396" s="85"/>
      <c r="AK396" s="78"/>
      <c r="AL396" s="78"/>
      <c r="AM396" s="78"/>
      <c r="AN396" s="78"/>
      <c r="AO396" s="78"/>
      <c r="AP396" s="78"/>
      <c r="AQ396" s="79"/>
      <c r="AR396" s="65"/>
      <c r="AT396" s="85"/>
      <c r="AU396" s="78"/>
      <c r="AV396" s="78"/>
      <c r="AW396" s="78"/>
      <c r="AX396" s="78"/>
      <c r="AY396" s="78"/>
      <c r="AZ396" s="79"/>
      <c r="BA396" s="65"/>
      <c r="BC396" s="85"/>
      <c r="BD396" s="78"/>
      <c r="BE396" s="78"/>
      <c r="BF396" s="78"/>
      <c r="BG396" s="78"/>
      <c r="BH396" s="78"/>
      <c r="BI396" s="78"/>
      <c r="BJ396" s="79"/>
      <c r="BK396" s="65"/>
      <c r="CU396" s="67"/>
      <c r="EC396" s="67"/>
      <c r="FK396" s="67"/>
      <c r="FL396" s="67"/>
      <c r="FM396" s="67"/>
      <c r="FN396" s="67"/>
      <c r="FO396" s="67"/>
      <c r="FP396" s="67"/>
      <c r="FQ396" s="67"/>
      <c r="FR396" s="67"/>
      <c r="FS396" s="67"/>
      <c r="FT396" s="67"/>
      <c r="FU396" s="67"/>
      <c r="FV396" s="67"/>
      <c r="FW396" s="67"/>
      <c r="FX396" s="67"/>
      <c r="FY396" s="67"/>
      <c r="FZ396" s="67"/>
      <c r="GA396" s="67"/>
      <c r="GB396" s="67"/>
      <c r="GC396" s="67"/>
      <c r="GD396" s="67"/>
      <c r="GE396" s="67"/>
      <c r="GF396" s="67"/>
      <c r="GG396" s="67"/>
      <c r="GH396" s="67"/>
      <c r="GI396" s="67"/>
      <c r="GJ396" s="67"/>
      <c r="GK396" s="67"/>
      <c r="GL396" s="67"/>
      <c r="GM396" s="67"/>
      <c r="GN396" s="67"/>
      <c r="GO396" s="67"/>
      <c r="GP396" s="67"/>
    </row>
    <row r="397" spans="5:198" s="66" customFormat="1">
      <c r="E397" s="67"/>
      <c r="G397" s="67"/>
      <c r="H397" s="67"/>
      <c r="I397" s="67"/>
      <c r="J397" s="67"/>
      <c r="K397" s="67"/>
      <c r="L397" s="67"/>
      <c r="M397" s="67"/>
      <c r="N397" s="67"/>
      <c r="O397" s="78"/>
      <c r="P397" s="78"/>
      <c r="S397" s="78"/>
      <c r="T397" s="78"/>
      <c r="U397" s="79"/>
      <c r="V397" s="65"/>
      <c r="Y397" s="78"/>
      <c r="Z397" s="78"/>
      <c r="AA397" s="78"/>
      <c r="AB397" s="78"/>
      <c r="AC397" s="78"/>
      <c r="AD397" s="78"/>
      <c r="AE397" s="78"/>
      <c r="AF397" s="78"/>
      <c r="AG397" s="79"/>
      <c r="AH397" s="65"/>
      <c r="AJ397" s="85"/>
      <c r="AK397" s="78"/>
      <c r="AL397" s="78"/>
      <c r="AM397" s="78"/>
      <c r="AN397" s="78"/>
      <c r="AO397" s="78"/>
      <c r="AP397" s="78"/>
      <c r="AQ397" s="79"/>
      <c r="AR397" s="65"/>
      <c r="AT397" s="85"/>
      <c r="AU397" s="78"/>
      <c r="AV397" s="78"/>
      <c r="AW397" s="78"/>
      <c r="AX397" s="78"/>
      <c r="AY397" s="78"/>
      <c r="AZ397" s="79"/>
      <c r="BA397" s="65"/>
      <c r="BC397" s="85"/>
      <c r="BD397" s="78"/>
      <c r="BE397" s="78"/>
      <c r="BF397" s="78"/>
      <c r="BG397" s="78"/>
      <c r="BH397" s="78"/>
      <c r="BI397" s="78"/>
      <c r="BJ397" s="79"/>
      <c r="BK397" s="65"/>
      <c r="CU397" s="67"/>
      <c r="EC397" s="67"/>
      <c r="FK397" s="67"/>
      <c r="FL397" s="67"/>
      <c r="FM397" s="67"/>
      <c r="FN397" s="67"/>
      <c r="FO397" s="67"/>
      <c r="FP397" s="67"/>
      <c r="FQ397" s="67"/>
      <c r="FR397" s="67"/>
      <c r="FS397" s="67"/>
      <c r="FT397" s="67"/>
      <c r="FU397" s="67"/>
      <c r="FV397" s="67"/>
      <c r="FW397" s="67"/>
      <c r="FX397" s="67"/>
      <c r="FY397" s="67"/>
      <c r="FZ397" s="67"/>
      <c r="GA397" s="67"/>
      <c r="GB397" s="67"/>
      <c r="GC397" s="67"/>
      <c r="GD397" s="67"/>
      <c r="GE397" s="67"/>
      <c r="GF397" s="67"/>
      <c r="GG397" s="67"/>
      <c r="GH397" s="67"/>
      <c r="GI397" s="67"/>
      <c r="GJ397" s="67"/>
      <c r="GK397" s="67"/>
      <c r="GL397" s="67"/>
      <c r="GM397" s="67"/>
      <c r="GN397" s="67"/>
      <c r="GO397" s="67"/>
      <c r="GP397" s="67"/>
    </row>
    <row r="398" spans="5:198" s="66" customFormat="1">
      <c r="E398" s="67"/>
      <c r="G398" s="67"/>
      <c r="H398" s="67"/>
      <c r="I398" s="67"/>
      <c r="J398" s="67"/>
      <c r="K398" s="67"/>
      <c r="L398" s="67"/>
      <c r="M398" s="67"/>
      <c r="N398" s="67"/>
      <c r="O398" s="78"/>
      <c r="P398" s="78"/>
      <c r="S398" s="78"/>
      <c r="T398" s="78"/>
      <c r="U398" s="79"/>
      <c r="V398" s="65"/>
      <c r="Y398" s="78"/>
      <c r="Z398" s="78"/>
      <c r="AA398" s="78"/>
      <c r="AB398" s="78"/>
      <c r="AC398" s="78"/>
      <c r="AD398" s="78"/>
      <c r="AE398" s="78"/>
      <c r="AF398" s="78"/>
      <c r="AG398" s="79"/>
      <c r="AH398" s="65"/>
      <c r="AJ398" s="85"/>
      <c r="AK398" s="78"/>
      <c r="AL398" s="78"/>
      <c r="AM398" s="78"/>
      <c r="AN398" s="78"/>
      <c r="AO398" s="78"/>
      <c r="AP398" s="78"/>
      <c r="AQ398" s="79"/>
      <c r="AR398" s="65"/>
      <c r="AT398" s="85"/>
      <c r="AU398" s="78"/>
      <c r="AV398" s="78"/>
      <c r="AW398" s="78"/>
      <c r="AX398" s="78"/>
      <c r="AY398" s="78"/>
      <c r="AZ398" s="79"/>
      <c r="BA398" s="65"/>
      <c r="BC398" s="85"/>
      <c r="BD398" s="78"/>
      <c r="BE398" s="78"/>
      <c r="BF398" s="78"/>
      <c r="BG398" s="78"/>
      <c r="BH398" s="78"/>
      <c r="BI398" s="78"/>
      <c r="BJ398" s="79"/>
      <c r="BK398" s="65"/>
      <c r="CU398" s="67"/>
      <c r="EC398" s="67"/>
      <c r="FK398" s="67"/>
      <c r="FL398" s="67"/>
      <c r="FM398" s="67"/>
      <c r="FN398" s="67"/>
      <c r="FO398" s="67"/>
      <c r="FP398" s="67"/>
      <c r="FQ398" s="67"/>
      <c r="FR398" s="67"/>
      <c r="FS398" s="67"/>
      <c r="FT398" s="67"/>
      <c r="FU398" s="67"/>
      <c r="FV398" s="67"/>
      <c r="FW398" s="67"/>
      <c r="FX398" s="67"/>
      <c r="FY398" s="67"/>
      <c r="FZ398" s="67"/>
      <c r="GA398" s="67"/>
      <c r="GB398" s="67"/>
      <c r="GC398" s="67"/>
      <c r="GD398" s="67"/>
      <c r="GE398" s="67"/>
      <c r="GF398" s="67"/>
      <c r="GG398" s="67"/>
      <c r="GH398" s="67"/>
      <c r="GI398" s="67"/>
      <c r="GJ398" s="67"/>
      <c r="GK398" s="67"/>
      <c r="GL398" s="67"/>
      <c r="GM398" s="67"/>
      <c r="GN398" s="67"/>
      <c r="GO398" s="67"/>
      <c r="GP398" s="67"/>
    </row>
    <row r="399" spans="5:198" s="66" customFormat="1">
      <c r="E399" s="67"/>
      <c r="G399" s="67"/>
      <c r="H399" s="67"/>
      <c r="I399" s="67"/>
      <c r="J399" s="67"/>
      <c r="K399" s="67"/>
      <c r="L399" s="67"/>
      <c r="M399" s="67"/>
      <c r="N399" s="67"/>
      <c r="O399" s="78"/>
      <c r="P399" s="78"/>
      <c r="S399" s="78"/>
      <c r="T399" s="78"/>
      <c r="U399" s="79"/>
      <c r="V399" s="65"/>
      <c r="Y399" s="78"/>
      <c r="Z399" s="78"/>
      <c r="AA399" s="78"/>
      <c r="AB399" s="78"/>
      <c r="AC399" s="78"/>
      <c r="AD399" s="78"/>
      <c r="AE399" s="78"/>
      <c r="AF399" s="78"/>
      <c r="AG399" s="79"/>
      <c r="AH399" s="65"/>
      <c r="AJ399" s="85"/>
      <c r="AK399" s="78"/>
      <c r="AL399" s="78"/>
      <c r="AM399" s="78"/>
      <c r="AN399" s="78"/>
      <c r="AO399" s="78"/>
      <c r="AP399" s="78"/>
      <c r="AQ399" s="79"/>
      <c r="AR399" s="65"/>
      <c r="AT399" s="85"/>
      <c r="AU399" s="78"/>
      <c r="AV399" s="78"/>
      <c r="AW399" s="78"/>
      <c r="AX399" s="78"/>
      <c r="AY399" s="78"/>
      <c r="AZ399" s="79"/>
      <c r="BA399" s="65"/>
      <c r="BC399" s="85"/>
      <c r="BD399" s="78"/>
      <c r="BE399" s="78"/>
      <c r="BF399" s="78"/>
      <c r="BG399" s="78"/>
      <c r="BH399" s="78"/>
      <c r="BI399" s="78"/>
      <c r="BJ399" s="79"/>
      <c r="BK399" s="65"/>
      <c r="CU399" s="67"/>
      <c r="EC399" s="67"/>
      <c r="FK399" s="67"/>
      <c r="FL399" s="67"/>
      <c r="FM399" s="67"/>
      <c r="FN399" s="67"/>
      <c r="FO399" s="67"/>
      <c r="FP399" s="67"/>
      <c r="FQ399" s="67"/>
      <c r="FR399" s="67"/>
      <c r="FS399" s="67"/>
      <c r="FT399" s="67"/>
      <c r="FU399" s="67"/>
      <c r="FV399" s="67"/>
      <c r="FW399" s="67"/>
      <c r="FX399" s="67"/>
      <c r="FY399" s="67"/>
      <c r="FZ399" s="67"/>
      <c r="GA399" s="67"/>
      <c r="GB399" s="67"/>
      <c r="GC399" s="67"/>
      <c r="GD399" s="67"/>
      <c r="GE399" s="67"/>
      <c r="GF399" s="67"/>
      <c r="GG399" s="67"/>
      <c r="GH399" s="67"/>
      <c r="GI399" s="67"/>
      <c r="GJ399" s="67"/>
      <c r="GK399" s="67"/>
      <c r="GL399" s="67"/>
      <c r="GM399" s="67"/>
      <c r="GN399" s="67"/>
      <c r="GO399" s="67"/>
      <c r="GP399" s="67"/>
    </row>
    <row r="400" spans="5:198" s="66" customFormat="1">
      <c r="E400" s="67"/>
      <c r="G400" s="67"/>
      <c r="H400" s="67"/>
      <c r="I400" s="67"/>
      <c r="J400" s="67"/>
      <c r="K400" s="67"/>
      <c r="L400" s="67"/>
      <c r="M400" s="67"/>
      <c r="N400" s="67"/>
      <c r="O400" s="78"/>
      <c r="P400" s="78"/>
      <c r="S400" s="78"/>
      <c r="T400" s="78"/>
      <c r="U400" s="79"/>
      <c r="V400" s="65"/>
      <c r="Y400" s="78"/>
      <c r="Z400" s="78"/>
      <c r="AA400" s="78"/>
      <c r="AB400" s="78"/>
      <c r="AC400" s="78"/>
      <c r="AD400" s="78"/>
      <c r="AE400" s="78"/>
      <c r="AF400" s="78"/>
      <c r="AG400" s="79"/>
      <c r="AH400" s="65"/>
      <c r="AJ400" s="85"/>
      <c r="AK400" s="78"/>
      <c r="AL400" s="78"/>
      <c r="AM400" s="78"/>
      <c r="AN400" s="78"/>
      <c r="AO400" s="78"/>
      <c r="AP400" s="78"/>
      <c r="AQ400" s="79"/>
      <c r="AR400" s="65"/>
      <c r="AT400" s="85"/>
      <c r="AU400" s="78"/>
      <c r="AV400" s="78"/>
      <c r="AW400" s="78"/>
      <c r="AX400" s="78"/>
      <c r="AY400" s="78"/>
      <c r="AZ400" s="79"/>
      <c r="BA400" s="65"/>
      <c r="BC400" s="85"/>
      <c r="BD400" s="78"/>
      <c r="BE400" s="78"/>
      <c r="BF400" s="78"/>
      <c r="BG400" s="78"/>
      <c r="BH400" s="78"/>
      <c r="BI400" s="78"/>
      <c r="BJ400" s="79"/>
      <c r="BK400" s="65"/>
      <c r="CU400" s="67"/>
      <c r="EC400" s="67"/>
      <c r="FK400" s="67"/>
      <c r="FL400" s="67"/>
      <c r="FM400" s="67"/>
      <c r="FN400" s="67"/>
      <c r="FO400" s="67"/>
      <c r="FP400" s="67"/>
      <c r="FQ400" s="67"/>
      <c r="FR400" s="67"/>
      <c r="FS400" s="67"/>
      <c r="FT400" s="67"/>
      <c r="FU400" s="67"/>
      <c r="FV400" s="67"/>
      <c r="FW400" s="67"/>
      <c r="FX400" s="67"/>
      <c r="FY400" s="67"/>
      <c r="FZ400" s="67"/>
      <c r="GA400" s="67"/>
      <c r="GB400" s="67"/>
      <c r="GC400" s="67"/>
      <c r="GD400" s="67"/>
      <c r="GE400" s="67"/>
      <c r="GF400" s="67"/>
      <c r="GG400" s="67"/>
      <c r="GH400" s="67"/>
      <c r="GI400" s="67"/>
      <c r="GJ400" s="67"/>
      <c r="GK400" s="67"/>
      <c r="GL400" s="67"/>
      <c r="GM400" s="67"/>
      <c r="GN400" s="67"/>
      <c r="GO400" s="67"/>
      <c r="GP400" s="67"/>
    </row>
    <row r="401" spans="5:198" s="66" customFormat="1">
      <c r="E401" s="67"/>
      <c r="G401" s="67"/>
      <c r="H401" s="67"/>
      <c r="I401" s="67"/>
      <c r="J401" s="67"/>
      <c r="K401" s="67"/>
      <c r="L401" s="67"/>
      <c r="M401" s="67"/>
      <c r="N401" s="67"/>
      <c r="O401" s="78"/>
      <c r="P401" s="78"/>
      <c r="S401" s="78"/>
      <c r="T401" s="78"/>
      <c r="U401" s="79"/>
      <c r="V401" s="65"/>
      <c r="Y401" s="78"/>
      <c r="Z401" s="78"/>
      <c r="AA401" s="78"/>
      <c r="AB401" s="78"/>
      <c r="AC401" s="78"/>
      <c r="AD401" s="78"/>
      <c r="AE401" s="78"/>
      <c r="AF401" s="78"/>
      <c r="AG401" s="79"/>
      <c r="AH401" s="65"/>
      <c r="AJ401" s="85"/>
      <c r="AK401" s="78"/>
      <c r="AL401" s="78"/>
      <c r="AM401" s="78"/>
      <c r="AN401" s="78"/>
      <c r="AO401" s="78"/>
      <c r="AP401" s="78"/>
      <c r="AQ401" s="79"/>
      <c r="AR401" s="65"/>
      <c r="AT401" s="85"/>
      <c r="AU401" s="78"/>
      <c r="AV401" s="78"/>
      <c r="AW401" s="78"/>
      <c r="AX401" s="78"/>
      <c r="AY401" s="78"/>
      <c r="AZ401" s="79"/>
      <c r="BA401" s="65"/>
      <c r="BC401" s="85"/>
      <c r="BD401" s="78"/>
      <c r="BE401" s="78"/>
      <c r="BF401" s="78"/>
      <c r="BG401" s="78"/>
      <c r="BH401" s="78"/>
      <c r="BI401" s="78"/>
      <c r="BJ401" s="79"/>
      <c r="BK401" s="65"/>
      <c r="CU401" s="67"/>
      <c r="EC401" s="67"/>
      <c r="FK401" s="67"/>
      <c r="FL401" s="67"/>
      <c r="FM401" s="67"/>
      <c r="FN401" s="67"/>
      <c r="FO401" s="67"/>
      <c r="FP401" s="67"/>
      <c r="FQ401" s="67"/>
      <c r="FR401" s="67"/>
      <c r="FS401" s="67"/>
      <c r="FT401" s="67"/>
      <c r="FU401" s="67"/>
      <c r="FV401" s="67"/>
      <c r="FW401" s="67"/>
      <c r="FX401" s="67"/>
      <c r="FY401" s="67"/>
      <c r="FZ401" s="67"/>
      <c r="GA401" s="67"/>
      <c r="GB401" s="67"/>
      <c r="GC401" s="67"/>
      <c r="GD401" s="67"/>
      <c r="GE401" s="67"/>
      <c r="GF401" s="67"/>
      <c r="GG401" s="67"/>
      <c r="GH401" s="67"/>
      <c r="GI401" s="67"/>
      <c r="GJ401" s="67"/>
      <c r="GK401" s="67"/>
      <c r="GL401" s="67"/>
      <c r="GM401" s="67"/>
      <c r="GN401" s="67"/>
      <c r="GO401" s="67"/>
      <c r="GP401" s="67"/>
    </row>
    <row r="402" spans="5:198" s="66" customFormat="1">
      <c r="E402" s="67"/>
      <c r="G402" s="67"/>
      <c r="H402" s="67"/>
      <c r="I402" s="67"/>
      <c r="J402" s="67"/>
      <c r="K402" s="67"/>
      <c r="L402" s="67"/>
      <c r="M402" s="67"/>
      <c r="N402" s="67"/>
      <c r="O402" s="78"/>
      <c r="P402" s="78"/>
      <c r="S402" s="78"/>
      <c r="T402" s="78"/>
      <c r="U402" s="79"/>
      <c r="V402" s="65"/>
      <c r="Y402" s="78"/>
      <c r="Z402" s="78"/>
      <c r="AA402" s="78"/>
      <c r="AB402" s="78"/>
      <c r="AC402" s="78"/>
      <c r="AD402" s="78"/>
      <c r="AE402" s="78"/>
      <c r="AF402" s="78"/>
      <c r="AG402" s="79"/>
      <c r="AH402" s="65"/>
      <c r="AJ402" s="85"/>
      <c r="AK402" s="78"/>
      <c r="AL402" s="78"/>
      <c r="AM402" s="78"/>
      <c r="AN402" s="78"/>
      <c r="AO402" s="78"/>
      <c r="AP402" s="78"/>
      <c r="AQ402" s="79"/>
      <c r="AR402" s="65"/>
      <c r="AT402" s="85"/>
      <c r="AU402" s="78"/>
      <c r="AV402" s="78"/>
      <c r="AW402" s="78"/>
      <c r="AX402" s="78"/>
      <c r="AY402" s="78"/>
      <c r="AZ402" s="79"/>
      <c r="BA402" s="65"/>
      <c r="BC402" s="85"/>
      <c r="BD402" s="78"/>
      <c r="BE402" s="78"/>
      <c r="BF402" s="78"/>
      <c r="BG402" s="78"/>
      <c r="BH402" s="78"/>
      <c r="BI402" s="78"/>
      <c r="BJ402" s="79"/>
      <c r="BK402" s="65"/>
      <c r="CU402" s="67"/>
      <c r="EC402" s="67"/>
      <c r="FK402" s="67"/>
      <c r="FL402" s="67"/>
      <c r="FM402" s="67"/>
      <c r="FN402" s="67"/>
      <c r="FO402" s="67"/>
      <c r="FP402" s="67"/>
      <c r="FQ402" s="67"/>
      <c r="FR402" s="67"/>
      <c r="FS402" s="67"/>
      <c r="FT402" s="67"/>
      <c r="FU402" s="67"/>
      <c r="FV402" s="67"/>
      <c r="FW402" s="67"/>
      <c r="FX402" s="67"/>
      <c r="FY402" s="67"/>
      <c r="FZ402" s="67"/>
      <c r="GA402" s="67"/>
      <c r="GB402" s="67"/>
      <c r="GC402" s="67"/>
      <c r="GD402" s="67"/>
      <c r="GE402" s="67"/>
      <c r="GF402" s="67"/>
      <c r="GG402" s="67"/>
      <c r="GH402" s="67"/>
      <c r="GI402" s="67"/>
      <c r="GJ402" s="67"/>
      <c r="GK402" s="67"/>
      <c r="GL402" s="67"/>
      <c r="GM402" s="67"/>
      <c r="GN402" s="67"/>
      <c r="GO402" s="67"/>
      <c r="GP402" s="67"/>
    </row>
    <row r="403" spans="5:198" s="66" customFormat="1">
      <c r="E403" s="67"/>
      <c r="G403" s="67"/>
      <c r="H403" s="67"/>
      <c r="I403" s="67"/>
      <c r="J403" s="67"/>
      <c r="K403" s="67"/>
      <c r="L403" s="67"/>
      <c r="M403" s="67"/>
      <c r="N403" s="67"/>
      <c r="O403" s="78"/>
      <c r="P403" s="78"/>
      <c r="S403" s="78"/>
      <c r="T403" s="78"/>
      <c r="U403" s="79"/>
      <c r="V403" s="65"/>
      <c r="Y403" s="78"/>
      <c r="Z403" s="78"/>
      <c r="AA403" s="78"/>
      <c r="AB403" s="78"/>
      <c r="AC403" s="78"/>
      <c r="AD403" s="78"/>
      <c r="AE403" s="78"/>
      <c r="AF403" s="78"/>
      <c r="AG403" s="79"/>
      <c r="AH403" s="65"/>
      <c r="AJ403" s="85"/>
      <c r="AK403" s="78"/>
      <c r="AL403" s="78"/>
      <c r="AM403" s="78"/>
      <c r="AN403" s="78"/>
      <c r="AO403" s="78"/>
      <c r="AP403" s="78"/>
      <c r="AQ403" s="79"/>
      <c r="AR403" s="65"/>
      <c r="AT403" s="85"/>
      <c r="AU403" s="78"/>
      <c r="AV403" s="78"/>
      <c r="AW403" s="78"/>
      <c r="AX403" s="78"/>
      <c r="AY403" s="78"/>
      <c r="AZ403" s="79"/>
      <c r="BA403" s="65"/>
      <c r="BC403" s="85"/>
      <c r="BD403" s="78"/>
      <c r="BE403" s="78"/>
      <c r="BF403" s="78"/>
      <c r="BG403" s="78"/>
      <c r="BH403" s="78"/>
      <c r="BI403" s="78"/>
      <c r="BJ403" s="79"/>
      <c r="BK403" s="65"/>
      <c r="CU403" s="67"/>
      <c r="EC403" s="67"/>
      <c r="FK403" s="67"/>
      <c r="FL403" s="67"/>
      <c r="FM403" s="67"/>
      <c r="FN403" s="67"/>
      <c r="FO403" s="67"/>
      <c r="FP403" s="67"/>
      <c r="FQ403" s="67"/>
      <c r="FR403" s="67"/>
      <c r="FS403" s="67"/>
      <c r="FT403" s="67"/>
      <c r="FU403" s="67"/>
      <c r="FV403" s="67"/>
      <c r="FW403" s="67"/>
      <c r="FX403" s="67"/>
      <c r="FY403" s="67"/>
      <c r="FZ403" s="67"/>
      <c r="GA403" s="67"/>
      <c r="GB403" s="67"/>
      <c r="GC403" s="67"/>
      <c r="GD403" s="67"/>
      <c r="GE403" s="67"/>
      <c r="GF403" s="67"/>
      <c r="GG403" s="67"/>
      <c r="GH403" s="67"/>
      <c r="GI403" s="67"/>
      <c r="GJ403" s="67"/>
      <c r="GK403" s="67"/>
      <c r="GL403" s="67"/>
      <c r="GM403" s="67"/>
      <c r="GN403" s="67"/>
      <c r="GO403" s="67"/>
      <c r="GP403" s="67"/>
    </row>
    <row r="404" spans="5:198" s="66" customFormat="1">
      <c r="E404" s="67"/>
      <c r="G404" s="67"/>
      <c r="H404" s="67"/>
      <c r="I404" s="67"/>
      <c r="J404" s="67"/>
      <c r="K404" s="67"/>
      <c r="L404" s="67"/>
      <c r="M404" s="67"/>
      <c r="N404" s="67"/>
      <c r="O404" s="78"/>
      <c r="P404" s="78"/>
      <c r="S404" s="78"/>
      <c r="T404" s="78"/>
      <c r="U404" s="79"/>
      <c r="V404" s="65"/>
      <c r="Y404" s="78"/>
      <c r="Z404" s="78"/>
      <c r="AA404" s="78"/>
      <c r="AB404" s="78"/>
      <c r="AC404" s="78"/>
      <c r="AD404" s="78"/>
      <c r="AE404" s="78"/>
      <c r="AF404" s="78"/>
      <c r="AG404" s="79"/>
      <c r="AH404" s="65"/>
      <c r="AJ404" s="85"/>
      <c r="AK404" s="78"/>
      <c r="AL404" s="78"/>
      <c r="AM404" s="78"/>
      <c r="AN404" s="78"/>
      <c r="AO404" s="78"/>
      <c r="AP404" s="78"/>
      <c r="AQ404" s="79"/>
      <c r="AR404" s="65"/>
      <c r="AT404" s="85"/>
      <c r="AU404" s="78"/>
      <c r="AV404" s="78"/>
      <c r="AW404" s="78"/>
      <c r="AX404" s="78"/>
      <c r="AY404" s="78"/>
      <c r="AZ404" s="79"/>
      <c r="BA404" s="65"/>
      <c r="BC404" s="85"/>
      <c r="BD404" s="78"/>
      <c r="BE404" s="78"/>
      <c r="BF404" s="78"/>
      <c r="BG404" s="78"/>
      <c r="BH404" s="78"/>
      <c r="BI404" s="78"/>
      <c r="BJ404" s="79"/>
      <c r="BK404" s="65"/>
      <c r="CU404" s="67"/>
      <c r="EC404" s="67"/>
      <c r="FK404" s="67"/>
      <c r="FL404" s="67"/>
      <c r="FM404" s="67"/>
      <c r="FN404" s="67"/>
      <c r="FO404" s="67"/>
      <c r="FP404" s="67"/>
      <c r="FQ404" s="67"/>
      <c r="FR404" s="67"/>
      <c r="FS404" s="67"/>
      <c r="FT404" s="67"/>
      <c r="FU404" s="67"/>
      <c r="FV404" s="67"/>
      <c r="FW404" s="67"/>
      <c r="FX404" s="67"/>
      <c r="FY404" s="67"/>
      <c r="FZ404" s="67"/>
      <c r="GA404" s="67"/>
      <c r="GB404" s="67"/>
      <c r="GC404" s="67"/>
      <c r="GD404" s="67"/>
      <c r="GE404" s="67"/>
      <c r="GF404" s="67"/>
      <c r="GG404" s="67"/>
      <c r="GH404" s="67"/>
      <c r="GI404" s="67"/>
      <c r="GJ404" s="67"/>
      <c r="GK404" s="67"/>
      <c r="GL404" s="67"/>
      <c r="GM404" s="67"/>
      <c r="GN404" s="67"/>
      <c r="GO404" s="67"/>
      <c r="GP404" s="67"/>
    </row>
    <row r="405" spans="5:198" s="66" customFormat="1">
      <c r="E405" s="67"/>
      <c r="G405" s="67"/>
      <c r="H405" s="67"/>
      <c r="I405" s="67"/>
      <c r="J405" s="67"/>
      <c r="K405" s="67"/>
      <c r="L405" s="67"/>
      <c r="M405" s="67"/>
      <c r="N405" s="67"/>
      <c r="O405" s="78"/>
      <c r="P405" s="78"/>
      <c r="S405" s="78"/>
      <c r="T405" s="78"/>
      <c r="U405" s="79"/>
      <c r="V405" s="65"/>
      <c r="Y405" s="78"/>
      <c r="Z405" s="78"/>
      <c r="AA405" s="78"/>
      <c r="AB405" s="78"/>
      <c r="AC405" s="78"/>
      <c r="AD405" s="78"/>
      <c r="AE405" s="78"/>
      <c r="AF405" s="78"/>
      <c r="AG405" s="79"/>
      <c r="AH405" s="65"/>
      <c r="AJ405" s="85"/>
      <c r="AK405" s="78"/>
      <c r="AL405" s="78"/>
      <c r="AM405" s="78"/>
      <c r="AN405" s="78"/>
      <c r="AO405" s="78"/>
      <c r="AP405" s="78"/>
      <c r="AQ405" s="79"/>
      <c r="AR405" s="65"/>
      <c r="AT405" s="85"/>
      <c r="AU405" s="78"/>
      <c r="AV405" s="78"/>
      <c r="AW405" s="78"/>
      <c r="AX405" s="78"/>
      <c r="AY405" s="78"/>
      <c r="AZ405" s="79"/>
      <c r="BA405" s="65"/>
      <c r="BC405" s="85"/>
      <c r="BD405" s="78"/>
      <c r="BE405" s="78"/>
      <c r="BF405" s="78"/>
      <c r="BG405" s="78"/>
      <c r="BH405" s="78"/>
      <c r="BI405" s="78"/>
      <c r="BJ405" s="79"/>
      <c r="BK405" s="65"/>
      <c r="CU405" s="67"/>
      <c r="EC405" s="67"/>
      <c r="FK405" s="67"/>
      <c r="FL405" s="67"/>
      <c r="FM405" s="67"/>
      <c r="FN405" s="67"/>
      <c r="FO405" s="67"/>
      <c r="FP405" s="67"/>
      <c r="FQ405" s="67"/>
      <c r="FR405" s="67"/>
      <c r="FS405" s="67"/>
      <c r="FT405" s="67"/>
      <c r="FU405" s="67"/>
      <c r="FV405" s="67"/>
      <c r="FW405" s="67"/>
      <c r="FX405" s="67"/>
      <c r="FY405" s="67"/>
      <c r="FZ405" s="67"/>
      <c r="GA405" s="67"/>
      <c r="GB405" s="67"/>
      <c r="GC405" s="67"/>
      <c r="GD405" s="67"/>
      <c r="GE405" s="67"/>
      <c r="GF405" s="67"/>
      <c r="GG405" s="67"/>
      <c r="GH405" s="67"/>
      <c r="GI405" s="67"/>
      <c r="GJ405" s="67"/>
      <c r="GK405" s="67"/>
      <c r="GL405" s="67"/>
      <c r="GM405" s="67"/>
      <c r="GN405" s="67"/>
      <c r="GO405" s="67"/>
      <c r="GP405" s="67"/>
    </row>
    <row r="406" spans="5:198" s="66" customFormat="1">
      <c r="E406" s="67"/>
      <c r="G406" s="67"/>
      <c r="H406" s="67"/>
      <c r="I406" s="67"/>
      <c r="J406" s="67"/>
      <c r="K406" s="67"/>
      <c r="L406" s="67"/>
      <c r="M406" s="67"/>
      <c r="N406" s="67"/>
      <c r="O406" s="78"/>
      <c r="P406" s="78"/>
      <c r="S406" s="78"/>
      <c r="T406" s="78"/>
      <c r="U406" s="79"/>
      <c r="V406" s="65"/>
      <c r="Y406" s="78"/>
      <c r="Z406" s="78"/>
      <c r="AA406" s="78"/>
      <c r="AB406" s="78"/>
      <c r="AC406" s="78"/>
      <c r="AD406" s="78"/>
      <c r="AE406" s="78"/>
      <c r="AF406" s="78"/>
      <c r="AG406" s="79"/>
      <c r="AH406" s="65"/>
      <c r="AJ406" s="85"/>
      <c r="AK406" s="78"/>
      <c r="AL406" s="78"/>
      <c r="AM406" s="78"/>
      <c r="AN406" s="78"/>
      <c r="AO406" s="78"/>
      <c r="AP406" s="78"/>
      <c r="AQ406" s="79"/>
      <c r="AR406" s="65"/>
      <c r="AT406" s="85"/>
      <c r="AU406" s="78"/>
      <c r="AV406" s="78"/>
      <c r="AW406" s="78"/>
      <c r="AX406" s="78"/>
      <c r="AY406" s="78"/>
      <c r="AZ406" s="79"/>
      <c r="BA406" s="65"/>
      <c r="BC406" s="85"/>
      <c r="BD406" s="78"/>
      <c r="BE406" s="78"/>
      <c r="BF406" s="78"/>
      <c r="BG406" s="78"/>
      <c r="BH406" s="78"/>
      <c r="BI406" s="78"/>
      <c r="BJ406" s="79"/>
      <c r="BK406" s="65"/>
      <c r="CU406" s="67"/>
      <c r="EC406" s="67"/>
      <c r="FK406" s="67"/>
      <c r="FL406" s="67"/>
      <c r="FM406" s="67"/>
      <c r="FN406" s="67"/>
      <c r="FO406" s="67"/>
      <c r="FP406" s="67"/>
      <c r="FQ406" s="67"/>
      <c r="FR406" s="67"/>
      <c r="FS406" s="67"/>
      <c r="FT406" s="67"/>
      <c r="FU406" s="67"/>
      <c r="FV406" s="67"/>
      <c r="FW406" s="67"/>
      <c r="FX406" s="67"/>
      <c r="FY406" s="67"/>
      <c r="FZ406" s="67"/>
      <c r="GA406" s="67"/>
      <c r="GB406" s="67"/>
      <c r="GC406" s="67"/>
      <c r="GD406" s="67"/>
      <c r="GE406" s="67"/>
      <c r="GF406" s="67"/>
      <c r="GG406" s="67"/>
      <c r="GH406" s="67"/>
      <c r="GI406" s="67"/>
      <c r="GJ406" s="67"/>
      <c r="GK406" s="67"/>
      <c r="GL406" s="67"/>
      <c r="GM406" s="67"/>
      <c r="GN406" s="67"/>
      <c r="GO406" s="67"/>
      <c r="GP406" s="67"/>
    </row>
    <row r="407" spans="5:198" s="66" customFormat="1">
      <c r="E407" s="67"/>
      <c r="G407" s="67"/>
      <c r="H407" s="67"/>
      <c r="I407" s="67"/>
      <c r="J407" s="67"/>
      <c r="K407" s="67"/>
      <c r="L407" s="67"/>
      <c r="M407" s="67"/>
      <c r="N407" s="67"/>
      <c r="O407" s="78"/>
      <c r="P407" s="78"/>
      <c r="S407" s="78"/>
      <c r="T407" s="78"/>
      <c r="U407" s="79"/>
      <c r="V407" s="65"/>
      <c r="Y407" s="78"/>
      <c r="Z407" s="78"/>
      <c r="AA407" s="78"/>
      <c r="AB407" s="78"/>
      <c r="AC407" s="78"/>
      <c r="AD407" s="78"/>
      <c r="AE407" s="78"/>
      <c r="AF407" s="78"/>
      <c r="AG407" s="79"/>
      <c r="AH407" s="65"/>
      <c r="AJ407" s="85"/>
      <c r="AK407" s="78"/>
      <c r="AL407" s="78"/>
      <c r="AM407" s="78"/>
      <c r="AN407" s="78"/>
      <c r="AO407" s="78"/>
      <c r="AP407" s="78"/>
      <c r="AQ407" s="79"/>
      <c r="AR407" s="65"/>
      <c r="AT407" s="85"/>
      <c r="AU407" s="78"/>
      <c r="AV407" s="78"/>
      <c r="AW407" s="78"/>
      <c r="AX407" s="78"/>
      <c r="AY407" s="78"/>
      <c r="AZ407" s="79"/>
      <c r="BA407" s="65"/>
      <c r="BC407" s="85"/>
      <c r="BD407" s="78"/>
      <c r="BE407" s="78"/>
      <c r="BF407" s="78"/>
      <c r="BG407" s="78"/>
      <c r="BH407" s="78"/>
      <c r="BI407" s="78"/>
      <c r="BJ407" s="79"/>
      <c r="BK407" s="65"/>
      <c r="CU407" s="67"/>
      <c r="EC407" s="67"/>
      <c r="FK407" s="67"/>
      <c r="FL407" s="67"/>
      <c r="FM407" s="67"/>
      <c r="FN407" s="67"/>
      <c r="FO407" s="67"/>
      <c r="FP407" s="67"/>
      <c r="FQ407" s="67"/>
      <c r="FR407" s="67"/>
      <c r="FS407" s="67"/>
      <c r="FT407" s="67"/>
      <c r="FU407" s="67"/>
      <c r="FV407" s="67"/>
      <c r="FW407" s="67"/>
      <c r="FX407" s="67"/>
      <c r="FY407" s="67"/>
      <c r="FZ407" s="67"/>
      <c r="GA407" s="67"/>
      <c r="GB407" s="67"/>
      <c r="GC407" s="67"/>
      <c r="GD407" s="67"/>
      <c r="GE407" s="67"/>
      <c r="GF407" s="67"/>
      <c r="GG407" s="67"/>
      <c r="GH407" s="67"/>
      <c r="GI407" s="67"/>
      <c r="GJ407" s="67"/>
      <c r="GK407" s="67"/>
      <c r="GL407" s="67"/>
      <c r="GM407" s="67"/>
      <c r="GN407" s="67"/>
      <c r="GO407" s="67"/>
      <c r="GP407" s="67"/>
    </row>
    <row r="408" spans="5:198" s="66" customFormat="1">
      <c r="E408" s="67"/>
      <c r="G408" s="67"/>
      <c r="H408" s="67"/>
      <c r="I408" s="67"/>
      <c r="J408" s="67"/>
      <c r="K408" s="67"/>
      <c r="L408" s="67"/>
      <c r="M408" s="67"/>
      <c r="N408" s="67"/>
      <c r="O408" s="78"/>
      <c r="P408" s="78"/>
      <c r="S408" s="78"/>
      <c r="T408" s="78"/>
      <c r="U408" s="79"/>
      <c r="V408" s="65"/>
      <c r="Y408" s="78"/>
      <c r="Z408" s="78"/>
      <c r="AA408" s="78"/>
      <c r="AB408" s="78"/>
      <c r="AC408" s="78"/>
      <c r="AD408" s="78"/>
      <c r="AE408" s="78"/>
      <c r="AF408" s="78"/>
      <c r="AG408" s="79"/>
      <c r="AH408" s="65"/>
      <c r="AJ408" s="85"/>
      <c r="AK408" s="78"/>
      <c r="AL408" s="78"/>
      <c r="AM408" s="78"/>
      <c r="AN408" s="78"/>
      <c r="AO408" s="78"/>
      <c r="AP408" s="78"/>
      <c r="AQ408" s="79"/>
      <c r="AR408" s="65"/>
      <c r="AT408" s="85"/>
      <c r="AU408" s="78"/>
      <c r="AV408" s="78"/>
      <c r="AW408" s="78"/>
      <c r="AX408" s="78"/>
      <c r="AY408" s="78"/>
      <c r="AZ408" s="79"/>
      <c r="BA408" s="65"/>
      <c r="BC408" s="85"/>
      <c r="BD408" s="78"/>
      <c r="BE408" s="78"/>
      <c r="BF408" s="78"/>
      <c r="BG408" s="78"/>
      <c r="BH408" s="78"/>
      <c r="BI408" s="78"/>
      <c r="BJ408" s="79"/>
      <c r="BK408" s="65"/>
      <c r="CU408" s="67"/>
      <c r="EC408" s="67"/>
      <c r="FK408" s="67"/>
      <c r="FL408" s="67"/>
      <c r="FM408" s="67"/>
      <c r="FN408" s="67"/>
      <c r="FO408" s="67"/>
      <c r="FP408" s="67"/>
      <c r="FQ408" s="67"/>
      <c r="FR408" s="67"/>
      <c r="FS408" s="67"/>
      <c r="FT408" s="67"/>
      <c r="FU408" s="67"/>
      <c r="FV408" s="67"/>
      <c r="FW408" s="67"/>
      <c r="FX408" s="67"/>
      <c r="FY408" s="67"/>
      <c r="FZ408" s="67"/>
      <c r="GA408" s="67"/>
      <c r="GB408" s="67"/>
      <c r="GC408" s="67"/>
      <c r="GD408" s="67"/>
      <c r="GE408" s="67"/>
      <c r="GF408" s="67"/>
      <c r="GG408" s="67"/>
      <c r="GH408" s="67"/>
      <c r="GI408" s="67"/>
      <c r="GJ408" s="67"/>
      <c r="GK408" s="67"/>
      <c r="GL408" s="67"/>
      <c r="GM408" s="67"/>
      <c r="GN408" s="67"/>
      <c r="GO408" s="67"/>
      <c r="GP408" s="67"/>
    </row>
    <row r="409" spans="5:198" s="66" customFormat="1">
      <c r="E409" s="67"/>
      <c r="G409" s="67"/>
      <c r="H409" s="67"/>
      <c r="I409" s="67"/>
      <c r="J409" s="67"/>
      <c r="K409" s="67"/>
      <c r="L409" s="67"/>
      <c r="M409" s="67"/>
      <c r="N409" s="67"/>
      <c r="O409" s="78"/>
      <c r="P409" s="78"/>
      <c r="S409" s="78"/>
      <c r="T409" s="78"/>
      <c r="U409" s="79"/>
      <c r="V409" s="65"/>
      <c r="Y409" s="78"/>
      <c r="Z409" s="78"/>
      <c r="AA409" s="78"/>
      <c r="AB409" s="78"/>
      <c r="AC409" s="78"/>
      <c r="AD409" s="78"/>
      <c r="AE409" s="78"/>
      <c r="AF409" s="78"/>
      <c r="AG409" s="79"/>
      <c r="AH409" s="65"/>
      <c r="AJ409" s="85"/>
      <c r="AK409" s="78"/>
      <c r="AL409" s="78"/>
      <c r="AM409" s="78"/>
      <c r="AN409" s="78"/>
      <c r="AO409" s="78"/>
      <c r="AP409" s="78"/>
      <c r="AQ409" s="79"/>
      <c r="AR409" s="65"/>
      <c r="AT409" s="85"/>
      <c r="AU409" s="78"/>
      <c r="AV409" s="78"/>
      <c r="AW409" s="78"/>
      <c r="AX409" s="78"/>
      <c r="AY409" s="78"/>
      <c r="AZ409" s="79"/>
      <c r="BA409" s="65"/>
      <c r="BC409" s="85"/>
      <c r="BD409" s="78"/>
      <c r="BE409" s="78"/>
      <c r="BF409" s="78"/>
      <c r="BG409" s="78"/>
      <c r="BH409" s="78"/>
      <c r="BI409" s="78"/>
      <c r="BJ409" s="79"/>
      <c r="BK409" s="65"/>
      <c r="CU409" s="67"/>
      <c r="EC409" s="67"/>
      <c r="FK409" s="67"/>
      <c r="FL409" s="67"/>
      <c r="FM409" s="67"/>
      <c r="FN409" s="67"/>
      <c r="FO409" s="67"/>
      <c r="FP409" s="67"/>
      <c r="FQ409" s="67"/>
      <c r="FR409" s="67"/>
      <c r="FS409" s="67"/>
      <c r="FT409" s="67"/>
      <c r="FU409" s="67"/>
      <c r="FV409" s="67"/>
      <c r="FW409" s="67"/>
      <c r="FX409" s="67"/>
      <c r="FY409" s="67"/>
      <c r="FZ409" s="67"/>
      <c r="GA409" s="67"/>
      <c r="GB409" s="67"/>
      <c r="GC409" s="67"/>
      <c r="GD409" s="67"/>
      <c r="GE409" s="67"/>
      <c r="GF409" s="67"/>
      <c r="GG409" s="67"/>
      <c r="GH409" s="67"/>
      <c r="GI409" s="67"/>
      <c r="GJ409" s="67"/>
      <c r="GK409" s="67"/>
      <c r="GL409" s="67"/>
      <c r="GM409" s="67"/>
      <c r="GN409" s="67"/>
      <c r="GO409" s="67"/>
      <c r="GP409" s="67"/>
    </row>
    <row r="410" spans="5:198" s="66" customFormat="1">
      <c r="E410" s="67"/>
      <c r="G410" s="67"/>
      <c r="H410" s="67"/>
      <c r="I410" s="67"/>
      <c r="J410" s="67"/>
      <c r="K410" s="67"/>
      <c r="L410" s="67"/>
      <c r="M410" s="67"/>
      <c r="N410" s="67"/>
      <c r="O410" s="78"/>
      <c r="P410" s="78"/>
      <c r="S410" s="78"/>
      <c r="T410" s="78"/>
      <c r="U410" s="79"/>
      <c r="V410" s="65"/>
      <c r="Y410" s="78"/>
      <c r="Z410" s="78"/>
      <c r="AA410" s="78"/>
      <c r="AB410" s="78"/>
      <c r="AC410" s="78"/>
      <c r="AD410" s="78"/>
      <c r="AE410" s="78"/>
      <c r="AF410" s="78"/>
      <c r="AG410" s="79"/>
      <c r="AH410" s="65"/>
      <c r="AJ410" s="85"/>
      <c r="AK410" s="78"/>
      <c r="AL410" s="78"/>
      <c r="AM410" s="78"/>
      <c r="AN410" s="78"/>
      <c r="AO410" s="78"/>
      <c r="AP410" s="78"/>
      <c r="AQ410" s="79"/>
      <c r="AR410" s="65"/>
      <c r="AT410" s="85"/>
      <c r="AU410" s="78"/>
      <c r="AV410" s="78"/>
      <c r="AW410" s="78"/>
      <c r="AX410" s="78"/>
      <c r="AY410" s="78"/>
      <c r="AZ410" s="79"/>
      <c r="BA410" s="65"/>
      <c r="BC410" s="85"/>
      <c r="BD410" s="78"/>
      <c r="BE410" s="78"/>
      <c r="BF410" s="78"/>
      <c r="BG410" s="78"/>
      <c r="BH410" s="78"/>
      <c r="BI410" s="78"/>
      <c r="BJ410" s="79"/>
      <c r="BK410" s="65"/>
      <c r="CU410" s="67"/>
      <c r="EC410" s="67"/>
      <c r="FK410" s="67"/>
      <c r="FL410" s="67"/>
      <c r="FM410" s="67"/>
      <c r="FN410" s="67"/>
      <c r="FO410" s="67"/>
      <c r="FP410" s="67"/>
      <c r="FQ410" s="67"/>
      <c r="FR410" s="67"/>
      <c r="FS410" s="67"/>
      <c r="FT410" s="67"/>
      <c r="FU410" s="67"/>
      <c r="FV410" s="67"/>
      <c r="FW410" s="67"/>
      <c r="FX410" s="67"/>
      <c r="FY410" s="67"/>
      <c r="FZ410" s="67"/>
      <c r="GA410" s="67"/>
      <c r="GB410" s="67"/>
      <c r="GC410" s="67"/>
      <c r="GD410" s="67"/>
      <c r="GE410" s="67"/>
      <c r="GF410" s="67"/>
      <c r="GG410" s="67"/>
      <c r="GH410" s="67"/>
      <c r="GI410" s="67"/>
      <c r="GJ410" s="67"/>
      <c r="GK410" s="67"/>
      <c r="GL410" s="67"/>
      <c r="GM410" s="67"/>
      <c r="GN410" s="67"/>
      <c r="GO410" s="67"/>
      <c r="GP410" s="67"/>
    </row>
    <row r="411" spans="5:198" s="66" customFormat="1">
      <c r="E411" s="67"/>
      <c r="G411" s="67"/>
      <c r="H411" s="67"/>
      <c r="I411" s="67"/>
      <c r="J411" s="67"/>
      <c r="K411" s="67"/>
      <c r="L411" s="67"/>
      <c r="M411" s="67"/>
      <c r="N411" s="67"/>
      <c r="O411" s="78"/>
      <c r="P411" s="78"/>
      <c r="S411" s="78"/>
      <c r="T411" s="78"/>
      <c r="U411" s="79"/>
      <c r="V411" s="65"/>
      <c r="Y411" s="78"/>
      <c r="Z411" s="78"/>
      <c r="AA411" s="78"/>
      <c r="AB411" s="78"/>
      <c r="AC411" s="78"/>
      <c r="AD411" s="78"/>
      <c r="AE411" s="78"/>
      <c r="AF411" s="78"/>
      <c r="AG411" s="79"/>
      <c r="AH411" s="65"/>
      <c r="AJ411" s="85"/>
      <c r="AK411" s="78"/>
      <c r="AL411" s="78"/>
      <c r="AM411" s="78"/>
      <c r="AN411" s="78"/>
      <c r="AO411" s="78"/>
      <c r="AP411" s="78"/>
      <c r="AQ411" s="79"/>
      <c r="AR411" s="65"/>
      <c r="AT411" s="85"/>
      <c r="AU411" s="78"/>
      <c r="AV411" s="78"/>
      <c r="AW411" s="78"/>
      <c r="AX411" s="78"/>
      <c r="AY411" s="78"/>
      <c r="AZ411" s="79"/>
      <c r="BA411" s="65"/>
      <c r="BC411" s="85"/>
      <c r="BD411" s="78"/>
      <c r="BE411" s="78"/>
      <c r="BF411" s="78"/>
      <c r="BG411" s="78"/>
      <c r="BH411" s="78"/>
      <c r="BI411" s="78"/>
      <c r="BJ411" s="79"/>
      <c r="BK411" s="65"/>
      <c r="CU411" s="67"/>
      <c r="EC411" s="67"/>
      <c r="FK411" s="67"/>
      <c r="FL411" s="67"/>
      <c r="FM411" s="67"/>
      <c r="FN411" s="67"/>
      <c r="FO411" s="67"/>
      <c r="FP411" s="67"/>
      <c r="FQ411" s="67"/>
      <c r="FR411" s="67"/>
      <c r="FS411" s="67"/>
      <c r="FT411" s="67"/>
      <c r="FU411" s="67"/>
      <c r="FV411" s="67"/>
      <c r="FW411" s="67"/>
      <c r="FX411" s="67"/>
      <c r="FY411" s="67"/>
      <c r="FZ411" s="67"/>
      <c r="GA411" s="67"/>
      <c r="GB411" s="67"/>
      <c r="GC411" s="67"/>
      <c r="GD411" s="67"/>
      <c r="GE411" s="67"/>
      <c r="GF411" s="67"/>
      <c r="GG411" s="67"/>
      <c r="GH411" s="67"/>
      <c r="GI411" s="67"/>
      <c r="GJ411" s="67"/>
      <c r="GK411" s="67"/>
      <c r="GL411" s="67"/>
      <c r="GM411" s="67"/>
      <c r="GN411" s="67"/>
      <c r="GO411" s="67"/>
      <c r="GP411" s="67"/>
    </row>
    <row r="412" spans="5:198" s="66" customFormat="1">
      <c r="E412" s="67"/>
      <c r="G412" s="67"/>
      <c r="H412" s="67"/>
      <c r="I412" s="67"/>
      <c r="J412" s="67"/>
      <c r="K412" s="67"/>
      <c r="L412" s="67"/>
      <c r="M412" s="67"/>
      <c r="N412" s="67"/>
      <c r="O412" s="78"/>
      <c r="P412" s="78"/>
      <c r="S412" s="78"/>
      <c r="T412" s="78"/>
      <c r="U412" s="79"/>
      <c r="V412" s="65"/>
      <c r="Y412" s="78"/>
      <c r="Z412" s="78"/>
      <c r="AA412" s="78"/>
      <c r="AB412" s="78"/>
      <c r="AC412" s="78"/>
      <c r="AD412" s="78"/>
      <c r="AE412" s="78"/>
      <c r="AF412" s="78"/>
      <c r="AG412" s="79"/>
      <c r="AH412" s="65"/>
      <c r="AJ412" s="85"/>
      <c r="AK412" s="78"/>
      <c r="AL412" s="78"/>
      <c r="AM412" s="78"/>
      <c r="AN412" s="78"/>
      <c r="AO412" s="78"/>
      <c r="AP412" s="78"/>
      <c r="AQ412" s="79"/>
      <c r="AR412" s="65"/>
      <c r="AT412" s="85"/>
      <c r="AU412" s="78"/>
      <c r="AV412" s="78"/>
      <c r="AW412" s="78"/>
      <c r="AX412" s="78"/>
      <c r="AY412" s="78"/>
      <c r="AZ412" s="79"/>
      <c r="BA412" s="65"/>
      <c r="BC412" s="85"/>
      <c r="BD412" s="78"/>
      <c r="BE412" s="78"/>
      <c r="BF412" s="78"/>
      <c r="BG412" s="78"/>
      <c r="BH412" s="78"/>
      <c r="BI412" s="78"/>
      <c r="BJ412" s="79"/>
      <c r="BK412" s="65"/>
      <c r="CU412" s="67"/>
      <c r="EC412" s="67"/>
      <c r="FK412" s="67"/>
      <c r="FL412" s="67"/>
      <c r="FM412" s="67"/>
      <c r="FN412" s="67"/>
      <c r="FO412" s="67"/>
      <c r="FP412" s="67"/>
      <c r="FQ412" s="67"/>
      <c r="FR412" s="67"/>
      <c r="FS412" s="67"/>
      <c r="FT412" s="67"/>
      <c r="FU412" s="67"/>
      <c r="FV412" s="67"/>
      <c r="FW412" s="67"/>
      <c r="FX412" s="67"/>
      <c r="FY412" s="67"/>
      <c r="FZ412" s="67"/>
      <c r="GA412" s="67"/>
      <c r="GB412" s="67"/>
      <c r="GC412" s="67"/>
      <c r="GD412" s="67"/>
      <c r="GE412" s="67"/>
      <c r="GF412" s="67"/>
      <c r="GG412" s="67"/>
      <c r="GH412" s="67"/>
      <c r="GI412" s="67"/>
      <c r="GJ412" s="67"/>
      <c r="GK412" s="67"/>
      <c r="GL412" s="67"/>
      <c r="GM412" s="67"/>
      <c r="GN412" s="67"/>
      <c r="GO412" s="67"/>
      <c r="GP412" s="67"/>
    </row>
    <row r="413" spans="5:198" s="66" customFormat="1">
      <c r="E413" s="67"/>
      <c r="G413" s="67"/>
      <c r="H413" s="67"/>
      <c r="I413" s="67"/>
      <c r="J413" s="67"/>
      <c r="K413" s="67"/>
      <c r="L413" s="67"/>
      <c r="M413" s="67"/>
      <c r="N413" s="67"/>
      <c r="O413" s="78"/>
      <c r="P413" s="78"/>
      <c r="S413" s="78"/>
      <c r="T413" s="78"/>
      <c r="U413" s="79"/>
      <c r="V413" s="65"/>
      <c r="Y413" s="78"/>
      <c r="Z413" s="78"/>
      <c r="AA413" s="78"/>
      <c r="AB413" s="78"/>
      <c r="AC413" s="78"/>
      <c r="AD413" s="78"/>
      <c r="AE413" s="78"/>
      <c r="AF413" s="78"/>
      <c r="AG413" s="79"/>
      <c r="AH413" s="65"/>
      <c r="AJ413" s="85"/>
      <c r="AK413" s="78"/>
      <c r="AL413" s="78"/>
      <c r="AM413" s="78"/>
      <c r="AN413" s="78"/>
      <c r="AO413" s="78"/>
      <c r="AP413" s="78"/>
      <c r="AQ413" s="79"/>
      <c r="AR413" s="65"/>
      <c r="AT413" s="85"/>
      <c r="AU413" s="78"/>
      <c r="AV413" s="78"/>
      <c r="AW413" s="78"/>
      <c r="AX413" s="78"/>
      <c r="AY413" s="78"/>
      <c r="AZ413" s="79"/>
      <c r="BA413" s="65"/>
      <c r="BC413" s="85"/>
      <c r="BD413" s="78"/>
      <c r="BE413" s="78"/>
      <c r="BF413" s="78"/>
      <c r="BG413" s="78"/>
      <c r="BH413" s="78"/>
      <c r="BI413" s="78"/>
      <c r="BJ413" s="79"/>
      <c r="BK413" s="65"/>
      <c r="CU413" s="67"/>
      <c r="EC413" s="67"/>
      <c r="FK413" s="67"/>
      <c r="FL413" s="67"/>
      <c r="FM413" s="67"/>
      <c r="FN413" s="67"/>
      <c r="FO413" s="67"/>
      <c r="FP413" s="67"/>
      <c r="FQ413" s="67"/>
      <c r="FR413" s="67"/>
      <c r="FS413" s="67"/>
      <c r="FT413" s="67"/>
      <c r="FU413" s="67"/>
      <c r="FV413" s="67"/>
      <c r="FW413" s="67"/>
      <c r="FX413" s="67"/>
      <c r="FY413" s="67"/>
      <c r="FZ413" s="67"/>
      <c r="GA413" s="67"/>
      <c r="GB413" s="67"/>
      <c r="GC413" s="67"/>
      <c r="GD413" s="67"/>
      <c r="GE413" s="67"/>
      <c r="GF413" s="67"/>
      <c r="GG413" s="67"/>
      <c r="GH413" s="67"/>
      <c r="GI413" s="67"/>
      <c r="GJ413" s="67"/>
      <c r="GK413" s="67"/>
      <c r="GL413" s="67"/>
      <c r="GM413" s="67"/>
      <c r="GN413" s="67"/>
      <c r="GO413" s="67"/>
      <c r="GP413" s="67"/>
    </row>
    <row r="414" spans="5:198" s="66" customFormat="1">
      <c r="E414" s="67"/>
      <c r="G414" s="67"/>
      <c r="H414" s="67"/>
      <c r="I414" s="67"/>
      <c r="J414" s="67"/>
      <c r="K414" s="67"/>
      <c r="L414" s="67"/>
      <c r="M414" s="67"/>
      <c r="N414" s="67"/>
      <c r="O414" s="78"/>
      <c r="P414" s="78"/>
      <c r="S414" s="78"/>
      <c r="T414" s="78"/>
      <c r="U414" s="79"/>
      <c r="V414" s="65"/>
      <c r="Y414" s="78"/>
      <c r="Z414" s="78"/>
      <c r="AA414" s="78"/>
      <c r="AB414" s="78"/>
      <c r="AC414" s="78"/>
      <c r="AD414" s="78"/>
      <c r="AE414" s="78"/>
      <c r="AF414" s="78"/>
      <c r="AG414" s="79"/>
      <c r="AH414" s="65"/>
      <c r="AJ414" s="85"/>
      <c r="AK414" s="78"/>
      <c r="AL414" s="78"/>
      <c r="AM414" s="78"/>
      <c r="AN414" s="78"/>
      <c r="AO414" s="78"/>
      <c r="AP414" s="78"/>
      <c r="AQ414" s="79"/>
      <c r="AR414" s="65"/>
      <c r="AT414" s="85"/>
      <c r="AU414" s="78"/>
      <c r="AV414" s="78"/>
      <c r="AW414" s="78"/>
      <c r="AX414" s="78"/>
      <c r="AY414" s="78"/>
      <c r="AZ414" s="79"/>
      <c r="BA414" s="65"/>
      <c r="BC414" s="85"/>
      <c r="BD414" s="78"/>
      <c r="BE414" s="78"/>
      <c r="BF414" s="78"/>
      <c r="BG414" s="78"/>
      <c r="BH414" s="78"/>
      <c r="BI414" s="78"/>
      <c r="BJ414" s="79"/>
      <c r="BK414" s="65"/>
      <c r="CU414" s="67"/>
      <c r="EC414" s="67"/>
      <c r="FK414" s="67"/>
      <c r="FL414" s="67"/>
      <c r="FM414" s="67"/>
      <c r="FN414" s="67"/>
      <c r="FO414" s="67"/>
      <c r="FP414" s="67"/>
      <c r="FQ414" s="67"/>
      <c r="FR414" s="67"/>
      <c r="FS414" s="67"/>
      <c r="FT414" s="67"/>
      <c r="FU414" s="67"/>
      <c r="FV414" s="67"/>
      <c r="FW414" s="67"/>
      <c r="FX414" s="67"/>
      <c r="FY414" s="67"/>
      <c r="FZ414" s="67"/>
      <c r="GA414" s="67"/>
      <c r="GB414" s="67"/>
      <c r="GC414" s="67"/>
      <c r="GD414" s="67"/>
      <c r="GE414" s="67"/>
      <c r="GF414" s="67"/>
      <c r="GG414" s="67"/>
      <c r="GH414" s="67"/>
      <c r="GI414" s="67"/>
      <c r="GJ414" s="67"/>
      <c r="GK414" s="67"/>
      <c r="GL414" s="67"/>
      <c r="GM414" s="67"/>
      <c r="GN414" s="67"/>
      <c r="GO414" s="67"/>
      <c r="GP414" s="67"/>
    </row>
    <row r="415" spans="5:198" s="66" customFormat="1">
      <c r="E415" s="67"/>
      <c r="G415" s="67"/>
      <c r="H415" s="67"/>
      <c r="I415" s="67"/>
      <c r="J415" s="67"/>
      <c r="K415" s="67"/>
      <c r="L415" s="67"/>
      <c r="M415" s="67"/>
      <c r="N415" s="67"/>
      <c r="O415" s="78"/>
      <c r="P415" s="78"/>
      <c r="S415" s="78"/>
      <c r="T415" s="78"/>
      <c r="U415" s="79"/>
      <c r="V415" s="65"/>
      <c r="Y415" s="78"/>
      <c r="Z415" s="78"/>
      <c r="AA415" s="78"/>
      <c r="AB415" s="78"/>
      <c r="AC415" s="78"/>
      <c r="AD415" s="78"/>
      <c r="AE415" s="78"/>
      <c r="AF415" s="78"/>
      <c r="AG415" s="79"/>
      <c r="AH415" s="65"/>
      <c r="AJ415" s="85"/>
      <c r="AK415" s="78"/>
      <c r="AL415" s="78"/>
      <c r="AM415" s="78"/>
      <c r="AN415" s="78"/>
      <c r="AO415" s="78"/>
      <c r="AP415" s="78"/>
      <c r="AQ415" s="79"/>
      <c r="AR415" s="65"/>
      <c r="AT415" s="85"/>
      <c r="AU415" s="78"/>
      <c r="AV415" s="78"/>
      <c r="AW415" s="78"/>
      <c r="AX415" s="78"/>
      <c r="AY415" s="78"/>
      <c r="AZ415" s="79"/>
      <c r="BA415" s="65"/>
      <c r="BC415" s="85"/>
      <c r="BD415" s="78"/>
      <c r="BE415" s="78"/>
      <c r="BF415" s="78"/>
      <c r="BG415" s="78"/>
      <c r="BH415" s="78"/>
      <c r="BI415" s="78"/>
      <c r="BJ415" s="79"/>
      <c r="BK415" s="65"/>
      <c r="CU415" s="67"/>
      <c r="EC415" s="67"/>
      <c r="FK415" s="67"/>
      <c r="FL415" s="67"/>
      <c r="FM415" s="67"/>
      <c r="FN415" s="67"/>
      <c r="FO415" s="67"/>
      <c r="FP415" s="67"/>
      <c r="FQ415" s="67"/>
      <c r="FR415" s="67"/>
      <c r="FS415" s="67"/>
      <c r="FT415" s="67"/>
      <c r="FU415" s="67"/>
      <c r="FV415" s="67"/>
      <c r="FW415" s="67"/>
      <c r="FX415" s="67"/>
      <c r="FY415" s="67"/>
      <c r="FZ415" s="67"/>
      <c r="GA415" s="67"/>
      <c r="GB415" s="67"/>
      <c r="GC415" s="67"/>
      <c r="GD415" s="67"/>
      <c r="GE415" s="67"/>
      <c r="GF415" s="67"/>
      <c r="GG415" s="67"/>
      <c r="GH415" s="67"/>
      <c r="GI415" s="67"/>
      <c r="GJ415" s="67"/>
      <c r="GK415" s="67"/>
      <c r="GL415" s="67"/>
      <c r="GM415" s="67"/>
      <c r="GN415" s="67"/>
      <c r="GO415" s="67"/>
      <c r="GP415" s="67"/>
    </row>
    <row r="416" spans="5:198" s="66" customFormat="1">
      <c r="E416" s="67"/>
      <c r="G416" s="67"/>
      <c r="H416" s="67"/>
      <c r="I416" s="67"/>
      <c r="J416" s="67"/>
      <c r="K416" s="67"/>
      <c r="L416" s="67"/>
      <c r="M416" s="67"/>
      <c r="N416" s="67"/>
      <c r="O416" s="78"/>
      <c r="P416" s="78"/>
      <c r="S416" s="78"/>
      <c r="T416" s="78"/>
      <c r="U416" s="79"/>
      <c r="V416" s="65"/>
      <c r="Y416" s="78"/>
      <c r="Z416" s="78"/>
      <c r="AA416" s="78"/>
      <c r="AB416" s="78"/>
      <c r="AC416" s="78"/>
      <c r="AD416" s="78"/>
      <c r="AE416" s="78"/>
      <c r="AF416" s="78"/>
      <c r="AG416" s="79"/>
      <c r="AH416" s="65"/>
      <c r="AJ416" s="85"/>
      <c r="AK416" s="78"/>
      <c r="AL416" s="78"/>
      <c r="AM416" s="78"/>
      <c r="AN416" s="78"/>
      <c r="AO416" s="78"/>
      <c r="AP416" s="78"/>
      <c r="AQ416" s="79"/>
      <c r="AR416" s="65"/>
      <c r="AT416" s="85"/>
      <c r="AU416" s="78"/>
      <c r="AV416" s="78"/>
      <c r="AW416" s="78"/>
      <c r="AX416" s="78"/>
      <c r="AY416" s="78"/>
      <c r="AZ416" s="79"/>
      <c r="BA416" s="65"/>
      <c r="BC416" s="85"/>
      <c r="BD416" s="78"/>
      <c r="BE416" s="78"/>
      <c r="BF416" s="78"/>
      <c r="BG416" s="78"/>
      <c r="BH416" s="78"/>
      <c r="BI416" s="78"/>
      <c r="BJ416" s="79"/>
      <c r="BK416" s="65"/>
      <c r="CU416" s="67"/>
      <c r="EC416" s="67"/>
      <c r="FK416" s="67"/>
      <c r="FL416" s="67"/>
      <c r="FM416" s="67"/>
      <c r="FN416" s="67"/>
      <c r="FO416" s="67"/>
      <c r="FP416" s="67"/>
      <c r="FQ416" s="67"/>
      <c r="FR416" s="67"/>
      <c r="FS416" s="67"/>
      <c r="FT416" s="67"/>
      <c r="FU416" s="67"/>
      <c r="FV416" s="67"/>
      <c r="FW416" s="67"/>
      <c r="FX416" s="67"/>
      <c r="FY416" s="67"/>
      <c r="FZ416" s="67"/>
      <c r="GA416" s="67"/>
      <c r="GB416" s="67"/>
      <c r="GC416" s="67"/>
      <c r="GD416" s="67"/>
      <c r="GE416" s="67"/>
      <c r="GF416" s="67"/>
      <c r="GG416" s="67"/>
      <c r="GH416" s="67"/>
      <c r="GI416" s="67"/>
      <c r="GJ416" s="67"/>
      <c r="GK416" s="67"/>
      <c r="GL416" s="67"/>
      <c r="GM416" s="67"/>
      <c r="GN416" s="67"/>
      <c r="GO416" s="67"/>
      <c r="GP416" s="67"/>
    </row>
    <row r="417" spans="5:198" s="66" customFormat="1">
      <c r="E417" s="67"/>
      <c r="G417" s="67"/>
      <c r="H417" s="67"/>
      <c r="I417" s="67"/>
      <c r="J417" s="67"/>
      <c r="K417" s="67"/>
      <c r="L417" s="67"/>
      <c r="M417" s="67"/>
      <c r="N417" s="67"/>
      <c r="O417" s="78"/>
      <c r="P417" s="78"/>
      <c r="S417" s="78"/>
      <c r="T417" s="78"/>
      <c r="U417" s="79"/>
      <c r="V417" s="65"/>
      <c r="Y417" s="78"/>
      <c r="Z417" s="78"/>
      <c r="AA417" s="78"/>
      <c r="AB417" s="78"/>
      <c r="AC417" s="78"/>
      <c r="AD417" s="78"/>
      <c r="AE417" s="78"/>
      <c r="AF417" s="78"/>
      <c r="AG417" s="79"/>
      <c r="AH417" s="65"/>
      <c r="AJ417" s="85"/>
      <c r="AK417" s="78"/>
      <c r="AL417" s="78"/>
      <c r="AM417" s="78"/>
      <c r="AN417" s="78"/>
      <c r="AO417" s="78"/>
      <c r="AP417" s="78"/>
      <c r="AQ417" s="79"/>
      <c r="AR417" s="65"/>
      <c r="AT417" s="85"/>
      <c r="AU417" s="78"/>
      <c r="AV417" s="78"/>
      <c r="AW417" s="78"/>
      <c r="AX417" s="78"/>
      <c r="AY417" s="78"/>
      <c r="AZ417" s="79"/>
      <c r="BA417" s="65"/>
      <c r="BC417" s="85"/>
      <c r="BD417" s="78"/>
      <c r="BE417" s="78"/>
      <c r="BF417" s="78"/>
      <c r="BG417" s="78"/>
      <c r="BH417" s="78"/>
      <c r="BI417" s="78"/>
      <c r="BJ417" s="79"/>
      <c r="BK417" s="65"/>
      <c r="CU417" s="67"/>
      <c r="EC417" s="67"/>
      <c r="FK417" s="67"/>
      <c r="FL417" s="67"/>
      <c r="FM417" s="67"/>
      <c r="FN417" s="67"/>
      <c r="FO417" s="67"/>
      <c r="FP417" s="67"/>
      <c r="FQ417" s="67"/>
      <c r="FR417" s="67"/>
      <c r="FS417" s="67"/>
      <c r="FT417" s="67"/>
      <c r="FU417" s="67"/>
      <c r="FV417" s="67"/>
      <c r="FW417" s="67"/>
      <c r="FX417" s="67"/>
      <c r="FY417" s="67"/>
      <c r="FZ417" s="67"/>
      <c r="GA417" s="67"/>
      <c r="GB417" s="67"/>
      <c r="GC417" s="67"/>
      <c r="GD417" s="67"/>
      <c r="GE417" s="67"/>
      <c r="GF417" s="67"/>
      <c r="GG417" s="67"/>
      <c r="GH417" s="67"/>
      <c r="GI417" s="67"/>
      <c r="GJ417" s="67"/>
      <c r="GK417" s="67"/>
      <c r="GL417" s="67"/>
      <c r="GM417" s="67"/>
      <c r="GN417" s="67"/>
      <c r="GO417" s="67"/>
      <c r="GP417" s="67"/>
    </row>
    <row r="418" spans="5:198" s="66" customFormat="1">
      <c r="E418" s="67"/>
      <c r="G418" s="67"/>
      <c r="H418" s="67"/>
      <c r="I418" s="67"/>
      <c r="J418" s="67"/>
      <c r="K418" s="67"/>
      <c r="L418" s="67"/>
      <c r="M418" s="67"/>
      <c r="N418" s="67"/>
      <c r="O418" s="78"/>
      <c r="P418" s="78"/>
      <c r="S418" s="78"/>
      <c r="T418" s="78"/>
      <c r="U418" s="79"/>
      <c r="V418" s="65"/>
      <c r="Y418" s="78"/>
      <c r="Z418" s="78"/>
      <c r="AA418" s="78"/>
      <c r="AB418" s="78"/>
      <c r="AC418" s="78"/>
      <c r="AD418" s="78"/>
      <c r="AE418" s="78"/>
      <c r="AF418" s="78"/>
      <c r="AG418" s="79"/>
      <c r="AH418" s="65"/>
      <c r="AJ418" s="85"/>
      <c r="AK418" s="78"/>
      <c r="AL418" s="78"/>
      <c r="AM418" s="78"/>
      <c r="AN418" s="78"/>
      <c r="AO418" s="78"/>
      <c r="AP418" s="78"/>
      <c r="AQ418" s="79"/>
      <c r="AR418" s="65"/>
      <c r="AT418" s="85"/>
      <c r="AU418" s="78"/>
      <c r="AV418" s="78"/>
      <c r="AW418" s="78"/>
      <c r="AX418" s="78"/>
      <c r="AY418" s="78"/>
      <c r="AZ418" s="79"/>
      <c r="BA418" s="65"/>
      <c r="BC418" s="85"/>
      <c r="BD418" s="78"/>
      <c r="BE418" s="78"/>
      <c r="BF418" s="78"/>
      <c r="BG418" s="78"/>
      <c r="BH418" s="78"/>
      <c r="BI418" s="78"/>
      <c r="BJ418" s="79"/>
      <c r="BK418" s="65"/>
      <c r="CU418" s="67"/>
      <c r="EC418" s="67"/>
      <c r="FK418" s="67"/>
      <c r="FL418" s="67"/>
      <c r="FM418" s="67"/>
      <c r="FN418" s="67"/>
      <c r="FO418" s="67"/>
      <c r="FP418" s="67"/>
      <c r="FQ418" s="67"/>
      <c r="FR418" s="67"/>
      <c r="FS418" s="67"/>
      <c r="FT418" s="67"/>
      <c r="FU418" s="67"/>
      <c r="FV418" s="67"/>
      <c r="FW418" s="67"/>
      <c r="FX418" s="67"/>
      <c r="FY418" s="67"/>
      <c r="FZ418" s="67"/>
      <c r="GA418" s="67"/>
      <c r="GB418" s="67"/>
      <c r="GC418" s="67"/>
      <c r="GD418" s="67"/>
      <c r="GE418" s="67"/>
      <c r="GF418" s="67"/>
      <c r="GG418" s="67"/>
      <c r="GH418" s="67"/>
      <c r="GI418" s="67"/>
      <c r="GJ418" s="67"/>
      <c r="GK418" s="67"/>
      <c r="GL418" s="67"/>
      <c r="GM418" s="67"/>
      <c r="GN418" s="67"/>
      <c r="GO418" s="67"/>
      <c r="GP418" s="67"/>
    </row>
    <row r="419" spans="5:198" s="66" customFormat="1">
      <c r="E419" s="67"/>
      <c r="G419" s="67"/>
      <c r="H419" s="67"/>
      <c r="I419" s="67"/>
      <c r="J419" s="67"/>
      <c r="K419" s="67"/>
      <c r="L419" s="67"/>
      <c r="M419" s="67"/>
      <c r="N419" s="67"/>
      <c r="O419" s="78"/>
      <c r="P419" s="78"/>
      <c r="S419" s="78"/>
      <c r="T419" s="78"/>
      <c r="U419" s="79"/>
      <c r="V419" s="65"/>
      <c r="Y419" s="78"/>
      <c r="Z419" s="78"/>
      <c r="AA419" s="78"/>
      <c r="AB419" s="78"/>
      <c r="AC419" s="78"/>
      <c r="AD419" s="78"/>
      <c r="AE419" s="78"/>
      <c r="AF419" s="78"/>
      <c r="AG419" s="79"/>
      <c r="AH419" s="65"/>
      <c r="AJ419" s="85"/>
      <c r="AK419" s="78"/>
      <c r="AL419" s="78"/>
      <c r="AM419" s="78"/>
      <c r="AN419" s="78"/>
      <c r="AO419" s="78"/>
      <c r="AP419" s="78"/>
      <c r="AQ419" s="79"/>
      <c r="AR419" s="65"/>
      <c r="AT419" s="85"/>
      <c r="AU419" s="78"/>
      <c r="AV419" s="78"/>
      <c r="AW419" s="78"/>
      <c r="AX419" s="78"/>
      <c r="AY419" s="78"/>
      <c r="AZ419" s="79"/>
      <c r="BA419" s="65"/>
      <c r="BC419" s="85"/>
      <c r="BD419" s="78"/>
      <c r="BE419" s="78"/>
      <c r="BF419" s="78"/>
      <c r="BG419" s="78"/>
      <c r="BH419" s="78"/>
      <c r="BI419" s="78"/>
      <c r="BJ419" s="79"/>
      <c r="BK419" s="65"/>
      <c r="CU419" s="67"/>
      <c r="EC419" s="67"/>
      <c r="FK419" s="67"/>
      <c r="FL419" s="67"/>
      <c r="FM419" s="67"/>
      <c r="FN419" s="67"/>
      <c r="FO419" s="67"/>
      <c r="FP419" s="67"/>
      <c r="FQ419" s="67"/>
      <c r="FR419" s="67"/>
      <c r="FS419" s="67"/>
      <c r="FT419" s="67"/>
      <c r="FU419" s="67"/>
      <c r="FV419" s="67"/>
      <c r="FW419" s="67"/>
      <c r="FX419" s="67"/>
      <c r="FY419" s="67"/>
      <c r="FZ419" s="67"/>
      <c r="GA419" s="67"/>
      <c r="GB419" s="67"/>
      <c r="GC419" s="67"/>
      <c r="GD419" s="67"/>
      <c r="GE419" s="67"/>
      <c r="GF419" s="67"/>
      <c r="GG419" s="67"/>
      <c r="GH419" s="67"/>
      <c r="GI419" s="67"/>
      <c r="GJ419" s="67"/>
      <c r="GK419" s="67"/>
      <c r="GL419" s="67"/>
      <c r="GM419" s="67"/>
      <c r="GN419" s="67"/>
      <c r="GO419" s="67"/>
      <c r="GP419" s="67"/>
    </row>
    <row r="420" spans="5:198" s="66" customFormat="1">
      <c r="E420" s="67"/>
      <c r="G420" s="67"/>
      <c r="H420" s="67"/>
      <c r="I420" s="67"/>
      <c r="J420" s="67"/>
      <c r="K420" s="67"/>
      <c r="L420" s="67"/>
      <c r="M420" s="67"/>
      <c r="N420" s="67"/>
      <c r="O420" s="78"/>
      <c r="P420" s="78"/>
      <c r="S420" s="78"/>
      <c r="T420" s="78"/>
      <c r="U420" s="79"/>
      <c r="V420" s="65"/>
      <c r="Y420" s="78"/>
      <c r="Z420" s="78"/>
      <c r="AA420" s="78"/>
      <c r="AB420" s="78"/>
      <c r="AC420" s="78"/>
      <c r="AD420" s="78"/>
      <c r="AE420" s="78"/>
      <c r="AF420" s="78"/>
      <c r="AG420" s="79"/>
      <c r="AH420" s="65"/>
      <c r="AJ420" s="85"/>
      <c r="AK420" s="78"/>
      <c r="AL420" s="78"/>
      <c r="AM420" s="78"/>
      <c r="AN420" s="78"/>
      <c r="AO420" s="78"/>
      <c r="AP420" s="78"/>
      <c r="AQ420" s="79"/>
      <c r="AR420" s="65"/>
      <c r="AT420" s="85"/>
      <c r="AU420" s="78"/>
      <c r="AV420" s="78"/>
      <c r="AW420" s="78"/>
      <c r="AX420" s="78"/>
      <c r="AY420" s="78"/>
      <c r="AZ420" s="79"/>
      <c r="BA420" s="65"/>
      <c r="BC420" s="85"/>
      <c r="BD420" s="78"/>
      <c r="BE420" s="78"/>
      <c r="BF420" s="78"/>
      <c r="BG420" s="78"/>
      <c r="BH420" s="78"/>
      <c r="BI420" s="78"/>
      <c r="BJ420" s="79"/>
      <c r="BK420" s="65"/>
      <c r="CU420" s="67"/>
      <c r="EC420" s="67"/>
      <c r="FK420" s="67"/>
      <c r="FL420" s="67"/>
      <c r="FM420" s="67"/>
      <c r="FN420" s="67"/>
      <c r="FO420" s="67"/>
      <c r="FP420" s="67"/>
      <c r="FQ420" s="67"/>
      <c r="FR420" s="67"/>
      <c r="FS420" s="67"/>
      <c r="FT420" s="67"/>
      <c r="FU420" s="67"/>
      <c r="FV420" s="67"/>
      <c r="FW420" s="67"/>
      <c r="FX420" s="67"/>
      <c r="FY420" s="67"/>
      <c r="FZ420" s="67"/>
      <c r="GA420" s="67"/>
      <c r="GB420" s="67"/>
      <c r="GC420" s="67"/>
      <c r="GD420" s="67"/>
      <c r="GE420" s="67"/>
      <c r="GF420" s="67"/>
      <c r="GG420" s="67"/>
      <c r="GH420" s="67"/>
      <c r="GI420" s="67"/>
      <c r="GJ420" s="67"/>
      <c r="GK420" s="67"/>
      <c r="GL420" s="67"/>
      <c r="GM420" s="67"/>
      <c r="GN420" s="67"/>
      <c r="GO420" s="67"/>
      <c r="GP420" s="67"/>
    </row>
    <row r="421" spans="5:198" s="66" customFormat="1">
      <c r="E421" s="67"/>
      <c r="G421" s="67"/>
      <c r="H421" s="67"/>
      <c r="I421" s="67"/>
      <c r="J421" s="67"/>
      <c r="K421" s="67"/>
      <c r="L421" s="67"/>
      <c r="M421" s="67"/>
      <c r="N421" s="67"/>
      <c r="O421" s="78"/>
      <c r="P421" s="78"/>
      <c r="S421" s="78"/>
      <c r="T421" s="78"/>
      <c r="U421" s="79"/>
      <c r="V421" s="65"/>
      <c r="Y421" s="78"/>
      <c r="Z421" s="78"/>
      <c r="AA421" s="78"/>
      <c r="AB421" s="78"/>
      <c r="AC421" s="78"/>
      <c r="AD421" s="78"/>
      <c r="AE421" s="78"/>
      <c r="AF421" s="78"/>
      <c r="AG421" s="79"/>
      <c r="AH421" s="65"/>
      <c r="AJ421" s="85"/>
      <c r="AK421" s="78"/>
      <c r="AL421" s="78"/>
      <c r="AM421" s="78"/>
      <c r="AN421" s="78"/>
      <c r="AO421" s="78"/>
      <c r="AP421" s="78"/>
      <c r="AQ421" s="79"/>
      <c r="AR421" s="65"/>
      <c r="AT421" s="85"/>
      <c r="AU421" s="78"/>
      <c r="AV421" s="78"/>
      <c r="AW421" s="78"/>
      <c r="AX421" s="78"/>
      <c r="AY421" s="78"/>
      <c r="AZ421" s="79"/>
      <c r="BA421" s="65"/>
      <c r="BC421" s="85"/>
      <c r="BD421" s="78"/>
      <c r="BE421" s="78"/>
      <c r="BF421" s="78"/>
      <c r="BG421" s="78"/>
      <c r="BH421" s="78"/>
      <c r="BI421" s="78"/>
      <c r="BJ421" s="79"/>
      <c r="BK421" s="65"/>
      <c r="CU421" s="67"/>
      <c r="EC421" s="67"/>
      <c r="FK421" s="67"/>
      <c r="FL421" s="67"/>
      <c r="FM421" s="67"/>
      <c r="FN421" s="67"/>
      <c r="FO421" s="67"/>
      <c r="FP421" s="67"/>
      <c r="FQ421" s="67"/>
      <c r="FR421" s="67"/>
      <c r="FS421" s="67"/>
      <c r="FT421" s="67"/>
      <c r="FU421" s="67"/>
      <c r="FV421" s="67"/>
      <c r="FW421" s="67"/>
      <c r="FX421" s="67"/>
      <c r="FY421" s="67"/>
      <c r="FZ421" s="67"/>
      <c r="GA421" s="67"/>
      <c r="GB421" s="67"/>
      <c r="GC421" s="67"/>
      <c r="GD421" s="67"/>
      <c r="GE421" s="67"/>
      <c r="GF421" s="67"/>
      <c r="GG421" s="67"/>
      <c r="GH421" s="67"/>
      <c r="GI421" s="67"/>
      <c r="GJ421" s="67"/>
      <c r="GK421" s="67"/>
      <c r="GL421" s="67"/>
      <c r="GM421" s="67"/>
      <c r="GN421" s="67"/>
      <c r="GO421" s="67"/>
      <c r="GP421" s="67"/>
    </row>
    <row r="422" spans="5:198" s="66" customFormat="1">
      <c r="E422" s="67"/>
      <c r="G422" s="67"/>
      <c r="H422" s="67"/>
      <c r="I422" s="67"/>
      <c r="J422" s="67"/>
      <c r="K422" s="67"/>
      <c r="L422" s="67"/>
      <c r="M422" s="67"/>
      <c r="N422" s="67"/>
      <c r="O422" s="78"/>
      <c r="P422" s="78"/>
      <c r="S422" s="78"/>
      <c r="T422" s="78"/>
      <c r="U422" s="79"/>
      <c r="V422" s="65"/>
      <c r="Y422" s="78"/>
      <c r="Z422" s="78"/>
      <c r="AA422" s="78"/>
      <c r="AB422" s="78"/>
      <c r="AC422" s="78"/>
      <c r="AD422" s="78"/>
      <c r="AE422" s="78"/>
      <c r="AF422" s="78"/>
      <c r="AG422" s="79"/>
      <c r="AH422" s="65"/>
      <c r="AJ422" s="85"/>
      <c r="AK422" s="78"/>
      <c r="AL422" s="78"/>
      <c r="AM422" s="78"/>
      <c r="AN422" s="78"/>
      <c r="AO422" s="78"/>
      <c r="AP422" s="78"/>
      <c r="AQ422" s="79"/>
      <c r="AR422" s="65"/>
      <c r="AT422" s="85"/>
      <c r="AU422" s="78"/>
      <c r="AV422" s="78"/>
      <c r="AW422" s="78"/>
      <c r="AX422" s="78"/>
      <c r="AY422" s="78"/>
      <c r="AZ422" s="79"/>
      <c r="BA422" s="65"/>
      <c r="BC422" s="85"/>
      <c r="BD422" s="78"/>
      <c r="BE422" s="78"/>
      <c r="BF422" s="78"/>
      <c r="BG422" s="78"/>
      <c r="BH422" s="78"/>
      <c r="BI422" s="78"/>
      <c r="BJ422" s="79"/>
      <c r="BK422" s="65"/>
      <c r="CU422" s="67"/>
      <c r="EC422" s="67"/>
      <c r="FK422" s="67"/>
      <c r="FL422" s="67"/>
      <c r="FM422" s="67"/>
      <c r="FN422" s="67"/>
      <c r="FO422" s="67"/>
      <c r="FP422" s="67"/>
      <c r="FQ422" s="67"/>
      <c r="FR422" s="67"/>
      <c r="FS422" s="67"/>
      <c r="FT422" s="67"/>
      <c r="FU422" s="67"/>
      <c r="FV422" s="67"/>
      <c r="FW422" s="67"/>
      <c r="FX422" s="67"/>
      <c r="FY422" s="67"/>
      <c r="FZ422" s="67"/>
      <c r="GA422" s="67"/>
      <c r="GB422" s="67"/>
      <c r="GC422" s="67"/>
      <c r="GD422" s="67"/>
      <c r="GE422" s="67"/>
      <c r="GF422" s="67"/>
      <c r="GG422" s="67"/>
      <c r="GH422" s="67"/>
      <c r="GI422" s="67"/>
      <c r="GJ422" s="67"/>
      <c r="GK422" s="67"/>
      <c r="GL422" s="67"/>
      <c r="GM422" s="67"/>
      <c r="GN422" s="67"/>
      <c r="GO422" s="67"/>
      <c r="GP422" s="67"/>
    </row>
    <row r="423" spans="5:198" s="66" customFormat="1">
      <c r="E423" s="67"/>
      <c r="G423" s="67"/>
      <c r="H423" s="67"/>
      <c r="I423" s="67"/>
      <c r="J423" s="67"/>
      <c r="K423" s="67"/>
      <c r="L423" s="67"/>
      <c r="M423" s="67"/>
      <c r="N423" s="67"/>
      <c r="O423" s="78"/>
      <c r="P423" s="78"/>
      <c r="S423" s="78"/>
      <c r="T423" s="78"/>
      <c r="U423" s="79"/>
      <c r="V423" s="65"/>
      <c r="Y423" s="78"/>
      <c r="Z423" s="78"/>
      <c r="AA423" s="78"/>
      <c r="AB423" s="78"/>
      <c r="AC423" s="78"/>
      <c r="AD423" s="78"/>
      <c r="AE423" s="78"/>
      <c r="AF423" s="78"/>
      <c r="AG423" s="79"/>
      <c r="AH423" s="65"/>
      <c r="AJ423" s="85"/>
      <c r="AK423" s="78"/>
      <c r="AL423" s="78"/>
      <c r="AM423" s="78"/>
      <c r="AN423" s="78"/>
      <c r="AO423" s="78"/>
      <c r="AP423" s="78"/>
      <c r="AQ423" s="79"/>
      <c r="AR423" s="65"/>
      <c r="AT423" s="85"/>
      <c r="AU423" s="78"/>
      <c r="AV423" s="78"/>
      <c r="AW423" s="78"/>
      <c r="AX423" s="78"/>
      <c r="AY423" s="78"/>
      <c r="AZ423" s="79"/>
      <c r="BA423" s="65"/>
      <c r="BC423" s="85"/>
      <c r="BD423" s="78"/>
      <c r="BE423" s="78"/>
      <c r="BF423" s="78"/>
      <c r="BG423" s="78"/>
      <c r="BH423" s="78"/>
      <c r="BI423" s="78"/>
      <c r="BJ423" s="79"/>
      <c r="BK423" s="65"/>
      <c r="CU423" s="67"/>
      <c r="EC423" s="67"/>
      <c r="FK423" s="67"/>
      <c r="FL423" s="67"/>
      <c r="FM423" s="67"/>
      <c r="FN423" s="67"/>
      <c r="FO423" s="67"/>
      <c r="FP423" s="67"/>
      <c r="FQ423" s="67"/>
      <c r="FR423" s="67"/>
      <c r="FS423" s="67"/>
      <c r="FT423" s="67"/>
      <c r="FU423" s="67"/>
      <c r="FV423" s="67"/>
      <c r="FW423" s="67"/>
      <c r="FX423" s="67"/>
      <c r="FY423" s="67"/>
      <c r="FZ423" s="67"/>
      <c r="GA423" s="67"/>
      <c r="GB423" s="67"/>
      <c r="GC423" s="67"/>
      <c r="GD423" s="67"/>
      <c r="GE423" s="67"/>
      <c r="GF423" s="67"/>
      <c r="GG423" s="67"/>
      <c r="GH423" s="67"/>
      <c r="GI423" s="67"/>
      <c r="GJ423" s="67"/>
      <c r="GK423" s="67"/>
      <c r="GL423" s="67"/>
      <c r="GM423" s="67"/>
      <c r="GN423" s="67"/>
      <c r="GO423" s="67"/>
      <c r="GP423" s="67"/>
    </row>
    <row r="424" spans="5:198" s="66" customFormat="1">
      <c r="E424" s="67"/>
      <c r="G424" s="67"/>
      <c r="H424" s="67"/>
      <c r="I424" s="67"/>
      <c r="J424" s="67"/>
      <c r="K424" s="67"/>
      <c r="L424" s="67"/>
      <c r="M424" s="67"/>
      <c r="N424" s="67"/>
      <c r="O424" s="78"/>
      <c r="P424" s="78"/>
      <c r="S424" s="78"/>
      <c r="T424" s="78"/>
      <c r="U424" s="79"/>
      <c r="V424" s="65"/>
      <c r="Y424" s="78"/>
      <c r="Z424" s="78"/>
      <c r="AA424" s="78"/>
      <c r="AB424" s="78"/>
      <c r="AC424" s="78"/>
      <c r="AD424" s="78"/>
      <c r="AE424" s="78"/>
      <c r="AF424" s="78"/>
      <c r="AG424" s="79"/>
      <c r="AH424" s="65"/>
      <c r="AJ424" s="85"/>
      <c r="AK424" s="78"/>
      <c r="AL424" s="78"/>
      <c r="AM424" s="78"/>
      <c r="AN424" s="78"/>
      <c r="AO424" s="78"/>
      <c r="AP424" s="78"/>
      <c r="AQ424" s="79"/>
      <c r="AR424" s="65"/>
      <c r="AT424" s="85"/>
      <c r="AU424" s="78"/>
      <c r="AV424" s="78"/>
      <c r="AW424" s="78"/>
      <c r="AX424" s="78"/>
      <c r="AY424" s="78"/>
      <c r="AZ424" s="79"/>
      <c r="BA424" s="65"/>
      <c r="BC424" s="85"/>
      <c r="BD424" s="78"/>
      <c r="BE424" s="78"/>
      <c r="BF424" s="78"/>
      <c r="BG424" s="78"/>
      <c r="BH424" s="78"/>
      <c r="BI424" s="78"/>
      <c r="BJ424" s="79"/>
      <c r="BK424" s="65"/>
      <c r="CU424" s="67"/>
      <c r="EC424" s="67"/>
      <c r="FK424" s="67"/>
      <c r="FL424" s="67"/>
      <c r="FM424" s="67"/>
      <c r="FN424" s="67"/>
      <c r="FO424" s="67"/>
      <c r="FP424" s="67"/>
      <c r="FQ424" s="67"/>
      <c r="FR424" s="67"/>
      <c r="FS424" s="67"/>
      <c r="FT424" s="67"/>
      <c r="FU424" s="67"/>
      <c r="FV424" s="67"/>
      <c r="FW424" s="67"/>
      <c r="FX424" s="67"/>
      <c r="FY424" s="67"/>
      <c r="FZ424" s="67"/>
      <c r="GA424" s="67"/>
      <c r="GB424" s="67"/>
      <c r="GC424" s="67"/>
      <c r="GD424" s="67"/>
      <c r="GE424" s="67"/>
      <c r="GF424" s="67"/>
      <c r="GG424" s="67"/>
      <c r="GH424" s="67"/>
      <c r="GI424" s="67"/>
      <c r="GJ424" s="67"/>
      <c r="GK424" s="67"/>
      <c r="GL424" s="67"/>
      <c r="GM424" s="67"/>
      <c r="GN424" s="67"/>
      <c r="GO424" s="67"/>
      <c r="GP424" s="67"/>
    </row>
    <row r="425" spans="5:198" s="66" customFormat="1">
      <c r="E425" s="67"/>
      <c r="G425" s="67"/>
      <c r="H425" s="67"/>
      <c r="I425" s="67"/>
      <c r="J425" s="67"/>
      <c r="K425" s="67"/>
      <c r="L425" s="67"/>
      <c r="M425" s="67"/>
      <c r="N425" s="67"/>
      <c r="O425" s="78"/>
      <c r="P425" s="78"/>
      <c r="S425" s="78"/>
      <c r="T425" s="78"/>
      <c r="U425" s="79"/>
      <c r="V425" s="65"/>
      <c r="Y425" s="78"/>
      <c r="Z425" s="78"/>
      <c r="AA425" s="78"/>
      <c r="AB425" s="78"/>
      <c r="AC425" s="78"/>
      <c r="AD425" s="78"/>
      <c r="AE425" s="78"/>
      <c r="AF425" s="78"/>
      <c r="AG425" s="79"/>
      <c r="AH425" s="65"/>
      <c r="AJ425" s="85"/>
      <c r="AK425" s="78"/>
      <c r="AL425" s="78"/>
      <c r="AM425" s="78"/>
      <c r="AN425" s="78"/>
      <c r="AO425" s="78"/>
      <c r="AP425" s="78"/>
      <c r="AQ425" s="79"/>
      <c r="AR425" s="65"/>
      <c r="AT425" s="85"/>
      <c r="AU425" s="78"/>
      <c r="AV425" s="78"/>
      <c r="AW425" s="78"/>
      <c r="AX425" s="78"/>
      <c r="AY425" s="78"/>
      <c r="AZ425" s="79"/>
      <c r="BA425" s="65"/>
      <c r="BC425" s="85"/>
      <c r="BD425" s="78"/>
      <c r="BE425" s="78"/>
      <c r="BF425" s="78"/>
      <c r="BG425" s="78"/>
      <c r="BH425" s="78"/>
      <c r="BI425" s="78"/>
      <c r="BJ425" s="79"/>
      <c r="BK425" s="65"/>
      <c r="CU425" s="67"/>
      <c r="EC425" s="67"/>
      <c r="FK425" s="67"/>
      <c r="FL425" s="67"/>
      <c r="FM425" s="67"/>
      <c r="FN425" s="67"/>
      <c r="FO425" s="67"/>
      <c r="FP425" s="67"/>
      <c r="FQ425" s="67"/>
      <c r="FR425" s="67"/>
      <c r="FS425" s="67"/>
      <c r="FT425" s="67"/>
      <c r="FU425" s="67"/>
      <c r="FV425" s="67"/>
      <c r="FW425" s="67"/>
      <c r="FX425" s="67"/>
      <c r="FY425" s="67"/>
      <c r="FZ425" s="67"/>
      <c r="GA425" s="67"/>
      <c r="GB425" s="67"/>
      <c r="GC425" s="67"/>
      <c r="GD425" s="67"/>
      <c r="GE425" s="67"/>
      <c r="GF425" s="67"/>
      <c r="GG425" s="67"/>
      <c r="GH425" s="67"/>
      <c r="GI425" s="67"/>
      <c r="GJ425" s="67"/>
      <c r="GK425" s="67"/>
      <c r="GL425" s="67"/>
      <c r="GM425" s="67"/>
      <c r="GN425" s="67"/>
      <c r="GO425" s="67"/>
      <c r="GP425" s="67"/>
    </row>
    <row r="426" spans="5:198" s="66" customFormat="1">
      <c r="E426" s="67"/>
      <c r="G426" s="67"/>
      <c r="H426" s="67"/>
      <c r="I426" s="67"/>
      <c r="J426" s="67"/>
      <c r="K426" s="67"/>
      <c r="L426" s="67"/>
      <c r="M426" s="67"/>
      <c r="N426" s="67"/>
      <c r="O426" s="78"/>
      <c r="P426" s="78"/>
      <c r="S426" s="78"/>
      <c r="T426" s="78"/>
      <c r="U426" s="79"/>
      <c r="V426" s="65"/>
      <c r="Y426" s="78"/>
      <c r="Z426" s="78"/>
      <c r="AA426" s="78"/>
      <c r="AB426" s="78"/>
      <c r="AC426" s="78"/>
      <c r="AD426" s="78"/>
      <c r="AE426" s="78"/>
      <c r="AF426" s="78"/>
      <c r="AG426" s="79"/>
      <c r="AH426" s="65"/>
      <c r="AJ426" s="85"/>
      <c r="AK426" s="78"/>
      <c r="AL426" s="78"/>
      <c r="AM426" s="78"/>
      <c r="AN426" s="78"/>
      <c r="AO426" s="78"/>
      <c r="AP426" s="78"/>
      <c r="AQ426" s="79"/>
      <c r="AR426" s="65"/>
      <c r="AT426" s="85"/>
      <c r="AU426" s="78"/>
      <c r="AV426" s="78"/>
      <c r="AW426" s="78"/>
      <c r="AX426" s="78"/>
      <c r="AY426" s="78"/>
      <c r="AZ426" s="79"/>
      <c r="BA426" s="65"/>
      <c r="BC426" s="85"/>
      <c r="BD426" s="78"/>
      <c r="BE426" s="78"/>
      <c r="BF426" s="78"/>
      <c r="BG426" s="78"/>
      <c r="BH426" s="78"/>
      <c r="BI426" s="78"/>
      <c r="BJ426" s="79"/>
      <c r="BK426" s="65"/>
      <c r="CU426" s="67"/>
      <c r="EC426" s="67"/>
      <c r="FK426" s="67"/>
      <c r="FL426" s="67"/>
      <c r="FM426" s="67"/>
      <c r="FN426" s="67"/>
      <c r="FO426" s="67"/>
      <c r="FP426" s="67"/>
      <c r="FQ426" s="67"/>
      <c r="FR426" s="67"/>
      <c r="FS426" s="67"/>
      <c r="FT426" s="67"/>
      <c r="FU426" s="67"/>
      <c r="FV426" s="67"/>
      <c r="FW426" s="67"/>
      <c r="FX426" s="67"/>
      <c r="FY426" s="67"/>
      <c r="FZ426" s="67"/>
      <c r="GA426" s="67"/>
      <c r="GB426" s="67"/>
      <c r="GC426" s="67"/>
      <c r="GD426" s="67"/>
      <c r="GE426" s="67"/>
      <c r="GF426" s="67"/>
      <c r="GG426" s="67"/>
      <c r="GH426" s="67"/>
      <c r="GI426" s="67"/>
      <c r="GJ426" s="67"/>
      <c r="GK426" s="67"/>
      <c r="GL426" s="67"/>
      <c r="GM426" s="67"/>
      <c r="GN426" s="67"/>
      <c r="GO426" s="67"/>
      <c r="GP426" s="67"/>
    </row>
    <row r="427" spans="5:198" s="66" customFormat="1">
      <c r="E427" s="67"/>
      <c r="G427" s="67"/>
      <c r="H427" s="67"/>
      <c r="I427" s="67"/>
      <c r="J427" s="67"/>
      <c r="K427" s="67"/>
      <c r="L427" s="67"/>
      <c r="M427" s="67"/>
      <c r="N427" s="67"/>
      <c r="O427" s="78"/>
      <c r="P427" s="78"/>
      <c r="S427" s="78"/>
      <c r="T427" s="78"/>
      <c r="U427" s="79"/>
      <c r="V427" s="65"/>
      <c r="Y427" s="78"/>
      <c r="Z427" s="78"/>
      <c r="AA427" s="78"/>
      <c r="AB427" s="78"/>
      <c r="AC427" s="78"/>
      <c r="AD427" s="78"/>
      <c r="AE427" s="78"/>
      <c r="AF427" s="78"/>
      <c r="AG427" s="79"/>
      <c r="AH427" s="65"/>
      <c r="AJ427" s="85"/>
      <c r="AK427" s="78"/>
      <c r="AL427" s="78"/>
      <c r="AM427" s="78"/>
      <c r="AN427" s="78"/>
      <c r="AO427" s="78"/>
      <c r="AP427" s="78"/>
      <c r="AQ427" s="79"/>
      <c r="AR427" s="65"/>
      <c r="AT427" s="85"/>
      <c r="AU427" s="78"/>
      <c r="AV427" s="78"/>
      <c r="AW427" s="78"/>
      <c r="AX427" s="78"/>
      <c r="AY427" s="78"/>
      <c r="AZ427" s="79"/>
      <c r="BA427" s="65"/>
      <c r="BC427" s="85"/>
      <c r="BD427" s="78"/>
      <c r="BE427" s="78"/>
      <c r="BF427" s="78"/>
      <c r="BG427" s="78"/>
      <c r="BH427" s="78"/>
      <c r="BI427" s="78"/>
      <c r="BJ427" s="79"/>
      <c r="BK427" s="65"/>
      <c r="CU427" s="67"/>
      <c r="EC427" s="67"/>
      <c r="FK427" s="67"/>
      <c r="FL427" s="67"/>
      <c r="FM427" s="67"/>
      <c r="FN427" s="67"/>
      <c r="FO427" s="67"/>
      <c r="FP427" s="67"/>
      <c r="FQ427" s="67"/>
      <c r="FR427" s="67"/>
      <c r="FS427" s="67"/>
      <c r="FT427" s="67"/>
      <c r="FU427" s="67"/>
      <c r="FV427" s="67"/>
      <c r="FW427" s="67"/>
      <c r="FX427" s="67"/>
      <c r="FY427" s="67"/>
      <c r="FZ427" s="67"/>
      <c r="GA427" s="67"/>
      <c r="GB427" s="67"/>
      <c r="GC427" s="67"/>
      <c r="GD427" s="67"/>
      <c r="GE427" s="67"/>
      <c r="GF427" s="67"/>
      <c r="GG427" s="67"/>
      <c r="GH427" s="67"/>
      <c r="GI427" s="67"/>
      <c r="GJ427" s="67"/>
      <c r="GK427" s="67"/>
      <c r="GL427" s="67"/>
      <c r="GM427" s="67"/>
      <c r="GN427" s="67"/>
      <c r="GO427" s="67"/>
      <c r="GP427" s="67"/>
    </row>
    <row r="428" spans="5:198" s="66" customFormat="1">
      <c r="E428" s="67"/>
      <c r="G428" s="67"/>
      <c r="H428" s="67"/>
      <c r="I428" s="67"/>
      <c r="J428" s="67"/>
      <c r="K428" s="67"/>
      <c r="L428" s="67"/>
      <c r="M428" s="67"/>
      <c r="N428" s="67"/>
      <c r="O428" s="78"/>
      <c r="P428" s="78"/>
      <c r="S428" s="78"/>
      <c r="T428" s="78"/>
      <c r="U428" s="79"/>
      <c r="V428" s="65"/>
      <c r="Y428" s="78"/>
      <c r="Z428" s="78"/>
      <c r="AA428" s="78"/>
      <c r="AB428" s="78"/>
      <c r="AC428" s="78"/>
      <c r="AD428" s="78"/>
      <c r="AE428" s="78"/>
      <c r="AF428" s="78"/>
      <c r="AG428" s="79"/>
      <c r="AH428" s="65"/>
      <c r="AJ428" s="85"/>
      <c r="AK428" s="78"/>
      <c r="AL428" s="78"/>
      <c r="AM428" s="78"/>
      <c r="AN428" s="78"/>
      <c r="AO428" s="78"/>
      <c r="AP428" s="78"/>
      <c r="AQ428" s="79"/>
      <c r="AR428" s="65"/>
      <c r="AT428" s="85"/>
      <c r="AU428" s="78"/>
      <c r="AV428" s="78"/>
      <c r="AW428" s="78"/>
      <c r="AX428" s="78"/>
      <c r="AY428" s="78"/>
      <c r="AZ428" s="79"/>
      <c r="BA428" s="65"/>
      <c r="BC428" s="85"/>
      <c r="BD428" s="78"/>
      <c r="BE428" s="78"/>
      <c r="BF428" s="78"/>
      <c r="BG428" s="78"/>
      <c r="BH428" s="78"/>
      <c r="BI428" s="78"/>
      <c r="BJ428" s="79"/>
      <c r="BK428" s="65"/>
      <c r="CU428" s="67"/>
      <c r="EC428" s="67"/>
      <c r="FK428" s="67"/>
      <c r="FL428" s="67"/>
      <c r="FM428" s="67"/>
      <c r="FN428" s="67"/>
      <c r="FO428" s="67"/>
      <c r="FP428" s="67"/>
      <c r="FQ428" s="67"/>
      <c r="FR428" s="67"/>
      <c r="FS428" s="67"/>
      <c r="FT428" s="67"/>
      <c r="FU428" s="67"/>
      <c r="FV428" s="67"/>
      <c r="FW428" s="67"/>
      <c r="FX428" s="67"/>
      <c r="FY428" s="67"/>
      <c r="FZ428" s="67"/>
      <c r="GA428" s="67"/>
      <c r="GB428" s="67"/>
      <c r="GC428" s="67"/>
      <c r="GD428" s="67"/>
      <c r="GE428" s="67"/>
      <c r="GF428" s="67"/>
      <c r="GG428" s="67"/>
      <c r="GH428" s="67"/>
      <c r="GI428" s="67"/>
      <c r="GJ428" s="67"/>
      <c r="GK428" s="67"/>
      <c r="GL428" s="67"/>
      <c r="GM428" s="67"/>
      <c r="GN428" s="67"/>
      <c r="GO428" s="67"/>
      <c r="GP428" s="67"/>
    </row>
    <row r="429" spans="5:198" s="66" customFormat="1">
      <c r="E429" s="67"/>
      <c r="G429" s="67"/>
      <c r="H429" s="67"/>
      <c r="I429" s="67"/>
      <c r="J429" s="67"/>
      <c r="K429" s="67"/>
      <c r="L429" s="67"/>
      <c r="M429" s="67"/>
      <c r="N429" s="67"/>
      <c r="O429" s="78"/>
      <c r="P429" s="78"/>
      <c r="S429" s="78"/>
      <c r="T429" s="78"/>
      <c r="U429" s="79"/>
      <c r="V429" s="65"/>
      <c r="Y429" s="78"/>
      <c r="Z429" s="78"/>
      <c r="AA429" s="78"/>
      <c r="AB429" s="78"/>
      <c r="AC429" s="78"/>
      <c r="AD429" s="78"/>
      <c r="AE429" s="78"/>
      <c r="AF429" s="78"/>
      <c r="AG429" s="79"/>
      <c r="AH429" s="65"/>
      <c r="AJ429" s="85"/>
      <c r="AK429" s="78"/>
      <c r="AL429" s="78"/>
      <c r="AM429" s="78"/>
      <c r="AN429" s="78"/>
      <c r="AO429" s="78"/>
      <c r="AP429" s="78"/>
      <c r="AQ429" s="79"/>
      <c r="AR429" s="65"/>
      <c r="AT429" s="85"/>
      <c r="AU429" s="78"/>
      <c r="AV429" s="78"/>
      <c r="AW429" s="78"/>
      <c r="AX429" s="78"/>
      <c r="AY429" s="78"/>
      <c r="AZ429" s="79"/>
      <c r="BA429" s="65"/>
      <c r="BC429" s="85"/>
      <c r="BD429" s="78"/>
      <c r="BE429" s="78"/>
      <c r="BF429" s="78"/>
      <c r="BG429" s="78"/>
      <c r="BH429" s="78"/>
      <c r="BI429" s="78"/>
      <c r="BJ429" s="79"/>
      <c r="BK429" s="65"/>
      <c r="CU429" s="67"/>
      <c r="EC429" s="67"/>
      <c r="FK429" s="67"/>
      <c r="FL429" s="67"/>
      <c r="FM429" s="67"/>
      <c r="FN429" s="67"/>
      <c r="FO429" s="67"/>
      <c r="FP429" s="67"/>
      <c r="FQ429" s="67"/>
      <c r="FR429" s="67"/>
      <c r="FS429" s="67"/>
      <c r="FT429" s="67"/>
      <c r="FU429" s="67"/>
      <c r="FV429" s="67"/>
      <c r="FW429" s="67"/>
      <c r="FX429" s="67"/>
      <c r="FY429" s="67"/>
      <c r="FZ429" s="67"/>
      <c r="GA429" s="67"/>
      <c r="GB429" s="67"/>
      <c r="GC429" s="67"/>
      <c r="GD429" s="67"/>
      <c r="GE429" s="67"/>
      <c r="GF429" s="67"/>
      <c r="GG429" s="67"/>
      <c r="GH429" s="67"/>
      <c r="GI429" s="67"/>
      <c r="GJ429" s="67"/>
      <c r="GK429" s="67"/>
      <c r="GL429" s="67"/>
      <c r="GM429" s="67"/>
      <c r="GN429" s="67"/>
      <c r="GO429" s="67"/>
      <c r="GP429" s="67"/>
    </row>
    <row r="430" spans="5:198" s="66" customFormat="1">
      <c r="E430" s="67"/>
      <c r="G430" s="67"/>
      <c r="H430" s="67"/>
      <c r="I430" s="67"/>
      <c r="J430" s="67"/>
      <c r="K430" s="67"/>
      <c r="L430" s="67"/>
      <c r="M430" s="67"/>
      <c r="N430" s="67"/>
      <c r="O430" s="78"/>
      <c r="P430" s="78"/>
      <c r="S430" s="78"/>
      <c r="T430" s="78"/>
      <c r="U430" s="79"/>
      <c r="V430" s="65"/>
      <c r="Y430" s="78"/>
      <c r="Z430" s="78"/>
      <c r="AA430" s="78"/>
      <c r="AB430" s="78"/>
      <c r="AC430" s="78"/>
      <c r="AD430" s="78"/>
      <c r="AE430" s="78"/>
      <c r="AF430" s="78"/>
      <c r="AG430" s="79"/>
      <c r="AH430" s="65"/>
      <c r="AJ430" s="85"/>
      <c r="AK430" s="78"/>
      <c r="AL430" s="78"/>
      <c r="AM430" s="78"/>
      <c r="AN430" s="78"/>
      <c r="AO430" s="78"/>
      <c r="AP430" s="78"/>
      <c r="AQ430" s="79"/>
      <c r="AR430" s="65"/>
      <c r="AT430" s="85"/>
      <c r="AU430" s="78"/>
      <c r="AV430" s="78"/>
      <c r="AW430" s="78"/>
      <c r="AX430" s="78"/>
      <c r="AY430" s="78"/>
      <c r="AZ430" s="79"/>
      <c r="BA430" s="65"/>
      <c r="BC430" s="85"/>
      <c r="BD430" s="78"/>
      <c r="BE430" s="78"/>
      <c r="BF430" s="78"/>
      <c r="BG430" s="78"/>
      <c r="BH430" s="78"/>
      <c r="BI430" s="78"/>
      <c r="BJ430" s="79"/>
      <c r="BK430" s="65"/>
      <c r="CU430" s="67"/>
      <c r="EC430" s="67"/>
      <c r="FK430" s="67"/>
      <c r="FL430" s="67"/>
      <c r="FM430" s="67"/>
      <c r="FN430" s="67"/>
      <c r="FO430" s="67"/>
      <c r="FP430" s="67"/>
      <c r="FQ430" s="67"/>
      <c r="FR430" s="67"/>
      <c r="FS430" s="67"/>
      <c r="FT430" s="67"/>
      <c r="FU430" s="67"/>
      <c r="FV430" s="67"/>
      <c r="FW430" s="67"/>
      <c r="FX430" s="67"/>
      <c r="FY430" s="67"/>
      <c r="FZ430" s="67"/>
      <c r="GA430" s="67"/>
      <c r="GB430" s="67"/>
      <c r="GC430" s="67"/>
      <c r="GD430" s="67"/>
      <c r="GE430" s="67"/>
      <c r="GF430" s="67"/>
      <c r="GG430" s="67"/>
      <c r="GH430" s="67"/>
      <c r="GI430" s="67"/>
      <c r="GJ430" s="67"/>
      <c r="GK430" s="67"/>
      <c r="GL430" s="67"/>
      <c r="GM430" s="67"/>
      <c r="GN430" s="67"/>
      <c r="GO430" s="67"/>
      <c r="GP430" s="67"/>
    </row>
    <row r="431" spans="5:198" s="66" customFormat="1">
      <c r="E431" s="67"/>
      <c r="G431" s="67"/>
      <c r="H431" s="67"/>
      <c r="I431" s="67"/>
      <c r="J431" s="67"/>
      <c r="K431" s="67"/>
      <c r="L431" s="67"/>
      <c r="M431" s="67"/>
      <c r="N431" s="67"/>
      <c r="O431" s="78"/>
      <c r="P431" s="78"/>
      <c r="S431" s="78"/>
      <c r="T431" s="78"/>
      <c r="U431" s="79"/>
      <c r="V431" s="65"/>
      <c r="Y431" s="78"/>
      <c r="Z431" s="78"/>
      <c r="AA431" s="78"/>
      <c r="AB431" s="78"/>
      <c r="AC431" s="78"/>
      <c r="AD431" s="78"/>
      <c r="AE431" s="78"/>
      <c r="AF431" s="78"/>
      <c r="AG431" s="79"/>
      <c r="AH431" s="65"/>
      <c r="AJ431" s="85"/>
      <c r="AK431" s="78"/>
      <c r="AL431" s="78"/>
      <c r="AM431" s="78"/>
      <c r="AN431" s="78"/>
      <c r="AO431" s="78"/>
      <c r="AP431" s="78"/>
      <c r="AQ431" s="79"/>
      <c r="AR431" s="65"/>
      <c r="AT431" s="85"/>
      <c r="AU431" s="78"/>
      <c r="AV431" s="78"/>
      <c r="AW431" s="78"/>
      <c r="AX431" s="78"/>
      <c r="AY431" s="78"/>
      <c r="AZ431" s="79"/>
      <c r="BA431" s="65"/>
      <c r="BC431" s="85"/>
      <c r="BD431" s="78"/>
      <c r="BE431" s="78"/>
      <c r="BF431" s="78"/>
      <c r="BG431" s="78"/>
      <c r="BH431" s="78"/>
      <c r="BI431" s="78"/>
      <c r="BJ431" s="79"/>
      <c r="BK431" s="65"/>
      <c r="CU431" s="67"/>
      <c r="EC431" s="67"/>
      <c r="FK431" s="67"/>
      <c r="FL431" s="67"/>
      <c r="FM431" s="67"/>
      <c r="FN431" s="67"/>
      <c r="FO431" s="67"/>
      <c r="FP431" s="67"/>
      <c r="FQ431" s="67"/>
      <c r="FR431" s="67"/>
      <c r="FS431" s="67"/>
      <c r="FT431" s="67"/>
      <c r="FU431" s="67"/>
      <c r="FV431" s="67"/>
      <c r="FW431" s="67"/>
      <c r="FX431" s="67"/>
      <c r="FY431" s="67"/>
      <c r="FZ431" s="67"/>
      <c r="GA431" s="67"/>
      <c r="GB431" s="67"/>
      <c r="GC431" s="67"/>
      <c r="GD431" s="67"/>
      <c r="GE431" s="67"/>
      <c r="GF431" s="67"/>
      <c r="GG431" s="67"/>
      <c r="GH431" s="67"/>
      <c r="GI431" s="67"/>
      <c r="GJ431" s="67"/>
      <c r="GK431" s="67"/>
      <c r="GL431" s="67"/>
      <c r="GM431" s="67"/>
      <c r="GN431" s="67"/>
      <c r="GO431" s="67"/>
      <c r="GP431" s="67"/>
    </row>
    <row r="432" spans="5:198" s="66" customFormat="1">
      <c r="E432" s="67"/>
      <c r="G432" s="67"/>
      <c r="H432" s="67"/>
      <c r="I432" s="67"/>
      <c r="J432" s="67"/>
      <c r="K432" s="67"/>
      <c r="L432" s="67"/>
      <c r="M432" s="67"/>
      <c r="N432" s="67"/>
      <c r="O432" s="78"/>
      <c r="P432" s="78"/>
      <c r="S432" s="78"/>
      <c r="T432" s="78"/>
      <c r="U432" s="79"/>
      <c r="V432" s="65"/>
      <c r="Y432" s="78"/>
      <c r="Z432" s="78"/>
      <c r="AA432" s="78"/>
      <c r="AB432" s="78"/>
      <c r="AC432" s="78"/>
      <c r="AD432" s="78"/>
      <c r="AE432" s="78"/>
      <c r="AF432" s="78"/>
      <c r="AG432" s="79"/>
      <c r="AH432" s="65"/>
      <c r="AJ432" s="85"/>
      <c r="AK432" s="78"/>
      <c r="AL432" s="78"/>
      <c r="AM432" s="78"/>
      <c r="AN432" s="78"/>
      <c r="AO432" s="78"/>
      <c r="AP432" s="78"/>
      <c r="AQ432" s="79"/>
      <c r="AR432" s="65"/>
      <c r="AT432" s="85"/>
      <c r="AU432" s="78"/>
      <c r="AV432" s="78"/>
      <c r="AW432" s="78"/>
      <c r="AX432" s="78"/>
      <c r="AY432" s="78"/>
      <c r="AZ432" s="79"/>
      <c r="BA432" s="65"/>
      <c r="BC432" s="85"/>
      <c r="BD432" s="78"/>
      <c r="BE432" s="78"/>
      <c r="BF432" s="78"/>
      <c r="BG432" s="78"/>
      <c r="BH432" s="78"/>
      <c r="BI432" s="78"/>
      <c r="BJ432" s="79"/>
      <c r="BK432" s="65"/>
      <c r="CU432" s="67"/>
      <c r="EC432" s="67"/>
      <c r="FK432" s="67"/>
      <c r="FL432" s="67"/>
      <c r="FM432" s="67"/>
      <c r="FN432" s="67"/>
      <c r="FO432" s="67"/>
      <c r="FP432" s="67"/>
      <c r="FQ432" s="67"/>
      <c r="FR432" s="67"/>
      <c r="FS432" s="67"/>
      <c r="FT432" s="67"/>
      <c r="FU432" s="67"/>
      <c r="FV432" s="67"/>
      <c r="FW432" s="67"/>
      <c r="FX432" s="67"/>
      <c r="FY432" s="67"/>
      <c r="FZ432" s="67"/>
      <c r="GA432" s="67"/>
      <c r="GB432" s="67"/>
      <c r="GC432" s="67"/>
      <c r="GD432" s="67"/>
      <c r="GE432" s="67"/>
      <c r="GF432" s="67"/>
      <c r="GG432" s="67"/>
      <c r="GH432" s="67"/>
      <c r="GI432" s="67"/>
      <c r="GJ432" s="67"/>
      <c r="GK432" s="67"/>
      <c r="GL432" s="67"/>
      <c r="GM432" s="67"/>
      <c r="GN432" s="67"/>
      <c r="GO432" s="67"/>
      <c r="GP432" s="67"/>
    </row>
    <row r="433" spans="5:198" s="66" customFormat="1">
      <c r="E433" s="67"/>
      <c r="G433" s="67"/>
      <c r="H433" s="67"/>
      <c r="I433" s="67"/>
      <c r="J433" s="67"/>
      <c r="K433" s="67"/>
      <c r="L433" s="67"/>
      <c r="M433" s="67"/>
      <c r="N433" s="67"/>
      <c r="O433" s="78"/>
      <c r="P433" s="78"/>
      <c r="S433" s="78"/>
      <c r="T433" s="78"/>
      <c r="U433" s="79"/>
      <c r="V433" s="65"/>
      <c r="Y433" s="78"/>
      <c r="Z433" s="78"/>
      <c r="AA433" s="78"/>
      <c r="AB433" s="78"/>
      <c r="AC433" s="78"/>
      <c r="AD433" s="78"/>
      <c r="AE433" s="78"/>
      <c r="AF433" s="78"/>
      <c r="AG433" s="79"/>
      <c r="AH433" s="65"/>
      <c r="AJ433" s="85"/>
      <c r="AK433" s="78"/>
      <c r="AL433" s="78"/>
      <c r="AM433" s="78"/>
      <c r="AN433" s="78"/>
      <c r="AO433" s="78"/>
      <c r="AP433" s="78"/>
      <c r="AQ433" s="79"/>
      <c r="AR433" s="65"/>
      <c r="AT433" s="85"/>
      <c r="AU433" s="78"/>
      <c r="AV433" s="78"/>
      <c r="AW433" s="78"/>
      <c r="AX433" s="78"/>
      <c r="AY433" s="78"/>
      <c r="AZ433" s="79"/>
      <c r="BA433" s="65"/>
      <c r="BC433" s="85"/>
      <c r="BD433" s="78"/>
      <c r="BE433" s="78"/>
      <c r="BF433" s="78"/>
      <c r="BG433" s="78"/>
      <c r="BH433" s="78"/>
      <c r="BI433" s="78"/>
      <c r="BJ433" s="79"/>
      <c r="BK433" s="65"/>
      <c r="CU433" s="67"/>
      <c r="EC433" s="67"/>
      <c r="FK433" s="67"/>
      <c r="FL433" s="67"/>
      <c r="FM433" s="67"/>
      <c r="FN433" s="67"/>
      <c r="FO433" s="67"/>
      <c r="FP433" s="67"/>
      <c r="FQ433" s="67"/>
      <c r="FR433" s="67"/>
      <c r="FS433" s="67"/>
      <c r="FT433" s="67"/>
      <c r="FU433" s="67"/>
      <c r="FV433" s="67"/>
      <c r="FW433" s="67"/>
      <c r="FX433" s="67"/>
      <c r="FY433" s="67"/>
      <c r="FZ433" s="67"/>
      <c r="GA433" s="67"/>
      <c r="GB433" s="67"/>
      <c r="GC433" s="67"/>
      <c r="GD433" s="67"/>
      <c r="GE433" s="67"/>
      <c r="GF433" s="67"/>
      <c r="GG433" s="67"/>
      <c r="GH433" s="67"/>
      <c r="GI433" s="67"/>
      <c r="GJ433" s="67"/>
      <c r="GK433" s="67"/>
      <c r="GL433" s="67"/>
      <c r="GM433" s="67"/>
      <c r="GN433" s="67"/>
      <c r="GO433" s="67"/>
      <c r="GP433" s="67"/>
    </row>
    <row r="434" spans="5:198" s="66" customFormat="1">
      <c r="E434" s="67"/>
      <c r="G434" s="67"/>
      <c r="H434" s="67"/>
      <c r="I434" s="67"/>
      <c r="J434" s="67"/>
      <c r="K434" s="67"/>
      <c r="L434" s="67"/>
      <c r="M434" s="67"/>
      <c r="N434" s="67"/>
      <c r="O434" s="78"/>
      <c r="P434" s="78"/>
      <c r="S434" s="78"/>
      <c r="T434" s="78"/>
      <c r="U434" s="79"/>
      <c r="V434" s="65"/>
      <c r="Y434" s="78"/>
      <c r="Z434" s="78"/>
      <c r="AA434" s="78"/>
      <c r="AB434" s="78"/>
      <c r="AC434" s="78"/>
      <c r="AD434" s="78"/>
      <c r="AE434" s="78"/>
      <c r="AF434" s="78"/>
      <c r="AG434" s="79"/>
      <c r="AH434" s="65"/>
      <c r="AJ434" s="85"/>
      <c r="AK434" s="78"/>
      <c r="AL434" s="78"/>
      <c r="AM434" s="78"/>
      <c r="AN434" s="78"/>
      <c r="AO434" s="78"/>
      <c r="AP434" s="78"/>
      <c r="AQ434" s="79"/>
      <c r="AR434" s="65"/>
      <c r="AT434" s="85"/>
      <c r="AU434" s="78"/>
      <c r="AV434" s="78"/>
      <c r="AW434" s="78"/>
      <c r="AX434" s="78"/>
      <c r="AY434" s="78"/>
      <c r="AZ434" s="79"/>
      <c r="BA434" s="65"/>
      <c r="BC434" s="85"/>
      <c r="BD434" s="78"/>
      <c r="BE434" s="78"/>
      <c r="BF434" s="78"/>
      <c r="BG434" s="78"/>
      <c r="BH434" s="78"/>
      <c r="BI434" s="78"/>
      <c r="BJ434" s="79"/>
      <c r="BK434" s="65"/>
      <c r="CU434" s="67"/>
      <c r="EC434" s="67"/>
      <c r="FK434" s="67"/>
      <c r="FL434" s="67"/>
      <c r="FM434" s="67"/>
      <c r="FN434" s="67"/>
      <c r="FO434" s="67"/>
      <c r="FP434" s="67"/>
      <c r="FQ434" s="67"/>
      <c r="FR434" s="67"/>
      <c r="FS434" s="67"/>
      <c r="FT434" s="67"/>
      <c r="FU434" s="67"/>
      <c r="FV434" s="67"/>
      <c r="FW434" s="67"/>
      <c r="FX434" s="67"/>
      <c r="FY434" s="67"/>
      <c r="FZ434" s="67"/>
      <c r="GA434" s="67"/>
      <c r="GB434" s="67"/>
      <c r="GC434" s="67"/>
      <c r="GD434" s="67"/>
      <c r="GE434" s="67"/>
      <c r="GF434" s="67"/>
      <c r="GG434" s="67"/>
      <c r="GH434" s="67"/>
      <c r="GI434" s="67"/>
      <c r="GJ434" s="67"/>
      <c r="GK434" s="67"/>
      <c r="GL434" s="67"/>
      <c r="GM434" s="67"/>
      <c r="GN434" s="67"/>
      <c r="GO434" s="67"/>
      <c r="GP434" s="67"/>
    </row>
    <row r="435" spans="5:198" s="66" customFormat="1">
      <c r="E435" s="67"/>
      <c r="G435" s="67"/>
      <c r="H435" s="67"/>
      <c r="I435" s="67"/>
      <c r="J435" s="67"/>
      <c r="K435" s="67"/>
      <c r="L435" s="67"/>
      <c r="M435" s="67"/>
      <c r="N435" s="67"/>
      <c r="O435" s="78"/>
      <c r="P435" s="78"/>
      <c r="S435" s="78"/>
      <c r="T435" s="78"/>
      <c r="U435" s="79"/>
      <c r="V435" s="65"/>
      <c r="Y435" s="78"/>
      <c r="Z435" s="78"/>
      <c r="AA435" s="78"/>
      <c r="AB435" s="78"/>
      <c r="AC435" s="78"/>
      <c r="AD435" s="78"/>
      <c r="AE435" s="78"/>
      <c r="AF435" s="78"/>
      <c r="AG435" s="79"/>
      <c r="AH435" s="65"/>
      <c r="AJ435" s="85"/>
      <c r="AK435" s="78"/>
      <c r="AL435" s="78"/>
      <c r="AM435" s="78"/>
      <c r="AN435" s="78"/>
      <c r="AO435" s="78"/>
      <c r="AP435" s="78"/>
      <c r="AQ435" s="79"/>
      <c r="AR435" s="65"/>
      <c r="AT435" s="85"/>
      <c r="AU435" s="78"/>
      <c r="AV435" s="78"/>
      <c r="AW435" s="78"/>
      <c r="AX435" s="78"/>
      <c r="AY435" s="78"/>
      <c r="AZ435" s="79"/>
      <c r="BA435" s="65"/>
      <c r="BC435" s="85"/>
      <c r="BD435" s="78"/>
      <c r="BE435" s="78"/>
      <c r="BF435" s="78"/>
      <c r="BG435" s="78"/>
      <c r="BH435" s="78"/>
      <c r="BI435" s="78"/>
      <c r="BJ435" s="79"/>
      <c r="BK435" s="65"/>
      <c r="CU435" s="67"/>
      <c r="EC435" s="67"/>
      <c r="FK435" s="67"/>
      <c r="FL435" s="67"/>
      <c r="FM435" s="67"/>
      <c r="FN435" s="67"/>
      <c r="FO435" s="67"/>
      <c r="FP435" s="67"/>
      <c r="FQ435" s="67"/>
      <c r="FR435" s="67"/>
      <c r="FS435" s="67"/>
      <c r="FT435" s="67"/>
      <c r="FU435" s="67"/>
      <c r="FV435" s="67"/>
      <c r="FW435" s="67"/>
      <c r="FX435" s="67"/>
      <c r="FY435" s="67"/>
      <c r="FZ435" s="67"/>
      <c r="GA435" s="67"/>
      <c r="GB435" s="67"/>
      <c r="GC435" s="67"/>
      <c r="GD435" s="67"/>
      <c r="GE435" s="67"/>
      <c r="GF435" s="67"/>
      <c r="GG435" s="67"/>
      <c r="GH435" s="67"/>
      <c r="GI435" s="67"/>
      <c r="GJ435" s="67"/>
      <c r="GK435" s="67"/>
      <c r="GL435" s="67"/>
      <c r="GM435" s="67"/>
      <c r="GN435" s="67"/>
      <c r="GO435" s="67"/>
      <c r="GP435" s="67"/>
    </row>
    <row r="436" spans="5:198" s="66" customFormat="1">
      <c r="E436" s="67"/>
      <c r="G436" s="67"/>
      <c r="H436" s="67"/>
      <c r="I436" s="67"/>
      <c r="J436" s="67"/>
      <c r="K436" s="67"/>
      <c r="L436" s="67"/>
      <c r="M436" s="67"/>
      <c r="N436" s="67"/>
      <c r="O436" s="78"/>
      <c r="P436" s="78"/>
      <c r="S436" s="78"/>
      <c r="T436" s="78"/>
      <c r="U436" s="79"/>
      <c r="V436" s="65"/>
      <c r="Y436" s="78"/>
      <c r="Z436" s="78"/>
      <c r="AA436" s="78"/>
      <c r="AB436" s="78"/>
      <c r="AC436" s="78"/>
      <c r="AD436" s="78"/>
      <c r="AE436" s="78"/>
      <c r="AF436" s="78"/>
      <c r="AG436" s="79"/>
      <c r="AH436" s="65"/>
      <c r="AJ436" s="85"/>
      <c r="AK436" s="78"/>
      <c r="AL436" s="78"/>
      <c r="AM436" s="78"/>
      <c r="AN436" s="78"/>
      <c r="AO436" s="78"/>
      <c r="AP436" s="78"/>
      <c r="AQ436" s="79"/>
      <c r="AR436" s="65"/>
      <c r="AT436" s="85"/>
      <c r="AU436" s="78"/>
      <c r="AV436" s="78"/>
      <c r="AW436" s="78"/>
      <c r="AX436" s="78"/>
      <c r="AY436" s="78"/>
      <c r="AZ436" s="79"/>
      <c r="BA436" s="65"/>
      <c r="BC436" s="85"/>
      <c r="BD436" s="78"/>
      <c r="BE436" s="78"/>
      <c r="BF436" s="78"/>
      <c r="BG436" s="78"/>
      <c r="BH436" s="78"/>
      <c r="BI436" s="78"/>
      <c r="BJ436" s="79"/>
      <c r="BK436" s="65"/>
      <c r="CU436" s="67"/>
      <c r="EC436" s="67"/>
      <c r="FK436" s="67"/>
      <c r="FL436" s="67"/>
      <c r="FM436" s="67"/>
      <c r="FN436" s="67"/>
      <c r="FO436" s="67"/>
      <c r="FP436" s="67"/>
      <c r="FQ436" s="67"/>
      <c r="FR436" s="67"/>
      <c r="FS436" s="67"/>
      <c r="FT436" s="67"/>
      <c r="FU436" s="67"/>
      <c r="FV436" s="67"/>
      <c r="FW436" s="67"/>
      <c r="FX436" s="67"/>
      <c r="FY436" s="67"/>
      <c r="FZ436" s="67"/>
      <c r="GA436" s="67"/>
      <c r="GB436" s="67"/>
      <c r="GC436" s="67"/>
      <c r="GD436" s="67"/>
      <c r="GE436" s="67"/>
      <c r="GF436" s="67"/>
      <c r="GG436" s="67"/>
      <c r="GH436" s="67"/>
      <c r="GI436" s="67"/>
      <c r="GJ436" s="67"/>
      <c r="GK436" s="67"/>
      <c r="GL436" s="67"/>
      <c r="GM436" s="67"/>
      <c r="GN436" s="67"/>
      <c r="GO436" s="67"/>
      <c r="GP436" s="67"/>
    </row>
    <row r="437" spans="5:198" s="66" customFormat="1">
      <c r="E437" s="67"/>
      <c r="G437" s="67"/>
      <c r="H437" s="67"/>
      <c r="I437" s="67"/>
      <c r="J437" s="67"/>
      <c r="K437" s="67"/>
      <c r="L437" s="67"/>
      <c r="M437" s="67"/>
      <c r="N437" s="67"/>
      <c r="O437" s="78"/>
      <c r="P437" s="78"/>
      <c r="S437" s="78"/>
      <c r="T437" s="78"/>
      <c r="U437" s="79"/>
      <c r="V437" s="65"/>
      <c r="Y437" s="78"/>
      <c r="Z437" s="78"/>
      <c r="AA437" s="78"/>
      <c r="AB437" s="78"/>
      <c r="AC437" s="78"/>
      <c r="AD437" s="78"/>
      <c r="AE437" s="78"/>
      <c r="AF437" s="78"/>
      <c r="AG437" s="79"/>
      <c r="AH437" s="65"/>
      <c r="AJ437" s="85"/>
      <c r="AK437" s="78"/>
      <c r="AL437" s="78"/>
      <c r="AM437" s="78"/>
      <c r="AN437" s="78"/>
      <c r="AO437" s="78"/>
      <c r="AP437" s="78"/>
      <c r="AQ437" s="79"/>
      <c r="AR437" s="65"/>
      <c r="AT437" s="85"/>
      <c r="AU437" s="78"/>
      <c r="AV437" s="78"/>
      <c r="AW437" s="78"/>
      <c r="AX437" s="78"/>
      <c r="AY437" s="78"/>
      <c r="AZ437" s="79"/>
      <c r="BA437" s="65"/>
      <c r="BC437" s="85"/>
      <c r="BD437" s="78"/>
      <c r="BE437" s="78"/>
      <c r="BF437" s="78"/>
      <c r="BG437" s="78"/>
      <c r="BH437" s="78"/>
      <c r="BI437" s="78"/>
      <c r="BJ437" s="79"/>
      <c r="BK437" s="65"/>
      <c r="CU437" s="67"/>
      <c r="EC437" s="67"/>
      <c r="FK437" s="67"/>
      <c r="FL437" s="67"/>
      <c r="FM437" s="67"/>
      <c r="FN437" s="67"/>
      <c r="FO437" s="67"/>
      <c r="FP437" s="67"/>
      <c r="FQ437" s="67"/>
      <c r="FR437" s="67"/>
      <c r="FS437" s="67"/>
      <c r="FT437" s="67"/>
      <c r="FU437" s="67"/>
      <c r="FV437" s="67"/>
      <c r="FW437" s="67"/>
      <c r="FX437" s="67"/>
      <c r="FY437" s="67"/>
      <c r="FZ437" s="67"/>
      <c r="GA437" s="67"/>
      <c r="GB437" s="67"/>
      <c r="GC437" s="67"/>
      <c r="GD437" s="67"/>
      <c r="GE437" s="67"/>
      <c r="GF437" s="67"/>
      <c r="GG437" s="67"/>
      <c r="GH437" s="67"/>
      <c r="GI437" s="67"/>
      <c r="GJ437" s="67"/>
      <c r="GK437" s="67"/>
      <c r="GL437" s="67"/>
      <c r="GM437" s="67"/>
      <c r="GN437" s="67"/>
      <c r="GO437" s="67"/>
      <c r="GP437" s="67"/>
    </row>
    <row r="438" spans="5:198" s="66" customFormat="1">
      <c r="E438" s="67"/>
      <c r="G438" s="67"/>
      <c r="H438" s="67"/>
      <c r="I438" s="67"/>
      <c r="J438" s="67"/>
      <c r="K438" s="67"/>
      <c r="L438" s="67"/>
      <c r="M438" s="67"/>
      <c r="N438" s="67"/>
      <c r="O438" s="78"/>
      <c r="P438" s="78"/>
      <c r="S438" s="78"/>
      <c r="T438" s="78"/>
      <c r="U438" s="79"/>
      <c r="V438" s="65"/>
      <c r="Y438" s="78"/>
      <c r="Z438" s="78"/>
      <c r="AA438" s="78"/>
      <c r="AB438" s="78"/>
      <c r="AC438" s="78"/>
      <c r="AD438" s="78"/>
      <c r="AE438" s="78"/>
      <c r="AF438" s="78"/>
      <c r="AG438" s="79"/>
      <c r="AH438" s="65"/>
      <c r="AJ438" s="85"/>
      <c r="AK438" s="78"/>
      <c r="AL438" s="78"/>
      <c r="AM438" s="78"/>
      <c r="AN438" s="78"/>
      <c r="AO438" s="78"/>
      <c r="AP438" s="78"/>
      <c r="AQ438" s="79"/>
      <c r="AR438" s="65"/>
      <c r="AT438" s="85"/>
      <c r="AU438" s="78"/>
      <c r="AV438" s="78"/>
      <c r="AW438" s="78"/>
      <c r="AX438" s="78"/>
      <c r="AY438" s="78"/>
      <c r="AZ438" s="79"/>
      <c r="BA438" s="65"/>
      <c r="BC438" s="85"/>
      <c r="BD438" s="78"/>
      <c r="BE438" s="78"/>
      <c r="BF438" s="78"/>
      <c r="BG438" s="78"/>
      <c r="BH438" s="78"/>
      <c r="BI438" s="78"/>
      <c r="BJ438" s="79"/>
      <c r="BK438" s="65"/>
      <c r="CU438" s="67"/>
      <c r="EC438" s="67"/>
      <c r="FK438" s="67"/>
      <c r="FL438" s="67"/>
      <c r="FM438" s="67"/>
      <c r="FN438" s="67"/>
      <c r="FO438" s="67"/>
      <c r="FP438" s="67"/>
      <c r="FQ438" s="67"/>
      <c r="FR438" s="67"/>
      <c r="FS438" s="67"/>
      <c r="FT438" s="67"/>
      <c r="FU438" s="67"/>
      <c r="FV438" s="67"/>
      <c r="FW438" s="67"/>
      <c r="FX438" s="67"/>
      <c r="FY438" s="67"/>
      <c r="FZ438" s="67"/>
      <c r="GA438" s="67"/>
      <c r="GB438" s="67"/>
      <c r="GC438" s="67"/>
      <c r="GD438" s="67"/>
      <c r="GE438" s="67"/>
      <c r="GF438" s="67"/>
      <c r="GG438" s="67"/>
      <c r="GH438" s="67"/>
      <c r="GI438" s="67"/>
      <c r="GJ438" s="67"/>
      <c r="GK438" s="67"/>
      <c r="GL438" s="67"/>
      <c r="GM438" s="67"/>
      <c r="GN438" s="67"/>
      <c r="GO438" s="67"/>
      <c r="GP438" s="67"/>
    </row>
    <row r="439" spans="5:198" s="66" customFormat="1">
      <c r="E439" s="67"/>
      <c r="G439" s="67"/>
      <c r="H439" s="67"/>
      <c r="I439" s="67"/>
      <c r="J439" s="67"/>
      <c r="K439" s="67"/>
      <c r="L439" s="67"/>
      <c r="M439" s="67"/>
      <c r="N439" s="67"/>
      <c r="O439" s="78"/>
      <c r="P439" s="78"/>
      <c r="S439" s="78"/>
      <c r="T439" s="78"/>
      <c r="U439" s="79"/>
      <c r="V439" s="65"/>
      <c r="Y439" s="78"/>
      <c r="Z439" s="78"/>
      <c r="AA439" s="78"/>
      <c r="AB439" s="78"/>
      <c r="AC439" s="78"/>
      <c r="AD439" s="78"/>
      <c r="AE439" s="78"/>
      <c r="AF439" s="78"/>
      <c r="AG439" s="79"/>
      <c r="AH439" s="65"/>
      <c r="AJ439" s="85"/>
      <c r="AK439" s="78"/>
      <c r="AL439" s="78"/>
      <c r="AM439" s="78"/>
      <c r="AN439" s="78"/>
      <c r="AO439" s="78"/>
      <c r="AP439" s="78"/>
      <c r="AQ439" s="79"/>
      <c r="AR439" s="65"/>
      <c r="AT439" s="85"/>
      <c r="AU439" s="78"/>
      <c r="AV439" s="78"/>
      <c r="AW439" s="78"/>
      <c r="AX439" s="78"/>
      <c r="AY439" s="78"/>
      <c r="AZ439" s="79"/>
      <c r="BA439" s="65"/>
      <c r="BC439" s="85"/>
      <c r="BD439" s="78"/>
      <c r="BE439" s="78"/>
      <c r="BF439" s="78"/>
      <c r="BG439" s="78"/>
      <c r="BH439" s="78"/>
      <c r="BI439" s="78"/>
      <c r="BJ439" s="79"/>
      <c r="BK439" s="65"/>
      <c r="CU439" s="67"/>
      <c r="EC439" s="67"/>
      <c r="FK439" s="67"/>
      <c r="FL439" s="67"/>
      <c r="FM439" s="67"/>
      <c r="FN439" s="67"/>
      <c r="FO439" s="67"/>
      <c r="FP439" s="67"/>
      <c r="FQ439" s="67"/>
      <c r="FR439" s="67"/>
      <c r="FS439" s="67"/>
      <c r="FT439" s="67"/>
      <c r="FU439" s="67"/>
      <c r="FV439" s="67"/>
      <c r="FW439" s="67"/>
      <c r="FX439" s="67"/>
      <c r="FY439" s="67"/>
      <c r="FZ439" s="67"/>
      <c r="GA439" s="67"/>
      <c r="GB439" s="67"/>
      <c r="GC439" s="67"/>
      <c r="GD439" s="67"/>
      <c r="GE439" s="67"/>
      <c r="GF439" s="67"/>
      <c r="GG439" s="67"/>
      <c r="GH439" s="67"/>
      <c r="GI439" s="67"/>
      <c r="GJ439" s="67"/>
      <c r="GK439" s="67"/>
      <c r="GL439" s="67"/>
      <c r="GM439" s="67"/>
      <c r="GN439" s="67"/>
      <c r="GO439" s="67"/>
      <c r="GP439" s="67"/>
    </row>
    <row r="440" spans="5:198" s="66" customFormat="1">
      <c r="E440" s="67"/>
      <c r="G440" s="67"/>
      <c r="H440" s="67"/>
      <c r="I440" s="67"/>
      <c r="J440" s="67"/>
      <c r="K440" s="67"/>
      <c r="L440" s="67"/>
      <c r="M440" s="67"/>
      <c r="N440" s="67"/>
      <c r="O440" s="78"/>
      <c r="P440" s="78"/>
      <c r="S440" s="78"/>
      <c r="T440" s="78"/>
      <c r="U440" s="79"/>
      <c r="V440" s="65"/>
      <c r="Y440" s="78"/>
      <c r="Z440" s="78"/>
      <c r="AA440" s="78"/>
      <c r="AB440" s="78"/>
      <c r="AC440" s="78"/>
      <c r="AD440" s="78"/>
      <c r="AE440" s="78"/>
      <c r="AF440" s="78"/>
      <c r="AG440" s="79"/>
      <c r="AH440" s="65"/>
      <c r="AJ440" s="85"/>
      <c r="AK440" s="78"/>
      <c r="AL440" s="78"/>
      <c r="AM440" s="78"/>
      <c r="AN440" s="78"/>
      <c r="AO440" s="78"/>
      <c r="AP440" s="78"/>
      <c r="AQ440" s="79"/>
      <c r="AR440" s="65"/>
      <c r="AT440" s="85"/>
      <c r="AU440" s="78"/>
      <c r="AV440" s="78"/>
      <c r="AW440" s="78"/>
      <c r="AX440" s="78"/>
      <c r="AY440" s="78"/>
      <c r="AZ440" s="79"/>
      <c r="BA440" s="65"/>
      <c r="BC440" s="85"/>
      <c r="BD440" s="78"/>
      <c r="BE440" s="78"/>
      <c r="BF440" s="78"/>
      <c r="BG440" s="78"/>
      <c r="BH440" s="78"/>
      <c r="BI440" s="78"/>
      <c r="BJ440" s="79"/>
      <c r="BK440" s="65"/>
      <c r="CU440" s="67"/>
      <c r="EC440" s="67"/>
      <c r="FK440" s="67"/>
      <c r="FL440" s="67"/>
      <c r="FM440" s="67"/>
      <c r="FN440" s="67"/>
      <c r="FO440" s="67"/>
      <c r="FP440" s="67"/>
      <c r="FQ440" s="67"/>
      <c r="FR440" s="67"/>
      <c r="FS440" s="67"/>
      <c r="FT440" s="67"/>
      <c r="FU440" s="67"/>
      <c r="FV440" s="67"/>
      <c r="FW440" s="67"/>
      <c r="FX440" s="67"/>
      <c r="FY440" s="67"/>
      <c r="FZ440" s="67"/>
      <c r="GA440" s="67"/>
      <c r="GB440" s="67"/>
      <c r="GC440" s="67"/>
      <c r="GD440" s="67"/>
      <c r="GE440" s="67"/>
      <c r="GF440" s="67"/>
      <c r="GG440" s="67"/>
      <c r="GH440" s="67"/>
      <c r="GI440" s="67"/>
      <c r="GJ440" s="67"/>
      <c r="GK440" s="67"/>
      <c r="GL440" s="67"/>
      <c r="GM440" s="67"/>
      <c r="GN440" s="67"/>
      <c r="GO440" s="67"/>
      <c r="GP440" s="67"/>
    </row>
    <row r="441" spans="5:198" s="66" customFormat="1">
      <c r="E441" s="67"/>
      <c r="G441" s="67"/>
      <c r="H441" s="67"/>
      <c r="I441" s="67"/>
      <c r="J441" s="67"/>
      <c r="K441" s="67"/>
      <c r="L441" s="67"/>
      <c r="M441" s="67"/>
      <c r="N441" s="67"/>
      <c r="O441" s="78"/>
      <c r="P441" s="78"/>
      <c r="S441" s="78"/>
      <c r="T441" s="78"/>
      <c r="U441" s="79"/>
      <c r="V441" s="65"/>
      <c r="Y441" s="78"/>
      <c r="Z441" s="78"/>
      <c r="AA441" s="78"/>
      <c r="AB441" s="78"/>
      <c r="AC441" s="78"/>
      <c r="AD441" s="78"/>
      <c r="AE441" s="78"/>
      <c r="AF441" s="78"/>
      <c r="AG441" s="79"/>
      <c r="AH441" s="65"/>
      <c r="AJ441" s="85"/>
      <c r="AK441" s="78"/>
      <c r="AL441" s="78"/>
      <c r="AM441" s="78"/>
      <c r="AN441" s="78"/>
      <c r="AO441" s="78"/>
      <c r="AP441" s="78"/>
      <c r="AQ441" s="79"/>
      <c r="AR441" s="65"/>
      <c r="AT441" s="85"/>
      <c r="AU441" s="78"/>
      <c r="AV441" s="78"/>
      <c r="AW441" s="78"/>
      <c r="AX441" s="78"/>
      <c r="AY441" s="78"/>
      <c r="AZ441" s="79"/>
      <c r="BA441" s="65"/>
      <c r="BC441" s="85"/>
      <c r="BD441" s="78"/>
      <c r="BE441" s="78"/>
      <c r="BF441" s="78"/>
      <c r="BG441" s="78"/>
      <c r="BH441" s="78"/>
      <c r="BI441" s="78"/>
      <c r="BJ441" s="79"/>
      <c r="BK441" s="65"/>
      <c r="CU441" s="67"/>
      <c r="EC441" s="67"/>
      <c r="FK441" s="67"/>
      <c r="FL441" s="67"/>
      <c r="FM441" s="67"/>
      <c r="FN441" s="67"/>
      <c r="FO441" s="67"/>
      <c r="FP441" s="67"/>
      <c r="FQ441" s="67"/>
      <c r="FR441" s="67"/>
      <c r="FS441" s="67"/>
      <c r="FT441" s="67"/>
      <c r="FU441" s="67"/>
      <c r="FV441" s="67"/>
      <c r="FW441" s="67"/>
      <c r="FX441" s="67"/>
      <c r="FY441" s="67"/>
      <c r="FZ441" s="67"/>
      <c r="GA441" s="67"/>
      <c r="GB441" s="67"/>
      <c r="GC441" s="67"/>
      <c r="GD441" s="67"/>
      <c r="GE441" s="67"/>
      <c r="GF441" s="67"/>
      <c r="GG441" s="67"/>
      <c r="GH441" s="67"/>
      <c r="GI441" s="67"/>
      <c r="GJ441" s="67"/>
      <c r="GK441" s="67"/>
      <c r="GL441" s="67"/>
      <c r="GM441" s="67"/>
      <c r="GN441" s="67"/>
      <c r="GO441" s="67"/>
      <c r="GP441" s="67"/>
    </row>
    <row r="442" spans="5:198" s="66" customFormat="1">
      <c r="E442" s="67"/>
      <c r="G442" s="67"/>
      <c r="H442" s="67"/>
      <c r="I442" s="67"/>
      <c r="J442" s="67"/>
      <c r="K442" s="67"/>
      <c r="L442" s="67"/>
      <c r="M442" s="67"/>
      <c r="N442" s="67"/>
      <c r="O442" s="78"/>
      <c r="P442" s="78"/>
      <c r="S442" s="78"/>
      <c r="T442" s="78"/>
      <c r="U442" s="79"/>
      <c r="V442" s="65"/>
      <c r="Y442" s="78"/>
      <c r="Z442" s="78"/>
      <c r="AA442" s="78"/>
      <c r="AB442" s="78"/>
      <c r="AC442" s="78"/>
      <c r="AD442" s="78"/>
      <c r="AE442" s="78"/>
      <c r="AF442" s="78"/>
      <c r="AG442" s="79"/>
      <c r="AH442" s="65"/>
      <c r="AJ442" s="85"/>
      <c r="AK442" s="78"/>
      <c r="AL442" s="78"/>
      <c r="AM442" s="78"/>
      <c r="AN442" s="78"/>
      <c r="AO442" s="78"/>
      <c r="AP442" s="78"/>
      <c r="AQ442" s="79"/>
      <c r="AR442" s="65"/>
      <c r="AT442" s="85"/>
      <c r="AU442" s="78"/>
      <c r="AV442" s="78"/>
      <c r="AW442" s="78"/>
      <c r="AX442" s="78"/>
      <c r="AY442" s="78"/>
      <c r="AZ442" s="79"/>
      <c r="BA442" s="65"/>
      <c r="BC442" s="85"/>
      <c r="BD442" s="78"/>
      <c r="BE442" s="78"/>
      <c r="BF442" s="78"/>
      <c r="BG442" s="78"/>
      <c r="BH442" s="78"/>
      <c r="BI442" s="78"/>
      <c r="BJ442" s="79"/>
      <c r="BK442" s="65"/>
      <c r="CU442" s="67"/>
      <c r="EC442" s="67"/>
      <c r="FK442" s="67"/>
      <c r="FL442" s="67"/>
      <c r="FM442" s="67"/>
      <c r="FN442" s="67"/>
      <c r="FO442" s="67"/>
      <c r="FP442" s="67"/>
      <c r="FQ442" s="67"/>
      <c r="FR442" s="67"/>
      <c r="FS442" s="67"/>
      <c r="FT442" s="67"/>
      <c r="FU442" s="67"/>
      <c r="FV442" s="67"/>
      <c r="FW442" s="67"/>
      <c r="FX442" s="67"/>
      <c r="FY442" s="67"/>
      <c r="FZ442" s="67"/>
      <c r="GA442" s="67"/>
      <c r="GB442" s="67"/>
      <c r="GC442" s="67"/>
      <c r="GD442" s="67"/>
      <c r="GE442" s="67"/>
      <c r="GF442" s="67"/>
      <c r="GG442" s="67"/>
      <c r="GH442" s="67"/>
      <c r="GI442" s="67"/>
      <c r="GJ442" s="67"/>
      <c r="GK442" s="67"/>
      <c r="GL442" s="67"/>
      <c r="GM442" s="67"/>
      <c r="GN442" s="67"/>
      <c r="GO442" s="67"/>
      <c r="GP442" s="67"/>
    </row>
    <row r="443" spans="5:198" s="66" customFormat="1">
      <c r="E443" s="67"/>
      <c r="G443" s="67"/>
      <c r="H443" s="67"/>
      <c r="I443" s="67"/>
      <c r="J443" s="67"/>
      <c r="K443" s="67"/>
      <c r="L443" s="67"/>
      <c r="M443" s="67"/>
      <c r="N443" s="67"/>
      <c r="O443" s="78"/>
      <c r="P443" s="78"/>
      <c r="S443" s="78"/>
      <c r="T443" s="78"/>
      <c r="U443" s="79"/>
      <c r="V443" s="65"/>
      <c r="Y443" s="78"/>
      <c r="Z443" s="78"/>
      <c r="AA443" s="78"/>
      <c r="AB443" s="78"/>
      <c r="AC443" s="78"/>
      <c r="AD443" s="78"/>
      <c r="AE443" s="78"/>
      <c r="AF443" s="78"/>
      <c r="AG443" s="79"/>
      <c r="AH443" s="65"/>
      <c r="AJ443" s="85"/>
      <c r="AK443" s="78"/>
      <c r="AL443" s="78"/>
      <c r="AM443" s="78"/>
      <c r="AN443" s="78"/>
      <c r="AO443" s="78"/>
      <c r="AP443" s="78"/>
      <c r="AQ443" s="79"/>
      <c r="AR443" s="65"/>
      <c r="AT443" s="85"/>
      <c r="AU443" s="78"/>
      <c r="AV443" s="78"/>
      <c r="AW443" s="78"/>
      <c r="AX443" s="78"/>
      <c r="AY443" s="78"/>
      <c r="AZ443" s="79"/>
      <c r="BA443" s="65"/>
      <c r="BC443" s="85"/>
      <c r="BD443" s="78"/>
      <c r="BE443" s="78"/>
      <c r="BF443" s="78"/>
      <c r="BG443" s="78"/>
      <c r="BH443" s="78"/>
      <c r="BI443" s="78"/>
      <c r="BJ443" s="79"/>
      <c r="BK443" s="65"/>
      <c r="CU443" s="67"/>
      <c r="EC443" s="67"/>
      <c r="FK443" s="67"/>
      <c r="FL443" s="67"/>
      <c r="FM443" s="67"/>
      <c r="FN443" s="67"/>
      <c r="FO443" s="67"/>
      <c r="FP443" s="67"/>
      <c r="FQ443" s="67"/>
      <c r="FR443" s="67"/>
      <c r="FS443" s="67"/>
      <c r="FT443" s="67"/>
      <c r="FU443" s="67"/>
      <c r="FV443" s="67"/>
      <c r="FW443" s="67"/>
      <c r="FX443" s="67"/>
      <c r="FY443" s="67"/>
      <c r="FZ443" s="67"/>
      <c r="GA443" s="67"/>
      <c r="GB443" s="67"/>
      <c r="GC443" s="67"/>
      <c r="GD443" s="67"/>
      <c r="GE443" s="67"/>
      <c r="GF443" s="67"/>
      <c r="GG443" s="67"/>
      <c r="GH443" s="67"/>
      <c r="GI443" s="67"/>
      <c r="GJ443" s="67"/>
      <c r="GK443" s="67"/>
      <c r="GL443" s="67"/>
      <c r="GM443" s="67"/>
      <c r="GN443" s="67"/>
      <c r="GO443" s="67"/>
      <c r="GP443" s="67"/>
    </row>
    <row r="444" spans="5:198" s="66" customFormat="1">
      <c r="E444" s="67"/>
      <c r="G444" s="67"/>
      <c r="H444" s="67"/>
      <c r="I444" s="67"/>
      <c r="J444" s="67"/>
      <c r="K444" s="67"/>
      <c r="L444" s="67"/>
      <c r="M444" s="67"/>
      <c r="N444" s="67"/>
      <c r="O444" s="78"/>
      <c r="P444" s="78"/>
      <c r="S444" s="78"/>
      <c r="T444" s="78"/>
      <c r="U444" s="79"/>
      <c r="V444" s="65"/>
      <c r="Y444" s="78"/>
      <c r="Z444" s="78"/>
      <c r="AA444" s="78"/>
      <c r="AB444" s="78"/>
      <c r="AC444" s="78"/>
      <c r="AD444" s="78"/>
      <c r="AE444" s="78"/>
      <c r="AF444" s="78"/>
      <c r="AG444" s="79"/>
      <c r="AH444" s="65"/>
      <c r="AJ444" s="85"/>
      <c r="AK444" s="78"/>
      <c r="AL444" s="78"/>
      <c r="AM444" s="78"/>
      <c r="AN444" s="78"/>
      <c r="AO444" s="78"/>
      <c r="AP444" s="78"/>
      <c r="AQ444" s="79"/>
      <c r="AR444" s="65"/>
      <c r="AT444" s="85"/>
      <c r="AU444" s="78"/>
      <c r="AV444" s="78"/>
      <c r="AW444" s="78"/>
      <c r="AX444" s="78"/>
      <c r="AY444" s="78"/>
      <c r="AZ444" s="79"/>
      <c r="BA444" s="65"/>
      <c r="BC444" s="85"/>
      <c r="BD444" s="78"/>
      <c r="BE444" s="78"/>
      <c r="BF444" s="78"/>
      <c r="BG444" s="78"/>
      <c r="BH444" s="78"/>
      <c r="BI444" s="78"/>
      <c r="BJ444" s="79"/>
      <c r="BK444" s="65"/>
      <c r="CU444" s="67"/>
      <c r="EC444" s="67"/>
      <c r="FK444" s="67"/>
      <c r="FL444" s="67"/>
      <c r="FM444" s="67"/>
      <c r="FN444" s="67"/>
      <c r="FO444" s="67"/>
      <c r="FP444" s="67"/>
      <c r="FQ444" s="67"/>
      <c r="FR444" s="67"/>
      <c r="FS444" s="67"/>
      <c r="FT444" s="67"/>
      <c r="FU444" s="67"/>
      <c r="FV444" s="67"/>
      <c r="FW444" s="67"/>
      <c r="FX444" s="67"/>
      <c r="FY444" s="67"/>
      <c r="FZ444" s="67"/>
      <c r="GA444" s="67"/>
      <c r="GB444" s="67"/>
      <c r="GC444" s="67"/>
      <c r="GD444" s="67"/>
      <c r="GE444" s="67"/>
      <c r="GF444" s="67"/>
      <c r="GG444" s="67"/>
      <c r="GH444" s="67"/>
      <c r="GI444" s="67"/>
      <c r="GJ444" s="67"/>
      <c r="GK444" s="67"/>
      <c r="GL444" s="67"/>
      <c r="GM444" s="67"/>
      <c r="GN444" s="67"/>
      <c r="GO444" s="67"/>
      <c r="GP444" s="67"/>
    </row>
    <row r="445" spans="5:198" s="66" customFormat="1">
      <c r="E445" s="67"/>
      <c r="G445" s="67"/>
      <c r="H445" s="67"/>
      <c r="I445" s="67"/>
      <c r="J445" s="67"/>
      <c r="K445" s="67"/>
      <c r="L445" s="67"/>
      <c r="M445" s="67"/>
      <c r="N445" s="67"/>
      <c r="O445" s="78"/>
      <c r="P445" s="78"/>
      <c r="S445" s="78"/>
      <c r="T445" s="78"/>
      <c r="U445" s="79"/>
      <c r="V445" s="65"/>
      <c r="Y445" s="78"/>
      <c r="Z445" s="78"/>
      <c r="AA445" s="78"/>
      <c r="AB445" s="78"/>
      <c r="AC445" s="78"/>
      <c r="AD445" s="78"/>
      <c r="AE445" s="78"/>
      <c r="AF445" s="78"/>
      <c r="AG445" s="79"/>
      <c r="AH445" s="65"/>
      <c r="AJ445" s="85"/>
      <c r="AK445" s="78"/>
      <c r="AL445" s="78"/>
      <c r="AM445" s="78"/>
      <c r="AN445" s="78"/>
      <c r="AO445" s="78"/>
      <c r="AP445" s="78"/>
      <c r="AQ445" s="79"/>
      <c r="AR445" s="65"/>
      <c r="AT445" s="85"/>
      <c r="AU445" s="78"/>
      <c r="AV445" s="78"/>
      <c r="AW445" s="78"/>
      <c r="AX445" s="78"/>
      <c r="AY445" s="78"/>
      <c r="AZ445" s="79"/>
      <c r="BA445" s="65"/>
      <c r="BC445" s="85"/>
      <c r="BD445" s="78"/>
      <c r="BE445" s="78"/>
      <c r="BF445" s="78"/>
      <c r="BG445" s="78"/>
      <c r="BH445" s="78"/>
      <c r="BI445" s="78"/>
      <c r="BJ445" s="79"/>
      <c r="BK445" s="65"/>
      <c r="CU445" s="67"/>
      <c r="EC445" s="67"/>
      <c r="FK445" s="67"/>
      <c r="FL445" s="67"/>
      <c r="FM445" s="67"/>
      <c r="FN445" s="67"/>
      <c r="FO445" s="67"/>
      <c r="FP445" s="67"/>
      <c r="FQ445" s="67"/>
      <c r="FR445" s="67"/>
      <c r="FS445" s="67"/>
      <c r="FT445" s="67"/>
      <c r="FU445" s="67"/>
      <c r="FV445" s="67"/>
      <c r="FW445" s="67"/>
      <c r="FX445" s="67"/>
      <c r="FY445" s="67"/>
      <c r="FZ445" s="67"/>
      <c r="GA445" s="67"/>
      <c r="GB445" s="67"/>
      <c r="GC445" s="67"/>
      <c r="GD445" s="67"/>
      <c r="GE445" s="67"/>
      <c r="GF445" s="67"/>
      <c r="GG445" s="67"/>
      <c r="GH445" s="67"/>
      <c r="GI445" s="67"/>
      <c r="GJ445" s="67"/>
      <c r="GK445" s="67"/>
      <c r="GL445" s="67"/>
      <c r="GM445" s="67"/>
      <c r="GN445" s="67"/>
      <c r="GO445" s="67"/>
      <c r="GP445" s="67"/>
    </row>
    <row r="446" spans="5:198" s="66" customFormat="1">
      <c r="E446" s="67"/>
      <c r="G446" s="67"/>
      <c r="H446" s="67"/>
      <c r="I446" s="67"/>
      <c r="J446" s="67"/>
      <c r="K446" s="67"/>
      <c r="L446" s="67"/>
      <c r="M446" s="67"/>
      <c r="N446" s="67"/>
      <c r="O446" s="78"/>
      <c r="P446" s="78"/>
      <c r="S446" s="78"/>
      <c r="T446" s="78"/>
      <c r="U446" s="79"/>
      <c r="V446" s="65"/>
      <c r="Y446" s="78"/>
      <c r="Z446" s="78"/>
      <c r="AA446" s="78"/>
      <c r="AB446" s="78"/>
      <c r="AC446" s="78"/>
      <c r="AD446" s="78"/>
      <c r="AE446" s="78"/>
      <c r="AF446" s="78"/>
      <c r="AG446" s="79"/>
      <c r="AH446" s="65"/>
      <c r="AJ446" s="85"/>
      <c r="AK446" s="78"/>
      <c r="AL446" s="78"/>
      <c r="AM446" s="78"/>
      <c r="AN446" s="78"/>
      <c r="AO446" s="78"/>
      <c r="AP446" s="78"/>
      <c r="AQ446" s="79"/>
      <c r="AR446" s="65"/>
      <c r="AT446" s="85"/>
      <c r="AU446" s="78"/>
      <c r="AV446" s="78"/>
      <c r="AW446" s="78"/>
      <c r="AX446" s="78"/>
      <c r="AY446" s="78"/>
      <c r="AZ446" s="79"/>
      <c r="BA446" s="65"/>
      <c r="BC446" s="85"/>
      <c r="BD446" s="78"/>
      <c r="BE446" s="78"/>
      <c r="BF446" s="78"/>
      <c r="BG446" s="78"/>
      <c r="BH446" s="78"/>
      <c r="BI446" s="78"/>
      <c r="BJ446" s="79"/>
      <c r="BK446" s="65"/>
      <c r="CU446" s="67"/>
      <c r="EC446" s="67"/>
      <c r="FK446" s="67"/>
      <c r="FL446" s="67"/>
      <c r="FM446" s="67"/>
      <c r="FN446" s="67"/>
      <c r="FO446" s="67"/>
      <c r="FP446" s="67"/>
      <c r="FQ446" s="67"/>
      <c r="FR446" s="67"/>
      <c r="FS446" s="67"/>
      <c r="FT446" s="67"/>
      <c r="FU446" s="67"/>
      <c r="FV446" s="67"/>
      <c r="FW446" s="67"/>
      <c r="FX446" s="67"/>
      <c r="FY446" s="67"/>
      <c r="FZ446" s="67"/>
      <c r="GA446" s="67"/>
      <c r="GB446" s="67"/>
      <c r="GC446" s="67"/>
      <c r="GD446" s="67"/>
      <c r="GE446" s="67"/>
      <c r="GF446" s="67"/>
      <c r="GG446" s="67"/>
      <c r="GH446" s="67"/>
      <c r="GI446" s="67"/>
      <c r="GJ446" s="67"/>
      <c r="GK446" s="67"/>
      <c r="GL446" s="67"/>
      <c r="GM446" s="67"/>
      <c r="GN446" s="67"/>
      <c r="GO446" s="67"/>
      <c r="GP446" s="67"/>
    </row>
    <row r="447" spans="5:198" s="66" customFormat="1">
      <c r="E447" s="67"/>
      <c r="G447" s="67"/>
      <c r="H447" s="67"/>
      <c r="I447" s="67"/>
      <c r="J447" s="67"/>
      <c r="K447" s="67"/>
      <c r="L447" s="67"/>
      <c r="M447" s="67"/>
      <c r="N447" s="67"/>
      <c r="O447" s="78"/>
      <c r="P447" s="78"/>
      <c r="S447" s="78"/>
      <c r="T447" s="78"/>
      <c r="U447" s="79"/>
      <c r="V447" s="65"/>
      <c r="Y447" s="78"/>
      <c r="Z447" s="78"/>
      <c r="AA447" s="78"/>
      <c r="AB447" s="78"/>
      <c r="AC447" s="78"/>
      <c r="AD447" s="78"/>
      <c r="AE447" s="78"/>
      <c r="AF447" s="78"/>
      <c r="AG447" s="79"/>
      <c r="AH447" s="65"/>
      <c r="AJ447" s="85"/>
      <c r="AK447" s="78"/>
      <c r="AL447" s="78"/>
      <c r="AM447" s="78"/>
      <c r="AN447" s="78"/>
      <c r="AO447" s="78"/>
      <c r="AP447" s="78"/>
      <c r="AQ447" s="79"/>
      <c r="AR447" s="65"/>
      <c r="AT447" s="85"/>
      <c r="AU447" s="78"/>
      <c r="AV447" s="78"/>
      <c r="AW447" s="78"/>
      <c r="AX447" s="78"/>
      <c r="AY447" s="78"/>
      <c r="AZ447" s="79"/>
      <c r="BA447" s="65"/>
      <c r="BC447" s="85"/>
      <c r="BD447" s="78"/>
      <c r="BE447" s="78"/>
      <c r="BF447" s="78"/>
      <c r="BG447" s="78"/>
      <c r="BH447" s="78"/>
      <c r="BI447" s="78"/>
      <c r="BJ447" s="79"/>
      <c r="BK447" s="65"/>
      <c r="CU447" s="67"/>
      <c r="EC447" s="67"/>
      <c r="FK447" s="67"/>
      <c r="FL447" s="67"/>
      <c r="FM447" s="67"/>
      <c r="FN447" s="67"/>
      <c r="FO447" s="67"/>
      <c r="FP447" s="67"/>
      <c r="FQ447" s="67"/>
      <c r="FR447" s="67"/>
      <c r="FS447" s="67"/>
      <c r="FT447" s="67"/>
      <c r="FU447" s="67"/>
      <c r="FV447" s="67"/>
      <c r="FW447" s="67"/>
      <c r="FX447" s="67"/>
      <c r="FY447" s="67"/>
      <c r="FZ447" s="67"/>
      <c r="GA447" s="67"/>
      <c r="GB447" s="67"/>
      <c r="GC447" s="67"/>
      <c r="GD447" s="67"/>
      <c r="GE447" s="67"/>
      <c r="GF447" s="67"/>
      <c r="GG447" s="67"/>
      <c r="GH447" s="67"/>
      <c r="GI447" s="67"/>
      <c r="GJ447" s="67"/>
      <c r="GK447" s="67"/>
      <c r="GL447" s="67"/>
      <c r="GM447" s="67"/>
      <c r="GN447" s="67"/>
      <c r="GO447" s="67"/>
      <c r="GP447" s="67"/>
    </row>
    <row r="448" spans="5:198" s="66" customFormat="1">
      <c r="E448" s="67"/>
      <c r="G448" s="67"/>
      <c r="H448" s="67"/>
      <c r="I448" s="67"/>
      <c r="J448" s="67"/>
      <c r="K448" s="67"/>
      <c r="L448" s="67"/>
      <c r="M448" s="67"/>
      <c r="N448" s="67"/>
      <c r="O448" s="78"/>
      <c r="P448" s="78"/>
      <c r="S448" s="78"/>
      <c r="T448" s="78"/>
      <c r="U448" s="79"/>
      <c r="V448" s="65"/>
      <c r="Y448" s="78"/>
      <c r="Z448" s="78"/>
      <c r="AA448" s="78"/>
      <c r="AB448" s="78"/>
      <c r="AC448" s="78"/>
      <c r="AD448" s="78"/>
      <c r="AE448" s="78"/>
      <c r="AF448" s="78"/>
      <c r="AG448" s="79"/>
      <c r="AH448" s="65"/>
      <c r="AJ448" s="85"/>
      <c r="AK448" s="78"/>
      <c r="AL448" s="78"/>
      <c r="AM448" s="78"/>
      <c r="AN448" s="78"/>
      <c r="AO448" s="78"/>
      <c r="AP448" s="78"/>
      <c r="AQ448" s="79"/>
      <c r="AR448" s="65"/>
      <c r="AT448" s="85"/>
      <c r="AU448" s="78"/>
      <c r="AV448" s="78"/>
      <c r="AW448" s="78"/>
      <c r="AX448" s="78"/>
      <c r="AY448" s="78"/>
      <c r="AZ448" s="79"/>
      <c r="BA448" s="65"/>
      <c r="BC448" s="85"/>
      <c r="BD448" s="78"/>
      <c r="BE448" s="78"/>
      <c r="BF448" s="78"/>
      <c r="BG448" s="78"/>
      <c r="BH448" s="78"/>
      <c r="BI448" s="78"/>
      <c r="BJ448" s="79"/>
      <c r="BK448" s="65"/>
      <c r="CU448" s="67"/>
      <c r="EC448" s="67"/>
      <c r="FK448" s="67"/>
      <c r="FL448" s="67"/>
      <c r="FM448" s="67"/>
      <c r="FN448" s="67"/>
      <c r="FO448" s="67"/>
      <c r="FP448" s="67"/>
      <c r="FQ448" s="67"/>
      <c r="FR448" s="67"/>
      <c r="FS448" s="67"/>
      <c r="FT448" s="67"/>
      <c r="FU448" s="67"/>
      <c r="FV448" s="67"/>
      <c r="FW448" s="67"/>
      <c r="FX448" s="67"/>
      <c r="FY448" s="67"/>
      <c r="FZ448" s="67"/>
      <c r="GA448" s="67"/>
      <c r="GB448" s="67"/>
      <c r="GC448" s="67"/>
      <c r="GD448" s="67"/>
      <c r="GE448" s="67"/>
      <c r="GF448" s="67"/>
      <c r="GG448" s="67"/>
      <c r="GH448" s="67"/>
      <c r="GI448" s="67"/>
      <c r="GJ448" s="67"/>
      <c r="GK448" s="67"/>
      <c r="GL448" s="67"/>
      <c r="GM448" s="67"/>
      <c r="GN448" s="67"/>
      <c r="GO448" s="67"/>
      <c r="GP448" s="67"/>
    </row>
    <row r="449" spans="5:198" s="66" customFormat="1">
      <c r="E449" s="67"/>
      <c r="G449" s="67"/>
      <c r="H449" s="67"/>
      <c r="I449" s="67"/>
      <c r="J449" s="67"/>
      <c r="K449" s="67"/>
      <c r="L449" s="67"/>
      <c r="M449" s="67"/>
      <c r="N449" s="67"/>
      <c r="O449" s="78"/>
      <c r="P449" s="78"/>
      <c r="S449" s="78"/>
      <c r="T449" s="78"/>
      <c r="U449" s="79"/>
      <c r="V449" s="65"/>
      <c r="Y449" s="78"/>
      <c r="Z449" s="78"/>
      <c r="AA449" s="78"/>
      <c r="AB449" s="78"/>
      <c r="AC449" s="78"/>
      <c r="AD449" s="78"/>
      <c r="AE449" s="78"/>
      <c r="AF449" s="78"/>
      <c r="AG449" s="79"/>
      <c r="AH449" s="65"/>
      <c r="AJ449" s="85"/>
      <c r="AK449" s="78"/>
      <c r="AL449" s="78"/>
      <c r="AM449" s="78"/>
      <c r="AN449" s="78"/>
      <c r="AO449" s="78"/>
      <c r="AP449" s="78"/>
      <c r="AQ449" s="79"/>
      <c r="AR449" s="65"/>
      <c r="AT449" s="85"/>
      <c r="AU449" s="78"/>
      <c r="AV449" s="78"/>
      <c r="AW449" s="78"/>
      <c r="AX449" s="78"/>
      <c r="AY449" s="78"/>
      <c r="AZ449" s="79"/>
      <c r="BA449" s="65"/>
      <c r="BC449" s="85"/>
      <c r="BD449" s="78"/>
      <c r="BE449" s="78"/>
      <c r="BF449" s="78"/>
      <c r="BG449" s="78"/>
      <c r="BH449" s="78"/>
      <c r="BI449" s="78"/>
      <c r="BJ449" s="79"/>
      <c r="BK449" s="65"/>
      <c r="CU449" s="67"/>
      <c r="EC449" s="67"/>
      <c r="FK449" s="67"/>
      <c r="FL449" s="67"/>
      <c r="FM449" s="67"/>
      <c r="FN449" s="67"/>
      <c r="FO449" s="67"/>
      <c r="FP449" s="67"/>
      <c r="FQ449" s="67"/>
      <c r="FR449" s="67"/>
      <c r="FS449" s="67"/>
      <c r="FT449" s="67"/>
      <c r="FU449" s="67"/>
      <c r="FV449" s="67"/>
      <c r="FW449" s="67"/>
      <c r="FX449" s="67"/>
      <c r="FY449" s="67"/>
      <c r="FZ449" s="67"/>
      <c r="GA449" s="67"/>
      <c r="GB449" s="67"/>
      <c r="GC449" s="67"/>
      <c r="GD449" s="67"/>
      <c r="GE449" s="67"/>
      <c r="GF449" s="67"/>
      <c r="GG449" s="67"/>
      <c r="GH449" s="67"/>
      <c r="GI449" s="67"/>
      <c r="GJ449" s="67"/>
      <c r="GK449" s="67"/>
      <c r="GL449" s="67"/>
      <c r="GM449" s="67"/>
      <c r="GN449" s="67"/>
      <c r="GO449" s="67"/>
      <c r="GP449" s="67"/>
    </row>
    <row r="450" spans="5:198" s="66" customFormat="1">
      <c r="E450" s="67"/>
      <c r="G450" s="67"/>
      <c r="H450" s="67"/>
      <c r="I450" s="67"/>
      <c r="J450" s="67"/>
      <c r="K450" s="67"/>
      <c r="L450" s="67"/>
      <c r="M450" s="67"/>
      <c r="N450" s="67"/>
      <c r="O450" s="78"/>
      <c r="P450" s="78"/>
      <c r="S450" s="78"/>
      <c r="T450" s="78"/>
      <c r="U450" s="79"/>
      <c r="V450" s="65"/>
      <c r="Y450" s="78"/>
      <c r="Z450" s="78"/>
      <c r="AA450" s="78"/>
      <c r="AB450" s="78"/>
      <c r="AC450" s="78"/>
      <c r="AD450" s="78"/>
      <c r="AE450" s="78"/>
      <c r="AF450" s="78"/>
      <c r="AG450" s="79"/>
      <c r="AH450" s="65"/>
      <c r="AJ450" s="85"/>
      <c r="AK450" s="78"/>
      <c r="AL450" s="78"/>
      <c r="AM450" s="78"/>
      <c r="AN450" s="78"/>
      <c r="AO450" s="78"/>
      <c r="AP450" s="78"/>
      <c r="AQ450" s="79"/>
      <c r="AR450" s="65"/>
      <c r="AT450" s="85"/>
      <c r="AU450" s="78"/>
      <c r="AV450" s="78"/>
      <c r="AW450" s="78"/>
      <c r="AX450" s="78"/>
      <c r="AY450" s="78"/>
      <c r="AZ450" s="79"/>
      <c r="BA450" s="65"/>
      <c r="BC450" s="85"/>
      <c r="BD450" s="78"/>
      <c r="BE450" s="78"/>
      <c r="BF450" s="78"/>
      <c r="BG450" s="78"/>
      <c r="BH450" s="78"/>
      <c r="BI450" s="78"/>
      <c r="BJ450" s="79"/>
      <c r="BK450" s="65"/>
      <c r="CU450" s="67"/>
      <c r="EC450" s="67"/>
      <c r="FK450" s="67"/>
      <c r="FL450" s="67"/>
      <c r="FM450" s="67"/>
      <c r="FN450" s="67"/>
      <c r="FO450" s="67"/>
      <c r="FP450" s="67"/>
      <c r="FQ450" s="67"/>
      <c r="FR450" s="67"/>
      <c r="FS450" s="67"/>
      <c r="FT450" s="67"/>
      <c r="FU450" s="67"/>
      <c r="FV450" s="67"/>
      <c r="FW450" s="67"/>
      <c r="FX450" s="67"/>
      <c r="FY450" s="67"/>
      <c r="FZ450" s="67"/>
      <c r="GA450" s="67"/>
      <c r="GB450" s="67"/>
      <c r="GC450" s="67"/>
      <c r="GD450" s="67"/>
      <c r="GE450" s="67"/>
      <c r="GF450" s="67"/>
      <c r="GG450" s="67"/>
      <c r="GH450" s="67"/>
      <c r="GI450" s="67"/>
      <c r="GJ450" s="67"/>
      <c r="GK450" s="67"/>
      <c r="GL450" s="67"/>
      <c r="GM450" s="67"/>
      <c r="GN450" s="67"/>
      <c r="GO450" s="67"/>
      <c r="GP450" s="67"/>
    </row>
    <row r="451" spans="5:198" s="66" customFormat="1">
      <c r="E451" s="67"/>
      <c r="G451" s="67"/>
      <c r="H451" s="67"/>
      <c r="I451" s="67"/>
      <c r="J451" s="67"/>
      <c r="K451" s="67"/>
      <c r="L451" s="67"/>
      <c r="M451" s="67"/>
      <c r="N451" s="67"/>
      <c r="O451" s="78"/>
      <c r="P451" s="78"/>
      <c r="S451" s="78"/>
      <c r="T451" s="78"/>
      <c r="U451" s="79"/>
      <c r="V451" s="65"/>
      <c r="Y451" s="78"/>
      <c r="Z451" s="78"/>
      <c r="AA451" s="78"/>
      <c r="AB451" s="78"/>
      <c r="AC451" s="78"/>
      <c r="AD451" s="78"/>
      <c r="AE451" s="78"/>
      <c r="AF451" s="78"/>
      <c r="AG451" s="79"/>
      <c r="AH451" s="65"/>
      <c r="AJ451" s="85"/>
      <c r="AK451" s="78"/>
      <c r="AL451" s="78"/>
      <c r="AM451" s="78"/>
      <c r="AN451" s="78"/>
      <c r="AO451" s="78"/>
      <c r="AP451" s="78"/>
      <c r="AQ451" s="79"/>
      <c r="AR451" s="65"/>
      <c r="AT451" s="85"/>
      <c r="AU451" s="78"/>
      <c r="AV451" s="78"/>
      <c r="AW451" s="78"/>
      <c r="AX451" s="78"/>
      <c r="AY451" s="78"/>
      <c r="AZ451" s="79"/>
      <c r="BA451" s="65"/>
      <c r="BC451" s="85"/>
      <c r="BD451" s="78"/>
      <c r="BE451" s="78"/>
      <c r="BF451" s="78"/>
      <c r="BG451" s="78"/>
      <c r="BH451" s="78"/>
      <c r="BI451" s="78"/>
      <c r="BJ451" s="79"/>
      <c r="BK451" s="65"/>
      <c r="CU451" s="67"/>
      <c r="EC451" s="67"/>
      <c r="FK451" s="67"/>
      <c r="FL451" s="67"/>
      <c r="FM451" s="67"/>
      <c r="FN451" s="67"/>
      <c r="FO451" s="67"/>
      <c r="FP451" s="67"/>
      <c r="FQ451" s="67"/>
      <c r="FR451" s="67"/>
      <c r="FS451" s="67"/>
      <c r="FT451" s="67"/>
      <c r="FU451" s="67"/>
      <c r="FV451" s="67"/>
      <c r="FW451" s="67"/>
      <c r="FX451" s="67"/>
      <c r="FY451" s="67"/>
      <c r="FZ451" s="67"/>
      <c r="GA451" s="67"/>
      <c r="GB451" s="67"/>
      <c r="GC451" s="67"/>
      <c r="GD451" s="67"/>
      <c r="GE451" s="67"/>
      <c r="GF451" s="67"/>
      <c r="GG451" s="67"/>
      <c r="GH451" s="67"/>
      <c r="GI451" s="67"/>
      <c r="GJ451" s="67"/>
      <c r="GK451" s="67"/>
      <c r="GL451" s="67"/>
      <c r="GM451" s="67"/>
      <c r="GN451" s="67"/>
      <c r="GO451" s="67"/>
      <c r="GP451" s="67"/>
    </row>
    <row r="452" spans="5:198" s="66" customFormat="1">
      <c r="E452" s="67"/>
      <c r="G452" s="67"/>
      <c r="H452" s="67"/>
      <c r="I452" s="67"/>
      <c r="J452" s="67"/>
      <c r="K452" s="67"/>
      <c r="L452" s="67"/>
      <c r="M452" s="67"/>
      <c r="N452" s="67"/>
      <c r="O452" s="78"/>
      <c r="P452" s="78"/>
      <c r="S452" s="78"/>
      <c r="T452" s="78"/>
      <c r="U452" s="79"/>
      <c r="V452" s="65"/>
      <c r="Y452" s="78"/>
      <c r="Z452" s="78"/>
      <c r="AA452" s="78"/>
      <c r="AB452" s="78"/>
      <c r="AC452" s="78"/>
      <c r="AD452" s="78"/>
      <c r="AE452" s="78"/>
      <c r="AF452" s="78"/>
      <c r="AG452" s="79"/>
      <c r="AH452" s="65"/>
      <c r="AJ452" s="85"/>
      <c r="AK452" s="78"/>
      <c r="AL452" s="78"/>
      <c r="AM452" s="78"/>
      <c r="AN452" s="78"/>
      <c r="AO452" s="78"/>
      <c r="AP452" s="78"/>
      <c r="AQ452" s="79"/>
      <c r="AR452" s="65"/>
      <c r="AT452" s="85"/>
      <c r="AU452" s="78"/>
      <c r="AV452" s="78"/>
      <c r="AW452" s="78"/>
      <c r="AX452" s="78"/>
      <c r="AY452" s="78"/>
      <c r="AZ452" s="79"/>
      <c r="BA452" s="65"/>
      <c r="BC452" s="85"/>
      <c r="BD452" s="78"/>
      <c r="BE452" s="78"/>
      <c r="BF452" s="78"/>
      <c r="BG452" s="78"/>
      <c r="BH452" s="78"/>
      <c r="BI452" s="78"/>
      <c r="BJ452" s="79"/>
      <c r="BK452" s="65"/>
      <c r="CU452" s="67"/>
      <c r="EC452" s="67"/>
      <c r="FK452" s="67"/>
      <c r="FL452" s="67"/>
      <c r="FM452" s="67"/>
      <c r="FN452" s="67"/>
      <c r="FO452" s="67"/>
      <c r="FP452" s="67"/>
      <c r="FQ452" s="67"/>
      <c r="FR452" s="67"/>
      <c r="FS452" s="67"/>
      <c r="FT452" s="67"/>
      <c r="FU452" s="67"/>
      <c r="FV452" s="67"/>
      <c r="FW452" s="67"/>
      <c r="FX452" s="67"/>
      <c r="FY452" s="67"/>
      <c r="FZ452" s="67"/>
      <c r="GA452" s="67"/>
      <c r="GB452" s="67"/>
      <c r="GC452" s="67"/>
      <c r="GD452" s="67"/>
      <c r="GE452" s="67"/>
      <c r="GF452" s="67"/>
      <c r="GG452" s="67"/>
      <c r="GH452" s="67"/>
      <c r="GI452" s="67"/>
      <c r="GJ452" s="67"/>
      <c r="GK452" s="67"/>
      <c r="GL452" s="67"/>
      <c r="GM452" s="67"/>
      <c r="GN452" s="67"/>
      <c r="GO452" s="67"/>
      <c r="GP452" s="67"/>
    </row>
    <row r="453" spans="5:198" s="66" customFormat="1">
      <c r="E453" s="67"/>
      <c r="G453" s="67"/>
      <c r="H453" s="67"/>
      <c r="I453" s="67"/>
      <c r="J453" s="67"/>
      <c r="K453" s="67"/>
      <c r="L453" s="67"/>
      <c r="M453" s="67"/>
      <c r="N453" s="67"/>
      <c r="O453" s="78"/>
      <c r="P453" s="78"/>
      <c r="S453" s="78"/>
      <c r="T453" s="78"/>
      <c r="U453" s="79"/>
      <c r="V453" s="65"/>
      <c r="Y453" s="78"/>
      <c r="Z453" s="78"/>
      <c r="AA453" s="78"/>
      <c r="AB453" s="78"/>
      <c r="AC453" s="78"/>
      <c r="AD453" s="78"/>
      <c r="AE453" s="78"/>
      <c r="AF453" s="78"/>
      <c r="AG453" s="79"/>
      <c r="AH453" s="65"/>
      <c r="AJ453" s="85"/>
      <c r="AK453" s="78"/>
      <c r="AL453" s="78"/>
      <c r="AM453" s="78"/>
      <c r="AN453" s="78"/>
      <c r="AO453" s="78"/>
      <c r="AP453" s="78"/>
      <c r="AQ453" s="79"/>
      <c r="AR453" s="65"/>
      <c r="AT453" s="85"/>
      <c r="AU453" s="78"/>
      <c r="AV453" s="78"/>
      <c r="AW453" s="78"/>
      <c r="AX453" s="78"/>
      <c r="AY453" s="78"/>
      <c r="AZ453" s="79"/>
      <c r="BA453" s="65"/>
      <c r="BC453" s="85"/>
      <c r="BD453" s="78"/>
      <c r="BE453" s="78"/>
      <c r="BF453" s="78"/>
      <c r="BG453" s="78"/>
      <c r="BH453" s="78"/>
      <c r="BI453" s="78"/>
      <c r="BJ453" s="79"/>
      <c r="BK453" s="65"/>
      <c r="CU453" s="67"/>
      <c r="EC453" s="67"/>
      <c r="FK453" s="67"/>
      <c r="FL453" s="67"/>
      <c r="FM453" s="67"/>
      <c r="FN453" s="67"/>
      <c r="FO453" s="67"/>
      <c r="FP453" s="67"/>
      <c r="FQ453" s="67"/>
      <c r="FR453" s="67"/>
      <c r="FS453" s="67"/>
      <c r="FT453" s="67"/>
      <c r="FU453" s="67"/>
      <c r="FV453" s="67"/>
      <c r="FW453" s="67"/>
      <c r="FX453" s="67"/>
      <c r="FY453" s="67"/>
      <c r="FZ453" s="67"/>
      <c r="GA453" s="67"/>
      <c r="GB453" s="67"/>
      <c r="GC453" s="67"/>
      <c r="GD453" s="67"/>
      <c r="GE453" s="67"/>
      <c r="GF453" s="67"/>
      <c r="GG453" s="67"/>
      <c r="GH453" s="67"/>
      <c r="GI453" s="67"/>
      <c r="GJ453" s="67"/>
      <c r="GK453" s="67"/>
      <c r="GL453" s="67"/>
      <c r="GM453" s="67"/>
      <c r="GN453" s="67"/>
      <c r="GO453" s="67"/>
      <c r="GP453" s="67"/>
    </row>
    <row r="454" spans="5:198" s="66" customFormat="1">
      <c r="E454" s="67"/>
      <c r="G454" s="67"/>
      <c r="H454" s="67"/>
      <c r="I454" s="67"/>
      <c r="J454" s="67"/>
      <c r="K454" s="67"/>
      <c r="L454" s="67"/>
      <c r="M454" s="67"/>
      <c r="N454" s="67"/>
      <c r="O454" s="78"/>
      <c r="P454" s="78"/>
      <c r="S454" s="78"/>
      <c r="T454" s="78"/>
      <c r="U454" s="79"/>
      <c r="V454" s="65"/>
      <c r="Y454" s="78"/>
      <c r="Z454" s="78"/>
      <c r="AA454" s="78"/>
      <c r="AB454" s="78"/>
      <c r="AC454" s="78"/>
      <c r="AD454" s="78"/>
      <c r="AE454" s="78"/>
      <c r="AF454" s="78"/>
      <c r="AG454" s="79"/>
      <c r="AH454" s="65"/>
      <c r="AJ454" s="85"/>
      <c r="AK454" s="78"/>
      <c r="AL454" s="78"/>
      <c r="AM454" s="78"/>
      <c r="AN454" s="78"/>
      <c r="AO454" s="78"/>
      <c r="AP454" s="78"/>
      <c r="AQ454" s="79"/>
      <c r="AR454" s="65"/>
      <c r="AT454" s="85"/>
      <c r="AU454" s="78"/>
      <c r="AV454" s="78"/>
      <c r="AW454" s="78"/>
      <c r="AX454" s="78"/>
      <c r="AY454" s="78"/>
      <c r="AZ454" s="79"/>
      <c r="BA454" s="65"/>
      <c r="BC454" s="85"/>
      <c r="BD454" s="78"/>
      <c r="BE454" s="78"/>
      <c r="BF454" s="78"/>
      <c r="BG454" s="78"/>
      <c r="BH454" s="78"/>
      <c r="BI454" s="78"/>
      <c r="BJ454" s="79"/>
      <c r="BK454" s="65"/>
      <c r="CU454" s="67"/>
      <c r="EC454" s="67"/>
      <c r="FK454" s="67"/>
      <c r="FL454" s="67"/>
      <c r="FM454" s="67"/>
      <c r="FN454" s="67"/>
      <c r="FO454" s="67"/>
      <c r="FP454" s="67"/>
      <c r="FQ454" s="67"/>
      <c r="FR454" s="67"/>
      <c r="FS454" s="67"/>
      <c r="FT454" s="67"/>
      <c r="FU454" s="67"/>
      <c r="FV454" s="67"/>
      <c r="FW454" s="67"/>
      <c r="FX454" s="67"/>
      <c r="FY454" s="67"/>
      <c r="FZ454" s="67"/>
      <c r="GA454" s="67"/>
      <c r="GB454" s="67"/>
      <c r="GC454" s="67"/>
      <c r="GD454" s="67"/>
      <c r="GE454" s="67"/>
      <c r="GF454" s="67"/>
      <c r="GG454" s="67"/>
      <c r="GH454" s="67"/>
      <c r="GI454" s="67"/>
      <c r="GJ454" s="67"/>
      <c r="GK454" s="67"/>
      <c r="GL454" s="67"/>
      <c r="GM454" s="67"/>
      <c r="GN454" s="67"/>
      <c r="GO454" s="67"/>
      <c r="GP454" s="67"/>
    </row>
    <row r="455" spans="5:198" s="66" customFormat="1">
      <c r="E455" s="67"/>
      <c r="G455" s="67"/>
      <c r="H455" s="67"/>
      <c r="I455" s="67"/>
      <c r="J455" s="67"/>
      <c r="K455" s="67"/>
      <c r="L455" s="67"/>
      <c r="M455" s="67"/>
      <c r="N455" s="67"/>
      <c r="O455" s="78"/>
      <c r="P455" s="78"/>
      <c r="S455" s="78"/>
      <c r="T455" s="78"/>
      <c r="U455" s="79"/>
      <c r="V455" s="65"/>
      <c r="Y455" s="78"/>
      <c r="Z455" s="78"/>
      <c r="AA455" s="78"/>
      <c r="AB455" s="78"/>
      <c r="AC455" s="78"/>
      <c r="AD455" s="78"/>
      <c r="AE455" s="78"/>
      <c r="AF455" s="78"/>
      <c r="AG455" s="79"/>
      <c r="AH455" s="65"/>
      <c r="AJ455" s="85"/>
      <c r="AK455" s="78"/>
      <c r="AL455" s="78"/>
      <c r="AM455" s="78"/>
      <c r="AN455" s="78"/>
      <c r="AO455" s="78"/>
      <c r="AP455" s="78"/>
      <c r="AQ455" s="79"/>
      <c r="AR455" s="65"/>
      <c r="AT455" s="85"/>
      <c r="AU455" s="78"/>
      <c r="AV455" s="78"/>
      <c r="AW455" s="78"/>
      <c r="AX455" s="78"/>
      <c r="AY455" s="78"/>
      <c r="AZ455" s="79"/>
      <c r="BA455" s="65"/>
      <c r="BC455" s="85"/>
      <c r="BD455" s="78"/>
      <c r="BE455" s="78"/>
      <c r="BF455" s="78"/>
      <c r="BG455" s="78"/>
      <c r="BH455" s="78"/>
      <c r="BI455" s="78"/>
      <c r="BJ455" s="79"/>
      <c r="BK455" s="65"/>
      <c r="CU455" s="67"/>
      <c r="EC455" s="67"/>
      <c r="FK455" s="67"/>
      <c r="FL455" s="67"/>
      <c r="FM455" s="67"/>
      <c r="FN455" s="67"/>
      <c r="FO455" s="67"/>
      <c r="FP455" s="67"/>
      <c r="FQ455" s="67"/>
      <c r="FR455" s="67"/>
      <c r="FS455" s="67"/>
      <c r="FT455" s="67"/>
      <c r="FU455" s="67"/>
      <c r="FV455" s="67"/>
      <c r="FW455" s="67"/>
      <c r="FX455" s="67"/>
      <c r="FY455" s="67"/>
      <c r="FZ455" s="67"/>
      <c r="GA455" s="67"/>
      <c r="GB455" s="67"/>
      <c r="GC455" s="67"/>
      <c r="GD455" s="67"/>
      <c r="GE455" s="67"/>
      <c r="GF455" s="67"/>
      <c r="GG455" s="67"/>
      <c r="GH455" s="67"/>
      <c r="GI455" s="67"/>
      <c r="GJ455" s="67"/>
      <c r="GK455" s="67"/>
      <c r="GL455" s="67"/>
      <c r="GM455" s="67"/>
      <c r="GN455" s="67"/>
      <c r="GO455" s="67"/>
      <c r="GP455" s="67"/>
    </row>
    <row r="456" spans="5:198" s="66" customFormat="1">
      <c r="E456" s="67"/>
      <c r="G456" s="67"/>
      <c r="H456" s="67"/>
      <c r="I456" s="67"/>
      <c r="J456" s="67"/>
      <c r="K456" s="67"/>
      <c r="L456" s="67"/>
      <c r="M456" s="67"/>
      <c r="N456" s="67"/>
      <c r="O456" s="78"/>
      <c r="P456" s="78"/>
      <c r="S456" s="78"/>
      <c r="T456" s="78"/>
      <c r="U456" s="79"/>
      <c r="V456" s="65"/>
      <c r="Y456" s="78"/>
      <c r="Z456" s="78"/>
      <c r="AA456" s="78"/>
      <c r="AB456" s="78"/>
      <c r="AC456" s="78"/>
      <c r="AD456" s="78"/>
      <c r="AE456" s="78"/>
      <c r="AF456" s="78"/>
      <c r="AG456" s="79"/>
      <c r="AH456" s="65"/>
      <c r="AJ456" s="85"/>
      <c r="AK456" s="78"/>
      <c r="AL456" s="78"/>
      <c r="AM456" s="78"/>
      <c r="AN456" s="78"/>
      <c r="AO456" s="78"/>
      <c r="AP456" s="78"/>
      <c r="AQ456" s="79"/>
      <c r="AR456" s="65"/>
      <c r="AT456" s="85"/>
      <c r="AU456" s="78"/>
      <c r="AV456" s="78"/>
      <c r="AW456" s="78"/>
      <c r="AX456" s="78"/>
      <c r="AY456" s="78"/>
      <c r="AZ456" s="79"/>
      <c r="BA456" s="65"/>
      <c r="BC456" s="85"/>
      <c r="BD456" s="78"/>
      <c r="BE456" s="78"/>
      <c r="BF456" s="78"/>
      <c r="BG456" s="78"/>
      <c r="BH456" s="78"/>
      <c r="BI456" s="78"/>
      <c r="BJ456" s="79"/>
      <c r="BK456" s="65"/>
      <c r="CU456" s="67"/>
      <c r="EC456" s="67"/>
      <c r="FK456" s="67"/>
      <c r="FL456" s="67"/>
      <c r="FM456" s="67"/>
      <c r="FN456" s="67"/>
      <c r="FO456" s="67"/>
      <c r="FP456" s="67"/>
      <c r="FQ456" s="67"/>
      <c r="FR456" s="67"/>
      <c r="FS456" s="67"/>
      <c r="FT456" s="67"/>
      <c r="FU456" s="67"/>
      <c r="FV456" s="67"/>
      <c r="FW456" s="67"/>
      <c r="FX456" s="67"/>
      <c r="FY456" s="67"/>
      <c r="FZ456" s="67"/>
      <c r="GA456" s="67"/>
      <c r="GB456" s="67"/>
      <c r="GC456" s="67"/>
      <c r="GD456" s="67"/>
      <c r="GE456" s="67"/>
      <c r="GF456" s="67"/>
      <c r="GG456" s="67"/>
      <c r="GH456" s="67"/>
      <c r="GI456" s="67"/>
      <c r="GJ456" s="67"/>
      <c r="GK456" s="67"/>
      <c r="GL456" s="67"/>
      <c r="GM456" s="67"/>
      <c r="GN456" s="67"/>
      <c r="GO456" s="67"/>
      <c r="GP456" s="67"/>
    </row>
    <row r="457" spans="5:198" s="66" customFormat="1">
      <c r="E457" s="67"/>
      <c r="G457" s="67"/>
      <c r="H457" s="67"/>
      <c r="I457" s="67"/>
      <c r="J457" s="67"/>
      <c r="K457" s="67"/>
      <c r="L457" s="67"/>
      <c r="M457" s="67"/>
      <c r="N457" s="67"/>
      <c r="O457" s="78"/>
      <c r="P457" s="78"/>
      <c r="S457" s="78"/>
      <c r="T457" s="78"/>
      <c r="U457" s="79"/>
      <c r="V457" s="65"/>
      <c r="Y457" s="78"/>
      <c r="Z457" s="78"/>
      <c r="AA457" s="78"/>
      <c r="AB457" s="78"/>
      <c r="AC457" s="78"/>
      <c r="AD457" s="78"/>
      <c r="AE457" s="78"/>
      <c r="AF457" s="78"/>
      <c r="AG457" s="79"/>
      <c r="AH457" s="65"/>
      <c r="AJ457" s="85"/>
      <c r="AK457" s="78"/>
      <c r="AL457" s="78"/>
      <c r="AM457" s="78"/>
      <c r="AN457" s="78"/>
      <c r="AO457" s="78"/>
      <c r="AP457" s="78"/>
      <c r="AQ457" s="79"/>
      <c r="AR457" s="65"/>
      <c r="AT457" s="85"/>
      <c r="AU457" s="78"/>
      <c r="AV457" s="78"/>
      <c r="AW457" s="78"/>
      <c r="AX457" s="78"/>
      <c r="AY457" s="78"/>
      <c r="AZ457" s="79"/>
      <c r="BA457" s="65"/>
      <c r="BC457" s="85"/>
      <c r="BD457" s="78"/>
      <c r="BE457" s="78"/>
      <c r="BF457" s="78"/>
      <c r="BG457" s="78"/>
      <c r="BH457" s="78"/>
      <c r="BI457" s="78"/>
      <c r="BJ457" s="79"/>
      <c r="BK457" s="65"/>
      <c r="CU457" s="67"/>
      <c r="EC457" s="67"/>
      <c r="FK457" s="67"/>
      <c r="FL457" s="67"/>
      <c r="FM457" s="67"/>
      <c r="FN457" s="67"/>
      <c r="FO457" s="67"/>
      <c r="FP457" s="67"/>
      <c r="FQ457" s="67"/>
      <c r="FR457" s="67"/>
      <c r="FS457" s="67"/>
      <c r="FT457" s="67"/>
      <c r="FU457" s="67"/>
      <c r="FV457" s="67"/>
      <c r="FW457" s="67"/>
      <c r="FX457" s="67"/>
      <c r="FY457" s="67"/>
      <c r="FZ457" s="67"/>
      <c r="GA457" s="67"/>
      <c r="GB457" s="67"/>
      <c r="GC457" s="67"/>
      <c r="GD457" s="67"/>
      <c r="GE457" s="67"/>
      <c r="GF457" s="67"/>
      <c r="GG457" s="67"/>
      <c r="GH457" s="67"/>
      <c r="GI457" s="67"/>
      <c r="GJ457" s="67"/>
      <c r="GK457" s="67"/>
      <c r="GL457" s="67"/>
      <c r="GM457" s="67"/>
      <c r="GN457" s="67"/>
      <c r="GO457" s="67"/>
      <c r="GP457" s="67"/>
    </row>
    <row r="458" spans="5:198" s="66" customFormat="1">
      <c r="E458" s="67"/>
      <c r="G458" s="67"/>
      <c r="H458" s="67"/>
      <c r="I458" s="67"/>
      <c r="J458" s="67"/>
      <c r="K458" s="67"/>
      <c r="L458" s="67"/>
      <c r="M458" s="67"/>
      <c r="N458" s="67"/>
      <c r="O458" s="78"/>
      <c r="P458" s="78"/>
      <c r="S458" s="78"/>
      <c r="T458" s="78"/>
      <c r="U458" s="79"/>
      <c r="V458" s="65"/>
      <c r="Y458" s="78"/>
      <c r="Z458" s="78"/>
      <c r="AA458" s="78"/>
      <c r="AB458" s="78"/>
      <c r="AC458" s="78"/>
      <c r="AD458" s="78"/>
      <c r="AE458" s="78"/>
      <c r="AF458" s="78"/>
      <c r="AG458" s="79"/>
      <c r="AH458" s="65"/>
      <c r="AJ458" s="85"/>
      <c r="AK458" s="78"/>
      <c r="AL458" s="78"/>
      <c r="AM458" s="78"/>
      <c r="AN458" s="78"/>
      <c r="AO458" s="78"/>
      <c r="AP458" s="78"/>
      <c r="AQ458" s="79"/>
      <c r="AR458" s="65"/>
      <c r="AT458" s="85"/>
      <c r="AU458" s="78"/>
      <c r="AV458" s="78"/>
      <c r="AW458" s="78"/>
      <c r="AX458" s="78"/>
      <c r="AY458" s="78"/>
      <c r="AZ458" s="79"/>
      <c r="BA458" s="65"/>
      <c r="BC458" s="85"/>
      <c r="BD458" s="78"/>
      <c r="BE458" s="78"/>
      <c r="BF458" s="78"/>
      <c r="BG458" s="78"/>
      <c r="BH458" s="78"/>
      <c r="BI458" s="78"/>
      <c r="BJ458" s="79"/>
      <c r="BK458" s="65"/>
      <c r="CU458" s="67"/>
      <c r="EC458" s="67"/>
      <c r="FK458" s="67"/>
      <c r="FL458" s="67"/>
      <c r="FM458" s="67"/>
      <c r="FN458" s="67"/>
      <c r="FO458" s="67"/>
      <c r="FP458" s="67"/>
      <c r="FQ458" s="67"/>
      <c r="FR458" s="67"/>
      <c r="FS458" s="67"/>
      <c r="FT458" s="67"/>
      <c r="FU458" s="67"/>
      <c r="FV458" s="67"/>
      <c r="FW458" s="67"/>
      <c r="FX458" s="67"/>
      <c r="FY458" s="67"/>
      <c r="FZ458" s="67"/>
      <c r="GA458" s="67"/>
      <c r="GB458" s="67"/>
      <c r="GC458" s="67"/>
      <c r="GD458" s="67"/>
      <c r="GE458" s="67"/>
      <c r="GF458" s="67"/>
      <c r="GG458" s="67"/>
      <c r="GH458" s="67"/>
      <c r="GI458" s="67"/>
      <c r="GJ458" s="67"/>
      <c r="GK458" s="67"/>
      <c r="GL458" s="67"/>
      <c r="GM458" s="67"/>
      <c r="GN458" s="67"/>
      <c r="GO458" s="67"/>
      <c r="GP458" s="67"/>
    </row>
    <row r="459" spans="5:198" s="66" customFormat="1">
      <c r="E459" s="67"/>
      <c r="G459" s="67"/>
      <c r="H459" s="67"/>
      <c r="I459" s="67"/>
      <c r="J459" s="67"/>
      <c r="K459" s="67"/>
      <c r="L459" s="67"/>
      <c r="M459" s="67"/>
      <c r="N459" s="67"/>
      <c r="O459" s="78"/>
      <c r="P459" s="78"/>
      <c r="S459" s="78"/>
      <c r="T459" s="78"/>
      <c r="U459" s="79"/>
      <c r="V459" s="65"/>
      <c r="Y459" s="78"/>
      <c r="Z459" s="78"/>
      <c r="AA459" s="78"/>
      <c r="AB459" s="78"/>
      <c r="AC459" s="78"/>
      <c r="AD459" s="78"/>
      <c r="AE459" s="78"/>
      <c r="AF459" s="78"/>
      <c r="AG459" s="79"/>
      <c r="AH459" s="65"/>
      <c r="AJ459" s="85"/>
      <c r="AK459" s="78"/>
      <c r="AL459" s="78"/>
      <c r="AM459" s="78"/>
      <c r="AN459" s="78"/>
      <c r="AO459" s="78"/>
      <c r="AP459" s="78"/>
      <c r="AQ459" s="79"/>
      <c r="AR459" s="65"/>
      <c r="AT459" s="85"/>
      <c r="AU459" s="78"/>
      <c r="AV459" s="78"/>
      <c r="AW459" s="78"/>
      <c r="AX459" s="78"/>
      <c r="AY459" s="78"/>
      <c r="AZ459" s="79"/>
      <c r="BA459" s="65"/>
      <c r="BC459" s="85"/>
      <c r="BD459" s="78"/>
      <c r="BE459" s="78"/>
      <c r="BF459" s="78"/>
      <c r="BG459" s="78"/>
      <c r="BH459" s="78"/>
      <c r="BI459" s="78"/>
      <c r="BJ459" s="79"/>
      <c r="BK459" s="65"/>
      <c r="CU459" s="67"/>
      <c r="EC459" s="67"/>
      <c r="FK459" s="67"/>
      <c r="FL459" s="67"/>
      <c r="FM459" s="67"/>
      <c r="FN459" s="67"/>
      <c r="FO459" s="67"/>
      <c r="FP459" s="67"/>
      <c r="FQ459" s="67"/>
      <c r="FR459" s="67"/>
      <c r="FS459" s="67"/>
      <c r="FT459" s="67"/>
      <c r="FU459" s="67"/>
      <c r="FV459" s="67"/>
      <c r="FW459" s="67"/>
      <c r="FX459" s="67"/>
      <c r="FY459" s="67"/>
      <c r="FZ459" s="67"/>
      <c r="GA459" s="67"/>
      <c r="GB459" s="67"/>
      <c r="GC459" s="67"/>
      <c r="GD459" s="67"/>
      <c r="GE459" s="67"/>
      <c r="GF459" s="67"/>
      <c r="GG459" s="67"/>
      <c r="GH459" s="67"/>
      <c r="GI459" s="67"/>
      <c r="GJ459" s="67"/>
      <c r="GK459" s="67"/>
      <c r="GL459" s="67"/>
      <c r="GM459" s="67"/>
      <c r="GN459" s="67"/>
      <c r="GO459" s="67"/>
      <c r="GP459" s="67"/>
    </row>
    <row r="460" spans="5:198" s="66" customFormat="1">
      <c r="E460" s="67"/>
      <c r="G460" s="67"/>
      <c r="H460" s="67"/>
      <c r="I460" s="67"/>
      <c r="J460" s="67"/>
      <c r="K460" s="67"/>
      <c r="L460" s="67"/>
      <c r="M460" s="67"/>
      <c r="N460" s="67"/>
      <c r="O460" s="78"/>
      <c r="P460" s="78"/>
      <c r="S460" s="78"/>
      <c r="T460" s="78"/>
      <c r="U460" s="79"/>
      <c r="V460" s="65"/>
      <c r="Y460" s="78"/>
      <c r="Z460" s="78"/>
      <c r="AA460" s="78"/>
      <c r="AB460" s="78"/>
      <c r="AC460" s="78"/>
      <c r="AD460" s="78"/>
      <c r="AE460" s="78"/>
      <c r="AF460" s="78"/>
      <c r="AG460" s="79"/>
      <c r="AH460" s="65"/>
      <c r="AJ460" s="85"/>
      <c r="AK460" s="78"/>
      <c r="AL460" s="78"/>
      <c r="AM460" s="78"/>
      <c r="AN460" s="78"/>
      <c r="AO460" s="78"/>
      <c r="AP460" s="78"/>
      <c r="AQ460" s="79"/>
      <c r="AR460" s="65"/>
      <c r="AT460" s="85"/>
      <c r="AU460" s="78"/>
      <c r="AV460" s="78"/>
      <c r="AW460" s="78"/>
      <c r="AX460" s="78"/>
      <c r="AY460" s="78"/>
      <c r="AZ460" s="79"/>
      <c r="BA460" s="65"/>
      <c r="BC460" s="85"/>
      <c r="BD460" s="78"/>
      <c r="BE460" s="78"/>
      <c r="BF460" s="78"/>
      <c r="BG460" s="78"/>
      <c r="BH460" s="78"/>
      <c r="BI460" s="78"/>
      <c r="BJ460" s="79"/>
      <c r="BK460" s="65"/>
      <c r="CU460" s="67"/>
      <c r="EC460" s="67"/>
      <c r="FK460" s="67"/>
      <c r="FL460" s="67"/>
      <c r="FM460" s="67"/>
      <c r="FN460" s="67"/>
      <c r="FO460" s="67"/>
      <c r="FP460" s="67"/>
      <c r="FQ460" s="67"/>
      <c r="FR460" s="67"/>
      <c r="FS460" s="67"/>
      <c r="FT460" s="67"/>
      <c r="FU460" s="67"/>
      <c r="FV460" s="67"/>
      <c r="FW460" s="67"/>
      <c r="FX460" s="67"/>
      <c r="FY460" s="67"/>
      <c r="FZ460" s="67"/>
      <c r="GA460" s="67"/>
      <c r="GB460" s="67"/>
      <c r="GC460" s="67"/>
      <c r="GD460" s="67"/>
      <c r="GE460" s="67"/>
      <c r="GF460" s="67"/>
      <c r="GG460" s="67"/>
      <c r="GH460" s="67"/>
      <c r="GI460" s="67"/>
      <c r="GJ460" s="67"/>
      <c r="GK460" s="67"/>
      <c r="GL460" s="67"/>
      <c r="GM460" s="67"/>
      <c r="GN460" s="67"/>
      <c r="GO460" s="67"/>
      <c r="GP460" s="67"/>
    </row>
    <row r="461" spans="5:198" s="66" customFormat="1">
      <c r="E461" s="67"/>
      <c r="G461" s="67"/>
      <c r="H461" s="67"/>
      <c r="I461" s="67"/>
      <c r="J461" s="67"/>
      <c r="K461" s="67"/>
      <c r="L461" s="67"/>
      <c r="M461" s="67"/>
      <c r="N461" s="67"/>
      <c r="O461" s="78"/>
      <c r="P461" s="78"/>
      <c r="S461" s="78"/>
      <c r="T461" s="78"/>
      <c r="U461" s="79"/>
      <c r="V461" s="65"/>
      <c r="Y461" s="78"/>
      <c r="Z461" s="78"/>
      <c r="AA461" s="78"/>
      <c r="AB461" s="78"/>
      <c r="AC461" s="78"/>
      <c r="AD461" s="78"/>
      <c r="AE461" s="78"/>
      <c r="AF461" s="78"/>
      <c r="AG461" s="79"/>
      <c r="AH461" s="65"/>
      <c r="AJ461" s="85"/>
      <c r="AK461" s="78"/>
      <c r="AL461" s="78"/>
      <c r="AM461" s="78"/>
      <c r="AN461" s="78"/>
      <c r="AO461" s="78"/>
      <c r="AP461" s="78"/>
      <c r="AQ461" s="79"/>
      <c r="AR461" s="65"/>
      <c r="AT461" s="85"/>
      <c r="AU461" s="78"/>
      <c r="AV461" s="78"/>
      <c r="AW461" s="78"/>
      <c r="AX461" s="78"/>
      <c r="AY461" s="78"/>
      <c r="AZ461" s="79"/>
      <c r="BA461" s="65"/>
      <c r="BC461" s="85"/>
      <c r="BD461" s="78"/>
      <c r="BE461" s="78"/>
      <c r="BF461" s="78"/>
      <c r="BG461" s="78"/>
      <c r="BH461" s="78"/>
      <c r="BI461" s="78"/>
      <c r="BJ461" s="79"/>
      <c r="BK461" s="65"/>
      <c r="CU461" s="67"/>
      <c r="EC461" s="67"/>
      <c r="FK461" s="67"/>
      <c r="FL461" s="67"/>
      <c r="FM461" s="67"/>
      <c r="FN461" s="67"/>
      <c r="FO461" s="67"/>
      <c r="FP461" s="67"/>
      <c r="FQ461" s="67"/>
      <c r="FR461" s="67"/>
      <c r="FS461" s="67"/>
      <c r="FT461" s="67"/>
      <c r="FU461" s="67"/>
      <c r="FV461" s="67"/>
      <c r="FW461" s="67"/>
      <c r="FX461" s="67"/>
      <c r="FY461" s="67"/>
      <c r="FZ461" s="67"/>
      <c r="GA461" s="67"/>
      <c r="GB461" s="67"/>
      <c r="GC461" s="67"/>
      <c r="GD461" s="67"/>
      <c r="GE461" s="67"/>
      <c r="GF461" s="67"/>
      <c r="GG461" s="67"/>
      <c r="GH461" s="67"/>
      <c r="GI461" s="67"/>
      <c r="GJ461" s="67"/>
      <c r="GK461" s="67"/>
      <c r="GL461" s="67"/>
      <c r="GM461" s="67"/>
      <c r="GN461" s="67"/>
      <c r="GO461" s="67"/>
      <c r="GP461" s="67"/>
    </row>
    <row r="462" spans="5:198" s="66" customFormat="1">
      <c r="E462" s="67"/>
      <c r="G462" s="67"/>
      <c r="H462" s="67"/>
      <c r="I462" s="67"/>
      <c r="J462" s="67"/>
      <c r="K462" s="67"/>
      <c r="L462" s="67"/>
      <c r="M462" s="67"/>
      <c r="N462" s="67"/>
      <c r="O462" s="78"/>
      <c r="P462" s="78"/>
      <c r="S462" s="78"/>
      <c r="T462" s="78"/>
      <c r="U462" s="79"/>
      <c r="V462" s="65"/>
      <c r="Y462" s="78"/>
      <c r="Z462" s="78"/>
      <c r="AA462" s="78"/>
      <c r="AB462" s="78"/>
      <c r="AC462" s="78"/>
      <c r="AD462" s="78"/>
      <c r="AE462" s="78"/>
      <c r="AF462" s="78"/>
      <c r="AG462" s="79"/>
      <c r="AH462" s="65"/>
      <c r="AJ462" s="85"/>
      <c r="AK462" s="78"/>
      <c r="AL462" s="78"/>
      <c r="AM462" s="78"/>
      <c r="AN462" s="78"/>
      <c r="AO462" s="78"/>
      <c r="AP462" s="78"/>
      <c r="AQ462" s="79"/>
      <c r="AR462" s="65"/>
      <c r="AT462" s="85"/>
      <c r="AU462" s="78"/>
      <c r="AV462" s="78"/>
      <c r="AW462" s="78"/>
      <c r="AX462" s="78"/>
      <c r="AY462" s="78"/>
      <c r="AZ462" s="79"/>
      <c r="BA462" s="65"/>
      <c r="BC462" s="85"/>
      <c r="BD462" s="78"/>
      <c r="BE462" s="78"/>
      <c r="BF462" s="78"/>
      <c r="BG462" s="78"/>
      <c r="BH462" s="78"/>
      <c r="BI462" s="78"/>
      <c r="BJ462" s="79"/>
      <c r="BK462" s="65"/>
      <c r="CU462" s="67"/>
      <c r="EC462" s="67"/>
      <c r="FK462" s="67"/>
      <c r="FL462" s="67"/>
      <c r="FM462" s="67"/>
      <c r="FN462" s="67"/>
      <c r="FO462" s="67"/>
      <c r="FP462" s="67"/>
      <c r="FQ462" s="67"/>
      <c r="FR462" s="67"/>
      <c r="FS462" s="67"/>
      <c r="FT462" s="67"/>
      <c r="FU462" s="67"/>
      <c r="FV462" s="67"/>
      <c r="FW462" s="67"/>
      <c r="FX462" s="67"/>
      <c r="FY462" s="67"/>
      <c r="FZ462" s="67"/>
      <c r="GA462" s="67"/>
      <c r="GB462" s="67"/>
      <c r="GC462" s="67"/>
      <c r="GD462" s="67"/>
      <c r="GE462" s="67"/>
      <c r="GF462" s="67"/>
      <c r="GG462" s="67"/>
      <c r="GH462" s="67"/>
      <c r="GI462" s="67"/>
      <c r="GJ462" s="67"/>
      <c r="GK462" s="67"/>
      <c r="GL462" s="67"/>
      <c r="GM462" s="67"/>
      <c r="GN462" s="67"/>
      <c r="GO462" s="67"/>
      <c r="GP462" s="67"/>
    </row>
    <row r="463" spans="5:198" s="66" customFormat="1">
      <c r="E463" s="67"/>
      <c r="G463" s="67"/>
      <c r="H463" s="67"/>
      <c r="I463" s="67"/>
      <c r="J463" s="67"/>
      <c r="K463" s="67"/>
      <c r="L463" s="67"/>
      <c r="M463" s="67"/>
      <c r="N463" s="67"/>
      <c r="O463" s="78"/>
      <c r="P463" s="78"/>
      <c r="S463" s="78"/>
      <c r="T463" s="78"/>
      <c r="U463" s="79"/>
      <c r="V463" s="65"/>
      <c r="Y463" s="78"/>
      <c r="Z463" s="78"/>
      <c r="AA463" s="78"/>
      <c r="AB463" s="78"/>
      <c r="AC463" s="78"/>
      <c r="AD463" s="78"/>
      <c r="AE463" s="78"/>
      <c r="AF463" s="78"/>
      <c r="AG463" s="79"/>
      <c r="AH463" s="65"/>
      <c r="AJ463" s="85"/>
      <c r="AK463" s="78"/>
      <c r="AL463" s="78"/>
      <c r="AM463" s="78"/>
      <c r="AN463" s="78"/>
      <c r="AO463" s="78"/>
      <c r="AP463" s="78"/>
      <c r="AQ463" s="79"/>
      <c r="AR463" s="65"/>
      <c r="AT463" s="85"/>
      <c r="AU463" s="78"/>
      <c r="AV463" s="78"/>
      <c r="AW463" s="78"/>
      <c r="AX463" s="78"/>
      <c r="AY463" s="78"/>
      <c r="AZ463" s="79"/>
      <c r="BA463" s="65"/>
      <c r="BC463" s="85"/>
      <c r="BD463" s="78"/>
      <c r="BE463" s="78"/>
      <c r="BF463" s="78"/>
      <c r="BG463" s="78"/>
      <c r="BH463" s="78"/>
      <c r="BI463" s="78"/>
      <c r="BJ463" s="79"/>
      <c r="BK463" s="65"/>
      <c r="CU463" s="67"/>
      <c r="EC463" s="67"/>
      <c r="FK463" s="67"/>
      <c r="FL463" s="67"/>
      <c r="FM463" s="67"/>
      <c r="FN463" s="67"/>
      <c r="FO463" s="67"/>
      <c r="FP463" s="67"/>
      <c r="FQ463" s="67"/>
      <c r="FR463" s="67"/>
      <c r="FS463" s="67"/>
      <c r="FT463" s="67"/>
      <c r="FU463" s="67"/>
      <c r="FV463" s="67"/>
      <c r="FW463" s="67"/>
      <c r="FX463" s="67"/>
      <c r="FY463" s="67"/>
      <c r="FZ463" s="67"/>
      <c r="GA463" s="67"/>
      <c r="GB463" s="67"/>
      <c r="GC463" s="67"/>
      <c r="GD463" s="67"/>
      <c r="GE463" s="67"/>
      <c r="GF463" s="67"/>
      <c r="GG463" s="67"/>
      <c r="GH463" s="67"/>
      <c r="GI463" s="67"/>
      <c r="GJ463" s="67"/>
      <c r="GK463" s="67"/>
      <c r="GL463" s="67"/>
      <c r="GM463" s="67"/>
      <c r="GN463" s="67"/>
      <c r="GO463" s="67"/>
      <c r="GP463" s="67"/>
    </row>
    <row r="464" spans="5:198" s="66" customFormat="1">
      <c r="E464" s="67"/>
      <c r="G464" s="67"/>
      <c r="H464" s="67"/>
      <c r="I464" s="67"/>
      <c r="J464" s="67"/>
      <c r="K464" s="67"/>
      <c r="L464" s="67"/>
      <c r="M464" s="67"/>
      <c r="N464" s="67"/>
      <c r="O464" s="78"/>
      <c r="P464" s="78"/>
      <c r="S464" s="78"/>
      <c r="T464" s="78"/>
      <c r="U464" s="79"/>
      <c r="V464" s="65"/>
      <c r="Y464" s="78"/>
      <c r="Z464" s="78"/>
      <c r="AA464" s="78"/>
      <c r="AB464" s="78"/>
      <c r="AC464" s="78"/>
      <c r="AD464" s="78"/>
      <c r="AE464" s="78"/>
      <c r="AF464" s="78"/>
      <c r="AG464" s="79"/>
      <c r="AH464" s="65"/>
      <c r="AJ464" s="85"/>
      <c r="AK464" s="78"/>
      <c r="AL464" s="78"/>
      <c r="AM464" s="78"/>
      <c r="AN464" s="78"/>
      <c r="AO464" s="78"/>
      <c r="AP464" s="78"/>
      <c r="AQ464" s="79"/>
      <c r="AR464" s="65"/>
      <c r="AT464" s="85"/>
      <c r="AU464" s="78"/>
      <c r="AV464" s="78"/>
      <c r="AW464" s="78"/>
      <c r="AX464" s="78"/>
      <c r="AY464" s="78"/>
      <c r="AZ464" s="79"/>
      <c r="BA464" s="65"/>
      <c r="BC464" s="85"/>
      <c r="BD464" s="78"/>
      <c r="BE464" s="78"/>
      <c r="BF464" s="78"/>
      <c r="BG464" s="78"/>
      <c r="BH464" s="78"/>
      <c r="BI464" s="78"/>
      <c r="BJ464" s="79"/>
      <c r="BK464" s="65"/>
      <c r="CU464" s="67"/>
      <c r="EC464" s="67"/>
      <c r="FK464" s="67"/>
      <c r="FL464" s="67"/>
      <c r="FM464" s="67"/>
      <c r="FN464" s="67"/>
      <c r="FO464" s="67"/>
      <c r="FP464" s="67"/>
      <c r="FQ464" s="67"/>
      <c r="FR464" s="67"/>
      <c r="FS464" s="67"/>
      <c r="FT464" s="67"/>
      <c r="FU464" s="67"/>
      <c r="FV464" s="67"/>
      <c r="FW464" s="67"/>
      <c r="FX464" s="67"/>
      <c r="FY464" s="67"/>
      <c r="FZ464" s="67"/>
      <c r="GA464" s="67"/>
      <c r="GB464" s="67"/>
      <c r="GC464" s="67"/>
      <c r="GD464" s="67"/>
      <c r="GE464" s="67"/>
      <c r="GF464" s="67"/>
      <c r="GG464" s="67"/>
      <c r="GH464" s="67"/>
      <c r="GI464" s="67"/>
      <c r="GJ464" s="67"/>
      <c r="GK464" s="67"/>
      <c r="GL464" s="67"/>
      <c r="GM464" s="67"/>
      <c r="GN464" s="67"/>
      <c r="GO464" s="67"/>
      <c r="GP464" s="67"/>
    </row>
    <row r="465" spans="5:198" s="66" customFormat="1">
      <c r="E465" s="67"/>
      <c r="G465" s="67"/>
      <c r="H465" s="67"/>
      <c r="I465" s="67"/>
      <c r="J465" s="67"/>
      <c r="K465" s="67"/>
      <c r="L465" s="67"/>
      <c r="M465" s="67"/>
      <c r="N465" s="67"/>
      <c r="O465" s="78"/>
      <c r="P465" s="78"/>
      <c r="S465" s="78"/>
      <c r="T465" s="78"/>
      <c r="U465" s="79"/>
      <c r="V465" s="65"/>
      <c r="Y465" s="78"/>
      <c r="Z465" s="78"/>
      <c r="AA465" s="78"/>
      <c r="AB465" s="78"/>
      <c r="AC465" s="78"/>
      <c r="AD465" s="78"/>
      <c r="AE465" s="78"/>
      <c r="AF465" s="78"/>
      <c r="AG465" s="79"/>
      <c r="AH465" s="65"/>
      <c r="AJ465" s="85"/>
      <c r="AK465" s="78"/>
      <c r="AL465" s="78"/>
      <c r="AM465" s="78"/>
      <c r="AN465" s="78"/>
      <c r="AO465" s="78"/>
      <c r="AP465" s="78"/>
      <c r="AQ465" s="79"/>
      <c r="AR465" s="65"/>
      <c r="AT465" s="85"/>
      <c r="AU465" s="78"/>
      <c r="AV465" s="78"/>
      <c r="AW465" s="78"/>
      <c r="AX465" s="78"/>
      <c r="AY465" s="78"/>
      <c r="AZ465" s="79"/>
      <c r="BA465" s="65"/>
      <c r="BC465" s="85"/>
      <c r="BD465" s="78"/>
      <c r="BE465" s="78"/>
      <c r="BF465" s="78"/>
      <c r="BG465" s="78"/>
      <c r="BH465" s="78"/>
      <c r="BI465" s="78"/>
      <c r="BJ465" s="79"/>
      <c r="BK465" s="65"/>
      <c r="CU465" s="67"/>
      <c r="EC465" s="67"/>
      <c r="FK465" s="67"/>
      <c r="FL465" s="67"/>
      <c r="FM465" s="67"/>
      <c r="FN465" s="67"/>
      <c r="FO465" s="67"/>
      <c r="FP465" s="67"/>
      <c r="FQ465" s="67"/>
      <c r="FR465" s="67"/>
      <c r="FS465" s="67"/>
      <c r="FT465" s="67"/>
      <c r="FU465" s="67"/>
      <c r="FV465" s="67"/>
      <c r="FW465" s="67"/>
      <c r="FX465" s="67"/>
      <c r="FY465" s="67"/>
      <c r="FZ465" s="67"/>
      <c r="GA465" s="67"/>
      <c r="GB465" s="67"/>
      <c r="GC465" s="67"/>
      <c r="GD465" s="67"/>
      <c r="GE465" s="67"/>
      <c r="GF465" s="67"/>
      <c r="GG465" s="67"/>
      <c r="GH465" s="67"/>
      <c r="GI465" s="67"/>
      <c r="GJ465" s="67"/>
      <c r="GK465" s="67"/>
      <c r="GL465" s="67"/>
      <c r="GM465" s="67"/>
      <c r="GN465" s="67"/>
      <c r="GO465" s="67"/>
      <c r="GP465" s="67"/>
    </row>
    <row r="466" spans="5:198" s="66" customFormat="1">
      <c r="E466" s="67"/>
      <c r="G466" s="67"/>
      <c r="H466" s="67"/>
      <c r="I466" s="67"/>
      <c r="J466" s="67"/>
      <c r="K466" s="67"/>
      <c r="L466" s="67"/>
      <c r="M466" s="67"/>
      <c r="N466" s="67"/>
      <c r="O466" s="78"/>
      <c r="P466" s="78"/>
      <c r="S466" s="78"/>
      <c r="T466" s="78"/>
      <c r="U466" s="79"/>
      <c r="V466" s="65"/>
      <c r="Y466" s="78"/>
      <c r="Z466" s="78"/>
      <c r="AA466" s="78"/>
      <c r="AB466" s="78"/>
      <c r="AC466" s="78"/>
      <c r="AD466" s="78"/>
      <c r="AE466" s="78"/>
      <c r="AF466" s="78"/>
      <c r="AG466" s="79"/>
      <c r="AH466" s="65"/>
      <c r="AJ466" s="85"/>
      <c r="AK466" s="78"/>
      <c r="AL466" s="78"/>
      <c r="AM466" s="78"/>
      <c r="AN466" s="78"/>
      <c r="AO466" s="78"/>
      <c r="AP466" s="78"/>
      <c r="AQ466" s="79"/>
      <c r="AR466" s="65"/>
      <c r="AT466" s="85"/>
      <c r="AU466" s="78"/>
      <c r="AV466" s="78"/>
      <c r="AW466" s="78"/>
      <c r="AX466" s="78"/>
      <c r="AY466" s="78"/>
      <c r="AZ466" s="79"/>
      <c r="BA466" s="65"/>
      <c r="BC466" s="85"/>
      <c r="BD466" s="78"/>
      <c r="BE466" s="78"/>
      <c r="BF466" s="78"/>
      <c r="BG466" s="78"/>
      <c r="BH466" s="78"/>
      <c r="BI466" s="78"/>
      <c r="BJ466" s="79"/>
      <c r="BK466" s="65"/>
      <c r="CU466" s="67"/>
      <c r="EC466" s="67"/>
      <c r="FK466" s="67"/>
      <c r="FL466" s="67"/>
      <c r="FM466" s="67"/>
      <c r="FN466" s="67"/>
      <c r="FO466" s="67"/>
      <c r="FP466" s="67"/>
      <c r="FQ466" s="67"/>
      <c r="FR466" s="67"/>
      <c r="FS466" s="67"/>
      <c r="FT466" s="67"/>
      <c r="FU466" s="67"/>
      <c r="FV466" s="67"/>
      <c r="FW466" s="67"/>
      <c r="FX466" s="67"/>
      <c r="FY466" s="67"/>
      <c r="FZ466" s="67"/>
      <c r="GA466" s="67"/>
      <c r="GB466" s="67"/>
      <c r="GC466" s="67"/>
      <c r="GD466" s="67"/>
      <c r="GE466" s="67"/>
      <c r="GF466" s="67"/>
      <c r="GG466" s="67"/>
      <c r="GH466" s="67"/>
      <c r="GI466" s="67"/>
      <c r="GJ466" s="67"/>
      <c r="GK466" s="67"/>
      <c r="GL466" s="67"/>
      <c r="GM466" s="67"/>
      <c r="GN466" s="67"/>
      <c r="GO466" s="67"/>
      <c r="GP466" s="67"/>
    </row>
    <row r="467" spans="5:198" s="66" customFormat="1">
      <c r="E467" s="67"/>
      <c r="G467" s="67"/>
      <c r="H467" s="67"/>
      <c r="I467" s="67"/>
      <c r="J467" s="67"/>
      <c r="K467" s="67"/>
      <c r="L467" s="67"/>
      <c r="M467" s="67"/>
      <c r="N467" s="67"/>
      <c r="O467" s="78"/>
      <c r="P467" s="78"/>
      <c r="S467" s="78"/>
      <c r="T467" s="78"/>
      <c r="U467" s="79"/>
      <c r="V467" s="65"/>
      <c r="Y467" s="78"/>
      <c r="Z467" s="78"/>
      <c r="AA467" s="78"/>
      <c r="AB467" s="78"/>
      <c r="AC467" s="78"/>
      <c r="AD467" s="78"/>
      <c r="AE467" s="78"/>
      <c r="AF467" s="78"/>
      <c r="AG467" s="79"/>
      <c r="AH467" s="65"/>
      <c r="AJ467" s="85"/>
      <c r="AK467" s="78"/>
      <c r="AL467" s="78"/>
      <c r="AM467" s="78"/>
      <c r="AN467" s="78"/>
      <c r="AO467" s="78"/>
      <c r="AP467" s="78"/>
      <c r="AQ467" s="79"/>
      <c r="AR467" s="65"/>
      <c r="AT467" s="85"/>
      <c r="AU467" s="78"/>
      <c r="AV467" s="78"/>
      <c r="AW467" s="78"/>
      <c r="AX467" s="78"/>
      <c r="AY467" s="78"/>
      <c r="AZ467" s="79"/>
      <c r="BA467" s="65"/>
      <c r="BC467" s="85"/>
      <c r="BD467" s="78"/>
      <c r="BE467" s="78"/>
      <c r="BF467" s="78"/>
      <c r="BG467" s="78"/>
      <c r="BH467" s="78"/>
      <c r="BI467" s="78"/>
      <c r="BJ467" s="79"/>
      <c r="BK467" s="65"/>
      <c r="CU467" s="67"/>
      <c r="EC467" s="67"/>
      <c r="FK467" s="67"/>
      <c r="FL467" s="67"/>
      <c r="FM467" s="67"/>
      <c r="FN467" s="67"/>
      <c r="FO467" s="67"/>
      <c r="FP467" s="67"/>
      <c r="FQ467" s="67"/>
      <c r="FR467" s="67"/>
      <c r="FS467" s="67"/>
      <c r="FT467" s="67"/>
      <c r="FU467" s="67"/>
      <c r="FV467" s="67"/>
      <c r="FW467" s="67"/>
      <c r="FX467" s="67"/>
      <c r="FY467" s="67"/>
      <c r="FZ467" s="67"/>
      <c r="GA467" s="67"/>
      <c r="GB467" s="67"/>
      <c r="GC467" s="67"/>
      <c r="GD467" s="67"/>
      <c r="GE467" s="67"/>
      <c r="GF467" s="67"/>
      <c r="GG467" s="67"/>
      <c r="GH467" s="67"/>
      <c r="GI467" s="67"/>
      <c r="GJ467" s="67"/>
      <c r="GK467" s="67"/>
      <c r="GL467" s="67"/>
      <c r="GM467" s="67"/>
      <c r="GN467" s="67"/>
      <c r="GO467" s="67"/>
      <c r="GP467" s="67"/>
    </row>
    <row r="468" spans="5:198" s="66" customFormat="1">
      <c r="E468" s="67"/>
      <c r="G468" s="67"/>
      <c r="H468" s="67"/>
      <c r="I468" s="67"/>
      <c r="J468" s="67"/>
      <c r="K468" s="67"/>
      <c r="L468" s="67"/>
      <c r="M468" s="67"/>
      <c r="N468" s="67"/>
      <c r="O468" s="78"/>
      <c r="P468" s="78"/>
      <c r="S468" s="78"/>
      <c r="T468" s="78"/>
      <c r="U468" s="79"/>
      <c r="V468" s="65"/>
      <c r="Y468" s="78"/>
      <c r="Z468" s="78"/>
      <c r="AA468" s="78"/>
      <c r="AB468" s="78"/>
      <c r="AC468" s="78"/>
      <c r="AD468" s="78"/>
      <c r="AE468" s="78"/>
      <c r="AF468" s="78"/>
      <c r="AG468" s="79"/>
      <c r="AH468" s="65"/>
      <c r="AJ468" s="85"/>
      <c r="AK468" s="78"/>
      <c r="AL468" s="78"/>
      <c r="AM468" s="78"/>
      <c r="AN468" s="78"/>
      <c r="AO468" s="78"/>
      <c r="AP468" s="78"/>
      <c r="AQ468" s="79"/>
      <c r="AR468" s="65"/>
      <c r="AT468" s="85"/>
      <c r="AU468" s="78"/>
      <c r="AV468" s="78"/>
      <c r="AW468" s="78"/>
      <c r="AX468" s="78"/>
      <c r="AY468" s="78"/>
      <c r="AZ468" s="79"/>
      <c r="BA468" s="65"/>
      <c r="BC468" s="85"/>
      <c r="BD468" s="78"/>
      <c r="BE468" s="78"/>
      <c r="BF468" s="78"/>
      <c r="BG468" s="78"/>
      <c r="BH468" s="78"/>
      <c r="BI468" s="78"/>
      <c r="BJ468" s="79"/>
      <c r="BK468" s="65"/>
      <c r="CU468" s="67"/>
      <c r="EC468" s="67"/>
      <c r="FK468" s="67"/>
      <c r="FL468" s="67"/>
      <c r="FM468" s="67"/>
      <c r="FN468" s="67"/>
      <c r="FO468" s="67"/>
      <c r="FP468" s="67"/>
      <c r="FQ468" s="67"/>
      <c r="FR468" s="67"/>
      <c r="FS468" s="67"/>
      <c r="FT468" s="67"/>
      <c r="FU468" s="67"/>
      <c r="FV468" s="67"/>
      <c r="FW468" s="67"/>
      <c r="FX468" s="67"/>
      <c r="FY468" s="67"/>
      <c r="FZ468" s="67"/>
      <c r="GA468" s="67"/>
      <c r="GB468" s="67"/>
      <c r="GC468" s="67"/>
      <c r="GD468" s="67"/>
      <c r="GE468" s="67"/>
      <c r="GF468" s="67"/>
      <c r="GG468" s="67"/>
      <c r="GH468" s="67"/>
      <c r="GI468" s="67"/>
      <c r="GJ468" s="67"/>
      <c r="GK468" s="67"/>
      <c r="GL468" s="67"/>
      <c r="GM468" s="67"/>
      <c r="GN468" s="67"/>
      <c r="GO468" s="67"/>
      <c r="GP468" s="67"/>
    </row>
    <row r="469" spans="5:198" s="66" customFormat="1">
      <c r="E469" s="67"/>
      <c r="G469" s="67"/>
      <c r="H469" s="67"/>
      <c r="I469" s="67"/>
      <c r="J469" s="67"/>
      <c r="K469" s="67"/>
      <c r="L469" s="67"/>
      <c r="M469" s="67"/>
      <c r="N469" s="67"/>
      <c r="O469" s="78"/>
      <c r="P469" s="78"/>
      <c r="S469" s="78"/>
      <c r="T469" s="78"/>
      <c r="U469" s="79"/>
      <c r="V469" s="65"/>
      <c r="Y469" s="78"/>
      <c r="Z469" s="78"/>
      <c r="AA469" s="78"/>
      <c r="AB469" s="78"/>
      <c r="AC469" s="78"/>
      <c r="AD469" s="78"/>
      <c r="AE469" s="78"/>
      <c r="AF469" s="78"/>
      <c r="AG469" s="79"/>
      <c r="AH469" s="65"/>
      <c r="AJ469" s="85"/>
      <c r="AK469" s="78"/>
      <c r="AL469" s="78"/>
      <c r="AM469" s="78"/>
      <c r="AN469" s="78"/>
      <c r="AO469" s="78"/>
      <c r="AP469" s="78"/>
      <c r="AQ469" s="79"/>
      <c r="AR469" s="65"/>
      <c r="AT469" s="85"/>
      <c r="AU469" s="78"/>
      <c r="AV469" s="78"/>
      <c r="AW469" s="78"/>
      <c r="AX469" s="78"/>
      <c r="AY469" s="78"/>
      <c r="AZ469" s="79"/>
      <c r="BA469" s="65"/>
      <c r="BC469" s="85"/>
      <c r="BD469" s="78"/>
      <c r="BE469" s="78"/>
      <c r="BF469" s="78"/>
      <c r="BG469" s="78"/>
      <c r="BH469" s="78"/>
      <c r="BI469" s="78"/>
      <c r="BJ469" s="79"/>
      <c r="BK469" s="65"/>
      <c r="CU469" s="67"/>
      <c r="EC469" s="67"/>
      <c r="FK469" s="67"/>
      <c r="FL469" s="67"/>
      <c r="FM469" s="67"/>
      <c r="FN469" s="67"/>
      <c r="FO469" s="67"/>
      <c r="FP469" s="67"/>
      <c r="FQ469" s="67"/>
      <c r="FR469" s="67"/>
      <c r="FS469" s="67"/>
      <c r="FT469" s="67"/>
      <c r="FU469" s="67"/>
      <c r="FV469" s="67"/>
      <c r="FW469" s="67"/>
      <c r="FX469" s="67"/>
      <c r="FY469" s="67"/>
      <c r="FZ469" s="67"/>
      <c r="GA469" s="67"/>
      <c r="GB469" s="67"/>
      <c r="GC469" s="67"/>
      <c r="GD469" s="67"/>
      <c r="GE469" s="67"/>
      <c r="GF469" s="67"/>
      <c r="GG469" s="67"/>
      <c r="GH469" s="67"/>
      <c r="GI469" s="67"/>
      <c r="GJ469" s="67"/>
      <c r="GK469" s="67"/>
      <c r="GL469" s="67"/>
      <c r="GM469" s="67"/>
      <c r="GN469" s="67"/>
      <c r="GO469" s="67"/>
      <c r="GP469" s="67"/>
    </row>
    <row r="470" spans="5:198" s="66" customFormat="1">
      <c r="E470" s="67"/>
      <c r="G470" s="67"/>
      <c r="H470" s="67"/>
      <c r="I470" s="67"/>
      <c r="J470" s="67"/>
      <c r="K470" s="67"/>
      <c r="L470" s="67"/>
      <c r="M470" s="67"/>
      <c r="N470" s="67"/>
      <c r="O470" s="78"/>
      <c r="P470" s="78"/>
      <c r="S470" s="78"/>
      <c r="T470" s="78"/>
      <c r="U470" s="79"/>
      <c r="V470" s="65"/>
      <c r="Y470" s="78"/>
      <c r="Z470" s="78"/>
      <c r="AA470" s="78"/>
      <c r="AB470" s="78"/>
      <c r="AC470" s="78"/>
      <c r="AD470" s="78"/>
      <c r="AE470" s="78"/>
      <c r="AF470" s="78"/>
      <c r="AG470" s="79"/>
      <c r="AH470" s="65"/>
      <c r="AJ470" s="85"/>
      <c r="AK470" s="78"/>
      <c r="AL470" s="78"/>
      <c r="AM470" s="78"/>
      <c r="AN470" s="78"/>
      <c r="AO470" s="78"/>
      <c r="AP470" s="78"/>
      <c r="AQ470" s="79"/>
      <c r="AR470" s="65"/>
      <c r="AT470" s="85"/>
      <c r="AU470" s="78"/>
      <c r="AV470" s="78"/>
      <c r="AW470" s="78"/>
      <c r="AX470" s="78"/>
      <c r="AY470" s="78"/>
      <c r="AZ470" s="79"/>
      <c r="BA470" s="65"/>
      <c r="BC470" s="85"/>
      <c r="BD470" s="78"/>
      <c r="BE470" s="78"/>
      <c r="BF470" s="78"/>
      <c r="BG470" s="78"/>
      <c r="BH470" s="78"/>
      <c r="BI470" s="78"/>
      <c r="BJ470" s="79"/>
      <c r="BK470" s="65"/>
      <c r="CU470" s="67"/>
      <c r="EC470" s="67"/>
      <c r="FK470" s="67"/>
      <c r="FL470" s="67"/>
      <c r="FM470" s="67"/>
      <c r="FN470" s="67"/>
      <c r="FO470" s="67"/>
      <c r="FP470" s="67"/>
      <c r="FQ470" s="67"/>
      <c r="FR470" s="67"/>
      <c r="FS470" s="67"/>
      <c r="FT470" s="67"/>
      <c r="FU470" s="67"/>
      <c r="FV470" s="67"/>
      <c r="FW470" s="67"/>
      <c r="FX470" s="67"/>
      <c r="FY470" s="67"/>
      <c r="FZ470" s="67"/>
      <c r="GA470" s="67"/>
      <c r="GB470" s="67"/>
      <c r="GC470" s="67"/>
      <c r="GD470" s="67"/>
      <c r="GE470" s="67"/>
      <c r="GF470" s="67"/>
      <c r="GG470" s="67"/>
      <c r="GH470" s="67"/>
      <c r="GI470" s="67"/>
      <c r="GJ470" s="67"/>
      <c r="GK470" s="67"/>
      <c r="GL470" s="67"/>
      <c r="GM470" s="67"/>
      <c r="GN470" s="67"/>
      <c r="GO470" s="67"/>
      <c r="GP470" s="67"/>
    </row>
    <row r="471" spans="5:198" s="66" customFormat="1">
      <c r="E471" s="67"/>
      <c r="G471" s="67"/>
      <c r="H471" s="67"/>
      <c r="I471" s="67"/>
      <c r="J471" s="67"/>
      <c r="K471" s="67"/>
      <c r="L471" s="67"/>
      <c r="M471" s="67"/>
      <c r="N471" s="67"/>
      <c r="O471" s="78"/>
      <c r="P471" s="78"/>
      <c r="S471" s="78"/>
      <c r="T471" s="78"/>
      <c r="U471" s="79"/>
      <c r="V471" s="65"/>
      <c r="Y471" s="78"/>
      <c r="Z471" s="78"/>
      <c r="AA471" s="78"/>
      <c r="AB471" s="78"/>
      <c r="AC471" s="78"/>
      <c r="AD471" s="78"/>
      <c r="AE471" s="78"/>
      <c r="AF471" s="78"/>
      <c r="AG471" s="79"/>
      <c r="AH471" s="65"/>
      <c r="AJ471" s="85"/>
      <c r="AK471" s="78"/>
      <c r="AL471" s="78"/>
      <c r="AM471" s="78"/>
      <c r="AN471" s="78"/>
      <c r="AO471" s="78"/>
      <c r="AP471" s="78"/>
      <c r="AQ471" s="79"/>
      <c r="AR471" s="65"/>
      <c r="AT471" s="85"/>
      <c r="AU471" s="78"/>
      <c r="AV471" s="78"/>
      <c r="AW471" s="78"/>
      <c r="AX471" s="78"/>
      <c r="AY471" s="78"/>
      <c r="AZ471" s="79"/>
      <c r="BA471" s="65"/>
      <c r="BC471" s="85"/>
      <c r="BD471" s="78"/>
      <c r="BE471" s="78"/>
      <c r="BF471" s="78"/>
      <c r="BG471" s="78"/>
      <c r="BH471" s="78"/>
      <c r="BI471" s="78"/>
      <c r="BJ471" s="79"/>
      <c r="BK471" s="65"/>
      <c r="CU471" s="67"/>
      <c r="EC471" s="67"/>
      <c r="FK471" s="67"/>
      <c r="FL471" s="67"/>
      <c r="FM471" s="67"/>
      <c r="FN471" s="67"/>
      <c r="FO471" s="67"/>
      <c r="FP471" s="67"/>
      <c r="FQ471" s="67"/>
      <c r="FR471" s="67"/>
      <c r="FS471" s="67"/>
      <c r="FT471" s="67"/>
      <c r="FU471" s="67"/>
      <c r="FV471" s="67"/>
      <c r="FW471" s="67"/>
      <c r="FX471" s="67"/>
      <c r="FY471" s="67"/>
      <c r="FZ471" s="67"/>
      <c r="GA471" s="67"/>
      <c r="GB471" s="67"/>
      <c r="GC471" s="67"/>
      <c r="GD471" s="67"/>
      <c r="GE471" s="67"/>
      <c r="GF471" s="67"/>
      <c r="GG471" s="67"/>
      <c r="GH471" s="67"/>
      <c r="GI471" s="67"/>
      <c r="GJ471" s="67"/>
      <c r="GK471" s="67"/>
      <c r="GL471" s="67"/>
      <c r="GM471" s="67"/>
      <c r="GN471" s="67"/>
      <c r="GO471" s="67"/>
      <c r="GP471" s="67"/>
    </row>
    <row r="472" spans="5:198" s="66" customFormat="1">
      <c r="E472" s="67"/>
      <c r="G472" s="67"/>
      <c r="H472" s="67"/>
      <c r="I472" s="67"/>
      <c r="J472" s="67"/>
      <c r="K472" s="67"/>
      <c r="L472" s="67"/>
      <c r="M472" s="67"/>
      <c r="N472" s="67"/>
      <c r="O472" s="78"/>
      <c r="P472" s="78"/>
      <c r="S472" s="78"/>
      <c r="T472" s="78"/>
      <c r="U472" s="79"/>
      <c r="V472" s="65"/>
      <c r="Y472" s="78"/>
      <c r="Z472" s="78"/>
      <c r="AA472" s="78"/>
      <c r="AB472" s="78"/>
      <c r="AC472" s="78"/>
      <c r="AD472" s="78"/>
      <c r="AE472" s="78"/>
      <c r="AF472" s="78"/>
      <c r="AG472" s="79"/>
      <c r="AH472" s="65"/>
      <c r="AJ472" s="85"/>
      <c r="AK472" s="78"/>
      <c r="AL472" s="78"/>
      <c r="AM472" s="78"/>
      <c r="AN472" s="78"/>
      <c r="AO472" s="78"/>
      <c r="AP472" s="78"/>
      <c r="AQ472" s="79"/>
      <c r="AR472" s="65"/>
      <c r="AT472" s="85"/>
      <c r="AU472" s="78"/>
      <c r="AV472" s="78"/>
      <c r="AW472" s="78"/>
      <c r="AX472" s="78"/>
      <c r="AY472" s="78"/>
      <c r="AZ472" s="79"/>
      <c r="BA472" s="65"/>
      <c r="BC472" s="85"/>
      <c r="BD472" s="78"/>
      <c r="BE472" s="78"/>
      <c r="BF472" s="78"/>
      <c r="BG472" s="78"/>
      <c r="BH472" s="78"/>
      <c r="BI472" s="78"/>
      <c r="BJ472" s="79"/>
      <c r="BK472" s="65"/>
      <c r="CU472" s="67"/>
      <c r="EC472" s="67"/>
      <c r="FK472" s="67"/>
      <c r="FL472" s="67"/>
      <c r="FM472" s="67"/>
      <c r="FN472" s="67"/>
      <c r="FO472" s="67"/>
      <c r="FP472" s="67"/>
      <c r="FQ472" s="67"/>
      <c r="FR472" s="67"/>
      <c r="FS472" s="67"/>
      <c r="FT472" s="67"/>
      <c r="FU472" s="67"/>
      <c r="FV472" s="67"/>
      <c r="FW472" s="67"/>
      <c r="FX472" s="67"/>
      <c r="FY472" s="67"/>
      <c r="FZ472" s="67"/>
      <c r="GA472" s="67"/>
      <c r="GB472" s="67"/>
      <c r="GC472" s="67"/>
      <c r="GD472" s="67"/>
      <c r="GE472" s="67"/>
      <c r="GF472" s="67"/>
      <c r="GG472" s="67"/>
      <c r="GH472" s="67"/>
      <c r="GI472" s="67"/>
      <c r="GJ472" s="67"/>
      <c r="GK472" s="67"/>
      <c r="GL472" s="67"/>
      <c r="GM472" s="67"/>
      <c r="GN472" s="67"/>
      <c r="GO472" s="67"/>
      <c r="GP472" s="67"/>
    </row>
    <row r="473" spans="5:198" s="66" customFormat="1">
      <c r="E473" s="67"/>
      <c r="G473" s="67"/>
      <c r="H473" s="67"/>
      <c r="I473" s="67"/>
      <c r="J473" s="67"/>
      <c r="K473" s="67"/>
      <c r="L473" s="67"/>
      <c r="M473" s="67"/>
      <c r="N473" s="67"/>
      <c r="O473" s="78"/>
      <c r="P473" s="78"/>
      <c r="S473" s="78"/>
      <c r="T473" s="78"/>
      <c r="U473" s="79"/>
      <c r="V473" s="65"/>
      <c r="Y473" s="78"/>
      <c r="Z473" s="78"/>
      <c r="AA473" s="78"/>
      <c r="AB473" s="78"/>
      <c r="AC473" s="78"/>
      <c r="AD473" s="78"/>
      <c r="AE473" s="78"/>
      <c r="AF473" s="78"/>
      <c r="AG473" s="79"/>
      <c r="AH473" s="65"/>
      <c r="AJ473" s="85"/>
      <c r="AK473" s="78"/>
      <c r="AL473" s="78"/>
      <c r="AM473" s="78"/>
      <c r="AN473" s="78"/>
      <c r="AO473" s="78"/>
      <c r="AP473" s="78"/>
      <c r="AQ473" s="79"/>
      <c r="AR473" s="65"/>
      <c r="AT473" s="85"/>
      <c r="AU473" s="78"/>
      <c r="AV473" s="78"/>
      <c r="AW473" s="78"/>
      <c r="AX473" s="78"/>
      <c r="AY473" s="78"/>
      <c r="AZ473" s="79"/>
      <c r="BA473" s="65"/>
      <c r="BC473" s="85"/>
      <c r="BD473" s="78"/>
      <c r="BE473" s="78"/>
      <c r="BF473" s="78"/>
      <c r="BG473" s="78"/>
      <c r="BH473" s="78"/>
      <c r="BI473" s="78"/>
      <c r="BJ473" s="79"/>
      <c r="BK473" s="65"/>
      <c r="CU473" s="67"/>
      <c r="EC473" s="67"/>
      <c r="FK473" s="67"/>
      <c r="FL473" s="67"/>
      <c r="FM473" s="67"/>
      <c r="FN473" s="67"/>
      <c r="FO473" s="67"/>
      <c r="FP473" s="67"/>
      <c r="FQ473" s="67"/>
      <c r="FR473" s="67"/>
      <c r="FS473" s="67"/>
      <c r="FT473" s="67"/>
      <c r="FU473" s="67"/>
      <c r="FV473" s="67"/>
      <c r="FW473" s="67"/>
      <c r="FX473" s="67"/>
      <c r="FY473" s="67"/>
      <c r="FZ473" s="67"/>
      <c r="GA473" s="67"/>
      <c r="GB473" s="67"/>
      <c r="GC473" s="67"/>
      <c r="GD473" s="67"/>
      <c r="GE473" s="67"/>
      <c r="GF473" s="67"/>
      <c r="GG473" s="67"/>
      <c r="GH473" s="67"/>
      <c r="GI473" s="67"/>
      <c r="GJ473" s="67"/>
      <c r="GK473" s="67"/>
      <c r="GL473" s="67"/>
      <c r="GM473" s="67"/>
      <c r="GN473" s="67"/>
      <c r="GO473" s="67"/>
      <c r="GP473" s="67"/>
    </row>
    <row r="474" spans="5:198" s="66" customFormat="1">
      <c r="E474" s="67"/>
      <c r="G474" s="67"/>
      <c r="H474" s="67"/>
      <c r="I474" s="67"/>
      <c r="J474" s="67"/>
      <c r="K474" s="67"/>
      <c r="L474" s="67"/>
      <c r="M474" s="67"/>
      <c r="N474" s="67"/>
      <c r="O474" s="78"/>
      <c r="P474" s="78"/>
      <c r="S474" s="78"/>
      <c r="T474" s="78"/>
      <c r="U474" s="79"/>
      <c r="V474" s="65"/>
      <c r="Y474" s="78"/>
      <c r="Z474" s="78"/>
      <c r="AA474" s="78"/>
      <c r="AB474" s="78"/>
      <c r="AC474" s="78"/>
      <c r="AD474" s="78"/>
      <c r="AE474" s="78"/>
      <c r="AF474" s="78"/>
      <c r="AG474" s="79"/>
      <c r="AH474" s="65"/>
      <c r="AJ474" s="85"/>
      <c r="AK474" s="78"/>
      <c r="AL474" s="78"/>
      <c r="AM474" s="78"/>
      <c r="AN474" s="78"/>
      <c r="AO474" s="78"/>
      <c r="AP474" s="78"/>
      <c r="AQ474" s="79"/>
      <c r="AR474" s="65"/>
      <c r="AT474" s="85"/>
      <c r="AU474" s="78"/>
      <c r="AV474" s="78"/>
      <c r="AW474" s="78"/>
      <c r="AX474" s="78"/>
      <c r="AY474" s="78"/>
      <c r="AZ474" s="79"/>
      <c r="BA474" s="65"/>
      <c r="BC474" s="85"/>
      <c r="BD474" s="78"/>
      <c r="BE474" s="78"/>
      <c r="BF474" s="78"/>
      <c r="BG474" s="78"/>
      <c r="BH474" s="78"/>
      <c r="BI474" s="78"/>
      <c r="BJ474" s="79"/>
      <c r="BK474" s="65"/>
      <c r="CU474" s="67"/>
      <c r="EC474" s="67"/>
      <c r="FK474" s="67"/>
      <c r="FL474" s="67"/>
      <c r="FM474" s="67"/>
      <c r="FN474" s="67"/>
      <c r="FO474" s="67"/>
      <c r="FP474" s="67"/>
      <c r="FQ474" s="67"/>
      <c r="FR474" s="67"/>
      <c r="FS474" s="67"/>
      <c r="FT474" s="67"/>
      <c r="FU474" s="67"/>
      <c r="FV474" s="67"/>
      <c r="FW474" s="67"/>
      <c r="FX474" s="67"/>
      <c r="FY474" s="67"/>
      <c r="FZ474" s="67"/>
      <c r="GA474" s="67"/>
      <c r="GB474" s="67"/>
      <c r="GC474" s="67"/>
      <c r="GD474" s="67"/>
      <c r="GE474" s="67"/>
      <c r="GF474" s="67"/>
      <c r="GG474" s="67"/>
      <c r="GH474" s="67"/>
      <c r="GI474" s="67"/>
      <c r="GJ474" s="67"/>
      <c r="GK474" s="67"/>
      <c r="GL474" s="67"/>
      <c r="GM474" s="67"/>
      <c r="GN474" s="67"/>
      <c r="GO474" s="67"/>
      <c r="GP474" s="67"/>
    </row>
    <row r="475" spans="5:198" s="66" customFormat="1">
      <c r="E475" s="67"/>
      <c r="G475" s="67"/>
      <c r="H475" s="67"/>
      <c r="I475" s="67"/>
      <c r="J475" s="67"/>
      <c r="K475" s="67"/>
      <c r="L475" s="67"/>
      <c r="M475" s="67"/>
      <c r="N475" s="67"/>
      <c r="O475" s="78"/>
      <c r="P475" s="78"/>
      <c r="S475" s="78"/>
      <c r="T475" s="78"/>
      <c r="U475" s="79"/>
      <c r="V475" s="65"/>
      <c r="Y475" s="78"/>
      <c r="Z475" s="78"/>
      <c r="AA475" s="78"/>
      <c r="AB475" s="78"/>
      <c r="AC475" s="78"/>
      <c r="AD475" s="78"/>
      <c r="AE475" s="78"/>
      <c r="AF475" s="78"/>
      <c r="AG475" s="79"/>
      <c r="AH475" s="65"/>
      <c r="AJ475" s="85"/>
      <c r="AK475" s="78"/>
      <c r="AL475" s="78"/>
      <c r="AM475" s="78"/>
      <c r="AN475" s="78"/>
      <c r="AO475" s="78"/>
      <c r="AP475" s="78"/>
      <c r="AQ475" s="79"/>
      <c r="AR475" s="65"/>
      <c r="AT475" s="85"/>
      <c r="AU475" s="78"/>
      <c r="AV475" s="78"/>
      <c r="AW475" s="78"/>
      <c r="AX475" s="78"/>
      <c r="AY475" s="78"/>
      <c r="AZ475" s="79"/>
      <c r="BA475" s="65"/>
      <c r="BC475" s="85"/>
      <c r="BD475" s="78"/>
      <c r="BE475" s="78"/>
      <c r="BF475" s="78"/>
      <c r="BG475" s="78"/>
      <c r="BH475" s="78"/>
      <c r="BI475" s="78"/>
      <c r="BJ475" s="79"/>
      <c r="BK475" s="65"/>
      <c r="CU475" s="67"/>
      <c r="EC475" s="67"/>
      <c r="FK475" s="67"/>
      <c r="FL475" s="67"/>
      <c r="FM475" s="67"/>
      <c r="FN475" s="67"/>
      <c r="FO475" s="67"/>
      <c r="FP475" s="67"/>
      <c r="FQ475" s="67"/>
      <c r="FR475" s="67"/>
      <c r="FS475" s="67"/>
      <c r="FT475" s="67"/>
      <c r="FU475" s="67"/>
      <c r="FV475" s="67"/>
      <c r="FW475" s="67"/>
      <c r="FX475" s="67"/>
      <c r="FY475" s="67"/>
      <c r="FZ475" s="67"/>
      <c r="GA475" s="67"/>
      <c r="GB475" s="67"/>
      <c r="GC475" s="67"/>
      <c r="GD475" s="67"/>
      <c r="GE475" s="67"/>
      <c r="GF475" s="67"/>
      <c r="GG475" s="67"/>
      <c r="GH475" s="67"/>
      <c r="GI475" s="67"/>
      <c r="GJ475" s="67"/>
      <c r="GK475" s="67"/>
      <c r="GL475" s="67"/>
      <c r="GM475" s="67"/>
      <c r="GN475" s="67"/>
      <c r="GO475" s="67"/>
      <c r="GP475" s="67"/>
    </row>
    <row r="476" spans="5:198" s="66" customFormat="1">
      <c r="E476" s="67"/>
      <c r="G476" s="67"/>
      <c r="H476" s="67"/>
      <c r="I476" s="67"/>
      <c r="J476" s="67"/>
      <c r="K476" s="67"/>
      <c r="L476" s="67"/>
      <c r="M476" s="67"/>
      <c r="N476" s="67"/>
      <c r="O476" s="78"/>
      <c r="P476" s="78"/>
      <c r="S476" s="78"/>
      <c r="T476" s="78"/>
      <c r="U476" s="79"/>
      <c r="V476" s="65"/>
      <c r="Y476" s="78"/>
      <c r="Z476" s="78"/>
      <c r="AA476" s="78"/>
      <c r="AB476" s="78"/>
      <c r="AC476" s="78"/>
      <c r="AD476" s="78"/>
      <c r="AE476" s="78"/>
      <c r="AF476" s="78"/>
      <c r="AG476" s="79"/>
      <c r="AH476" s="65"/>
      <c r="AJ476" s="85"/>
      <c r="AK476" s="78"/>
      <c r="AL476" s="78"/>
      <c r="AM476" s="78"/>
      <c r="AN476" s="78"/>
      <c r="AO476" s="78"/>
      <c r="AP476" s="78"/>
      <c r="AQ476" s="79"/>
      <c r="AR476" s="65"/>
      <c r="AT476" s="85"/>
      <c r="AU476" s="78"/>
      <c r="AV476" s="78"/>
      <c r="AW476" s="78"/>
      <c r="AX476" s="78"/>
      <c r="AY476" s="78"/>
      <c r="AZ476" s="79"/>
      <c r="BA476" s="65"/>
      <c r="BC476" s="85"/>
      <c r="BD476" s="78"/>
      <c r="BE476" s="78"/>
      <c r="BF476" s="78"/>
      <c r="BG476" s="78"/>
      <c r="BH476" s="78"/>
      <c r="BI476" s="78"/>
      <c r="BJ476" s="79"/>
      <c r="BK476" s="65"/>
      <c r="CU476" s="67"/>
      <c r="EC476" s="67"/>
      <c r="FK476" s="67"/>
      <c r="FL476" s="67"/>
      <c r="FM476" s="67"/>
      <c r="FN476" s="67"/>
      <c r="FO476" s="67"/>
      <c r="FP476" s="67"/>
      <c r="FQ476" s="67"/>
      <c r="FR476" s="67"/>
      <c r="FS476" s="67"/>
      <c r="FT476" s="67"/>
      <c r="FU476" s="67"/>
      <c r="FV476" s="67"/>
      <c r="FW476" s="67"/>
      <c r="FX476" s="67"/>
      <c r="FY476" s="67"/>
      <c r="FZ476" s="67"/>
      <c r="GA476" s="67"/>
      <c r="GB476" s="67"/>
      <c r="GC476" s="67"/>
      <c r="GD476" s="67"/>
      <c r="GE476" s="67"/>
      <c r="GF476" s="67"/>
      <c r="GG476" s="67"/>
      <c r="GH476" s="67"/>
      <c r="GI476" s="67"/>
      <c r="GJ476" s="67"/>
      <c r="GK476" s="67"/>
      <c r="GL476" s="67"/>
      <c r="GM476" s="67"/>
      <c r="GN476" s="67"/>
      <c r="GO476" s="67"/>
      <c r="GP476" s="67"/>
    </row>
    <row r="477" spans="5:198" s="66" customFormat="1">
      <c r="E477" s="67"/>
      <c r="G477" s="67"/>
      <c r="H477" s="67"/>
      <c r="I477" s="67"/>
      <c r="J477" s="67"/>
      <c r="K477" s="67"/>
      <c r="L477" s="67"/>
      <c r="M477" s="67"/>
      <c r="N477" s="67"/>
      <c r="O477" s="78"/>
      <c r="P477" s="78"/>
      <c r="S477" s="78"/>
      <c r="T477" s="78"/>
      <c r="U477" s="79"/>
      <c r="V477" s="65"/>
      <c r="Y477" s="78"/>
      <c r="Z477" s="78"/>
      <c r="AA477" s="78"/>
      <c r="AB477" s="78"/>
      <c r="AC477" s="78"/>
      <c r="AD477" s="78"/>
      <c r="AE477" s="78"/>
      <c r="AF477" s="78"/>
      <c r="AG477" s="79"/>
      <c r="AH477" s="65"/>
      <c r="AJ477" s="85"/>
      <c r="AK477" s="78"/>
      <c r="AL477" s="78"/>
      <c r="AM477" s="78"/>
      <c r="AN477" s="78"/>
      <c r="AO477" s="78"/>
      <c r="AP477" s="78"/>
      <c r="AQ477" s="79"/>
      <c r="AR477" s="65"/>
      <c r="AT477" s="85"/>
      <c r="AU477" s="78"/>
      <c r="AV477" s="78"/>
      <c r="AW477" s="78"/>
      <c r="AX477" s="78"/>
      <c r="AY477" s="78"/>
      <c r="AZ477" s="79"/>
      <c r="BA477" s="65"/>
      <c r="BC477" s="85"/>
      <c r="BD477" s="78"/>
      <c r="BE477" s="78"/>
      <c r="BF477" s="78"/>
      <c r="BG477" s="78"/>
      <c r="BH477" s="78"/>
      <c r="BI477" s="78"/>
      <c r="BJ477" s="79"/>
      <c r="BK477" s="65"/>
      <c r="CU477" s="67"/>
      <c r="EC477" s="67"/>
      <c r="FK477" s="67"/>
      <c r="FL477" s="67"/>
      <c r="FM477" s="67"/>
      <c r="FN477" s="67"/>
      <c r="FO477" s="67"/>
      <c r="FP477" s="67"/>
      <c r="FQ477" s="67"/>
      <c r="FR477" s="67"/>
      <c r="FS477" s="67"/>
      <c r="FT477" s="67"/>
      <c r="FU477" s="67"/>
      <c r="FV477" s="67"/>
      <c r="FW477" s="67"/>
      <c r="FX477" s="67"/>
      <c r="FY477" s="67"/>
      <c r="FZ477" s="67"/>
      <c r="GA477" s="67"/>
      <c r="GB477" s="67"/>
      <c r="GC477" s="67"/>
      <c r="GD477" s="67"/>
      <c r="GE477" s="67"/>
      <c r="GF477" s="67"/>
      <c r="GG477" s="67"/>
      <c r="GH477" s="67"/>
      <c r="GI477" s="67"/>
      <c r="GJ477" s="67"/>
      <c r="GK477" s="67"/>
      <c r="GL477" s="67"/>
      <c r="GM477" s="67"/>
      <c r="GN477" s="67"/>
      <c r="GO477" s="67"/>
      <c r="GP477" s="67"/>
    </row>
    <row r="478" spans="5:198" s="66" customFormat="1">
      <c r="E478" s="67"/>
      <c r="G478" s="67"/>
      <c r="H478" s="67"/>
      <c r="I478" s="67"/>
      <c r="J478" s="67"/>
      <c r="K478" s="67"/>
      <c r="L478" s="67"/>
      <c r="M478" s="67"/>
      <c r="N478" s="67"/>
      <c r="O478" s="78"/>
      <c r="P478" s="78"/>
      <c r="S478" s="78"/>
      <c r="T478" s="78"/>
      <c r="U478" s="79"/>
      <c r="V478" s="65"/>
      <c r="Y478" s="78"/>
      <c r="Z478" s="78"/>
      <c r="AA478" s="78"/>
      <c r="AB478" s="78"/>
      <c r="AC478" s="78"/>
      <c r="AD478" s="78"/>
      <c r="AE478" s="78"/>
      <c r="AF478" s="78"/>
      <c r="AG478" s="79"/>
      <c r="AH478" s="65"/>
      <c r="AJ478" s="85"/>
      <c r="AK478" s="78"/>
      <c r="AL478" s="78"/>
      <c r="AM478" s="78"/>
      <c r="AN478" s="78"/>
      <c r="AO478" s="78"/>
      <c r="AP478" s="78"/>
      <c r="AQ478" s="79"/>
      <c r="AR478" s="65"/>
      <c r="AT478" s="85"/>
      <c r="AU478" s="78"/>
      <c r="AV478" s="78"/>
      <c r="AW478" s="78"/>
      <c r="AX478" s="78"/>
      <c r="AY478" s="78"/>
      <c r="AZ478" s="79"/>
      <c r="BA478" s="65"/>
      <c r="BC478" s="85"/>
      <c r="BD478" s="78"/>
      <c r="BE478" s="78"/>
      <c r="BF478" s="78"/>
      <c r="BG478" s="78"/>
      <c r="BH478" s="78"/>
      <c r="BI478" s="78"/>
      <c r="BJ478" s="79"/>
      <c r="BK478" s="65"/>
      <c r="CU478" s="67"/>
      <c r="EC478" s="67"/>
      <c r="FK478" s="67"/>
      <c r="FL478" s="67"/>
      <c r="FM478" s="67"/>
      <c r="FN478" s="67"/>
      <c r="FO478" s="67"/>
      <c r="FP478" s="67"/>
      <c r="FQ478" s="67"/>
      <c r="FR478" s="67"/>
      <c r="FS478" s="67"/>
      <c r="FT478" s="67"/>
      <c r="FU478" s="67"/>
      <c r="FV478" s="67"/>
      <c r="FW478" s="67"/>
      <c r="FX478" s="67"/>
      <c r="FY478" s="67"/>
      <c r="FZ478" s="67"/>
      <c r="GA478" s="67"/>
      <c r="GB478" s="67"/>
      <c r="GC478" s="67"/>
      <c r="GD478" s="67"/>
      <c r="GE478" s="67"/>
      <c r="GF478" s="67"/>
      <c r="GG478" s="67"/>
      <c r="GH478" s="67"/>
      <c r="GI478" s="67"/>
      <c r="GJ478" s="67"/>
      <c r="GK478" s="67"/>
      <c r="GL478" s="67"/>
      <c r="GM478" s="67"/>
      <c r="GN478" s="67"/>
      <c r="GO478" s="67"/>
      <c r="GP478" s="67"/>
    </row>
    <row r="479" spans="5:198" s="66" customFormat="1">
      <c r="E479" s="67"/>
      <c r="G479" s="67"/>
      <c r="H479" s="67"/>
      <c r="I479" s="67"/>
      <c r="J479" s="67"/>
      <c r="K479" s="67"/>
      <c r="L479" s="67"/>
      <c r="M479" s="67"/>
      <c r="N479" s="67"/>
      <c r="O479" s="78"/>
      <c r="P479" s="78"/>
      <c r="S479" s="78"/>
      <c r="T479" s="78"/>
      <c r="U479" s="79"/>
      <c r="V479" s="65"/>
      <c r="Y479" s="78"/>
      <c r="Z479" s="78"/>
      <c r="AA479" s="78"/>
      <c r="AB479" s="78"/>
      <c r="AC479" s="78"/>
      <c r="AD479" s="78"/>
      <c r="AE479" s="78"/>
      <c r="AF479" s="78"/>
      <c r="AG479" s="79"/>
      <c r="AH479" s="65"/>
      <c r="AJ479" s="85"/>
      <c r="AK479" s="78"/>
      <c r="AL479" s="78"/>
      <c r="AM479" s="78"/>
      <c r="AN479" s="78"/>
      <c r="AO479" s="78"/>
      <c r="AP479" s="78"/>
      <c r="AQ479" s="79"/>
      <c r="AR479" s="65"/>
      <c r="AT479" s="85"/>
      <c r="AU479" s="78"/>
      <c r="AV479" s="78"/>
      <c r="AW479" s="78"/>
      <c r="AX479" s="78"/>
      <c r="AY479" s="78"/>
      <c r="AZ479" s="79"/>
      <c r="BA479" s="65"/>
      <c r="BC479" s="85"/>
      <c r="BD479" s="78"/>
      <c r="BE479" s="78"/>
      <c r="BF479" s="78"/>
      <c r="BG479" s="78"/>
      <c r="BH479" s="78"/>
      <c r="BI479" s="78"/>
      <c r="BJ479" s="79"/>
      <c r="BK479" s="65"/>
      <c r="CU479" s="67"/>
      <c r="EC479" s="67"/>
      <c r="FK479" s="67"/>
      <c r="FL479" s="67"/>
      <c r="FM479" s="67"/>
      <c r="FN479" s="67"/>
      <c r="FO479" s="67"/>
      <c r="FP479" s="67"/>
      <c r="FQ479" s="67"/>
      <c r="FR479" s="67"/>
      <c r="FS479" s="67"/>
      <c r="FT479" s="67"/>
      <c r="FU479" s="67"/>
      <c r="FV479" s="67"/>
      <c r="FW479" s="67"/>
      <c r="FX479" s="67"/>
      <c r="FY479" s="67"/>
      <c r="FZ479" s="67"/>
      <c r="GA479" s="67"/>
      <c r="GB479" s="67"/>
      <c r="GC479" s="67"/>
      <c r="GD479" s="67"/>
      <c r="GE479" s="67"/>
      <c r="GF479" s="67"/>
      <c r="GG479" s="67"/>
      <c r="GH479" s="67"/>
      <c r="GI479" s="67"/>
      <c r="GJ479" s="67"/>
      <c r="GK479" s="67"/>
      <c r="GL479" s="67"/>
      <c r="GM479" s="67"/>
      <c r="GN479" s="67"/>
      <c r="GO479" s="67"/>
      <c r="GP479" s="67"/>
    </row>
    <row r="480" spans="5:198" s="66" customFormat="1">
      <c r="E480" s="67"/>
      <c r="G480" s="67"/>
      <c r="H480" s="67"/>
      <c r="I480" s="67"/>
      <c r="J480" s="67"/>
      <c r="K480" s="67"/>
      <c r="L480" s="67"/>
      <c r="M480" s="67"/>
      <c r="N480" s="67"/>
      <c r="O480" s="78"/>
      <c r="P480" s="78"/>
      <c r="S480" s="78"/>
      <c r="T480" s="78"/>
      <c r="U480" s="79"/>
      <c r="V480" s="65"/>
      <c r="Y480" s="78"/>
      <c r="Z480" s="78"/>
      <c r="AA480" s="78"/>
      <c r="AB480" s="78"/>
      <c r="AC480" s="78"/>
      <c r="AD480" s="78"/>
      <c r="AE480" s="78"/>
      <c r="AF480" s="78"/>
      <c r="AG480" s="79"/>
      <c r="AH480" s="65"/>
      <c r="AJ480" s="85"/>
      <c r="AK480" s="78"/>
      <c r="AL480" s="78"/>
      <c r="AM480" s="78"/>
      <c r="AN480" s="78"/>
      <c r="AO480" s="78"/>
      <c r="AP480" s="78"/>
      <c r="AQ480" s="79"/>
      <c r="AR480" s="65"/>
      <c r="AT480" s="85"/>
      <c r="AU480" s="78"/>
      <c r="AV480" s="78"/>
      <c r="AW480" s="78"/>
      <c r="AX480" s="78"/>
      <c r="AY480" s="78"/>
      <c r="AZ480" s="79"/>
      <c r="BA480" s="65"/>
      <c r="BC480" s="85"/>
      <c r="BD480" s="78"/>
      <c r="BE480" s="78"/>
      <c r="BF480" s="78"/>
      <c r="BG480" s="78"/>
      <c r="BH480" s="78"/>
      <c r="BI480" s="78"/>
      <c r="BJ480" s="79"/>
      <c r="BK480" s="65"/>
      <c r="CU480" s="67"/>
      <c r="EC480" s="67"/>
      <c r="FK480" s="67"/>
      <c r="FL480" s="67"/>
      <c r="FM480" s="67"/>
      <c r="FN480" s="67"/>
      <c r="FO480" s="67"/>
      <c r="FP480" s="67"/>
      <c r="FQ480" s="67"/>
      <c r="FR480" s="67"/>
      <c r="FS480" s="67"/>
      <c r="FT480" s="67"/>
      <c r="FU480" s="67"/>
      <c r="FV480" s="67"/>
      <c r="FW480" s="67"/>
      <c r="FX480" s="67"/>
      <c r="FY480" s="67"/>
      <c r="FZ480" s="67"/>
      <c r="GA480" s="67"/>
      <c r="GB480" s="67"/>
      <c r="GC480" s="67"/>
      <c r="GD480" s="67"/>
      <c r="GE480" s="67"/>
      <c r="GF480" s="67"/>
      <c r="GG480" s="67"/>
      <c r="GH480" s="67"/>
      <c r="GI480" s="67"/>
      <c r="GJ480" s="67"/>
      <c r="GK480" s="67"/>
      <c r="GL480" s="67"/>
      <c r="GM480" s="67"/>
      <c r="GN480" s="67"/>
      <c r="GO480" s="67"/>
      <c r="GP480" s="67"/>
    </row>
    <row r="481" spans="5:198" s="66" customFormat="1">
      <c r="E481" s="67"/>
      <c r="G481" s="67"/>
      <c r="H481" s="67"/>
      <c r="I481" s="67"/>
      <c r="J481" s="67"/>
      <c r="K481" s="67"/>
      <c r="L481" s="67"/>
      <c r="M481" s="67"/>
      <c r="N481" s="67"/>
      <c r="O481" s="78"/>
      <c r="P481" s="78"/>
      <c r="S481" s="78"/>
      <c r="T481" s="78"/>
      <c r="U481" s="79"/>
      <c r="V481" s="65"/>
      <c r="Y481" s="78"/>
      <c r="Z481" s="78"/>
      <c r="AA481" s="78"/>
      <c r="AB481" s="78"/>
      <c r="AC481" s="78"/>
      <c r="AD481" s="78"/>
      <c r="AE481" s="78"/>
      <c r="AF481" s="78"/>
      <c r="AG481" s="79"/>
      <c r="AH481" s="65"/>
      <c r="AJ481" s="85"/>
      <c r="AK481" s="78"/>
      <c r="AL481" s="78"/>
      <c r="AM481" s="78"/>
      <c r="AN481" s="78"/>
      <c r="AO481" s="78"/>
      <c r="AP481" s="78"/>
      <c r="AQ481" s="79"/>
      <c r="AR481" s="65"/>
      <c r="AT481" s="85"/>
      <c r="AU481" s="78"/>
      <c r="AV481" s="78"/>
      <c r="AW481" s="78"/>
      <c r="AX481" s="78"/>
      <c r="AY481" s="78"/>
      <c r="AZ481" s="79"/>
      <c r="BA481" s="65"/>
      <c r="BC481" s="85"/>
      <c r="BD481" s="78"/>
      <c r="BE481" s="78"/>
      <c r="BF481" s="78"/>
      <c r="BG481" s="78"/>
      <c r="BH481" s="78"/>
      <c r="BI481" s="78"/>
      <c r="BJ481" s="79"/>
      <c r="BK481" s="65"/>
      <c r="CU481" s="67"/>
      <c r="EC481" s="67"/>
      <c r="FK481" s="67"/>
      <c r="FL481" s="67"/>
      <c r="FM481" s="67"/>
      <c r="FN481" s="67"/>
      <c r="FO481" s="67"/>
      <c r="FP481" s="67"/>
      <c r="FQ481" s="67"/>
      <c r="FR481" s="67"/>
      <c r="FS481" s="67"/>
      <c r="FT481" s="67"/>
      <c r="FU481" s="67"/>
      <c r="FV481" s="67"/>
      <c r="FW481" s="67"/>
      <c r="FX481" s="67"/>
      <c r="FY481" s="67"/>
      <c r="FZ481" s="67"/>
      <c r="GA481" s="67"/>
      <c r="GB481" s="67"/>
      <c r="GC481" s="67"/>
      <c r="GD481" s="67"/>
      <c r="GE481" s="67"/>
      <c r="GF481" s="67"/>
      <c r="GG481" s="67"/>
      <c r="GH481" s="67"/>
      <c r="GI481" s="67"/>
      <c r="GJ481" s="67"/>
      <c r="GK481" s="67"/>
      <c r="GL481" s="67"/>
      <c r="GM481" s="67"/>
      <c r="GN481" s="67"/>
      <c r="GO481" s="67"/>
      <c r="GP481" s="67"/>
    </row>
    <row r="482" spans="5:198" s="66" customFormat="1">
      <c r="E482" s="67"/>
      <c r="G482" s="67"/>
      <c r="H482" s="67"/>
      <c r="I482" s="67"/>
      <c r="J482" s="67"/>
      <c r="K482" s="67"/>
      <c r="L482" s="67"/>
      <c r="M482" s="67"/>
      <c r="N482" s="67"/>
      <c r="O482" s="78"/>
      <c r="P482" s="78"/>
      <c r="S482" s="78"/>
      <c r="T482" s="78"/>
      <c r="U482" s="79"/>
      <c r="V482" s="65"/>
      <c r="Y482" s="78"/>
      <c r="Z482" s="78"/>
      <c r="AA482" s="78"/>
      <c r="AB482" s="78"/>
      <c r="AC482" s="78"/>
      <c r="AD482" s="78"/>
      <c r="AE482" s="78"/>
      <c r="AF482" s="78"/>
      <c r="AG482" s="79"/>
      <c r="AH482" s="65"/>
      <c r="AJ482" s="85"/>
      <c r="AK482" s="78"/>
      <c r="AL482" s="78"/>
      <c r="AM482" s="78"/>
      <c r="AN482" s="78"/>
      <c r="AO482" s="78"/>
      <c r="AP482" s="78"/>
      <c r="AQ482" s="79"/>
      <c r="AR482" s="65"/>
      <c r="AT482" s="85"/>
      <c r="AU482" s="78"/>
      <c r="AV482" s="78"/>
      <c r="AW482" s="78"/>
      <c r="AX482" s="78"/>
      <c r="AY482" s="78"/>
      <c r="AZ482" s="79"/>
      <c r="BA482" s="65"/>
      <c r="BC482" s="85"/>
      <c r="BD482" s="78"/>
      <c r="BE482" s="78"/>
      <c r="BF482" s="78"/>
      <c r="BG482" s="78"/>
      <c r="BH482" s="78"/>
      <c r="BI482" s="78"/>
      <c r="BJ482" s="79"/>
      <c r="BK482" s="65"/>
      <c r="CU482" s="67"/>
      <c r="EC482" s="67"/>
      <c r="FK482" s="67"/>
      <c r="FL482" s="67"/>
      <c r="FM482" s="67"/>
      <c r="FN482" s="67"/>
      <c r="FO482" s="67"/>
      <c r="FP482" s="67"/>
      <c r="FQ482" s="67"/>
      <c r="FR482" s="67"/>
      <c r="FS482" s="67"/>
      <c r="FT482" s="67"/>
      <c r="FU482" s="67"/>
      <c r="FV482" s="67"/>
      <c r="FW482" s="67"/>
      <c r="FX482" s="67"/>
      <c r="FY482" s="67"/>
      <c r="FZ482" s="67"/>
      <c r="GA482" s="67"/>
      <c r="GB482" s="67"/>
      <c r="GC482" s="67"/>
      <c r="GD482" s="67"/>
      <c r="GE482" s="67"/>
      <c r="GF482" s="67"/>
      <c r="GG482" s="67"/>
      <c r="GH482" s="67"/>
      <c r="GI482" s="67"/>
      <c r="GJ482" s="67"/>
      <c r="GK482" s="67"/>
      <c r="GL482" s="67"/>
      <c r="GM482" s="67"/>
      <c r="GN482" s="67"/>
      <c r="GO482" s="67"/>
      <c r="GP482" s="67"/>
    </row>
    <row r="483" spans="5:198" s="66" customFormat="1">
      <c r="E483" s="67"/>
      <c r="G483" s="67"/>
      <c r="H483" s="67"/>
      <c r="I483" s="67"/>
      <c r="J483" s="67"/>
      <c r="K483" s="67"/>
      <c r="L483" s="67"/>
      <c r="M483" s="67"/>
      <c r="N483" s="67"/>
      <c r="O483" s="78"/>
      <c r="P483" s="78"/>
      <c r="S483" s="78"/>
      <c r="T483" s="78"/>
      <c r="U483" s="79"/>
      <c r="V483" s="65"/>
      <c r="Y483" s="78"/>
      <c r="Z483" s="78"/>
      <c r="AA483" s="78"/>
      <c r="AB483" s="78"/>
      <c r="AC483" s="78"/>
      <c r="AD483" s="78"/>
      <c r="AE483" s="78"/>
      <c r="AF483" s="78"/>
      <c r="AG483" s="79"/>
      <c r="AH483" s="65"/>
      <c r="AJ483" s="85"/>
      <c r="AK483" s="78"/>
      <c r="AL483" s="78"/>
      <c r="AM483" s="78"/>
      <c r="AN483" s="78"/>
      <c r="AO483" s="78"/>
      <c r="AP483" s="78"/>
      <c r="AQ483" s="79"/>
      <c r="AR483" s="65"/>
      <c r="AT483" s="85"/>
      <c r="AU483" s="78"/>
      <c r="AV483" s="78"/>
      <c r="AW483" s="78"/>
      <c r="AX483" s="78"/>
      <c r="AY483" s="78"/>
      <c r="AZ483" s="79"/>
      <c r="BA483" s="65"/>
      <c r="BC483" s="85"/>
      <c r="BD483" s="78"/>
      <c r="BE483" s="78"/>
      <c r="BF483" s="78"/>
      <c r="BG483" s="78"/>
      <c r="BH483" s="78"/>
      <c r="BI483" s="78"/>
      <c r="BJ483" s="79"/>
      <c r="BK483" s="65"/>
      <c r="CU483" s="67"/>
      <c r="EC483" s="67"/>
      <c r="FK483" s="67"/>
      <c r="FL483" s="67"/>
      <c r="FM483" s="67"/>
      <c r="FN483" s="67"/>
      <c r="FO483" s="67"/>
      <c r="FP483" s="67"/>
      <c r="FQ483" s="67"/>
      <c r="FR483" s="67"/>
      <c r="FS483" s="67"/>
      <c r="FT483" s="67"/>
      <c r="FU483" s="67"/>
      <c r="FV483" s="67"/>
      <c r="FW483" s="67"/>
      <c r="FX483" s="67"/>
      <c r="FY483" s="67"/>
      <c r="FZ483" s="67"/>
      <c r="GA483" s="67"/>
      <c r="GB483" s="67"/>
      <c r="GC483" s="67"/>
      <c r="GD483" s="67"/>
      <c r="GE483" s="67"/>
      <c r="GF483" s="67"/>
      <c r="GG483" s="67"/>
      <c r="GH483" s="67"/>
      <c r="GI483" s="67"/>
      <c r="GJ483" s="67"/>
      <c r="GK483" s="67"/>
      <c r="GL483" s="67"/>
      <c r="GM483" s="67"/>
      <c r="GN483" s="67"/>
      <c r="GO483" s="67"/>
      <c r="GP483" s="67"/>
    </row>
    <row r="484" spans="5:198" s="66" customFormat="1">
      <c r="E484" s="67"/>
      <c r="G484" s="67"/>
      <c r="H484" s="67"/>
      <c r="I484" s="67"/>
      <c r="J484" s="67"/>
      <c r="K484" s="67"/>
      <c r="L484" s="67"/>
      <c r="M484" s="67"/>
      <c r="N484" s="67"/>
      <c r="O484" s="78"/>
      <c r="P484" s="78"/>
      <c r="S484" s="78"/>
      <c r="T484" s="78"/>
      <c r="U484" s="79"/>
      <c r="V484" s="65"/>
      <c r="Y484" s="78"/>
      <c r="Z484" s="78"/>
      <c r="AA484" s="78"/>
      <c r="AB484" s="78"/>
      <c r="AC484" s="78"/>
      <c r="AD484" s="78"/>
      <c r="AE484" s="78"/>
      <c r="AF484" s="78"/>
      <c r="AG484" s="79"/>
      <c r="AH484" s="65"/>
      <c r="AJ484" s="85"/>
      <c r="AK484" s="78"/>
      <c r="AL484" s="78"/>
      <c r="AM484" s="78"/>
      <c r="AN484" s="78"/>
      <c r="AO484" s="78"/>
      <c r="AP484" s="78"/>
      <c r="AQ484" s="79"/>
      <c r="AR484" s="65"/>
      <c r="AT484" s="85"/>
      <c r="AU484" s="78"/>
      <c r="AV484" s="78"/>
      <c r="AW484" s="78"/>
      <c r="AX484" s="78"/>
      <c r="AY484" s="78"/>
      <c r="AZ484" s="79"/>
      <c r="BA484" s="65"/>
      <c r="BC484" s="85"/>
      <c r="BD484" s="78"/>
      <c r="BE484" s="78"/>
      <c r="BF484" s="78"/>
      <c r="BG484" s="78"/>
      <c r="BH484" s="78"/>
      <c r="BI484" s="78"/>
      <c r="BJ484" s="79"/>
      <c r="BK484" s="65"/>
      <c r="CU484" s="67"/>
      <c r="EC484" s="67"/>
      <c r="FK484" s="67"/>
      <c r="FL484" s="67"/>
      <c r="FM484" s="67"/>
      <c r="FN484" s="67"/>
      <c r="FO484" s="67"/>
      <c r="FP484" s="67"/>
      <c r="FQ484" s="67"/>
      <c r="FR484" s="67"/>
      <c r="FS484" s="67"/>
      <c r="FT484" s="67"/>
      <c r="FU484" s="67"/>
      <c r="FV484" s="67"/>
      <c r="FW484" s="67"/>
      <c r="FX484" s="67"/>
      <c r="FY484" s="67"/>
      <c r="FZ484" s="67"/>
      <c r="GA484" s="67"/>
      <c r="GB484" s="67"/>
      <c r="GC484" s="67"/>
      <c r="GD484" s="67"/>
      <c r="GE484" s="67"/>
      <c r="GF484" s="67"/>
      <c r="GG484" s="67"/>
      <c r="GH484" s="67"/>
      <c r="GI484" s="67"/>
      <c r="GJ484" s="67"/>
      <c r="GK484" s="67"/>
      <c r="GL484" s="67"/>
      <c r="GM484" s="67"/>
      <c r="GN484" s="67"/>
      <c r="GO484" s="67"/>
      <c r="GP484" s="67"/>
    </row>
    <row r="485" spans="5:198" s="66" customFormat="1">
      <c r="E485" s="67"/>
      <c r="G485" s="67"/>
      <c r="H485" s="67"/>
      <c r="I485" s="67"/>
      <c r="J485" s="67"/>
      <c r="K485" s="67"/>
      <c r="L485" s="67"/>
      <c r="M485" s="67"/>
      <c r="N485" s="67"/>
      <c r="O485" s="78"/>
      <c r="P485" s="78"/>
      <c r="S485" s="78"/>
      <c r="T485" s="78"/>
      <c r="U485" s="79"/>
      <c r="V485" s="65"/>
      <c r="Y485" s="78"/>
      <c r="Z485" s="78"/>
      <c r="AA485" s="78"/>
      <c r="AB485" s="78"/>
      <c r="AC485" s="78"/>
      <c r="AD485" s="78"/>
      <c r="AE485" s="78"/>
      <c r="AF485" s="78"/>
      <c r="AG485" s="79"/>
      <c r="AH485" s="65"/>
      <c r="AJ485" s="85"/>
      <c r="AK485" s="78"/>
      <c r="AL485" s="78"/>
      <c r="AM485" s="78"/>
      <c r="AN485" s="78"/>
      <c r="AO485" s="78"/>
      <c r="AP485" s="78"/>
      <c r="AQ485" s="79"/>
      <c r="AR485" s="65"/>
      <c r="AT485" s="85"/>
      <c r="AU485" s="78"/>
      <c r="AV485" s="78"/>
      <c r="AW485" s="78"/>
      <c r="AX485" s="78"/>
      <c r="AY485" s="78"/>
      <c r="AZ485" s="79"/>
      <c r="BA485" s="65"/>
      <c r="BC485" s="85"/>
      <c r="BD485" s="78"/>
      <c r="BE485" s="78"/>
      <c r="BF485" s="78"/>
      <c r="BG485" s="78"/>
      <c r="BH485" s="78"/>
      <c r="BI485" s="78"/>
      <c r="BJ485" s="79"/>
      <c r="BK485" s="65"/>
      <c r="CU485" s="67"/>
      <c r="EC485" s="67"/>
      <c r="FK485" s="67"/>
      <c r="FL485" s="67"/>
      <c r="FM485" s="67"/>
      <c r="FN485" s="67"/>
      <c r="FO485" s="67"/>
      <c r="FP485" s="67"/>
      <c r="FQ485" s="67"/>
      <c r="FR485" s="67"/>
      <c r="FS485" s="67"/>
      <c r="FT485" s="67"/>
      <c r="FU485" s="67"/>
      <c r="FV485" s="67"/>
      <c r="FW485" s="67"/>
      <c r="FX485" s="67"/>
      <c r="FY485" s="67"/>
      <c r="FZ485" s="67"/>
      <c r="GA485" s="67"/>
      <c r="GB485" s="67"/>
      <c r="GC485" s="67"/>
      <c r="GD485" s="67"/>
      <c r="GE485" s="67"/>
      <c r="GF485" s="67"/>
      <c r="GG485" s="67"/>
      <c r="GH485" s="67"/>
      <c r="GI485" s="67"/>
      <c r="GJ485" s="67"/>
      <c r="GK485" s="67"/>
      <c r="GL485" s="67"/>
      <c r="GM485" s="67"/>
      <c r="GN485" s="67"/>
      <c r="GO485" s="67"/>
      <c r="GP485" s="67"/>
    </row>
    <row r="486" spans="5:198" s="66" customFormat="1">
      <c r="E486" s="67"/>
      <c r="G486" s="67"/>
      <c r="H486" s="67"/>
      <c r="I486" s="67"/>
      <c r="J486" s="67"/>
      <c r="K486" s="67"/>
      <c r="L486" s="67"/>
      <c r="M486" s="67"/>
      <c r="N486" s="67"/>
      <c r="O486" s="78"/>
      <c r="P486" s="78"/>
      <c r="S486" s="78"/>
      <c r="T486" s="78"/>
      <c r="U486" s="79"/>
      <c r="V486" s="65"/>
      <c r="Y486" s="78"/>
      <c r="Z486" s="78"/>
      <c r="AA486" s="78"/>
      <c r="AB486" s="78"/>
      <c r="AC486" s="78"/>
      <c r="AD486" s="78"/>
      <c r="AE486" s="78"/>
      <c r="AF486" s="78"/>
      <c r="AG486" s="79"/>
      <c r="AH486" s="65"/>
      <c r="AJ486" s="85"/>
      <c r="AK486" s="78"/>
      <c r="AL486" s="78"/>
      <c r="AM486" s="78"/>
      <c r="AN486" s="78"/>
      <c r="AO486" s="78"/>
      <c r="AP486" s="78"/>
      <c r="AQ486" s="79"/>
      <c r="AR486" s="65"/>
      <c r="AT486" s="85"/>
      <c r="AU486" s="78"/>
      <c r="AV486" s="78"/>
      <c r="AW486" s="78"/>
      <c r="AX486" s="78"/>
      <c r="AY486" s="78"/>
      <c r="AZ486" s="79"/>
      <c r="BA486" s="65"/>
      <c r="BC486" s="85"/>
      <c r="BD486" s="78"/>
      <c r="BE486" s="78"/>
      <c r="BF486" s="78"/>
      <c r="BG486" s="78"/>
      <c r="BH486" s="78"/>
      <c r="BI486" s="78"/>
      <c r="BJ486" s="79"/>
      <c r="BK486" s="65"/>
      <c r="CU486" s="67"/>
      <c r="EC486" s="67"/>
      <c r="FK486" s="67"/>
      <c r="FL486" s="67"/>
      <c r="FM486" s="67"/>
      <c r="FN486" s="67"/>
      <c r="FO486" s="67"/>
      <c r="FP486" s="67"/>
      <c r="FQ486" s="67"/>
      <c r="FR486" s="67"/>
      <c r="FS486" s="67"/>
      <c r="FT486" s="67"/>
      <c r="FU486" s="67"/>
      <c r="FV486" s="67"/>
      <c r="FW486" s="67"/>
      <c r="FX486" s="67"/>
      <c r="FY486" s="67"/>
      <c r="FZ486" s="67"/>
      <c r="GA486" s="67"/>
      <c r="GB486" s="67"/>
      <c r="GC486" s="67"/>
      <c r="GD486" s="67"/>
      <c r="GE486" s="67"/>
      <c r="GF486" s="67"/>
      <c r="GG486" s="67"/>
      <c r="GH486" s="67"/>
      <c r="GI486" s="67"/>
      <c r="GJ486" s="67"/>
      <c r="GK486" s="67"/>
      <c r="GL486" s="67"/>
      <c r="GM486" s="67"/>
      <c r="GN486" s="67"/>
      <c r="GO486" s="67"/>
      <c r="GP486" s="67"/>
    </row>
    <row r="487" spans="5:198" s="66" customFormat="1">
      <c r="E487" s="67"/>
      <c r="G487" s="67"/>
      <c r="H487" s="67"/>
      <c r="I487" s="67"/>
      <c r="J487" s="67"/>
      <c r="K487" s="67"/>
      <c r="L487" s="67"/>
      <c r="M487" s="67"/>
      <c r="N487" s="67"/>
      <c r="O487" s="78"/>
      <c r="P487" s="78"/>
      <c r="S487" s="78"/>
      <c r="T487" s="78"/>
      <c r="U487" s="79"/>
      <c r="V487" s="65"/>
      <c r="Y487" s="78"/>
      <c r="Z487" s="78"/>
      <c r="AA487" s="78"/>
      <c r="AB487" s="78"/>
      <c r="AC487" s="78"/>
      <c r="AD487" s="78"/>
      <c r="AE487" s="78"/>
      <c r="AF487" s="78"/>
      <c r="AG487" s="79"/>
      <c r="AH487" s="65"/>
      <c r="AJ487" s="85"/>
      <c r="AK487" s="78"/>
      <c r="AL487" s="78"/>
      <c r="AM487" s="78"/>
      <c r="AN487" s="78"/>
      <c r="AO487" s="78"/>
      <c r="AP487" s="78"/>
      <c r="AQ487" s="79"/>
      <c r="AR487" s="65"/>
      <c r="AT487" s="85"/>
      <c r="AU487" s="78"/>
      <c r="AV487" s="78"/>
      <c r="AW487" s="78"/>
      <c r="AX487" s="78"/>
      <c r="AY487" s="78"/>
      <c r="AZ487" s="79"/>
      <c r="BA487" s="65"/>
      <c r="BC487" s="85"/>
      <c r="BD487" s="78"/>
      <c r="BE487" s="78"/>
      <c r="BF487" s="78"/>
      <c r="BG487" s="78"/>
      <c r="BH487" s="78"/>
      <c r="BI487" s="78"/>
      <c r="BJ487" s="79"/>
      <c r="BK487" s="65"/>
      <c r="CU487" s="67"/>
      <c r="EC487" s="67"/>
      <c r="FK487" s="67"/>
      <c r="FL487" s="67"/>
      <c r="FM487" s="67"/>
      <c r="FN487" s="67"/>
      <c r="FO487" s="67"/>
      <c r="FP487" s="67"/>
      <c r="FQ487" s="67"/>
      <c r="FR487" s="67"/>
      <c r="FS487" s="67"/>
      <c r="FT487" s="67"/>
      <c r="FU487" s="67"/>
      <c r="FV487" s="67"/>
      <c r="FW487" s="67"/>
      <c r="FX487" s="67"/>
      <c r="FY487" s="67"/>
      <c r="FZ487" s="67"/>
      <c r="GA487" s="67"/>
      <c r="GB487" s="67"/>
      <c r="GC487" s="67"/>
      <c r="GD487" s="67"/>
      <c r="GE487" s="67"/>
      <c r="GF487" s="67"/>
      <c r="GG487" s="67"/>
      <c r="GH487" s="67"/>
      <c r="GI487" s="67"/>
      <c r="GJ487" s="67"/>
      <c r="GK487" s="67"/>
      <c r="GL487" s="67"/>
      <c r="GM487" s="67"/>
      <c r="GN487" s="67"/>
      <c r="GO487" s="67"/>
      <c r="GP487" s="67"/>
    </row>
    <row r="488" spans="5:198" s="66" customFormat="1">
      <c r="E488" s="67"/>
      <c r="G488" s="67"/>
      <c r="H488" s="67"/>
      <c r="I488" s="67"/>
      <c r="J488" s="67"/>
      <c r="K488" s="67"/>
      <c r="L488" s="67"/>
      <c r="M488" s="67"/>
      <c r="N488" s="67"/>
      <c r="O488" s="78"/>
      <c r="P488" s="78"/>
      <c r="S488" s="78"/>
      <c r="T488" s="78"/>
      <c r="U488" s="79"/>
      <c r="V488" s="65"/>
      <c r="Y488" s="78"/>
      <c r="Z488" s="78"/>
      <c r="AA488" s="78"/>
      <c r="AB488" s="78"/>
      <c r="AC488" s="78"/>
      <c r="AD488" s="78"/>
      <c r="AE488" s="78"/>
      <c r="AF488" s="78"/>
      <c r="AG488" s="79"/>
      <c r="AH488" s="65"/>
      <c r="AJ488" s="85"/>
      <c r="AK488" s="78"/>
      <c r="AL488" s="78"/>
      <c r="AM488" s="78"/>
      <c r="AN488" s="78"/>
      <c r="AO488" s="78"/>
      <c r="AP488" s="78"/>
      <c r="AQ488" s="79"/>
      <c r="AR488" s="65"/>
      <c r="AT488" s="85"/>
      <c r="AU488" s="78"/>
      <c r="AV488" s="78"/>
      <c r="AW488" s="78"/>
      <c r="AX488" s="78"/>
      <c r="AY488" s="78"/>
      <c r="AZ488" s="79"/>
      <c r="BA488" s="65"/>
      <c r="BC488" s="85"/>
      <c r="BD488" s="78"/>
      <c r="BE488" s="78"/>
      <c r="BF488" s="78"/>
      <c r="BG488" s="78"/>
      <c r="BH488" s="78"/>
      <c r="BI488" s="78"/>
      <c r="BJ488" s="79"/>
      <c r="BK488" s="65"/>
      <c r="CU488" s="67"/>
      <c r="EC488" s="67"/>
      <c r="FK488" s="67"/>
      <c r="FL488" s="67"/>
      <c r="FM488" s="67"/>
      <c r="FN488" s="67"/>
      <c r="FO488" s="67"/>
      <c r="FP488" s="67"/>
      <c r="FQ488" s="67"/>
      <c r="FR488" s="67"/>
      <c r="FS488" s="67"/>
      <c r="FT488" s="67"/>
      <c r="FU488" s="67"/>
      <c r="FV488" s="67"/>
      <c r="FW488" s="67"/>
      <c r="FX488" s="67"/>
      <c r="FY488" s="67"/>
      <c r="FZ488" s="67"/>
      <c r="GA488" s="67"/>
      <c r="GB488" s="67"/>
      <c r="GC488" s="67"/>
      <c r="GD488" s="67"/>
      <c r="GE488" s="67"/>
      <c r="GF488" s="67"/>
      <c r="GG488" s="67"/>
      <c r="GH488" s="67"/>
      <c r="GI488" s="67"/>
      <c r="GJ488" s="67"/>
      <c r="GK488" s="67"/>
      <c r="GL488" s="67"/>
      <c r="GM488" s="67"/>
      <c r="GN488" s="67"/>
      <c r="GO488" s="67"/>
      <c r="GP488" s="67"/>
    </row>
    <row r="489" spans="5:198" s="66" customFormat="1">
      <c r="E489" s="67"/>
      <c r="G489" s="67"/>
      <c r="H489" s="67"/>
      <c r="I489" s="67"/>
      <c r="J489" s="67"/>
      <c r="K489" s="67"/>
      <c r="L489" s="67"/>
      <c r="M489" s="67"/>
      <c r="N489" s="67"/>
      <c r="O489" s="78"/>
      <c r="P489" s="78"/>
      <c r="S489" s="78"/>
      <c r="T489" s="78"/>
      <c r="U489" s="79"/>
      <c r="V489" s="65"/>
      <c r="Y489" s="78"/>
      <c r="Z489" s="78"/>
      <c r="AA489" s="78"/>
      <c r="AB489" s="78"/>
      <c r="AC489" s="78"/>
      <c r="AD489" s="78"/>
      <c r="AE489" s="78"/>
      <c r="AF489" s="78"/>
      <c r="AG489" s="79"/>
      <c r="AH489" s="65"/>
      <c r="AJ489" s="85"/>
      <c r="AK489" s="78"/>
      <c r="AL489" s="78"/>
      <c r="AM489" s="78"/>
      <c r="AN489" s="78"/>
      <c r="AO489" s="78"/>
      <c r="AP489" s="78"/>
      <c r="AQ489" s="79"/>
      <c r="AR489" s="65"/>
      <c r="AT489" s="85"/>
      <c r="AU489" s="78"/>
      <c r="AV489" s="78"/>
      <c r="AW489" s="78"/>
      <c r="AX489" s="78"/>
      <c r="AY489" s="78"/>
      <c r="AZ489" s="79"/>
      <c r="BA489" s="65"/>
      <c r="BC489" s="85"/>
      <c r="BD489" s="78"/>
      <c r="BE489" s="78"/>
      <c r="BF489" s="78"/>
      <c r="BG489" s="78"/>
      <c r="BH489" s="78"/>
      <c r="BI489" s="78"/>
      <c r="BJ489" s="79"/>
      <c r="BK489" s="65"/>
      <c r="CU489" s="67"/>
      <c r="EC489" s="67"/>
      <c r="FK489" s="67"/>
      <c r="FL489" s="67"/>
      <c r="FM489" s="67"/>
      <c r="FN489" s="67"/>
      <c r="FO489" s="67"/>
      <c r="FP489" s="67"/>
      <c r="FQ489" s="67"/>
      <c r="FR489" s="67"/>
      <c r="FS489" s="67"/>
      <c r="FT489" s="67"/>
      <c r="FU489" s="67"/>
      <c r="FV489" s="67"/>
      <c r="FW489" s="67"/>
      <c r="FX489" s="67"/>
      <c r="FY489" s="67"/>
      <c r="FZ489" s="67"/>
      <c r="GA489" s="67"/>
      <c r="GB489" s="67"/>
      <c r="GC489" s="67"/>
      <c r="GD489" s="67"/>
      <c r="GE489" s="67"/>
      <c r="GF489" s="67"/>
      <c r="GG489" s="67"/>
      <c r="GH489" s="67"/>
      <c r="GI489" s="67"/>
      <c r="GJ489" s="67"/>
      <c r="GK489" s="67"/>
      <c r="GL489" s="67"/>
      <c r="GM489" s="67"/>
      <c r="GN489" s="67"/>
      <c r="GO489" s="67"/>
      <c r="GP489" s="67"/>
    </row>
    <row r="490" spans="5:198" s="66" customFormat="1">
      <c r="E490" s="67"/>
      <c r="G490" s="67"/>
      <c r="H490" s="67"/>
      <c r="I490" s="67"/>
      <c r="J490" s="67"/>
      <c r="K490" s="67"/>
      <c r="L490" s="67"/>
      <c r="M490" s="67"/>
      <c r="N490" s="67"/>
      <c r="O490" s="78"/>
      <c r="P490" s="78"/>
      <c r="S490" s="78"/>
      <c r="T490" s="78"/>
      <c r="U490" s="79"/>
      <c r="V490" s="65"/>
      <c r="Y490" s="78"/>
      <c r="Z490" s="78"/>
      <c r="AA490" s="78"/>
      <c r="AB490" s="78"/>
      <c r="AC490" s="78"/>
      <c r="AD490" s="78"/>
      <c r="AE490" s="78"/>
      <c r="AF490" s="78"/>
      <c r="AG490" s="79"/>
      <c r="AH490" s="65"/>
      <c r="AJ490" s="85"/>
      <c r="AK490" s="78"/>
      <c r="AL490" s="78"/>
      <c r="AM490" s="78"/>
      <c r="AN490" s="78"/>
      <c r="AO490" s="78"/>
      <c r="AP490" s="78"/>
      <c r="AQ490" s="79"/>
      <c r="AR490" s="65"/>
      <c r="AT490" s="85"/>
      <c r="AU490" s="78"/>
      <c r="AV490" s="78"/>
      <c r="AW490" s="78"/>
      <c r="AX490" s="78"/>
      <c r="AY490" s="78"/>
      <c r="AZ490" s="79"/>
      <c r="BA490" s="65"/>
      <c r="BC490" s="85"/>
      <c r="BD490" s="78"/>
      <c r="BE490" s="78"/>
      <c r="BF490" s="78"/>
      <c r="BG490" s="78"/>
      <c r="BH490" s="78"/>
      <c r="BI490" s="78"/>
      <c r="BJ490" s="79"/>
      <c r="BK490" s="65"/>
      <c r="CU490" s="67"/>
      <c r="EC490" s="67"/>
      <c r="FK490" s="67"/>
      <c r="FL490" s="67"/>
      <c r="FM490" s="67"/>
      <c r="FN490" s="67"/>
      <c r="FO490" s="67"/>
      <c r="FP490" s="67"/>
      <c r="FQ490" s="67"/>
      <c r="FR490" s="67"/>
      <c r="FS490" s="67"/>
      <c r="FT490" s="67"/>
      <c r="FU490" s="67"/>
      <c r="FV490" s="67"/>
      <c r="FW490" s="67"/>
      <c r="FX490" s="67"/>
      <c r="FY490" s="67"/>
      <c r="FZ490" s="67"/>
      <c r="GA490" s="67"/>
      <c r="GB490" s="67"/>
      <c r="GC490" s="67"/>
      <c r="GD490" s="67"/>
      <c r="GE490" s="67"/>
      <c r="GF490" s="67"/>
      <c r="GG490" s="67"/>
      <c r="GH490" s="67"/>
      <c r="GI490" s="67"/>
      <c r="GJ490" s="67"/>
      <c r="GK490" s="67"/>
      <c r="GL490" s="67"/>
      <c r="GM490" s="67"/>
      <c r="GN490" s="67"/>
      <c r="GO490" s="67"/>
      <c r="GP490" s="67"/>
    </row>
    <row r="491" spans="5:198" s="66" customFormat="1">
      <c r="E491" s="67"/>
      <c r="G491" s="67"/>
      <c r="H491" s="67"/>
      <c r="I491" s="67"/>
      <c r="J491" s="67"/>
      <c r="K491" s="67"/>
      <c r="L491" s="67"/>
      <c r="M491" s="67"/>
      <c r="N491" s="67"/>
      <c r="O491" s="78"/>
      <c r="P491" s="78"/>
      <c r="S491" s="78"/>
      <c r="T491" s="78"/>
      <c r="U491" s="79"/>
      <c r="V491" s="65"/>
      <c r="Y491" s="78"/>
      <c r="Z491" s="78"/>
      <c r="AA491" s="78"/>
      <c r="AB491" s="78"/>
      <c r="AC491" s="78"/>
      <c r="AD491" s="78"/>
      <c r="AE491" s="78"/>
      <c r="AF491" s="78"/>
      <c r="AG491" s="79"/>
      <c r="AH491" s="65"/>
      <c r="AJ491" s="85"/>
      <c r="AK491" s="78"/>
      <c r="AL491" s="78"/>
      <c r="AM491" s="78"/>
      <c r="AN491" s="78"/>
      <c r="AO491" s="78"/>
      <c r="AP491" s="78"/>
      <c r="AQ491" s="79"/>
      <c r="AR491" s="65"/>
      <c r="AT491" s="85"/>
      <c r="AU491" s="78"/>
      <c r="AV491" s="78"/>
      <c r="AW491" s="78"/>
      <c r="AX491" s="78"/>
      <c r="AY491" s="78"/>
      <c r="AZ491" s="79"/>
      <c r="BA491" s="65"/>
      <c r="BC491" s="85"/>
      <c r="BD491" s="78"/>
      <c r="BE491" s="78"/>
      <c r="BF491" s="78"/>
      <c r="BG491" s="78"/>
      <c r="BH491" s="78"/>
      <c r="BI491" s="78"/>
      <c r="BJ491" s="79"/>
      <c r="BK491" s="65"/>
      <c r="CU491" s="67"/>
      <c r="EC491" s="67"/>
      <c r="FK491" s="67"/>
      <c r="FL491" s="67"/>
      <c r="FM491" s="67"/>
      <c r="FN491" s="67"/>
      <c r="FO491" s="67"/>
      <c r="FP491" s="67"/>
      <c r="FQ491" s="67"/>
      <c r="FR491" s="67"/>
      <c r="FS491" s="67"/>
      <c r="FT491" s="67"/>
      <c r="FU491" s="67"/>
      <c r="FV491" s="67"/>
      <c r="FW491" s="67"/>
      <c r="FX491" s="67"/>
      <c r="FY491" s="67"/>
      <c r="FZ491" s="67"/>
      <c r="GA491" s="67"/>
      <c r="GB491" s="67"/>
      <c r="GC491" s="67"/>
      <c r="GD491" s="67"/>
      <c r="GE491" s="67"/>
      <c r="GF491" s="67"/>
      <c r="GG491" s="67"/>
      <c r="GH491" s="67"/>
      <c r="GI491" s="67"/>
      <c r="GJ491" s="67"/>
      <c r="GK491" s="67"/>
      <c r="GL491" s="67"/>
      <c r="GM491" s="67"/>
      <c r="GN491" s="67"/>
      <c r="GO491" s="67"/>
      <c r="GP491" s="67"/>
    </row>
    <row r="492" spans="5:198" s="66" customFormat="1">
      <c r="E492" s="67"/>
      <c r="G492" s="67"/>
      <c r="H492" s="67"/>
      <c r="I492" s="67"/>
      <c r="J492" s="67"/>
      <c r="K492" s="67"/>
      <c r="L492" s="67"/>
      <c r="M492" s="67"/>
      <c r="N492" s="67"/>
      <c r="O492" s="78"/>
      <c r="P492" s="78"/>
      <c r="S492" s="78"/>
      <c r="T492" s="78"/>
      <c r="U492" s="79"/>
      <c r="V492" s="65"/>
      <c r="Y492" s="78"/>
      <c r="Z492" s="78"/>
      <c r="AA492" s="78"/>
      <c r="AB492" s="78"/>
      <c r="AC492" s="78"/>
      <c r="AD492" s="78"/>
      <c r="AE492" s="78"/>
      <c r="AF492" s="78"/>
      <c r="AG492" s="79"/>
      <c r="AH492" s="65"/>
      <c r="AJ492" s="85"/>
      <c r="AK492" s="78"/>
      <c r="AL492" s="78"/>
      <c r="AM492" s="78"/>
      <c r="AN492" s="78"/>
      <c r="AO492" s="78"/>
      <c r="AP492" s="78"/>
      <c r="AQ492" s="79"/>
      <c r="AR492" s="65"/>
      <c r="AT492" s="85"/>
      <c r="AU492" s="78"/>
      <c r="AV492" s="78"/>
      <c r="AW492" s="78"/>
      <c r="AX492" s="78"/>
      <c r="AY492" s="78"/>
      <c r="AZ492" s="79"/>
      <c r="BA492" s="65"/>
      <c r="BC492" s="85"/>
      <c r="BD492" s="78"/>
      <c r="BE492" s="78"/>
      <c r="BF492" s="78"/>
      <c r="BG492" s="78"/>
      <c r="BH492" s="78"/>
      <c r="BI492" s="78"/>
      <c r="BJ492" s="79"/>
      <c r="BK492" s="65"/>
      <c r="CU492" s="67"/>
      <c r="EC492" s="67"/>
      <c r="FK492" s="67"/>
      <c r="FL492" s="67"/>
      <c r="FM492" s="67"/>
      <c r="FN492" s="67"/>
      <c r="FO492" s="67"/>
      <c r="FP492" s="67"/>
      <c r="FQ492" s="67"/>
      <c r="FR492" s="67"/>
      <c r="FS492" s="67"/>
      <c r="FT492" s="67"/>
      <c r="FU492" s="67"/>
      <c r="FV492" s="67"/>
      <c r="FW492" s="67"/>
      <c r="FX492" s="67"/>
      <c r="FY492" s="67"/>
      <c r="FZ492" s="67"/>
      <c r="GA492" s="67"/>
      <c r="GB492" s="67"/>
      <c r="GC492" s="67"/>
      <c r="GD492" s="67"/>
      <c r="GE492" s="67"/>
      <c r="GF492" s="67"/>
      <c r="GG492" s="67"/>
      <c r="GH492" s="67"/>
      <c r="GI492" s="67"/>
      <c r="GJ492" s="67"/>
      <c r="GK492" s="67"/>
      <c r="GL492" s="67"/>
      <c r="GM492" s="67"/>
      <c r="GN492" s="67"/>
      <c r="GO492" s="67"/>
      <c r="GP492" s="67"/>
    </row>
    <row r="493" spans="5:198" s="66" customFormat="1">
      <c r="E493" s="67"/>
      <c r="G493" s="67"/>
      <c r="H493" s="67"/>
      <c r="I493" s="67"/>
      <c r="J493" s="67"/>
      <c r="K493" s="67"/>
      <c r="L493" s="67"/>
      <c r="M493" s="67"/>
      <c r="N493" s="67"/>
      <c r="O493" s="78"/>
      <c r="P493" s="78"/>
      <c r="S493" s="78"/>
      <c r="T493" s="78"/>
      <c r="U493" s="79"/>
      <c r="V493" s="65"/>
      <c r="Y493" s="78"/>
      <c r="Z493" s="78"/>
      <c r="AA493" s="78"/>
      <c r="AB493" s="78"/>
      <c r="AC493" s="78"/>
      <c r="AD493" s="78"/>
      <c r="AE493" s="78"/>
      <c r="AF493" s="78"/>
      <c r="AG493" s="79"/>
      <c r="AH493" s="65"/>
      <c r="AJ493" s="85"/>
      <c r="AK493" s="78"/>
      <c r="AL493" s="78"/>
      <c r="AM493" s="78"/>
      <c r="AN493" s="78"/>
      <c r="AO493" s="78"/>
      <c r="AP493" s="78"/>
      <c r="AQ493" s="79"/>
      <c r="AR493" s="65"/>
      <c r="AT493" s="85"/>
      <c r="AU493" s="78"/>
      <c r="AV493" s="78"/>
      <c r="AW493" s="78"/>
      <c r="AX493" s="78"/>
      <c r="AY493" s="78"/>
      <c r="AZ493" s="79"/>
      <c r="BA493" s="65"/>
      <c r="BC493" s="85"/>
      <c r="BD493" s="78"/>
      <c r="BE493" s="78"/>
      <c r="BF493" s="78"/>
      <c r="BG493" s="78"/>
      <c r="BH493" s="78"/>
      <c r="BI493" s="78"/>
      <c r="BJ493" s="79"/>
      <c r="BK493" s="65"/>
      <c r="CU493" s="67"/>
      <c r="EC493" s="67"/>
      <c r="FK493" s="67"/>
      <c r="FL493" s="67"/>
      <c r="FM493" s="67"/>
      <c r="FN493" s="67"/>
      <c r="FO493" s="67"/>
      <c r="FP493" s="67"/>
      <c r="FQ493" s="67"/>
      <c r="FR493" s="67"/>
      <c r="FS493" s="67"/>
      <c r="FT493" s="67"/>
      <c r="FU493" s="67"/>
      <c r="FV493" s="67"/>
      <c r="FW493" s="67"/>
      <c r="FX493" s="67"/>
      <c r="FY493" s="67"/>
      <c r="FZ493" s="67"/>
      <c r="GA493" s="67"/>
      <c r="GB493" s="67"/>
      <c r="GC493" s="67"/>
      <c r="GD493" s="67"/>
      <c r="GE493" s="67"/>
      <c r="GF493" s="67"/>
      <c r="GG493" s="67"/>
      <c r="GH493" s="67"/>
      <c r="GI493" s="67"/>
      <c r="GJ493" s="67"/>
      <c r="GK493" s="67"/>
      <c r="GL493" s="67"/>
      <c r="GM493" s="67"/>
      <c r="GN493" s="67"/>
      <c r="GO493" s="67"/>
      <c r="GP493" s="67"/>
    </row>
    <row r="494" spans="5:198" s="66" customFormat="1">
      <c r="E494" s="67"/>
      <c r="G494" s="67"/>
      <c r="H494" s="67"/>
      <c r="I494" s="67"/>
      <c r="J494" s="67"/>
      <c r="K494" s="67"/>
      <c r="L494" s="67"/>
      <c r="M494" s="67"/>
      <c r="N494" s="67"/>
      <c r="O494" s="78"/>
      <c r="P494" s="78"/>
      <c r="S494" s="78"/>
      <c r="T494" s="78"/>
      <c r="U494" s="79"/>
      <c r="V494" s="65"/>
      <c r="Y494" s="78"/>
      <c r="Z494" s="78"/>
      <c r="AA494" s="78"/>
      <c r="AB494" s="78"/>
      <c r="AC494" s="78"/>
      <c r="AD494" s="78"/>
      <c r="AE494" s="78"/>
      <c r="AF494" s="78"/>
      <c r="AG494" s="79"/>
      <c r="AH494" s="65"/>
      <c r="AJ494" s="85"/>
      <c r="AK494" s="78"/>
      <c r="AL494" s="78"/>
      <c r="AM494" s="78"/>
      <c r="AN494" s="78"/>
      <c r="AO494" s="78"/>
      <c r="AP494" s="78"/>
      <c r="AQ494" s="79"/>
      <c r="AR494" s="65"/>
      <c r="AT494" s="85"/>
      <c r="AU494" s="78"/>
      <c r="AV494" s="78"/>
      <c r="AW494" s="78"/>
      <c r="AX494" s="78"/>
      <c r="AY494" s="78"/>
      <c r="AZ494" s="79"/>
      <c r="BA494" s="65"/>
      <c r="BC494" s="85"/>
      <c r="BD494" s="78"/>
      <c r="BE494" s="78"/>
      <c r="BF494" s="78"/>
      <c r="BG494" s="78"/>
      <c r="BH494" s="78"/>
      <c r="BI494" s="78"/>
      <c r="BJ494" s="79"/>
      <c r="BK494" s="65"/>
      <c r="CU494" s="67"/>
      <c r="EC494" s="67"/>
      <c r="FK494" s="67"/>
      <c r="FL494" s="67"/>
      <c r="FM494" s="67"/>
      <c r="FN494" s="67"/>
      <c r="FO494" s="67"/>
      <c r="FP494" s="67"/>
      <c r="FQ494" s="67"/>
      <c r="FR494" s="67"/>
      <c r="FS494" s="67"/>
      <c r="FT494" s="67"/>
      <c r="FU494" s="67"/>
      <c r="FV494" s="67"/>
      <c r="FW494" s="67"/>
      <c r="FX494" s="67"/>
      <c r="FY494" s="67"/>
      <c r="FZ494" s="67"/>
      <c r="GA494" s="67"/>
      <c r="GB494" s="67"/>
      <c r="GC494" s="67"/>
      <c r="GD494" s="67"/>
      <c r="GE494" s="67"/>
      <c r="GF494" s="67"/>
      <c r="GG494" s="67"/>
      <c r="GH494" s="67"/>
      <c r="GI494" s="67"/>
      <c r="GJ494" s="67"/>
      <c r="GK494" s="67"/>
      <c r="GL494" s="67"/>
      <c r="GM494" s="67"/>
      <c r="GN494" s="67"/>
      <c r="GO494" s="67"/>
      <c r="GP494" s="67"/>
    </row>
    <row r="495" spans="5:198" s="66" customFormat="1">
      <c r="E495" s="67"/>
      <c r="G495" s="67"/>
      <c r="H495" s="67"/>
      <c r="I495" s="67"/>
      <c r="J495" s="67"/>
      <c r="K495" s="67"/>
      <c r="L495" s="67"/>
      <c r="M495" s="67"/>
      <c r="N495" s="67"/>
      <c r="O495" s="78"/>
      <c r="P495" s="78"/>
      <c r="S495" s="78"/>
      <c r="T495" s="78"/>
      <c r="U495" s="79"/>
      <c r="V495" s="65"/>
      <c r="Y495" s="78"/>
      <c r="Z495" s="78"/>
      <c r="AA495" s="78"/>
      <c r="AB495" s="78"/>
      <c r="AC495" s="78"/>
      <c r="AD495" s="78"/>
      <c r="AE495" s="78"/>
      <c r="AF495" s="78"/>
      <c r="AG495" s="79"/>
      <c r="AH495" s="65"/>
      <c r="AJ495" s="85"/>
      <c r="AK495" s="78"/>
      <c r="AL495" s="78"/>
      <c r="AM495" s="78"/>
      <c r="AN495" s="78"/>
      <c r="AO495" s="78"/>
      <c r="AP495" s="78"/>
      <c r="AQ495" s="79"/>
      <c r="AR495" s="65"/>
      <c r="AT495" s="85"/>
      <c r="AU495" s="78"/>
      <c r="AV495" s="78"/>
      <c r="AW495" s="78"/>
      <c r="AX495" s="78"/>
      <c r="AY495" s="78"/>
      <c r="AZ495" s="79"/>
      <c r="BA495" s="65"/>
      <c r="BC495" s="85"/>
      <c r="BD495" s="78"/>
      <c r="BE495" s="78"/>
      <c r="BF495" s="78"/>
      <c r="BG495" s="78"/>
      <c r="BH495" s="78"/>
      <c r="BI495" s="78"/>
      <c r="BJ495" s="79"/>
      <c r="BK495" s="65"/>
      <c r="CU495" s="67"/>
      <c r="EC495" s="67"/>
      <c r="FK495" s="67"/>
      <c r="FL495" s="67"/>
      <c r="FM495" s="67"/>
      <c r="FN495" s="67"/>
      <c r="FO495" s="67"/>
      <c r="FP495" s="67"/>
      <c r="FQ495" s="67"/>
      <c r="FR495" s="67"/>
      <c r="FS495" s="67"/>
      <c r="FT495" s="67"/>
      <c r="FU495" s="67"/>
      <c r="FV495" s="67"/>
      <c r="FW495" s="67"/>
      <c r="FX495" s="67"/>
      <c r="FY495" s="67"/>
      <c r="FZ495" s="67"/>
      <c r="GA495" s="67"/>
      <c r="GB495" s="67"/>
      <c r="GC495" s="67"/>
      <c r="GD495" s="67"/>
      <c r="GE495" s="67"/>
      <c r="GF495" s="67"/>
      <c r="GG495" s="67"/>
      <c r="GH495" s="67"/>
      <c r="GI495" s="67"/>
      <c r="GJ495" s="67"/>
      <c r="GK495" s="67"/>
      <c r="GL495" s="67"/>
      <c r="GM495" s="67"/>
      <c r="GN495" s="67"/>
      <c r="GO495" s="67"/>
      <c r="GP495" s="67"/>
    </row>
    <row r="496" spans="5:198" s="66" customFormat="1">
      <c r="E496" s="67"/>
      <c r="G496" s="67"/>
      <c r="H496" s="67"/>
      <c r="I496" s="67"/>
      <c r="J496" s="67"/>
      <c r="K496" s="67"/>
      <c r="L496" s="67"/>
      <c r="M496" s="67"/>
      <c r="N496" s="67"/>
      <c r="O496" s="78"/>
      <c r="P496" s="78"/>
      <c r="S496" s="78"/>
      <c r="T496" s="78"/>
      <c r="U496" s="79"/>
      <c r="V496" s="65"/>
      <c r="Y496" s="78"/>
      <c r="Z496" s="78"/>
      <c r="AA496" s="78"/>
      <c r="AB496" s="78"/>
      <c r="AC496" s="78"/>
      <c r="AD496" s="78"/>
      <c r="AE496" s="78"/>
      <c r="AF496" s="78"/>
      <c r="AG496" s="79"/>
      <c r="AH496" s="65"/>
      <c r="AJ496" s="85"/>
      <c r="AK496" s="78"/>
      <c r="AL496" s="78"/>
      <c r="AM496" s="78"/>
      <c r="AN496" s="78"/>
      <c r="AO496" s="78"/>
      <c r="AP496" s="78"/>
      <c r="AQ496" s="79"/>
      <c r="AR496" s="65"/>
      <c r="AT496" s="85"/>
      <c r="AU496" s="78"/>
      <c r="AV496" s="78"/>
      <c r="AW496" s="78"/>
      <c r="AX496" s="78"/>
      <c r="AY496" s="78"/>
      <c r="AZ496" s="79"/>
      <c r="BA496" s="65"/>
      <c r="BC496" s="85"/>
      <c r="BD496" s="78"/>
      <c r="BE496" s="78"/>
      <c r="BF496" s="78"/>
      <c r="BG496" s="78"/>
      <c r="BH496" s="78"/>
      <c r="BI496" s="78"/>
      <c r="BJ496" s="79"/>
      <c r="BK496" s="65"/>
      <c r="CU496" s="67"/>
      <c r="EC496" s="67"/>
      <c r="FK496" s="67"/>
      <c r="FL496" s="67"/>
      <c r="FM496" s="67"/>
      <c r="FN496" s="67"/>
      <c r="FO496" s="67"/>
      <c r="FP496" s="67"/>
      <c r="FQ496" s="67"/>
      <c r="FR496" s="67"/>
      <c r="FS496" s="67"/>
      <c r="FT496" s="67"/>
      <c r="FU496" s="67"/>
      <c r="FV496" s="67"/>
      <c r="FW496" s="67"/>
      <c r="FX496" s="67"/>
      <c r="FY496" s="67"/>
      <c r="FZ496" s="67"/>
      <c r="GA496" s="67"/>
      <c r="GB496" s="67"/>
      <c r="GC496" s="67"/>
      <c r="GD496" s="67"/>
      <c r="GE496" s="67"/>
      <c r="GF496" s="67"/>
      <c r="GG496" s="67"/>
      <c r="GH496" s="67"/>
      <c r="GI496" s="67"/>
      <c r="GJ496" s="67"/>
      <c r="GK496" s="67"/>
      <c r="GL496" s="67"/>
      <c r="GM496" s="67"/>
      <c r="GN496" s="67"/>
      <c r="GO496" s="67"/>
      <c r="GP496" s="67"/>
    </row>
    <row r="497" spans="5:198" s="66" customFormat="1">
      <c r="E497" s="67"/>
      <c r="G497" s="67"/>
      <c r="H497" s="67"/>
      <c r="I497" s="67"/>
      <c r="J497" s="67"/>
      <c r="K497" s="67"/>
      <c r="L497" s="67"/>
      <c r="M497" s="67"/>
      <c r="N497" s="67"/>
      <c r="O497" s="78"/>
      <c r="P497" s="78"/>
      <c r="S497" s="78"/>
      <c r="T497" s="78"/>
      <c r="U497" s="79"/>
      <c r="V497" s="65"/>
      <c r="Y497" s="78"/>
      <c r="Z497" s="78"/>
      <c r="AA497" s="78"/>
      <c r="AB497" s="78"/>
      <c r="AC497" s="78"/>
      <c r="AD497" s="78"/>
      <c r="AE497" s="78"/>
      <c r="AF497" s="78"/>
      <c r="AG497" s="79"/>
      <c r="AH497" s="65"/>
      <c r="AJ497" s="85"/>
      <c r="AK497" s="78"/>
      <c r="AL497" s="78"/>
      <c r="AM497" s="78"/>
      <c r="AN497" s="78"/>
      <c r="AO497" s="78"/>
      <c r="AP497" s="78"/>
      <c r="AQ497" s="79"/>
      <c r="AR497" s="65"/>
      <c r="AT497" s="85"/>
      <c r="AU497" s="78"/>
      <c r="AV497" s="78"/>
      <c r="AW497" s="78"/>
      <c r="AX497" s="78"/>
      <c r="AY497" s="78"/>
      <c r="AZ497" s="79"/>
      <c r="BA497" s="65"/>
      <c r="BC497" s="85"/>
      <c r="BD497" s="78"/>
      <c r="BE497" s="78"/>
      <c r="BF497" s="78"/>
      <c r="BG497" s="78"/>
      <c r="BH497" s="78"/>
      <c r="BI497" s="78"/>
      <c r="BJ497" s="79"/>
      <c r="BK497" s="65"/>
      <c r="CU497" s="67"/>
      <c r="EC497" s="67"/>
      <c r="FK497" s="67"/>
      <c r="FL497" s="67"/>
      <c r="FM497" s="67"/>
      <c r="FN497" s="67"/>
      <c r="FO497" s="67"/>
      <c r="FP497" s="67"/>
      <c r="FQ497" s="67"/>
      <c r="FR497" s="67"/>
      <c r="FS497" s="67"/>
      <c r="FT497" s="67"/>
      <c r="FU497" s="67"/>
      <c r="FV497" s="67"/>
      <c r="FW497" s="67"/>
      <c r="FX497" s="67"/>
      <c r="FY497" s="67"/>
      <c r="FZ497" s="67"/>
      <c r="GA497" s="67"/>
      <c r="GB497" s="67"/>
      <c r="GC497" s="67"/>
      <c r="GD497" s="67"/>
      <c r="GE497" s="67"/>
      <c r="GF497" s="67"/>
      <c r="GG497" s="67"/>
      <c r="GH497" s="67"/>
      <c r="GI497" s="67"/>
      <c r="GJ497" s="67"/>
      <c r="GK497" s="67"/>
      <c r="GL497" s="67"/>
      <c r="GM497" s="67"/>
      <c r="GN497" s="67"/>
      <c r="GO497" s="67"/>
      <c r="GP497" s="67"/>
    </row>
    <row r="498" spans="5:198" s="66" customFormat="1">
      <c r="E498" s="67"/>
      <c r="G498" s="67"/>
      <c r="H498" s="67"/>
      <c r="I498" s="67"/>
      <c r="J498" s="67"/>
      <c r="K498" s="67"/>
      <c r="L498" s="67"/>
      <c r="M498" s="67"/>
      <c r="N498" s="67"/>
      <c r="O498" s="78"/>
      <c r="P498" s="78"/>
      <c r="S498" s="78"/>
      <c r="T498" s="78"/>
      <c r="U498" s="79"/>
      <c r="V498" s="65"/>
      <c r="Y498" s="78"/>
      <c r="Z498" s="78"/>
      <c r="AA498" s="78"/>
      <c r="AB498" s="78"/>
      <c r="AC498" s="78"/>
      <c r="AD498" s="78"/>
      <c r="AE498" s="78"/>
      <c r="AF498" s="78"/>
      <c r="AG498" s="79"/>
      <c r="AH498" s="65"/>
      <c r="AJ498" s="85"/>
      <c r="AK498" s="78"/>
      <c r="AL498" s="78"/>
      <c r="AM498" s="78"/>
      <c r="AN498" s="78"/>
      <c r="AO498" s="78"/>
      <c r="AP498" s="78"/>
      <c r="AQ498" s="79"/>
      <c r="AR498" s="65"/>
      <c r="AT498" s="85"/>
      <c r="AU498" s="78"/>
      <c r="AV498" s="78"/>
      <c r="AW498" s="78"/>
      <c r="AX498" s="78"/>
      <c r="AY498" s="78"/>
      <c r="AZ498" s="79"/>
      <c r="BA498" s="65"/>
      <c r="BC498" s="85"/>
      <c r="BD498" s="78"/>
      <c r="BE498" s="78"/>
      <c r="BF498" s="78"/>
      <c r="BG498" s="78"/>
      <c r="BH498" s="78"/>
      <c r="BI498" s="78"/>
      <c r="BJ498" s="79"/>
      <c r="BK498" s="65"/>
      <c r="CU498" s="67"/>
      <c r="EC498" s="67"/>
      <c r="FK498" s="67"/>
      <c r="FL498" s="67"/>
      <c r="FM498" s="67"/>
      <c r="FN498" s="67"/>
      <c r="FO498" s="67"/>
      <c r="FP498" s="67"/>
      <c r="FQ498" s="67"/>
      <c r="FR498" s="67"/>
      <c r="FS498" s="67"/>
      <c r="FT498" s="67"/>
      <c r="FU498" s="67"/>
      <c r="FV498" s="67"/>
      <c r="FW498" s="67"/>
      <c r="FX498" s="67"/>
      <c r="FY498" s="67"/>
      <c r="FZ498" s="67"/>
      <c r="GA498" s="67"/>
      <c r="GB498" s="67"/>
      <c r="GC498" s="67"/>
      <c r="GD498" s="67"/>
      <c r="GE498" s="67"/>
      <c r="GF498" s="67"/>
      <c r="GG498" s="67"/>
      <c r="GH498" s="67"/>
      <c r="GI498" s="67"/>
      <c r="GJ498" s="67"/>
      <c r="GK498" s="67"/>
      <c r="GL498" s="67"/>
      <c r="GM498" s="67"/>
      <c r="GN498" s="67"/>
      <c r="GO498" s="67"/>
      <c r="GP498" s="67"/>
    </row>
    <row r="499" spans="5:198" s="66" customFormat="1">
      <c r="E499" s="67"/>
      <c r="G499" s="67"/>
      <c r="H499" s="67"/>
      <c r="I499" s="67"/>
      <c r="J499" s="67"/>
      <c r="K499" s="67"/>
      <c r="L499" s="67"/>
      <c r="M499" s="67"/>
      <c r="N499" s="67"/>
      <c r="O499" s="78"/>
      <c r="P499" s="78"/>
      <c r="S499" s="78"/>
      <c r="T499" s="78"/>
      <c r="U499" s="79"/>
      <c r="V499" s="65"/>
      <c r="Y499" s="78"/>
      <c r="Z499" s="78"/>
      <c r="AA499" s="78"/>
      <c r="AB499" s="78"/>
      <c r="AC499" s="78"/>
      <c r="AD499" s="78"/>
      <c r="AE499" s="78"/>
      <c r="AF499" s="78"/>
      <c r="AG499" s="79"/>
      <c r="AH499" s="65"/>
      <c r="AJ499" s="85"/>
      <c r="AK499" s="78"/>
      <c r="AL499" s="78"/>
      <c r="AM499" s="78"/>
      <c r="AN499" s="78"/>
      <c r="AO499" s="78"/>
      <c r="AP499" s="78"/>
      <c r="AQ499" s="79"/>
      <c r="AR499" s="65"/>
      <c r="AT499" s="85"/>
      <c r="AU499" s="78"/>
      <c r="AV499" s="78"/>
      <c r="AW499" s="78"/>
      <c r="AX499" s="78"/>
      <c r="AY499" s="78"/>
      <c r="AZ499" s="79"/>
      <c r="BA499" s="65"/>
      <c r="BC499" s="85"/>
      <c r="BD499" s="78"/>
      <c r="BE499" s="78"/>
      <c r="BF499" s="78"/>
      <c r="BG499" s="78"/>
      <c r="BH499" s="78"/>
      <c r="BI499" s="78"/>
      <c r="BJ499" s="79"/>
      <c r="BK499" s="65"/>
      <c r="CU499" s="67"/>
      <c r="EC499" s="67"/>
      <c r="FK499" s="67"/>
      <c r="FL499" s="67"/>
      <c r="FM499" s="67"/>
      <c r="FN499" s="67"/>
      <c r="FO499" s="67"/>
      <c r="FP499" s="67"/>
      <c r="FQ499" s="67"/>
      <c r="FR499" s="67"/>
      <c r="FS499" s="67"/>
      <c r="FT499" s="67"/>
      <c r="FU499" s="67"/>
      <c r="FV499" s="67"/>
      <c r="FW499" s="67"/>
      <c r="FX499" s="67"/>
      <c r="FY499" s="67"/>
      <c r="FZ499" s="67"/>
      <c r="GA499" s="67"/>
      <c r="GB499" s="67"/>
      <c r="GC499" s="67"/>
      <c r="GD499" s="67"/>
      <c r="GE499" s="67"/>
      <c r="GF499" s="67"/>
      <c r="GG499" s="67"/>
      <c r="GH499" s="67"/>
      <c r="GI499" s="67"/>
      <c r="GJ499" s="67"/>
      <c r="GK499" s="67"/>
      <c r="GL499" s="67"/>
      <c r="GM499" s="67"/>
      <c r="GN499" s="67"/>
      <c r="GO499" s="67"/>
      <c r="GP499" s="67"/>
    </row>
    <row r="500" spans="5:198" s="66" customFormat="1">
      <c r="E500" s="67"/>
      <c r="G500" s="67"/>
      <c r="H500" s="67"/>
      <c r="I500" s="67"/>
      <c r="J500" s="67"/>
      <c r="K500" s="67"/>
      <c r="L500" s="67"/>
      <c r="M500" s="67"/>
      <c r="N500" s="67"/>
      <c r="O500" s="78"/>
      <c r="P500" s="78"/>
      <c r="S500" s="78"/>
      <c r="T500" s="78"/>
      <c r="U500" s="79"/>
      <c r="V500" s="65"/>
      <c r="Y500" s="78"/>
      <c r="Z500" s="78"/>
      <c r="AA500" s="78"/>
      <c r="AB500" s="78"/>
      <c r="AC500" s="78"/>
      <c r="AD500" s="78"/>
      <c r="AE500" s="78"/>
      <c r="AF500" s="78"/>
      <c r="AG500" s="79"/>
      <c r="AH500" s="65"/>
      <c r="AJ500" s="85"/>
      <c r="AK500" s="78"/>
      <c r="AL500" s="78"/>
      <c r="AM500" s="78"/>
      <c r="AN500" s="78"/>
      <c r="AO500" s="78"/>
      <c r="AP500" s="78"/>
      <c r="AQ500" s="79"/>
      <c r="AR500" s="65"/>
      <c r="AT500" s="85"/>
      <c r="AU500" s="78"/>
      <c r="AV500" s="78"/>
      <c r="AW500" s="78"/>
      <c r="AX500" s="78"/>
      <c r="AY500" s="78"/>
      <c r="AZ500" s="79"/>
      <c r="BA500" s="65"/>
      <c r="BC500" s="85"/>
      <c r="BD500" s="78"/>
      <c r="BE500" s="78"/>
      <c r="BF500" s="78"/>
      <c r="BG500" s="78"/>
      <c r="BH500" s="78"/>
      <c r="BI500" s="78"/>
      <c r="BJ500" s="79"/>
      <c r="BK500" s="65"/>
      <c r="CU500" s="67"/>
      <c r="EC500" s="67"/>
      <c r="FK500" s="67"/>
      <c r="FL500" s="67"/>
      <c r="FM500" s="67"/>
      <c r="FN500" s="67"/>
      <c r="FO500" s="67"/>
      <c r="FP500" s="67"/>
      <c r="FQ500" s="67"/>
      <c r="FR500" s="67"/>
      <c r="FS500" s="67"/>
      <c r="FT500" s="67"/>
      <c r="FU500" s="67"/>
      <c r="FV500" s="67"/>
      <c r="FW500" s="67"/>
      <c r="FX500" s="67"/>
      <c r="FY500" s="67"/>
      <c r="FZ500" s="67"/>
      <c r="GA500" s="67"/>
      <c r="GB500" s="67"/>
      <c r="GC500" s="67"/>
      <c r="GD500" s="67"/>
      <c r="GE500" s="67"/>
      <c r="GF500" s="67"/>
      <c r="GG500" s="67"/>
      <c r="GH500" s="67"/>
      <c r="GI500" s="67"/>
      <c r="GJ500" s="67"/>
      <c r="GK500" s="67"/>
      <c r="GL500" s="67"/>
      <c r="GM500" s="67"/>
      <c r="GN500" s="67"/>
      <c r="GO500" s="67"/>
      <c r="GP500" s="67"/>
    </row>
    <row r="501" spans="5:198" s="66" customFormat="1">
      <c r="E501" s="67"/>
      <c r="G501" s="67"/>
      <c r="H501" s="67"/>
      <c r="I501" s="67"/>
      <c r="J501" s="67"/>
      <c r="K501" s="67"/>
      <c r="L501" s="67"/>
      <c r="M501" s="67"/>
      <c r="N501" s="67"/>
      <c r="O501" s="78"/>
      <c r="P501" s="78"/>
      <c r="S501" s="78"/>
      <c r="T501" s="78"/>
      <c r="U501" s="79"/>
      <c r="V501" s="65"/>
      <c r="Y501" s="78"/>
      <c r="Z501" s="78"/>
      <c r="AA501" s="78"/>
      <c r="AB501" s="78"/>
      <c r="AC501" s="78"/>
      <c r="AD501" s="78"/>
      <c r="AE501" s="78"/>
      <c r="AF501" s="78"/>
      <c r="AG501" s="79"/>
      <c r="AH501" s="65"/>
      <c r="AJ501" s="85"/>
      <c r="AK501" s="78"/>
      <c r="AL501" s="78"/>
      <c r="AM501" s="78"/>
      <c r="AN501" s="78"/>
      <c r="AO501" s="78"/>
      <c r="AP501" s="78"/>
      <c r="AQ501" s="79"/>
      <c r="AR501" s="65"/>
      <c r="AT501" s="85"/>
      <c r="AU501" s="78"/>
      <c r="AV501" s="78"/>
      <c r="AW501" s="78"/>
      <c r="AX501" s="78"/>
      <c r="AY501" s="78"/>
      <c r="AZ501" s="79"/>
      <c r="BA501" s="65"/>
      <c r="BC501" s="85"/>
      <c r="BD501" s="78"/>
      <c r="BE501" s="78"/>
      <c r="BF501" s="78"/>
      <c r="BG501" s="78"/>
      <c r="BH501" s="78"/>
      <c r="BI501" s="78"/>
      <c r="BJ501" s="79"/>
      <c r="BK501" s="65"/>
      <c r="CU501" s="67"/>
      <c r="EC501" s="67"/>
      <c r="FK501" s="67"/>
      <c r="FL501" s="67"/>
      <c r="FM501" s="67"/>
      <c r="FN501" s="67"/>
      <c r="FO501" s="67"/>
      <c r="FP501" s="67"/>
      <c r="FQ501" s="67"/>
      <c r="FR501" s="67"/>
      <c r="FS501" s="67"/>
      <c r="FT501" s="67"/>
      <c r="FU501" s="67"/>
      <c r="FV501" s="67"/>
      <c r="FW501" s="67"/>
      <c r="FX501" s="67"/>
      <c r="FY501" s="67"/>
      <c r="FZ501" s="67"/>
      <c r="GA501" s="67"/>
      <c r="GB501" s="67"/>
      <c r="GC501" s="67"/>
      <c r="GD501" s="67"/>
      <c r="GE501" s="67"/>
      <c r="GF501" s="67"/>
      <c r="GG501" s="67"/>
      <c r="GH501" s="67"/>
      <c r="GI501" s="67"/>
      <c r="GJ501" s="67"/>
      <c r="GK501" s="67"/>
      <c r="GL501" s="67"/>
      <c r="GM501" s="67"/>
      <c r="GN501" s="67"/>
      <c r="GO501" s="67"/>
      <c r="GP501" s="67"/>
    </row>
    <row r="502" spans="5:198" s="66" customFormat="1">
      <c r="E502" s="67"/>
      <c r="G502" s="67"/>
      <c r="H502" s="67"/>
      <c r="I502" s="67"/>
      <c r="J502" s="67"/>
      <c r="K502" s="67"/>
      <c r="L502" s="67"/>
      <c r="M502" s="67"/>
      <c r="N502" s="67"/>
      <c r="O502" s="78"/>
      <c r="P502" s="78"/>
      <c r="S502" s="78"/>
      <c r="T502" s="78"/>
      <c r="U502" s="79"/>
      <c r="V502" s="65"/>
      <c r="Y502" s="78"/>
      <c r="Z502" s="78"/>
      <c r="AA502" s="78"/>
      <c r="AB502" s="78"/>
      <c r="AC502" s="78"/>
      <c r="AD502" s="78"/>
      <c r="AE502" s="78"/>
      <c r="AF502" s="78"/>
      <c r="AG502" s="79"/>
      <c r="AH502" s="65"/>
      <c r="AJ502" s="85"/>
      <c r="AK502" s="78"/>
      <c r="AL502" s="78"/>
      <c r="AM502" s="78"/>
      <c r="AN502" s="78"/>
      <c r="AO502" s="78"/>
      <c r="AP502" s="78"/>
      <c r="AQ502" s="79"/>
      <c r="AR502" s="65"/>
      <c r="AT502" s="85"/>
      <c r="AU502" s="78"/>
      <c r="AV502" s="78"/>
      <c r="AW502" s="78"/>
      <c r="AX502" s="78"/>
      <c r="AY502" s="78"/>
      <c r="AZ502" s="79"/>
      <c r="BA502" s="65"/>
      <c r="BC502" s="85"/>
      <c r="BD502" s="78"/>
      <c r="BE502" s="78"/>
      <c r="BF502" s="78"/>
      <c r="BG502" s="78"/>
      <c r="BH502" s="78"/>
      <c r="BI502" s="78"/>
      <c r="BJ502" s="79"/>
      <c r="BK502" s="65"/>
      <c r="CU502" s="67"/>
      <c r="EC502" s="67"/>
      <c r="FK502" s="67"/>
      <c r="FL502" s="67"/>
      <c r="FM502" s="67"/>
      <c r="FN502" s="67"/>
      <c r="FO502" s="67"/>
      <c r="FP502" s="67"/>
      <c r="FQ502" s="67"/>
      <c r="FR502" s="67"/>
      <c r="FS502" s="67"/>
      <c r="FT502" s="67"/>
      <c r="FU502" s="67"/>
      <c r="FV502" s="67"/>
      <c r="FW502" s="67"/>
      <c r="FX502" s="67"/>
      <c r="FY502" s="67"/>
      <c r="FZ502" s="67"/>
      <c r="GA502" s="67"/>
      <c r="GB502" s="67"/>
      <c r="GC502" s="67"/>
      <c r="GD502" s="67"/>
      <c r="GE502" s="67"/>
      <c r="GF502" s="67"/>
      <c r="GG502" s="67"/>
      <c r="GH502" s="67"/>
      <c r="GI502" s="67"/>
      <c r="GJ502" s="67"/>
      <c r="GK502" s="67"/>
      <c r="GL502" s="67"/>
      <c r="GM502" s="67"/>
      <c r="GN502" s="67"/>
      <c r="GO502" s="67"/>
      <c r="GP502" s="67"/>
    </row>
    <row r="503" spans="5:198" s="66" customFormat="1">
      <c r="E503" s="67"/>
      <c r="G503" s="67"/>
      <c r="H503" s="67"/>
      <c r="I503" s="67"/>
      <c r="J503" s="67"/>
      <c r="K503" s="67"/>
      <c r="L503" s="67"/>
      <c r="M503" s="67"/>
      <c r="N503" s="67"/>
      <c r="O503" s="78"/>
      <c r="P503" s="78"/>
      <c r="S503" s="78"/>
      <c r="T503" s="78"/>
      <c r="U503" s="79"/>
      <c r="V503" s="65"/>
      <c r="Y503" s="78"/>
      <c r="Z503" s="78"/>
      <c r="AA503" s="78"/>
      <c r="AB503" s="78"/>
      <c r="AC503" s="78"/>
      <c r="AD503" s="78"/>
      <c r="AE503" s="78"/>
      <c r="AF503" s="78"/>
      <c r="AG503" s="79"/>
      <c r="AH503" s="65"/>
      <c r="AJ503" s="85"/>
      <c r="AK503" s="78"/>
      <c r="AL503" s="78"/>
      <c r="AM503" s="78"/>
      <c r="AN503" s="78"/>
      <c r="AO503" s="78"/>
      <c r="AP503" s="78"/>
      <c r="AQ503" s="79"/>
      <c r="AR503" s="65"/>
      <c r="AT503" s="85"/>
      <c r="AU503" s="78"/>
      <c r="AV503" s="78"/>
      <c r="AW503" s="78"/>
      <c r="AX503" s="78"/>
      <c r="AY503" s="78"/>
      <c r="AZ503" s="79"/>
      <c r="BA503" s="65"/>
      <c r="BC503" s="85"/>
      <c r="BD503" s="78"/>
      <c r="BE503" s="78"/>
      <c r="BF503" s="78"/>
      <c r="BG503" s="78"/>
      <c r="BH503" s="78"/>
      <c r="BI503" s="78"/>
      <c r="BJ503" s="79"/>
      <c r="BK503" s="65"/>
      <c r="CU503" s="67"/>
      <c r="EC503" s="67"/>
      <c r="FK503" s="67"/>
      <c r="FL503" s="67"/>
      <c r="FM503" s="67"/>
      <c r="FN503" s="67"/>
      <c r="FO503" s="67"/>
      <c r="FP503" s="67"/>
      <c r="FQ503" s="67"/>
      <c r="FR503" s="67"/>
      <c r="FS503" s="67"/>
      <c r="FT503" s="67"/>
      <c r="FU503" s="67"/>
      <c r="FV503" s="67"/>
      <c r="FW503" s="67"/>
      <c r="FX503" s="67"/>
      <c r="FY503" s="67"/>
      <c r="FZ503" s="67"/>
      <c r="GA503" s="67"/>
      <c r="GB503" s="67"/>
      <c r="GC503" s="67"/>
      <c r="GD503" s="67"/>
      <c r="GE503" s="67"/>
      <c r="GF503" s="67"/>
      <c r="GG503" s="67"/>
      <c r="GH503" s="67"/>
      <c r="GI503" s="67"/>
      <c r="GJ503" s="67"/>
      <c r="GK503" s="67"/>
      <c r="GL503" s="67"/>
      <c r="GM503" s="67"/>
      <c r="GN503" s="67"/>
      <c r="GO503" s="67"/>
      <c r="GP503" s="67"/>
    </row>
    <row r="504" spans="5:198" s="66" customFormat="1">
      <c r="E504" s="67"/>
      <c r="G504" s="67"/>
      <c r="H504" s="67"/>
      <c r="I504" s="67"/>
      <c r="J504" s="67"/>
      <c r="K504" s="67"/>
      <c r="L504" s="67"/>
      <c r="M504" s="67"/>
      <c r="N504" s="67"/>
      <c r="O504" s="78"/>
      <c r="P504" s="78"/>
      <c r="S504" s="78"/>
      <c r="T504" s="78"/>
      <c r="U504" s="79"/>
      <c r="V504" s="65"/>
      <c r="Y504" s="78"/>
      <c r="Z504" s="78"/>
      <c r="AA504" s="78"/>
      <c r="AB504" s="78"/>
      <c r="AC504" s="78"/>
      <c r="AD504" s="78"/>
      <c r="AE504" s="78"/>
      <c r="AF504" s="78"/>
      <c r="AG504" s="79"/>
      <c r="AH504" s="65"/>
      <c r="AJ504" s="85"/>
      <c r="AK504" s="78"/>
      <c r="AL504" s="78"/>
      <c r="AM504" s="78"/>
      <c r="AN504" s="78"/>
      <c r="AO504" s="78"/>
      <c r="AP504" s="78"/>
      <c r="AQ504" s="79"/>
      <c r="AR504" s="65"/>
      <c r="AT504" s="85"/>
      <c r="AU504" s="78"/>
      <c r="AV504" s="78"/>
      <c r="AW504" s="78"/>
      <c r="AX504" s="78"/>
      <c r="AY504" s="78"/>
      <c r="AZ504" s="79"/>
      <c r="BA504" s="65"/>
      <c r="BC504" s="85"/>
      <c r="BD504" s="78"/>
      <c r="BE504" s="78"/>
      <c r="BF504" s="78"/>
      <c r="BG504" s="78"/>
      <c r="BH504" s="78"/>
      <c r="BI504" s="78"/>
      <c r="BJ504" s="79"/>
      <c r="BK504" s="65"/>
      <c r="CU504" s="67"/>
      <c r="EC504" s="67"/>
      <c r="FK504" s="67"/>
      <c r="FL504" s="67"/>
      <c r="FM504" s="67"/>
      <c r="FN504" s="67"/>
      <c r="FO504" s="67"/>
      <c r="FP504" s="67"/>
      <c r="FQ504" s="67"/>
      <c r="FR504" s="67"/>
      <c r="FS504" s="67"/>
      <c r="FT504" s="67"/>
      <c r="FU504" s="67"/>
      <c r="FV504" s="67"/>
      <c r="FW504" s="67"/>
      <c r="FX504" s="67"/>
      <c r="FY504" s="67"/>
      <c r="FZ504" s="67"/>
      <c r="GA504" s="67"/>
      <c r="GB504" s="67"/>
      <c r="GC504" s="67"/>
      <c r="GD504" s="67"/>
      <c r="GE504" s="67"/>
      <c r="GF504" s="67"/>
      <c r="GG504" s="67"/>
      <c r="GH504" s="67"/>
      <c r="GI504" s="67"/>
      <c r="GJ504" s="67"/>
      <c r="GK504" s="67"/>
      <c r="GL504" s="67"/>
      <c r="GM504" s="67"/>
      <c r="GN504" s="67"/>
      <c r="GO504" s="67"/>
      <c r="GP504" s="67"/>
    </row>
    <row r="505" spans="5:198" s="66" customFormat="1">
      <c r="E505" s="67"/>
      <c r="G505" s="67"/>
      <c r="H505" s="67"/>
      <c r="I505" s="67"/>
      <c r="J505" s="67"/>
      <c r="K505" s="67"/>
      <c r="L505" s="67"/>
      <c r="M505" s="67"/>
      <c r="N505" s="67"/>
      <c r="O505" s="78"/>
      <c r="P505" s="78"/>
      <c r="S505" s="78"/>
      <c r="T505" s="78"/>
      <c r="U505" s="79"/>
      <c r="V505" s="65"/>
      <c r="Y505" s="78"/>
      <c r="Z505" s="78"/>
      <c r="AA505" s="78"/>
      <c r="AB505" s="78"/>
      <c r="AC505" s="78"/>
      <c r="AD505" s="78"/>
      <c r="AE505" s="78"/>
      <c r="AF505" s="78"/>
      <c r="AG505" s="79"/>
      <c r="AH505" s="65"/>
      <c r="AJ505" s="85"/>
      <c r="AK505" s="78"/>
      <c r="AL505" s="78"/>
      <c r="AM505" s="78"/>
      <c r="AN505" s="78"/>
      <c r="AO505" s="78"/>
      <c r="AP505" s="78"/>
      <c r="AQ505" s="79"/>
      <c r="AR505" s="65"/>
      <c r="AT505" s="85"/>
      <c r="AU505" s="78"/>
      <c r="AV505" s="78"/>
      <c r="AW505" s="78"/>
      <c r="AX505" s="78"/>
      <c r="AY505" s="78"/>
      <c r="AZ505" s="79"/>
      <c r="BA505" s="65"/>
      <c r="BC505" s="85"/>
      <c r="BD505" s="78"/>
      <c r="BE505" s="78"/>
      <c r="BF505" s="78"/>
      <c r="BG505" s="78"/>
      <c r="BH505" s="78"/>
      <c r="BI505" s="78"/>
      <c r="BJ505" s="79"/>
      <c r="BK505" s="65"/>
      <c r="CU505" s="67"/>
      <c r="EC505" s="67"/>
      <c r="FK505" s="67"/>
      <c r="FL505" s="67"/>
      <c r="FM505" s="67"/>
      <c r="FN505" s="67"/>
      <c r="FO505" s="67"/>
      <c r="FP505" s="67"/>
      <c r="FQ505" s="67"/>
      <c r="FR505" s="67"/>
      <c r="FS505" s="67"/>
      <c r="FT505" s="67"/>
      <c r="FU505" s="67"/>
      <c r="FV505" s="67"/>
      <c r="FW505" s="67"/>
      <c r="FX505" s="67"/>
      <c r="FY505" s="67"/>
      <c r="FZ505" s="67"/>
      <c r="GA505" s="67"/>
      <c r="GB505" s="67"/>
      <c r="GC505" s="67"/>
      <c r="GD505" s="67"/>
      <c r="GE505" s="67"/>
      <c r="GF505" s="67"/>
      <c r="GG505" s="67"/>
      <c r="GH505" s="67"/>
      <c r="GI505" s="67"/>
      <c r="GJ505" s="67"/>
      <c r="GK505" s="67"/>
      <c r="GL505" s="67"/>
      <c r="GM505" s="67"/>
      <c r="GN505" s="67"/>
      <c r="GO505" s="67"/>
      <c r="GP505" s="67"/>
    </row>
    <row r="506" spans="5:198" s="66" customFormat="1">
      <c r="E506" s="67"/>
      <c r="G506" s="67"/>
      <c r="H506" s="67"/>
      <c r="I506" s="67"/>
      <c r="J506" s="67"/>
      <c r="K506" s="67"/>
      <c r="L506" s="67"/>
      <c r="M506" s="67"/>
      <c r="N506" s="67"/>
      <c r="O506" s="78"/>
      <c r="P506" s="78"/>
      <c r="S506" s="78"/>
      <c r="T506" s="78"/>
      <c r="U506" s="79"/>
      <c r="V506" s="65"/>
      <c r="Y506" s="78"/>
      <c r="Z506" s="78"/>
      <c r="AA506" s="78"/>
      <c r="AB506" s="78"/>
      <c r="AC506" s="78"/>
      <c r="AD506" s="78"/>
      <c r="AE506" s="78"/>
      <c r="AF506" s="78"/>
      <c r="AG506" s="79"/>
      <c r="AH506" s="65"/>
      <c r="AJ506" s="85"/>
      <c r="AK506" s="78"/>
      <c r="AL506" s="78"/>
      <c r="AM506" s="78"/>
      <c r="AN506" s="78"/>
      <c r="AO506" s="78"/>
      <c r="AP506" s="78"/>
      <c r="AQ506" s="79"/>
      <c r="AR506" s="65"/>
      <c r="AT506" s="85"/>
      <c r="AU506" s="78"/>
      <c r="AV506" s="78"/>
      <c r="AW506" s="78"/>
      <c r="AX506" s="78"/>
      <c r="AY506" s="78"/>
      <c r="AZ506" s="79"/>
      <c r="BA506" s="65"/>
      <c r="BC506" s="85"/>
      <c r="BD506" s="78"/>
      <c r="BE506" s="78"/>
      <c r="BF506" s="78"/>
      <c r="BG506" s="78"/>
      <c r="BH506" s="78"/>
      <c r="BI506" s="78"/>
      <c r="BJ506" s="79"/>
      <c r="BK506" s="65"/>
      <c r="CU506" s="67"/>
      <c r="EC506" s="67"/>
      <c r="FK506" s="67"/>
      <c r="FL506" s="67"/>
      <c r="FM506" s="67"/>
      <c r="FN506" s="67"/>
      <c r="FO506" s="67"/>
      <c r="FP506" s="67"/>
      <c r="FQ506" s="67"/>
      <c r="FR506" s="67"/>
      <c r="FS506" s="67"/>
      <c r="FT506" s="67"/>
      <c r="FU506" s="67"/>
      <c r="FV506" s="67"/>
      <c r="FW506" s="67"/>
      <c r="FX506" s="67"/>
      <c r="FY506" s="67"/>
      <c r="FZ506" s="67"/>
      <c r="GA506" s="67"/>
      <c r="GB506" s="67"/>
      <c r="GC506" s="67"/>
      <c r="GD506" s="67"/>
      <c r="GE506" s="67"/>
      <c r="GF506" s="67"/>
      <c r="GG506" s="67"/>
      <c r="GH506" s="67"/>
      <c r="GI506" s="67"/>
      <c r="GJ506" s="67"/>
      <c r="GK506" s="67"/>
      <c r="GL506" s="67"/>
      <c r="GM506" s="67"/>
      <c r="GN506" s="67"/>
      <c r="GO506" s="67"/>
      <c r="GP506" s="67"/>
    </row>
    <row r="507" spans="5:198" s="66" customFormat="1">
      <c r="E507" s="67"/>
      <c r="G507" s="67"/>
      <c r="H507" s="67"/>
      <c r="I507" s="67"/>
      <c r="J507" s="67"/>
      <c r="K507" s="67"/>
      <c r="L507" s="67"/>
      <c r="M507" s="67"/>
      <c r="N507" s="67"/>
      <c r="O507" s="78"/>
      <c r="P507" s="78"/>
      <c r="S507" s="78"/>
      <c r="T507" s="78"/>
      <c r="U507" s="79"/>
      <c r="V507" s="65"/>
      <c r="Y507" s="78"/>
      <c r="Z507" s="78"/>
      <c r="AA507" s="78"/>
      <c r="AB507" s="78"/>
      <c r="AC507" s="78"/>
      <c r="AD507" s="78"/>
      <c r="AE507" s="78"/>
      <c r="AF507" s="78"/>
      <c r="AG507" s="79"/>
      <c r="AH507" s="65"/>
      <c r="AJ507" s="85"/>
      <c r="AK507" s="78"/>
      <c r="AL507" s="78"/>
      <c r="AM507" s="78"/>
      <c r="AN507" s="78"/>
      <c r="AO507" s="78"/>
      <c r="AP507" s="78"/>
      <c r="AQ507" s="79"/>
      <c r="AR507" s="65"/>
      <c r="AT507" s="85"/>
      <c r="AU507" s="78"/>
      <c r="AV507" s="78"/>
      <c r="AW507" s="78"/>
      <c r="AX507" s="78"/>
      <c r="AY507" s="78"/>
      <c r="AZ507" s="79"/>
      <c r="BA507" s="65"/>
      <c r="BC507" s="85"/>
      <c r="BD507" s="78"/>
      <c r="BE507" s="78"/>
      <c r="BF507" s="78"/>
      <c r="BG507" s="78"/>
      <c r="BH507" s="78"/>
      <c r="BI507" s="78"/>
      <c r="BJ507" s="79"/>
      <c r="BK507" s="65"/>
      <c r="CU507" s="67"/>
      <c r="EC507" s="67"/>
      <c r="FK507" s="67"/>
      <c r="FL507" s="67"/>
      <c r="FM507" s="67"/>
      <c r="FN507" s="67"/>
      <c r="FO507" s="67"/>
      <c r="FP507" s="67"/>
      <c r="FQ507" s="67"/>
      <c r="FR507" s="67"/>
      <c r="FS507" s="67"/>
      <c r="FT507" s="67"/>
      <c r="FU507" s="67"/>
      <c r="FV507" s="67"/>
      <c r="FW507" s="67"/>
      <c r="FX507" s="67"/>
      <c r="FY507" s="67"/>
      <c r="FZ507" s="67"/>
      <c r="GA507" s="67"/>
      <c r="GB507" s="67"/>
      <c r="GC507" s="67"/>
      <c r="GD507" s="67"/>
      <c r="GE507" s="67"/>
      <c r="GF507" s="67"/>
      <c r="GG507" s="67"/>
      <c r="GH507" s="67"/>
      <c r="GI507" s="67"/>
      <c r="GJ507" s="67"/>
      <c r="GK507" s="67"/>
      <c r="GL507" s="67"/>
      <c r="GM507" s="67"/>
      <c r="GN507" s="67"/>
      <c r="GO507" s="67"/>
      <c r="GP507" s="67"/>
    </row>
    <row r="508" spans="5:198" s="66" customFormat="1">
      <c r="E508" s="67"/>
      <c r="G508" s="67"/>
      <c r="H508" s="67"/>
      <c r="I508" s="67"/>
      <c r="J508" s="67"/>
      <c r="K508" s="67"/>
      <c r="L508" s="67"/>
      <c r="M508" s="67"/>
      <c r="N508" s="67"/>
      <c r="O508" s="78"/>
      <c r="P508" s="78"/>
      <c r="S508" s="78"/>
      <c r="T508" s="78"/>
      <c r="U508" s="79"/>
      <c r="V508" s="65"/>
      <c r="Y508" s="78"/>
      <c r="Z508" s="78"/>
      <c r="AA508" s="78"/>
      <c r="AB508" s="78"/>
      <c r="AC508" s="78"/>
      <c r="AD508" s="78"/>
      <c r="AE508" s="78"/>
      <c r="AF508" s="78"/>
      <c r="AG508" s="79"/>
      <c r="AH508" s="65"/>
      <c r="AJ508" s="85"/>
      <c r="AK508" s="78"/>
      <c r="AL508" s="78"/>
      <c r="AM508" s="78"/>
      <c r="AN508" s="78"/>
      <c r="AO508" s="78"/>
      <c r="AP508" s="78"/>
      <c r="AQ508" s="79"/>
      <c r="AR508" s="65"/>
      <c r="AT508" s="85"/>
      <c r="AU508" s="78"/>
      <c r="AV508" s="78"/>
      <c r="AW508" s="78"/>
      <c r="AX508" s="78"/>
      <c r="AY508" s="78"/>
      <c r="AZ508" s="79"/>
      <c r="BA508" s="65"/>
      <c r="BC508" s="85"/>
      <c r="BD508" s="78"/>
      <c r="BE508" s="78"/>
      <c r="BF508" s="78"/>
      <c r="BG508" s="78"/>
      <c r="BH508" s="78"/>
      <c r="BI508" s="78"/>
      <c r="BJ508" s="79"/>
      <c r="BK508" s="65"/>
      <c r="CU508" s="67"/>
      <c r="EC508" s="67"/>
      <c r="FK508" s="67"/>
      <c r="FL508" s="67"/>
      <c r="FM508" s="67"/>
      <c r="FN508" s="67"/>
      <c r="FO508" s="67"/>
      <c r="FP508" s="67"/>
      <c r="FQ508" s="67"/>
      <c r="FR508" s="67"/>
      <c r="FS508" s="67"/>
      <c r="FT508" s="67"/>
      <c r="FU508" s="67"/>
      <c r="FV508" s="67"/>
      <c r="FW508" s="67"/>
      <c r="FX508" s="67"/>
      <c r="FY508" s="67"/>
      <c r="FZ508" s="67"/>
      <c r="GA508" s="67"/>
      <c r="GB508" s="67"/>
      <c r="GC508" s="67"/>
      <c r="GD508" s="67"/>
      <c r="GE508" s="67"/>
      <c r="GF508" s="67"/>
      <c r="GG508" s="67"/>
      <c r="GH508" s="67"/>
      <c r="GI508" s="67"/>
      <c r="GJ508" s="67"/>
      <c r="GK508" s="67"/>
      <c r="GL508" s="67"/>
      <c r="GM508" s="67"/>
      <c r="GN508" s="67"/>
      <c r="GO508" s="67"/>
      <c r="GP508" s="67"/>
    </row>
    <row r="509" spans="5:198" s="66" customFormat="1">
      <c r="E509" s="67"/>
      <c r="G509" s="67"/>
      <c r="H509" s="67"/>
      <c r="I509" s="67"/>
      <c r="J509" s="67"/>
      <c r="K509" s="67"/>
      <c r="L509" s="67"/>
      <c r="M509" s="67"/>
      <c r="N509" s="67"/>
      <c r="O509" s="78"/>
      <c r="P509" s="78"/>
      <c r="S509" s="78"/>
      <c r="T509" s="78"/>
      <c r="U509" s="79"/>
      <c r="V509" s="65"/>
      <c r="Y509" s="78"/>
      <c r="Z509" s="78"/>
      <c r="AA509" s="78"/>
      <c r="AB509" s="78"/>
      <c r="AC509" s="78"/>
      <c r="AD509" s="78"/>
      <c r="AE509" s="78"/>
      <c r="AF509" s="78"/>
      <c r="AG509" s="79"/>
      <c r="AH509" s="65"/>
      <c r="AJ509" s="85"/>
      <c r="AK509" s="78"/>
      <c r="AL509" s="78"/>
      <c r="AM509" s="78"/>
      <c r="AN509" s="78"/>
      <c r="AO509" s="78"/>
      <c r="AP509" s="78"/>
      <c r="AQ509" s="79"/>
      <c r="AR509" s="65"/>
      <c r="AT509" s="85"/>
      <c r="AU509" s="78"/>
      <c r="AV509" s="78"/>
      <c r="AW509" s="78"/>
      <c r="AX509" s="78"/>
      <c r="AY509" s="78"/>
      <c r="AZ509" s="79"/>
      <c r="BA509" s="65"/>
      <c r="BC509" s="85"/>
      <c r="BD509" s="78"/>
      <c r="BE509" s="78"/>
      <c r="BF509" s="78"/>
      <c r="BG509" s="78"/>
      <c r="BH509" s="78"/>
      <c r="BI509" s="78"/>
      <c r="BJ509" s="79"/>
      <c r="BK509" s="65"/>
      <c r="CU509" s="67"/>
      <c r="EC509" s="67"/>
      <c r="FK509" s="67"/>
      <c r="FL509" s="67"/>
      <c r="FM509" s="67"/>
      <c r="FN509" s="67"/>
      <c r="FO509" s="67"/>
      <c r="FP509" s="67"/>
      <c r="FQ509" s="67"/>
      <c r="FR509" s="67"/>
      <c r="FS509" s="67"/>
      <c r="FT509" s="67"/>
      <c r="FU509" s="67"/>
      <c r="FV509" s="67"/>
      <c r="FW509" s="67"/>
      <c r="FX509" s="67"/>
      <c r="FY509" s="67"/>
      <c r="FZ509" s="67"/>
      <c r="GA509" s="67"/>
      <c r="GB509" s="67"/>
      <c r="GC509" s="67"/>
      <c r="GD509" s="67"/>
      <c r="GE509" s="67"/>
      <c r="GF509" s="67"/>
      <c r="GG509" s="67"/>
      <c r="GH509" s="67"/>
      <c r="GI509" s="67"/>
      <c r="GJ509" s="67"/>
      <c r="GK509" s="67"/>
      <c r="GL509" s="67"/>
      <c r="GM509" s="67"/>
      <c r="GN509" s="67"/>
      <c r="GO509" s="67"/>
      <c r="GP509" s="67"/>
    </row>
    <row r="510" spans="5:198" s="66" customFormat="1">
      <c r="E510" s="67"/>
      <c r="G510" s="67"/>
      <c r="H510" s="67"/>
      <c r="I510" s="67"/>
      <c r="J510" s="67"/>
      <c r="K510" s="67"/>
      <c r="L510" s="67"/>
      <c r="M510" s="67"/>
      <c r="N510" s="67"/>
      <c r="O510" s="78"/>
      <c r="P510" s="78"/>
      <c r="S510" s="78"/>
      <c r="T510" s="78"/>
      <c r="U510" s="79"/>
      <c r="V510" s="65"/>
      <c r="Y510" s="78"/>
      <c r="Z510" s="78"/>
      <c r="AA510" s="78"/>
      <c r="AB510" s="78"/>
      <c r="AC510" s="78"/>
      <c r="AD510" s="78"/>
      <c r="AE510" s="78"/>
      <c r="AF510" s="78"/>
      <c r="AG510" s="79"/>
      <c r="AH510" s="65"/>
      <c r="AJ510" s="85"/>
      <c r="AK510" s="78"/>
      <c r="AL510" s="78"/>
      <c r="AM510" s="78"/>
      <c r="AN510" s="78"/>
      <c r="AO510" s="78"/>
      <c r="AP510" s="78"/>
      <c r="AQ510" s="79"/>
      <c r="AR510" s="65"/>
      <c r="AT510" s="85"/>
      <c r="AU510" s="78"/>
      <c r="AV510" s="78"/>
      <c r="AW510" s="78"/>
      <c r="AX510" s="78"/>
      <c r="AY510" s="78"/>
      <c r="AZ510" s="79"/>
      <c r="BA510" s="65"/>
      <c r="BC510" s="85"/>
      <c r="BD510" s="78"/>
      <c r="BE510" s="78"/>
      <c r="BF510" s="78"/>
      <c r="BG510" s="78"/>
      <c r="BH510" s="78"/>
      <c r="BI510" s="78"/>
      <c r="BJ510" s="79"/>
      <c r="BK510" s="65"/>
      <c r="CU510" s="67"/>
      <c r="EC510" s="67"/>
      <c r="FK510" s="67"/>
      <c r="FL510" s="67"/>
      <c r="FM510" s="67"/>
      <c r="FN510" s="67"/>
      <c r="FO510" s="67"/>
      <c r="FP510" s="67"/>
      <c r="FQ510" s="67"/>
      <c r="FR510" s="67"/>
      <c r="FS510" s="67"/>
      <c r="FT510" s="67"/>
      <c r="FU510" s="67"/>
      <c r="FV510" s="67"/>
      <c r="FW510" s="67"/>
      <c r="FX510" s="67"/>
      <c r="FY510" s="67"/>
      <c r="FZ510" s="67"/>
      <c r="GA510" s="67"/>
      <c r="GB510" s="67"/>
      <c r="GC510" s="67"/>
      <c r="GD510" s="67"/>
      <c r="GE510" s="67"/>
      <c r="GF510" s="67"/>
      <c r="GG510" s="67"/>
      <c r="GH510" s="67"/>
      <c r="GI510" s="67"/>
      <c r="GJ510" s="67"/>
      <c r="GK510" s="67"/>
      <c r="GL510" s="67"/>
      <c r="GM510" s="67"/>
      <c r="GN510" s="67"/>
      <c r="GO510" s="67"/>
      <c r="GP510" s="67"/>
    </row>
    <row r="511" spans="5:198" s="66" customFormat="1">
      <c r="E511" s="67"/>
      <c r="G511" s="67"/>
      <c r="H511" s="67"/>
      <c r="I511" s="67"/>
      <c r="J511" s="67"/>
      <c r="K511" s="67"/>
      <c r="L511" s="67"/>
      <c r="M511" s="67"/>
      <c r="N511" s="67"/>
      <c r="O511" s="78"/>
      <c r="P511" s="78"/>
      <c r="S511" s="78"/>
      <c r="T511" s="78"/>
      <c r="U511" s="79"/>
      <c r="V511" s="65"/>
      <c r="Y511" s="78"/>
      <c r="Z511" s="78"/>
      <c r="AA511" s="78"/>
      <c r="AB511" s="78"/>
      <c r="AC511" s="78"/>
      <c r="AD511" s="78"/>
      <c r="AE511" s="78"/>
      <c r="AF511" s="78"/>
      <c r="AG511" s="79"/>
      <c r="AH511" s="65"/>
      <c r="AJ511" s="85"/>
      <c r="AK511" s="78"/>
      <c r="AL511" s="78"/>
      <c r="AM511" s="78"/>
      <c r="AN511" s="78"/>
      <c r="AO511" s="78"/>
      <c r="AP511" s="78"/>
      <c r="AQ511" s="79"/>
      <c r="AR511" s="65"/>
      <c r="AT511" s="85"/>
      <c r="AU511" s="78"/>
      <c r="AV511" s="78"/>
      <c r="AW511" s="78"/>
      <c r="AX511" s="78"/>
      <c r="AY511" s="78"/>
      <c r="AZ511" s="79"/>
      <c r="BA511" s="65"/>
      <c r="BC511" s="85"/>
      <c r="BD511" s="78"/>
      <c r="BE511" s="78"/>
      <c r="BF511" s="78"/>
      <c r="BG511" s="78"/>
      <c r="BH511" s="78"/>
      <c r="BI511" s="78"/>
      <c r="BJ511" s="79"/>
      <c r="BK511" s="65"/>
      <c r="CU511" s="67"/>
      <c r="EC511" s="67"/>
      <c r="FK511" s="67"/>
      <c r="FL511" s="67"/>
      <c r="FM511" s="67"/>
      <c r="FN511" s="67"/>
      <c r="FO511" s="67"/>
      <c r="FP511" s="67"/>
      <c r="FQ511" s="67"/>
      <c r="FR511" s="67"/>
      <c r="FS511" s="67"/>
      <c r="FT511" s="67"/>
      <c r="FU511" s="67"/>
      <c r="FV511" s="67"/>
      <c r="FW511" s="67"/>
      <c r="FX511" s="67"/>
      <c r="FY511" s="67"/>
      <c r="FZ511" s="67"/>
      <c r="GA511" s="67"/>
      <c r="GB511" s="67"/>
      <c r="GC511" s="67"/>
      <c r="GD511" s="67"/>
      <c r="GE511" s="67"/>
      <c r="GF511" s="67"/>
      <c r="GG511" s="67"/>
      <c r="GH511" s="67"/>
      <c r="GI511" s="67"/>
      <c r="GJ511" s="67"/>
      <c r="GK511" s="67"/>
      <c r="GL511" s="67"/>
      <c r="GM511" s="67"/>
      <c r="GN511" s="67"/>
      <c r="GO511" s="67"/>
      <c r="GP511" s="67"/>
    </row>
    <row r="512" spans="5:198" s="66" customFormat="1">
      <c r="E512" s="67"/>
      <c r="G512" s="67"/>
      <c r="H512" s="67"/>
      <c r="I512" s="67"/>
      <c r="J512" s="67"/>
      <c r="K512" s="67"/>
      <c r="L512" s="67"/>
      <c r="M512" s="67"/>
      <c r="N512" s="67"/>
      <c r="O512" s="78"/>
      <c r="P512" s="78"/>
      <c r="S512" s="78"/>
      <c r="T512" s="78"/>
      <c r="U512" s="79"/>
      <c r="V512" s="65"/>
      <c r="Y512" s="78"/>
      <c r="Z512" s="78"/>
      <c r="AA512" s="78"/>
      <c r="AB512" s="78"/>
      <c r="AC512" s="78"/>
      <c r="AD512" s="78"/>
      <c r="AE512" s="78"/>
      <c r="AF512" s="78"/>
      <c r="AG512" s="79"/>
      <c r="AH512" s="65"/>
      <c r="AJ512" s="85"/>
      <c r="AK512" s="78"/>
      <c r="AL512" s="78"/>
      <c r="AM512" s="78"/>
      <c r="AN512" s="78"/>
      <c r="AO512" s="78"/>
      <c r="AP512" s="78"/>
      <c r="AQ512" s="79"/>
      <c r="AR512" s="65"/>
      <c r="AT512" s="85"/>
      <c r="AU512" s="78"/>
      <c r="AV512" s="78"/>
      <c r="AW512" s="78"/>
      <c r="AX512" s="78"/>
      <c r="AY512" s="78"/>
      <c r="AZ512" s="79"/>
      <c r="BA512" s="65"/>
      <c r="BC512" s="85"/>
      <c r="BD512" s="78"/>
      <c r="BE512" s="78"/>
      <c r="BF512" s="78"/>
      <c r="BG512" s="78"/>
      <c r="BH512" s="78"/>
      <c r="BI512" s="78"/>
      <c r="BJ512" s="79"/>
      <c r="BK512" s="65"/>
      <c r="CU512" s="67"/>
      <c r="EC512" s="67"/>
      <c r="FK512" s="67"/>
      <c r="FL512" s="67"/>
      <c r="FM512" s="67"/>
      <c r="FN512" s="67"/>
      <c r="FO512" s="67"/>
      <c r="FP512" s="67"/>
      <c r="FQ512" s="67"/>
      <c r="FR512" s="67"/>
      <c r="FS512" s="67"/>
      <c r="FT512" s="67"/>
      <c r="FU512" s="67"/>
      <c r="FV512" s="67"/>
      <c r="FW512" s="67"/>
      <c r="FX512" s="67"/>
      <c r="FY512" s="67"/>
      <c r="FZ512" s="67"/>
      <c r="GA512" s="67"/>
      <c r="GB512" s="67"/>
      <c r="GC512" s="67"/>
      <c r="GD512" s="67"/>
      <c r="GE512" s="67"/>
      <c r="GF512" s="67"/>
      <c r="GG512" s="67"/>
      <c r="GH512" s="67"/>
      <c r="GI512" s="67"/>
      <c r="GJ512" s="67"/>
      <c r="GK512" s="67"/>
      <c r="GL512" s="67"/>
      <c r="GM512" s="67"/>
      <c r="GN512" s="67"/>
      <c r="GO512" s="67"/>
      <c r="GP512" s="67"/>
    </row>
    <row r="513" spans="5:198" s="66" customFormat="1">
      <c r="E513" s="67"/>
      <c r="G513" s="67"/>
      <c r="H513" s="67"/>
      <c r="I513" s="67"/>
      <c r="J513" s="67"/>
      <c r="K513" s="67"/>
      <c r="L513" s="67"/>
      <c r="M513" s="67"/>
      <c r="N513" s="67"/>
      <c r="O513" s="78"/>
      <c r="P513" s="78"/>
      <c r="S513" s="78"/>
      <c r="T513" s="78"/>
      <c r="U513" s="79"/>
      <c r="V513" s="65"/>
      <c r="Y513" s="78"/>
      <c r="Z513" s="78"/>
      <c r="AA513" s="78"/>
      <c r="AB513" s="78"/>
      <c r="AC513" s="78"/>
      <c r="AD513" s="78"/>
      <c r="AE513" s="78"/>
      <c r="AF513" s="78"/>
      <c r="AG513" s="79"/>
      <c r="AH513" s="65"/>
      <c r="AJ513" s="85"/>
      <c r="AK513" s="78"/>
      <c r="AL513" s="78"/>
      <c r="AM513" s="78"/>
      <c r="AN513" s="78"/>
      <c r="AO513" s="78"/>
      <c r="AP513" s="78"/>
      <c r="AQ513" s="79"/>
      <c r="AR513" s="65"/>
      <c r="AT513" s="85"/>
      <c r="AU513" s="78"/>
      <c r="AV513" s="78"/>
      <c r="AW513" s="78"/>
      <c r="AX513" s="78"/>
      <c r="AY513" s="78"/>
      <c r="AZ513" s="79"/>
      <c r="BA513" s="65"/>
      <c r="BC513" s="85"/>
      <c r="BD513" s="78"/>
      <c r="BE513" s="78"/>
      <c r="BF513" s="78"/>
      <c r="BG513" s="78"/>
      <c r="BH513" s="78"/>
      <c r="BI513" s="78"/>
      <c r="BJ513" s="79"/>
      <c r="BK513" s="65"/>
      <c r="CU513" s="67"/>
      <c r="EC513" s="67"/>
      <c r="FK513" s="67"/>
      <c r="FL513" s="67"/>
      <c r="FM513" s="67"/>
      <c r="FN513" s="67"/>
      <c r="FO513" s="67"/>
      <c r="FP513" s="67"/>
      <c r="FQ513" s="67"/>
      <c r="FR513" s="67"/>
      <c r="FS513" s="67"/>
      <c r="FT513" s="67"/>
      <c r="FU513" s="67"/>
      <c r="FV513" s="67"/>
      <c r="FW513" s="67"/>
      <c r="FX513" s="67"/>
      <c r="FY513" s="67"/>
      <c r="FZ513" s="67"/>
      <c r="GA513" s="67"/>
      <c r="GB513" s="67"/>
      <c r="GC513" s="67"/>
      <c r="GD513" s="67"/>
      <c r="GE513" s="67"/>
      <c r="GF513" s="67"/>
      <c r="GG513" s="67"/>
      <c r="GH513" s="67"/>
      <c r="GI513" s="67"/>
      <c r="GJ513" s="67"/>
      <c r="GK513" s="67"/>
      <c r="GL513" s="67"/>
      <c r="GM513" s="67"/>
      <c r="GN513" s="67"/>
      <c r="GO513" s="67"/>
      <c r="GP513" s="67"/>
    </row>
    <row r="514" spans="5:198" s="66" customFormat="1">
      <c r="E514" s="67"/>
      <c r="G514" s="67"/>
      <c r="H514" s="67"/>
      <c r="I514" s="67"/>
      <c r="J514" s="67"/>
      <c r="K514" s="67"/>
      <c r="L514" s="67"/>
      <c r="M514" s="67"/>
      <c r="N514" s="67"/>
      <c r="O514" s="78"/>
      <c r="P514" s="78"/>
      <c r="S514" s="78"/>
      <c r="T514" s="78"/>
      <c r="U514" s="79"/>
      <c r="V514" s="65"/>
      <c r="Y514" s="78"/>
      <c r="Z514" s="78"/>
      <c r="AA514" s="78"/>
      <c r="AB514" s="78"/>
      <c r="AC514" s="78"/>
      <c r="AD514" s="78"/>
      <c r="AE514" s="78"/>
      <c r="AF514" s="78"/>
      <c r="AG514" s="79"/>
      <c r="AH514" s="65"/>
      <c r="AJ514" s="85"/>
      <c r="AK514" s="78"/>
      <c r="AL514" s="78"/>
      <c r="AM514" s="78"/>
      <c r="AN514" s="78"/>
      <c r="AO514" s="78"/>
      <c r="AP514" s="78"/>
      <c r="AQ514" s="79"/>
      <c r="AR514" s="65"/>
      <c r="AT514" s="85"/>
      <c r="AU514" s="78"/>
      <c r="AV514" s="78"/>
      <c r="AW514" s="78"/>
      <c r="AX514" s="78"/>
      <c r="AY514" s="78"/>
      <c r="AZ514" s="79"/>
      <c r="BA514" s="65"/>
      <c r="BC514" s="85"/>
      <c r="BD514" s="78"/>
      <c r="BE514" s="78"/>
      <c r="BF514" s="78"/>
      <c r="BG514" s="78"/>
      <c r="BH514" s="78"/>
      <c r="BI514" s="78"/>
      <c r="BJ514" s="79"/>
      <c r="BK514" s="65"/>
      <c r="CU514" s="67"/>
      <c r="EC514" s="67"/>
      <c r="FK514" s="67"/>
      <c r="FL514" s="67"/>
      <c r="FM514" s="67"/>
      <c r="FN514" s="67"/>
      <c r="FO514" s="67"/>
      <c r="FP514" s="67"/>
      <c r="FQ514" s="67"/>
      <c r="FR514" s="67"/>
      <c r="FS514" s="67"/>
      <c r="FT514" s="67"/>
      <c r="FU514" s="67"/>
      <c r="FV514" s="67"/>
      <c r="FW514" s="67"/>
      <c r="FX514" s="67"/>
      <c r="FY514" s="67"/>
      <c r="FZ514" s="67"/>
      <c r="GA514" s="67"/>
      <c r="GB514" s="67"/>
      <c r="GC514" s="67"/>
      <c r="GD514" s="67"/>
      <c r="GE514" s="67"/>
      <c r="GF514" s="67"/>
      <c r="GG514" s="67"/>
      <c r="GH514" s="67"/>
      <c r="GI514" s="67"/>
      <c r="GJ514" s="67"/>
      <c r="GK514" s="67"/>
      <c r="GL514" s="67"/>
      <c r="GM514" s="67"/>
      <c r="GN514" s="67"/>
      <c r="GO514" s="67"/>
      <c r="GP514" s="67"/>
    </row>
    <row r="515" spans="5:198" s="66" customFormat="1">
      <c r="E515" s="67"/>
      <c r="G515" s="67"/>
      <c r="H515" s="67"/>
      <c r="I515" s="67"/>
      <c r="J515" s="67"/>
      <c r="K515" s="67"/>
      <c r="L515" s="67"/>
      <c r="M515" s="67"/>
      <c r="N515" s="67"/>
      <c r="O515" s="78"/>
      <c r="P515" s="78"/>
      <c r="S515" s="78"/>
      <c r="T515" s="78"/>
      <c r="U515" s="79"/>
      <c r="V515" s="65"/>
      <c r="Y515" s="78"/>
      <c r="Z515" s="78"/>
      <c r="AA515" s="78"/>
      <c r="AB515" s="78"/>
      <c r="AC515" s="78"/>
      <c r="AD515" s="78"/>
      <c r="AE515" s="78"/>
      <c r="AF515" s="78"/>
      <c r="AG515" s="79"/>
      <c r="AH515" s="65"/>
      <c r="AJ515" s="85"/>
      <c r="AK515" s="78"/>
      <c r="AL515" s="78"/>
      <c r="AM515" s="78"/>
      <c r="AN515" s="78"/>
      <c r="AO515" s="78"/>
      <c r="AP515" s="78"/>
      <c r="AQ515" s="79"/>
      <c r="AR515" s="65"/>
      <c r="AT515" s="85"/>
      <c r="AU515" s="78"/>
      <c r="AV515" s="78"/>
      <c r="AW515" s="78"/>
      <c r="AX515" s="78"/>
      <c r="AY515" s="78"/>
      <c r="AZ515" s="79"/>
      <c r="BA515" s="65"/>
      <c r="BC515" s="85"/>
      <c r="BD515" s="78"/>
      <c r="BE515" s="78"/>
      <c r="BF515" s="78"/>
      <c r="BG515" s="78"/>
      <c r="BH515" s="78"/>
      <c r="BI515" s="78"/>
      <c r="BJ515" s="79"/>
      <c r="BK515" s="65"/>
      <c r="CU515" s="67"/>
      <c r="EC515" s="67"/>
      <c r="FK515" s="67"/>
      <c r="FL515" s="67"/>
      <c r="FM515" s="67"/>
      <c r="FN515" s="67"/>
      <c r="FO515" s="67"/>
      <c r="FP515" s="67"/>
      <c r="FQ515" s="67"/>
      <c r="FR515" s="67"/>
      <c r="FS515" s="67"/>
      <c r="FT515" s="67"/>
      <c r="FU515" s="67"/>
      <c r="FV515" s="67"/>
      <c r="FW515" s="67"/>
      <c r="FX515" s="67"/>
      <c r="FY515" s="67"/>
      <c r="FZ515" s="67"/>
      <c r="GA515" s="67"/>
      <c r="GB515" s="67"/>
      <c r="GC515" s="67"/>
      <c r="GD515" s="67"/>
      <c r="GE515" s="67"/>
      <c r="GF515" s="67"/>
      <c r="GG515" s="67"/>
      <c r="GH515" s="67"/>
      <c r="GI515" s="67"/>
      <c r="GJ515" s="67"/>
      <c r="GK515" s="67"/>
      <c r="GL515" s="67"/>
      <c r="GM515" s="67"/>
      <c r="GN515" s="67"/>
      <c r="GO515" s="67"/>
      <c r="GP515" s="67"/>
    </row>
    <row r="516" spans="5:198" s="66" customFormat="1">
      <c r="E516" s="67"/>
      <c r="G516" s="67"/>
      <c r="H516" s="67"/>
      <c r="I516" s="67"/>
      <c r="J516" s="67"/>
      <c r="K516" s="67"/>
      <c r="L516" s="67"/>
      <c r="M516" s="67"/>
      <c r="N516" s="67"/>
      <c r="O516" s="78"/>
      <c r="P516" s="78"/>
      <c r="S516" s="78"/>
      <c r="T516" s="78"/>
      <c r="U516" s="79"/>
      <c r="V516" s="65"/>
      <c r="Y516" s="78"/>
      <c r="Z516" s="78"/>
      <c r="AA516" s="78"/>
      <c r="AB516" s="78"/>
      <c r="AC516" s="78"/>
      <c r="AD516" s="78"/>
      <c r="AE516" s="78"/>
      <c r="AF516" s="78"/>
      <c r="AG516" s="79"/>
      <c r="AH516" s="65"/>
      <c r="AJ516" s="85"/>
      <c r="AK516" s="78"/>
      <c r="AL516" s="78"/>
      <c r="AM516" s="78"/>
      <c r="AN516" s="78"/>
      <c r="AO516" s="78"/>
      <c r="AP516" s="78"/>
      <c r="AQ516" s="79"/>
      <c r="AR516" s="65"/>
      <c r="AT516" s="85"/>
      <c r="AU516" s="78"/>
      <c r="AV516" s="78"/>
      <c r="AW516" s="78"/>
      <c r="AX516" s="78"/>
      <c r="AY516" s="78"/>
      <c r="AZ516" s="79"/>
      <c r="BA516" s="65"/>
      <c r="BC516" s="85"/>
      <c r="BD516" s="78"/>
      <c r="BE516" s="78"/>
      <c r="BF516" s="78"/>
      <c r="BG516" s="78"/>
      <c r="BH516" s="78"/>
      <c r="BI516" s="78"/>
      <c r="BJ516" s="79"/>
      <c r="BK516" s="65"/>
      <c r="CU516" s="67"/>
      <c r="EC516" s="67"/>
      <c r="FK516" s="67"/>
      <c r="FL516" s="67"/>
      <c r="FM516" s="67"/>
      <c r="FN516" s="67"/>
      <c r="FO516" s="67"/>
      <c r="FP516" s="67"/>
      <c r="FQ516" s="67"/>
      <c r="FR516" s="67"/>
      <c r="FS516" s="67"/>
      <c r="FT516" s="67"/>
      <c r="FU516" s="67"/>
      <c r="FV516" s="67"/>
      <c r="FW516" s="67"/>
      <c r="FX516" s="67"/>
      <c r="FY516" s="67"/>
      <c r="FZ516" s="67"/>
      <c r="GA516" s="67"/>
      <c r="GB516" s="67"/>
      <c r="GC516" s="67"/>
      <c r="GD516" s="67"/>
      <c r="GE516" s="67"/>
      <c r="GF516" s="67"/>
      <c r="GG516" s="67"/>
      <c r="GH516" s="67"/>
      <c r="GI516" s="67"/>
      <c r="GJ516" s="67"/>
      <c r="GK516" s="67"/>
      <c r="GL516" s="67"/>
      <c r="GM516" s="67"/>
      <c r="GN516" s="67"/>
      <c r="GO516" s="67"/>
      <c r="GP516" s="67"/>
    </row>
    <row r="517" spans="5:198" s="66" customFormat="1">
      <c r="E517" s="67"/>
      <c r="G517" s="67"/>
      <c r="H517" s="67"/>
      <c r="I517" s="67"/>
      <c r="J517" s="67"/>
      <c r="K517" s="67"/>
      <c r="L517" s="67"/>
      <c r="M517" s="67"/>
      <c r="N517" s="67"/>
      <c r="O517" s="78"/>
      <c r="P517" s="78"/>
      <c r="S517" s="78"/>
      <c r="T517" s="78"/>
      <c r="U517" s="79"/>
      <c r="V517" s="65"/>
      <c r="Y517" s="78"/>
      <c r="Z517" s="78"/>
      <c r="AA517" s="78"/>
      <c r="AB517" s="78"/>
      <c r="AC517" s="78"/>
      <c r="AD517" s="78"/>
      <c r="AE517" s="78"/>
      <c r="AF517" s="78"/>
      <c r="AG517" s="79"/>
      <c r="AH517" s="65"/>
      <c r="AJ517" s="85"/>
      <c r="AK517" s="78"/>
      <c r="AL517" s="78"/>
      <c r="AM517" s="78"/>
      <c r="AN517" s="78"/>
      <c r="AO517" s="78"/>
      <c r="AP517" s="78"/>
      <c r="AQ517" s="79"/>
      <c r="AR517" s="65"/>
      <c r="AT517" s="85"/>
      <c r="AU517" s="78"/>
      <c r="AV517" s="78"/>
      <c r="AW517" s="78"/>
      <c r="AX517" s="78"/>
      <c r="AY517" s="78"/>
      <c r="AZ517" s="79"/>
      <c r="BA517" s="65"/>
      <c r="BC517" s="85"/>
      <c r="BD517" s="78"/>
      <c r="BE517" s="78"/>
      <c r="BF517" s="78"/>
      <c r="BG517" s="78"/>
      <c r="BH517" s="78"/>
      <c r="BI517" s="78"/>
      <c r="BJ517" s="79"/>
      <c r="BK517" s="65"/>
      <c r="CU517" s="67"/>
      <c r="EC517" s="67"/>
      <c r="FK517" s="67"/>
      <c r="FL517" s="67"/>
      <c r="FM517" s="67"/>
      <c r="FN517" s="67"/>
      <c r="FO517" s="67"/>
      <c r="FP517" s="67"/>
      <c r="FQ517" s="67"/>
      <c r="FR517" s="67"/>
      <c r="FS517" s="67"/>
      <c r="FT517" s="67"/>
      <c r="FU517" s="67"/>
      <c r="FV517" s="67"/>
      <c r="FW517" s="67"/>
      <c r="FX517" s="67"/>
      <c r="FY517" s="67"/>
      <c r="FZ517" s="67"/>
      <c r="GA517" s="67"/>
      <c r="GB517" s="67"/>
      <c r="GC517" s="67"/>
      <c r="GD517" s="67"/>
      <c r="GE517" s="67"/>
      <c r="GF517" s="67"/>
      <c r="GG517" s="67"/>
      <c r="GH517" s="67"/>
      <c r="GI517" s="67"/>
      <c r="GJ517" s="67"/>
      <c r="GK517" s="67"/>
      <c r="GL517" s="67"/>
      <c r="GM517" s="67"/>
      <c r="GN517" s="67"/>
      <c r="GO517" s="67"/>
      <c r="GP517" s="67"/>
    </row>
    <row r="518" spans="5:198" s="66" customFormat="1">
      <c r="E518" s="67"/>
      <c r="G518" s="67"/>
      <c r="H518" s="67"/>
      <c r="I518" s="67"/>
      <c r="J518" s="67"/>
      <c r="K518" s="67"/>
      <c r="L518" s="67"/>
      <c r="M518" s="67"/>
      <c r="N518" s="67"/>
      <c r="O518" s="78"/>
      <c r="P518" s="78"/>
      <c r="S518" s="78"/>
      <c r="T518" s="78"/>
      <c r="U518" s="79"/>
      <c r="V518" s="65"/>
      <c r="Y518" s="78"/>
      <c r="Z518" s="78"/>
      <c r="AA518" s="78"/>
      <c r="AB518" s="78"/>
      <c r="AC518" s="78"/>
      <c r="AD518" s="78"/>
      <c r="AE518" s="78"/>
      <c r="AF518" s="78"/>
      <c r="AG518" s="79"/>
      <c r="AH518" s="65"/>
      <c r="AJ518" s="85"/>
      <c r="AK518" s="78"/>
      <c r="AL518" s="78"/>
      <c r="AM518" s="78"/>
      <c r="AN518" s="78"/>
      <c r="AO518" s="78"/>
      <c r="AP518" s="78"/>
      <c r="AQ518" s="79"/>
      <c r="AR518" s="65"/>
      <c r="AT518" s="85"/>
      <c r="AU518" s="78"/>
      <c r="AV518" s="78"/>
      <c r="AW518" s="78"/>
      <c r="AX518" s="78"/>
      <c r="AY518" s="78"/>
      <c r="AZ518" s="79"/>
      <c r="BA518" s="65"/>
      <c r="BC518" s="85"/>
      <c r="BD518" s="78"/>
      <c r="BE518" s="78"/>
      <c r="BF518" s="78"/>
      <c r="BG518" s="78"/>
      <c r="BH518" s="78"/>
      <c r="BI518" s="78"/>
      <c r="BJ518" s="79"/>
      <c r="BK518" s="65"/>
      <c r="CU518" s="67"/>
      <c r="EC518" s="67"/>
      <c r="FK518" s="67"/>
      <c r="FL518" s="67"/>
      <c r="FM518" s="67"/>
      <c r="FN518" s="67"/>
      <c r="FO518" s="67"/>
      <c r="FP518" s="67"/>
      <c r="FQ518" s="67"/>
      <c r="FR518" s="67"/>
      <c r="FS518" s="67"/>
      <c r="FT518" s="67"/>
      <c r="FU518" s="67"/>
      <c r="FV518" s="67"/>
      <c r="FW518" s="67"/>
      <c r="FX518" s="67"/>
      <c r="FY518" s="67"/>
      <c r="FZ518" s="67"/>
      <c r="GA518" s="67"/>
      <c r="GB518" s="67"/>
      <c r="GC518" s="67"/>
      <c r="GD518" s="67"/>
      <c r="GE518" s="67"/>
      <c r="GF518" s="67"/>
      <c r="GG518" s="67"/>
      <c r="GH518" s="67"/>
      <c r="GI518" s="67"/>
      <c r="GJ518" s="67"/>
      <c r="GK518" s="67"/>
      <c r="GL518" s="67"/>
      <c r="GM518" s="67"/>
      <c r="GN518" s="67"/>
      <c r="GO518" s="67"/>
      <c r="GP518" s="67"/>
    </row>
    <row r="519" spans="5:198" s="66" customFormat="1">
      <c r="E519" s="67"/>
      <c r="G519" s="67"/>
      <c r="H519" s="67"/>
      <c r="I519" s="67"/>
      <c r="J519" s="67"/>
      <c r="K519" s="67"/>
      <c r="L519" s="67"/>
      <c r="M519" s="67"/>
      <c r="N519" s="67"/>
      <c r="O519" s="78"/>
      <c r="P519" s="78"/>
      <c r="S519" s="78"/>
      <c r="T519" s="78"/>
      <c r="U519" s="79"/>
      <c r="V519" s="65"/>
      <c r="Y519" s="78"/>
      <c r="Z519" s="78"/>
      <c r="AA519" s="78"/>
      <c r="AB519" s="78"/>
      <c r="AC519" s="78"/>
      <c r="AD519" s="78"/>
      <c r="AE519" s="78"/>
      <c r="AF519" s="78"/>
      <c r="AG519" s="79"/>
      <c r="AH519" s="65"/>
      <c r="AJ519" s="85"/>
      <c r="AK519" s="78"/>
      <c r="AL519" s="78"/>
      <c r="AM519" s="78"/>
      <c r="AN519" s="78"/>
      <c r="AO519" s="78"/>
      <c r="AP519" s="78"/>
      <c r="AQ519" s="79"/>
      <c r="AR519" s="65"/>
      <c r="AT519" s="85"/>
      <c r="AU519" s="78"/>
      <c r="AV519" s="78"/>
      <c r="AW519" s="78"/>
      <c r="AX519" s="78"/>
      <c r="AY519" s="78"/>
      <c r="AZ519" s="79"/>
      <c r="BA519" s="65"/>
      <c r="BC519" s="85"/>
      <c r="BD519" s="78"/>
      <c r="BE519" s="78"/>
      <c r="BF519" s="78"/>
      <c r="BG519" s="78"/>
      <c r="BH519" s="78"/>
      <c r="BI519" s="78"/>
      <c r="BJ519" s="79"/>
      <c r="BK519" s="65"/>
      <c r="CU519" s="67"/>
      <c r="EC519" s="67"/>
      <c r="FK519" s="67"/>
      <c r="FL519" s="67"/>
      <c r="FM519" s="67"/>
      <c r="FN519" s="67"/>
      <c r="FO519" s="67"/>
      <c r="FP519" s="67"/>
      <c r="FQ519" s="67"/>
      <c r="FR519" s="67"/>
      <c r="FS519" s="67"/>
      <c r="FT519" s="67"/>
      <c r="FU519" s="67"/>
      <c r="FV519" s="67"/>
      <c r="FW519" s="67"/>
      <c r="FX519" s="67"/>
      <c r="FY519" s="67"/>
      <c r="FZ519" s="67"/>
      <c r="GA519" s="67"/>
      <c r="GB519" s="67"/>
      <c r="GC519" s="67"/>
      <c r="GD519" s="67"/>
      <c r="GE519" s="67"/>
      <c r="GF519" s="67"/>
      <c r="GG519" s="67"/>
      <c r="GH519" s="67"/>
      <c r="GI519" s="67"/>
      <c r="GJ519" s="67"/>
      <c r="GK519" s="67"/>
      <c r="GL519" s="67"/>
      <c r="GM519" s="67"/>
      <c r="GN519" s="67"/>
      <c r="GO519" s="67"/>
      <c r="GP519" s="67"/>
    </row>
    <row r="520" spans="5:198" s="66" customFormat="1">
      <c r="E520" s="67"/>
      <c r="G520" s="67"/>
      <c r="H520" s="67"/>
      <c r="I520" s="67"/>
      <c r="J520" s="67"/>
      <c r="K520" s="67"/>
      <c r="L520" s="67"/>
      <c r="M520" s="67"/>
      <c r="N520" s="67"/>
      <c r="O520" s="78"/>
      <c r="P520" s="78"/>
      <c r="S520" s="78"/>
      <c r="T520" s="78"/>
      <c r="U520" s="79"/>
      <c r="V520" s="65"/>
      <c r="Y520" s="78"/>
      <c r="Z520" s="78"/>
      <c r="AA520" s="78"/>
      <c r="AB520" s="78"/>
      <c r="AC520" s="78"/>
      <c r="AD520" s="78"/>
      <c r="AE520" s="78"/>
      <c r="AF520" s="78"/>
      <c r="AG520" s="79"/>
      <c r="AH520" s="65"/>
      <c r="AJ520" s="85"/>
      <c r="AK520" s="78"/>
      <c r="AL520" s="78"/>
      <c r="AM520" s="78"/>
      <c r="AN520" s="78"/>
      <c r="AO520" s="78"/>
      <c r="AP520" s="78"/>
      <c r="AQ520" s="79"/>
      <c r="AR520" s="65"/>
      <c r="AT520" s="85"/>
      <c r="AU520" s="78"/>
      <c r="AV520" s="78"/>
      <c r="AW520" s="78"/>
      <c r="AX520" s="78"/>
      <c r="AY520" s="78"/>
      <c r="AZ520" s="79"/>
      <c r="BA520" s="65"/>
      <c r="BC520" s="85"/>
      <c r="BD520" s="78"/>
      <c r="BE520" s="78"/>
      <c r="BF520" s="78"/>
      <c r="BG520" s="78"/>
      <c r="BH520" s="78"/>
      <c r="BI520" s="78"/>
      <c r="BJ520" s="79"/>
      <c r="BK520" s="65"/>
      <c r="CU520" s="67"/>
      <c r="EC520" s="67"/>
      <c r="FK520" s="67"/>
      <c r="FL520" s="67"/>
      <c r="FM520" s="67"/>
      <c r="FN520" s="67"/>
      <c r="FO520" s="67"/>
      <c r="FP520" s="67"/>
      <c r="FQ520" s="67"/>
      <c r="FR520" s="67"/>
      <c r="FS520" s="67"/>
      <c r="FT520" s="67"/>
      <c r="FU520" s="67"/>
      <c r="FV520" s="67"/>
      <c r="FW520" s="67"/>
      <c r="FX520" s="67"/>
      <c r="FY520" s="67"/>
      <c r="FZ520" s="67"/>
      <c r="GA520" s="67"/>
      <c r="GB520" s="67"/>
      <c r="GC520" s="67"/>
      <c r="GD520" s="67"/>
      <c r="GE520" s="67"/>
      <c r="GF520" s="67"/>
      <c r="GG520" s="67"/>
      <c r="GH520" s="67"/>
      <c r="GI520" s="67"/>
      <c r="GJ520" s="67"/>
      <c r="GK520" s="67"/>
      <c r="GL520" s="67"/>
      <c r="GM520" s="67"/>
      <c r="GN520" s="67"/>
      <c r="GO520" s="67"/>
      <c r="GP520" s="67"/>
    </row>
    <row r="521" spans="5:198" s="66" customFormat="1">
      <c r="E521" s="67"/>
      <c r="G521" s="67"/>
      <c r="H521" s="67"/>
      <c r="I521" s="67"/>
      <c r="J521" s="67"/>
      <c r="K521" s="67"/>
      <c r="L521" s="67"/>
      <c r="M521" s="67"/>
      <c r="N521" s="67"/>
      <c r="O521" s="78"/>
      <c r="P521" s="78"/>
      <c r="S521" s="78"/>
      <c r="T521" s="78"/>
      <c r="U521" s="79"/>
      <c r="V521" s="65"/>
      <c r="Y521" s="78"/>
      <c r="Z521" s="78"/>
      <c r="AA521" s="78"/>
      <c r="AB521" s="78"/>
      <c r="AC521" s="78"/>
      <c r="AD521" s="78"/>
      <c r="AE521" s="78"/>
      <c r="AF521" s="78"/>
      <c r="AG521" s="79"/>
      <c r="AH521" s="65"/>
      <c r="AJ521" s="85"/>
      <c r="AK521" s="78"/>
      <c r="AL521" s="78"/>
      <c r="AM521" s="78"/>
      <c r="AN521" s="78"/>
      <c r="AO521" s="78"/>
      <c r="AP521" s="78"/>
      <c r="AQ521" s="79"/>
      <c r="AR521" s="65"/>
      <c r="AT521" s="85"/>
      <c r="AU521" s="78"/>
      <c r="AV521" s="78"/>
      <c r="AW521" s="78"/>
      <c r="AX521" s="78"/>
      <c r="AY521" s="78"/>
      <c r="AZ521" s="79"/>
      <c r="BA521" s="65"/>
      <c r="BC521" s="85"/>
      <c r="BD521" s="78"/>
      <c r="BE521" s="78"/>
      <c r="BF521" s="78"/>
      <c r="BG521" s="78"/>
      <c r="BH521" s="78"/>
      <c r="BI521" s="78"/>
      <c r="BJ521" s="79"/>
      <c r="BK521" s="65"/>
      <c r="CU521" s="67"/>
      <c r="EC521" s="67"/>
      <c r="FK521" s="67"/>
      <c r="FL521" s="67"/>
      <c r="FM521" s="67"/>
      <c r="FN521" s="67"/>
      <c r="FO521" s="67"/>
      <c r="FP521" s="67"/>
      <c r="FQ521" s="67"/>
      <c r="FR521" s="67"/>
      <c r="FS521" s="67"/>
      <c r="FT521" s="67"/>
      <c r="FU521" s="67"/>
      <c r="FV521" s="67"/>
      <c r="FW521" s="67"/>
      <c r="FX521" s="67"/>
      <c r="FY521" s="67"/>
      <c r="FZ521" s="67"/>
      <c r="GA521" s="67"/>
      <c r="GB521" s="67"/>
      <c r="GC521" s="67"/>
      <c r="GD521" s="67"/>
      <c r="GE521" s="67"/>
      <c r="GF521" s="67"/>
      <c r="GG521" s="67"/>
      <c r="GH521" s="67"/>
      <c r="GI521" s="67"/>
      <c r="GJ521" s="67"/>
      <c r="GK521" s="67"/>
      <c r="GL521" s="67"/>
      <c r="GM521" s="67"/>
      <c r="GN521" s="67"/>
      <c r="GO521" s="67"/>
      <c r="GP521" s="67"/>
    </row>
    <row r="522" spans="5:198" s="66" customFormat="1">
      <c r="E522" s="67"/>
      <c r="G522" s="67"/>
      <c r="H522" s="67"/>
      <c r="I522" s="67"/>
      <c r="J522" s="67"/>
      <c r="K522" s="67"/>
      <c r="L522" s="67"/>
      <c r="M522" s="67"/>
      <c r="N522" s="67"/>
      <c r="O522" s="78"/>
      <c r="P522" s="78"/>
      <c r="S522" s="78"/>
      <c r="T522" s="78"/>
      <c r="U522" s="79"/>
      <c r="V522" s="65"/>
      <c r="Y522" s="78"/>
      <c r="Z522" s="78"/>
      <c r="AA522" s="78"/>
      <c r="AB522" s="78"/>
      <c r="AC522" s="78"/>
      <c r="AD522" s="78"/>
      <c r="AE522" s="78"/>
      <c r="AF522" s="78"/>
      <c r="AG522" s="79"/>
      <c r="AH522" s="65"/>
      <c r="AJ522" s="85"/>
      <c r="AK522" s="78"/>
      <c r="AL522" s="78"/>
      <c r="AM522" s="78"/>
      <c r="AN522" s="78"/>
      <c r="AO522" s="78"/>
      <c r="AP522" s="78"/>
      <c r="AQ522" s="79"/>
      <c r="AR522" s="65"/>
      <c r="AT522" s="85"/>
      <c r="AU522" s="78"/>
      <c r="AV522" s="78"/>
      <c r="AW522" s="78"/>
      <c r="AX522" s="78"/>
      <c r="AY522" s="78"/>
      <c r="AZ522" s="79"/>
      <c r="BA522" s="65"/>
      <c r="BC522" s="85"/>
      <c r="BD522" s="78"/>
      <c r="BE522" s="78"/>
      <c r="BF522" s="78"/>
      <c r="BG522" s="78"/>
      <c r="BH522" s="78"/>
      <c r="BI522" s="78"/>
      <c r="BJ522" s="79"/>
      <c r="BK522" s="65"/>
      <c r="CU522" s="67"/>
      <c r="EC522" s="67"/>
      <c r="FK522" s="67"/>
      <c r="FL522" s="67"/>
      <c r="FM522" s="67"/>
      <c r="FN522" s="67"/>
      <c r="FO522" s="67"/>
      <c r="FP522" s="67"/>
      <c r="FQ522" s="67"/>
      <c r="FR522" s="67"/>
      <c r="FS522" s="67"/>
      <c r="FT522" s="67"/>
      <c r="FU522" s="67"/>
      <c r="FV522" s="67"/>
      <c r="FW522" s="67"/>
      <c r="FX522" s="67"/>
      <c r="FY522" s="67"/>
      <c r="FZ522" s="67"/>
      <c r="GA522" s="67"/>
      <c r="GB522" s="67"/>
      <c r="GC522" s="67"/>
      <c r="GD522" s="67"/>
      <c r="GE522" s="67"/>
      <c r="GF522" s="67"/>
      <c r="GG522" s="67"/>
      <c r="GH522" s="67"/>
      <c r="GI522" s="67"/>
      <c r="GJ522" s="67"/>
      <c r="GK522" s="67"/>
      <c r="GL522" s="67"/>
      <c r="GM522" s="67"/>
      <c r="GN522" s="67"/>
      <c r="GO522" s="67"/>
      <c r="GP522" s="67"/>
    </row>
    <row r="523" spans="5:198" s="66" customFormat="1">
      <c r="E523" s="67"/>
      <c r="G523" s="67"/>
      <c r="H523" s="67"/>
      <c r="I523" s="67"/>
      <c r="J523" s="67"/>
      <c r="K523" s="67"/>
      <c r="L523" s="67"/>
      <c r="M523" s="67"/>
      <c r="N523" s="67"/>
      <c r="O523" s="78"/>
      <c r="P523" s="78"/>
      <c r="S523" s="78"/>
      <c r="T523" s="78"/>
      <c r="U523" s="79"/>
      <c r="V523" s="65"/>
      <c r="Y523" s="78"/>
      <c r="Z523" s="78"/>
      <c r="AA523" s="78"/>
      <c r="AB523" s="78"/>
      <c r="AC523" s="78"/>
      <c r="AD523" s="78"/>
      <c r="AE523" s="78"/>
      <c r="AF523" s="78"/>
      <c r="AG523" s="79"/>
      <c r="AH523" s="65"/>
      <c r="AJ523" s="85"/>
      <c r="AK523" s="78"/>
      <c r="AL523" s="78"/>
      <c r="AM523" s="78"/>
      <c r="AN523" s="78"/>
      <c r="AO523" s="78"/>
      <c r="AP523" s="78"/>
      <c r="AQ523" s="79"/>
      <c r="AR523" s="65"/>
      <c r="AT523" s="85"/>
      <c r="AU523" s="78"/>
      <c r="AV523" s="78"/>
      <c r="AW523" s="78"/>
      <c r="AX523" s="78"/>
      <c r="AY523" s="78"/>
      <c r="AZ523" s="79"/>
      <c r="BA523" s="65"/>
      <c r="BC523" s="85"/>
      <c r="BD523" s="78"/>
      <c r="BE523" s="78"/>
      <c r="BF523" s="78"/>
      <c r="BG523" s="78"/>
      <c r="BH523" s="78"/>
      <c r="BI523" s="78"/>
      <c r="BJ523" s="79"/>
      <c r="BK523" s="65"/>
      <c r="CU523" s="67"/>
      <c r="EC523" s="67"/>
      <c r="FK523" s="67"/>
      <c r="FL523" s="67"/>
      <c r="FM523" s="67"/>
      <c r="FN523" s="67"/>
      <c r="FO523" s="67"/>
      <c r="FP523" s="67"/>
      <c r="FQ523" s="67"/>
      <c r="FR523" s="67"/>
      <c r="FS523" s="67"/>
      <c r="FT523" s="67"/>
      <c r="FU523" s="67"/>
      <c r="FV523" s="67"/>
      <c r="FW523" s="67"/>
      <c r="FX523" s="67"/>
      <c r="FY523" s="67"/>
      <c r="FZ523" s="67"/>
      <c r="GA523" s="67"/>
      <c r="GB523" s="67"/>
      <c r="GC523" s="67"/>
      <c r="GD523" s="67"/>
      <c r="GE523" s="67"/>
      <c r="GF523" s="67"/>
      <c r="GG523" s="67"/>
      <c r="GH523" s="67"/>
      <c r="GI523" s="67"/>
      <c r="GJ523" s="67"/>
      <c r="GK523" s="67"/>
      <c r="GL523" s="67"/>
      <c r="GM523" s="67"/>
      <c r="GN523" s="67"/>
      <c r="GO523" s="67"/>
      <c r="GP523" s="67"/>
    </row>
    <row r="524" spans="5:198" s="66" customFormat="1">
      <c r="E524" s="67"/>
      <c r="G524" s="67"/>
      <c r="H524" s="67"/>
      <c r="I524" s="67"/>
      <c r="J524" s="67"/>
      <c r="K524" s="67"/>
      <c r="L524" s="67"/>
      <c r="M524" s="67"/>
      <c r="N524" s="67"/>
      <c r="O524" s="78"/>
      <c r="P524" s="78"/>
      <c r="S524" s="78"/>
      <c r="T524" s="78"/>
      <c r="U524" s="79"/>
      <c r="V524" s="65"/>
      <c r="Y524" s="78"/>
      <c r="Z524" s="78"/>
      <c r="AA524" s="78"/>
      <c r="AB524" s="78"/>
      <c r="AC524" s="78"/>
      <c r="AD524" s="78"/>
      <c r="AE524" s="78"/>
      <c r="AF524" s="78"/>
      <c r="AG524" s="79"/>
      <c r="AH524" s="65"/>
      <c r="AJ524" s="85"/>
      <c r="AK524" s="78"/>
      <c r="AL524" s="78"/>
      <c r="AM524" s="78"/>
      <c r="AN524" s="78"/>
      <c r="AO524" s="78"/>
      <c r="AP524" s="78"/>
      <c r="AQ524" s="79"/>
      <c r="AR524" s="65"/>
      <c r="AT524" s="85"/>
      <c r="AU524" s="78"/>
      <c r="AV524" s="78"/>
      <c r="AW524" s="78"/>
      <c r="AX524" s="78"/>
      <c r="AY524" s="78"/>
      <c r="AZ524" s="79"/>
      <c r="BA524" s="65"/>
      <c r="BC524" s="85"/>
      <c r="BD524" s="78"/>
      <c r="BE524" s="78"/>
      <c r="BF524" s="78"/>
      <c r="BG524" s="78"/>
      <c r="BH524" s="78"/>
      <c r="BI524" s="78"/>
      <c r="BJ524" s="79"/>
      <c r="BK524" s="65"/>
      <c r="CU524" s="67"/>
      <c r="EC524" s="67"/>
      <c r="FK524" s="67"/>
      <c r="FL524" s="67"/>
      <c r="FM524" s="67"/>
      <c r="FN524" s="67"/>
      <c r="FO524" s="67"/>
      <c r="FP524" s="67"/>
      <c r="FQ524" s="67"/>
      <c r="FR524" s="67"/>
      <c r="FS524" s="67"/>
      <c r="FT524" s="67"/>
      <c r="FU524" s="67"/>
      <c r="FV524" s="67"/>
      <c r="FW524" s="67"/>
      <c r="FX524" s="67"/>
      <c r="FY524" s="67"/>
      <c r="FZ524" s="67"/>
      <c r="GA524" s="67"/>
      <c r="GB524" s="67"/>
      <c r="GC524" s="67"/>
      <c r="GD524" s="67"/>
      <c r="GE524" s="67"/>
      <c r="GF524" s="67"/>
      <c r="GG524" s="67"/>
      <c r="GH524" s="67"/>
      <c r="GI524" s="67"/>
      <c r="GJ524" s="67"/>
      <c r="GK524" s="67"/>
      <c r="GL524" s="67"/>
      <c r="GM524" s="67"/>
      <c r="GN524" s="67"/>
      <c r="GO524" s="67"/>
      <c r="GP524" s="67"/>
    </row>
    <row r="525" spans="5:198" s="66" customFormat="1">
      <c r="E525" s="67"/>
      <c r="G525" s="67"/>
      <c r="H525" s="67"/>
      <c r="I525" s="67"/>
      <c r="J525" s="67"/>
      <c r="K525" s="67"/>
      <c r="L525" s="67"/>
      <c r="M525" s="67"/>
      <c r="N525" s="67"/>
      <c r="O525" s="78"/>
      <c r="P525" s="78"/>
      <c r="S525" s="78"/>
      <c r="T525" s="78"/>
      <c r="U525" s="79"/>
      <c r="V525" s="65"/>
      <c r="Y525" s="78"/>
      <c r="Z525" s="78"/>
      <c r="AA525" s="78"/>
      <c r="AB525" s="78"/>
      <c r="AC525" s="78"/>
      <c r="AD525" s="78"/>
      <c r="AE525" s="78"/>
      <c r="AF525" s="78"/>
      <c r="AG525" s="79"/>
      <c r="AH525" s="65"/>
      <c r="AJ525" s="85"/>
      <c r="AK525" s="78"/>
      <c r="AL525" s="78"/>
      <c r="AM525" s="78"/>
      <c r="AN525" s="78"/>
      <c r="AO525" s="78"/>
      <c r="AP525" s="78"/>
      <c r="AQ525" s="79"/>
      <c r="AR525" s="65"/>
      <c r="AT525" s="85"/>
      <c r="AU525" s="78"/>
      <c r="AV525" s="78"/>
      <c r="AW525" s="78"/>
      <c r="AX525" s="78"/>
      <c r="AY525" s="78"/>
      <c r="AZ525" s="79"/>
      <c r="BA525" s="65"/>
      <c r="BC525" s="85"/>
      <c r="BD525" s="78"/>
      <c r="BE525" s="78"/>
      <c r="BF525" s="78"/>
      <c r="BG525" s="78"/>
      <c r="BH525" s="78"/>
      <c r="BI525" s="78"/>
      <c r="BJ525" s="79"/>
      <c r="BK525" s="65"/>
      <c r="CU525" s="67"/>
      <c r="EC525" s="67"/>
      <c r="FK525" s="67"/>
      <c r="FL525" s="67"/>
      <c r="FM525" s="67"/>
      <c r="FN525" s="67"/>
      <c r="FO525" s="67"/>
      <c r="FP525" s="67"/>
      <c r="FQ525" s="67"/>
      <c r="FR525" s="67"/>
      <c r="FS525" s="67"/>
      <c r="FT525" s="67"/>
      <c r="FU525" s="67"/>
      <c r="FV525" s="67"/>
      <c r="FW525" s="67"/>
      <c r="FX525" s="67"/>
      <c r="FY525" s="67"/>
      <c r="FZ525" s="67"/>
      <c r="GA525" s="67"/>
      <c r="GB525" s="67"/>
      <c r="GC525" s="67"/>
      <c r="GD525" s="67"/>
      <c r="GE525" s="67"/>
      <c r="GF525" s="67"/>
      <c r="GG525" s="67"/>
      <c r="GH525" s="67"/>
      <c r="GI525" s="67"/>
      <c r="GJ525" s="67"/>
      <c r="GK525" s="67"/>
      <c r="GL525" s="67"/>
      <c r="GM525" s="67"/>
      <c r="GN525" s="67"/>
      <c r="GO525" s="67"/>
      <c r="GP525" s="67"/>
    </row>
    <row r="526" spans="5:198" s="66" customFormat="1">
      <c r="E526" s="67"/>
      <c r="G526" s="67"/>
      <c r="H526" s="67"/>
      <c r="I526" s="67"/>
      <c r="J526" s="67"/>
      <c r="K526" s="67"/>
      <c r="L526" s="67"/>
      <c r="M526" s="67"/>
      <c r="N526" s="67"/>
      <c r="O526" s="78"/>
      <c r="P526" s="78"/>
      <c r="S526" s="78"/>
      <c r="T526" s="78"/>
      <c r="U526" s="79"/>
      <c r="V526" s="65"/>
      <c r="Y526" s="78"/>
      <c r="Z526" s="78"/>
      <c r="AA526" s="78"/>
      <c r="AB526" s="78"/>
      <c r="AC526" s="78"/>
      <c r="AD526" s="78"/>
      <c r="AE526" s="78"/>
      <c r="AF526" s="78"/>
      <c r="AG526" s="79"/>
      <c r="AH526" s="65"/>
      <c r="AJ526" s="85"/>
      <c r="AK526" s="78"/>
      <c r="AL526" s="78"/>
      <c r="AM526" s="78"/>
      <c r="AN526" s="78"/>
      <c r="AO526" s="78"/>
      <c r="AP526" s="78"/>
      <c r="AQ526" s="79"/>
      <c r="AR526" s="65"/>
      <c r="AT526" s="85"/>
      <c r="AU526" s="78"/>
      <c r="AV526" s="78"/>
      <c r="AW526" s="78"/>
      <c r="AX526" s="78"/>
      <c r="AY526" s="78"/>
      <c r="AZ526" s="79"/>
      <c r="BA526" s="65"/>
      <c r="BC526" s="85"/>
      <c r="BD526" s="78"/>
      <c r="BE526" s="78"/>
      <c r="BF526" s="78"/>
      <c r="BG526" s="78"/>
      <c r="BH526" s="78"/>
      <c r="BI526" s="78"/>
      <c r="BJ526" s="79"/>
      <c r="BK526" s="65"/>
      <c r="CU526" s="67"/>
      <c r="EC526" s="67"/>
      <c r="FK526" s="67"/>
      <c r="FL526" s="67"/>
      <c r="FM526" s="67"/>
      <c r="FN526" s="67"/>
      <c r="FO526" s="67"/>
      <c r="FP526" s="67"/>
      <c r="FQ526" s="67"/>
      <c r="FR526" s="67"/>
      <c r="FS526" s="67"/>
      <c r="FT526" s="67"/>
      <c r="FU526" s="67"/>
      <c r="FV526" s="67"/>
      <c r="FW526" s="67"/>
      <c r="FX526" s="67"/>
      <c r="FY526" s="67"/>
      <c r="FZ526" s="67"/>
      <c r="GA526" s="67"/>
      <c r="GB526" s="67"/>
      <c r="GC526" s="67"/>
      <c r="GD526" s="67"/>
      <c r="GE526" s="67"/>
      <c r="GF526" s="67"/>
      <c r="GG526" s="67"/>
      <c r="GH526" s="67"/>
      <c r="GI526" s="67"/>
      <c r="GJ526" s="67"/>
      <c r="GK526" s="67"/>
      <c r="GL526" s="67"/>
      <c r="GM526" s="67"/>
      <c r="GN526" s="67"/>
      <c r="GO526" s="67"/>
      <c r="GP526" s="67"/>
    </row>
    <row r="527" spans="5:198" s="66" customFormat="1">
      <c r="E527" s="67"/>
      <c r="G527" s="67"/>
      <c r="H527" s="67"/>
      <c r="I527" s="67"/>
      <c r="J527" s="67"/>
      <c r="K527" s="67"/>
      <c r="L527" s="67"/>
      <c r="M527" s="67"/>
      <c r="N527" s="67"/>
      <c r="O527" s="78"/>
      <c r="P527" s="78"/>
      <c r="S527" s="78"/>
      <c r="T527" s="78"/>
      <c r="U527" s="79"/>
      <c r="V527" s="65"/>
      <c r="Y527" s="78"/>
      <c r="Z527" s="78"/>
      <c r="AA527" s="78"/>
      <c r="AB527" s="78"/>
      <c r="AC527" s="78"/>
      <c r="AD527" s="78"/>
      <c r="AE527" s="78"/>
      <c r="AF527" s="78"/>
      <c r="AG527" s="79"/>
      <c r="AH527" s="65"/>
      <c r="AJ527" s="85"/>
      <c r="AK527" s="78"/>
      <c r="AL527" s="78"/>
      <c r="AM527" s="78"/>
      <c r="AN527" s="78"/>
      <c r="AO527" s="78"/>
      <c r="AP527" s="78"/>
      <c r="AQ527" s="79"/>
      <c r="AR527" s="65"/>
      <c r="AT527" s="85"/>
      <c r="AU527" s="78"/>
      <c r="AV527" s="78"/>
      <c r="AW527" s="78"/>
      <c r="AX527" s="78"/>
      <c r="AY527" s="78"/>
      <c r="AZ527" s="79"/>
      <c r="BA527" s="65"/>
      <c r="BC527" s="85"/>
      <c r="BD527" s="78"/>
      <c r="BE527" s="78"/>
      <c r="BF527" s="78"/>
      <c r="BG527" s="78"/>
      <c r="BH527" s="78"/>
      <c r="BI527" s="78"/>
      <c r="BJ527" s="79"/>
      <c r="BK527" s="65"/>
      <c r="CU527" s="67"/>
      <c r="EC527" s="67"/>
      <c r="FK527" s="67"/>
      <c r="FL527" s="67"/>
      <c r="FM527" s="67"/>
      <c r="FN527" s="67"/>
      <c r="FO527" s="67"/>
      <c r="FP527" s="67"/>
      <c r="FQ527" s="67"/>
      <c r="FR527" s="67"/>
      <c r="FS527" s="67"/>
      <c r="FT527" s="67"/>
      <c r="FU527" s="67"/>
      <c r="FV527" s="67"/>
      <c r="FW527" s="67"/>
      <c r="FX527" s="67"/>
      <c r="FY527" s="67"/>
      <c r="FZ527" s="67"/>
      <c r="GA527" s="67"/>
      <c r="GB527" s="67"/>
      <c r="GC527" s="67"/>
      <c r="GD527" s="67"/>
      <c r="GE527" s="67"/>
      <c r="GF527" s="67"/>
      <c r="GG527" s="67"/>
      <c r="GH527" s="67"/>
      <c r="GI527" s="67"/>
      <c r="GJ527" s="67"/>
      <c r="GK527" s="67"/>
      <c r="GL527" s="67"/>
      <c r="GM527" s="67"/>
      <c r="GN527" s="67"/>
      <c r="GO527" s="67"/>
      <c r="GP527" s="67"/>
    </row>
    <row r="528" spans="5:198" s="66" customFormat="1">
      <c r="E528" s="67"/>
      <c r="G528" s="67"/>
      <c r="H528" s="67"/>
      <c r="I528" s="67"/>
      <c r="J528" s="67"/>
      <c r="K528" s="67"/>
      <c r="L528" s="67"/>
      <c r="M528" s="67"/>
      <c r="N528" s="67"/>
      <c r="O528" s="78"/>
      <c r="P528" s="78"/>
      <c r="S528" s="78"/>
      <c r="T528" s="78"/>
      <c r="U528" s="79"/>
      <c r="V528" s="65"/>
      <c r="Y528" s="78"/>
      <c r="Z528" s="78"/>
      <c r="AA528" s="78"/>
      <c r="AB528" s="78"/>
      <c r="AC528" s="78"/>
      <c r="AD528" s="78"/>
      <c r="AE528" s="78"/>
      <c r="AF528" s="78"/>
      <c r="AG528" s="79"/>
      <c r="AH528" s="65"/>
      <c r="AJ528" s="85"/>
      <c r="AK528" s="78"/>
      <c r="AL528" s="78"/>
      <c r="AM528" s="78"/>
      <c r="AN528" s="78"/>
      <c r="AO528" s="78"/>
      <c r="AP528" s="78"/>
      <c r="AQ528" s="79"/>
      <c r="AR528" s="65"/>
      <c r="AT528" s="85"/>
      <c r="AU528" s="78"/>
      <c r="AV528" s="78"/>
      <c r="AW528" s="78"/>
      <c r="AX528" s="78"/>
      <c r="AY528" s="78"/>
      <c r="AZ528" s="79"/>
      <c r="BA528" s="65"/>
      <c r="BC528" s="85"/>
      <c r="BD528" s="78"/>
      <c r="BE528" s="78"/>
      <c r="BF528" s="78"/>
      <c r="BG528" s="78"/>
      <c r="BH528" s="78"/>
      <c r="BI528" s="78"/>
      <c r="BJ528" s="79"/>
      <c r="BK528" s="65"/>
      <c r="CU528" s="67"/>
      <c r="EC528" s="67"/>
      <c r="FK528" s="67"/>
      <c r="FL528" s="67"/>
      <c r="FM528" s="67"/>
      <c r="FN528" s="67"/>
      <c r="FO528" s="67"/>
      <c r="FP528" s="67"/>
      <c r="FQ528" s="67"/>
      <c r="FR528" s="67"/>
      <c r="FS528" s="67"/>
      <c r="FT528" s="67"/>
      <c r="FU528" s="67"/>
      <c r="FV528" s="67"/>
      <c r="FW528" s="67"/>
      <c r="FX528" s="67"/>
      <c r="FY528" s="67"/>
      <c r="FZ528" s="67"/>
      <c r="GA528" s="67"/>
      <c r="GB528" s="67"/>
      <c r="GC528" s="67"/>
      <c r="GD528" s="67"/>
      <c r="GE528" s="67"/>
      <c r="GF528" s="67"/>
      <c r="GG528" s="67"/>
      <c r="GH528" s="67"/>
      <c r="GI528" s="67"/>
      <c r="GJ528" s="67"/>
      <c r="GK528" s="67"/>
      <c r="GL528" s="67"/>
      <c r="GM528" s="67"/>
      <c r="GN528" s="67"/>
      <c r="GO528" s="67"/>
      <c r="GP528" s="67"/>
    </row>
    <row r="529" spans="5:198" s="66" customFormat="1">
      <c r="E529" s="67"/>
      <c r="G529" s="67"/>
      <c r="H529" s="67"/>
      <c r="I529" s="67"/>
      <c r="J529" s="67"/>
      <c r="K529" s="67"/>
      <c r="L529" s="67"/>
      <c r="M529" s="67"/>
      <c r="N529" s="67"/>
      <c r="O529" s="78"/>
      <c r="P529" s="78"/>
      <c r="S529" s="78"/>
      <c r="T529" s="78"/>
      <c r="U529" s="79"/>
      <c r="V529" s="65"/>
      <c r="Y529" s="78"/>
      <c r="Z529" s="78"/>
      <c r="AA529" s="78"/>
      <c r="AB529" s="78"/>
      <c r="AC529" s="78"/>
      <c r="AD529" s="78"/>
      <c r="AE529" s="78"/>
      <c r="AF529" s="78"/>
      <c r="AG529" s="79"/>
      <c r="AH529" s="65"/>
      <c r="AJ529" s="85"/>
      <c r="AK529" s="78"/>
      <c r="AL529" s="78"/>
      <c r="AM529" s="78"/>
      <c r="AN529" s="78"/>
      <c r="AO529" s="78"/>
      <c r="AP529" s="78"/>
      <c r="AQ529" s="79"/>
      <c r="AR529" s="65"/>
      <c r="AT529" s="85"/>
      <c r="AU529" s="78"/>
      <c r="AV529" s="78"/>
      <c r="AW529" s="78"/>
      <c r="AX529" s="78"/>
      <c r="AY529" s="78"/>
      <c r="AZ529" s="79"/>
      <c r="BA529" s="65"/>
      <c r="BC529" s="85"/>
      <c r="BD529" s="78"/>
      <c r="BE529" s="78"/>
      <c r="BF529" s="78"/>
      <c r="BG529" s="78"/>
      <c r="BH529" s="78"/>
      <c r="BI529" s="78"/>
      <c r="BJ529" s="79"/>
      <c r="BK529" s="65"/>
      <c r="CU529" s="67"/>
      <c r="EC529" s="67"/>
      <c r="FK529" s="67"/>
      <c r="FL529" s="67"/>
      <c r="FM529" s="67"/>
      <c r="FN529" s="67"/>
      <c r="FO529" s="67"/>
      <c r="FP529" s="67"/>
      <c r="FQ529" s="67"/>
      <c r="FR529" s="67"/>
      <c r="FS529" s="67"/>
      <c r="FT529" s="67"/>
      <c r="FU529" s="67"/>
      <c r="FV529" s="67"/>
      <c r="FW529" s="67"/>
      <c r="FX529" s="67"/>
      <c r="FY529" s="67"/>
      <c r="FZ529" s="67"/>
      <c r="GA529" s="67"/>
      <c r="GB529" s="67"/>
      <c r="GC529" s="67"/>
      <c r="GD529" s="67"/>
      <c r="GE529" s="67"/>
      <c r="GF529" s="67"/>
      <c r="GG529" s="67"/>
      <c r="GH529" s="67"/>
      <c r="GI529" s="67"/>
      <c r="GJ529" s="67"/>
      <c r="GK529" s="67"/>
      <c r="GL529" s="67"/>
      <c r="GM529" s="67"/>
      <c r="GN529" s="67"/>
      <c r="GO529" s="67"/>
      <c r="GP529" s="67"/>
    </row>
    <row r="530" spans="5:198" s="66" customFormat="1">
      <c r="E530" s="67"/>
      <c r="G530" s="67"/>
      <c r="H530" s="67"/>
      <c r="I530" s="67"/>
      <c r="J530" s="67"/>
      <c r="K530" s="67"/>
      <c r="L530" s="67"/>
      <c r="M530" s="67"/>
      <c r="N530" s="67"/>
      <c r="O530" s="78"/>
      <c r="P530" s="78"/>
      <c r="S530" s="78"/>
      <c r="T530" s="78"/>
      <c r="U530" s="79"/>
      <c r="V530" s="65"/>
      <c r="Y530" s="78"/>
      <c r="Z530" s="78"/>
      <c r="AA530" s="78"/>
      <c r="AB530" s="78"/>
      <c r="AC530" s="78"/>
      <c r="AD530" s="78"/>
      <c r="AE530" s="78"/>
      <c r="AF530" s="78"/>
      <c r="AG530" s="79"/>
      <c r="AH530" s="65"/>
      <c r="AJ530" s="85"/>
      <c r="AK530" s="78"/>
      <c r="AL530" s="78"/>
      <c r="AM530" s="78"/>
      <c r="AN530" s="78"/>
      <c r="AO530" s="78"/>
      <c r="AP530" s="78"/>
      <c r="AQ530" s="79"/>
      <c r="AR530" s="65"/>
      <c r="AT530" s="85"/>
      <c r="AU530" s="78"/>
      <c r="AV530" s="78"/>
      <c r="AW530" s="78"/>
      <c r="AX530" s="78"/>
      <c r="AY530" s="78"/>
      <c r="AZ530" s="79"/>
      <c r="BA530" s="65"/>
      <c r="BC530" s="85"/>
      <c r="BD530" s="78"/>
      <c r="BE530" s="78"/>
      <c r="BF530" s="78"/>
      <c r="BG530" s="78"/>
      <c r="BH530" s="78"/>
      <c r="BI530" s="78"/>
      <c r="BJ530" s="79"/>
      <c r="BK530" s="65"/>
      <c r="CU530" s="67"/>
      <c r="EC530" s="67"/>
      <c r="FK530" s="67"/>
      <c r="FL530" s="67"/>
      <c r="FM530" s="67"/>
      <c r="FN530" s="67"/>
      <c r="FO530" s="67"/>
      <c r="FP530" s="67"/>
      <c r="FQ530" s="67"/>
      <c r="FR530" s="67"/>
      <c r="FS530" s="67"/>
      <c r="FT530" s="67"/>
      <c r="FU530" s="67"/>
      <c r="FV530" s="67"/>
      <c r="FW530" s="67"/>
      <c r="FX530" s="67"/>
      <c r="FY530" s="67"/>
      <c r="FZ530" s="67"/>
      <c r="GA530" s="67"/>
      <c r="GB530" s="67"/>
      <c r="GC530" s="67"/>
      <c r="GD530" s="67"/>
      <c r="GE530" s="67"/>
      <c r="GF530" s="67"/>
      <c r="GG530" s="67"/>
      <c r="GH530" s="67"/>
      <c r="GI530" s="67"/>
      <c r="GJ530" s="67"/>
      <c r="GK530" s="67"/>
      <c r="GL530" s="67"/>
      <c r="GM530" s="67"/>
      <c r="GN530" s="67"/>
      <c r="GO530" s="67"/>
      <c r="GP530" s="67"/>
    </row>
    <row r="531" spans="5:198" s="66" customFormat="1">
      <c r="E531" s="67"/>
      <c r="G531" s="67"/>
      <c r="H531" s="67"/>
      <c r="I531" s="67"/>
      <c r="J531" s="67"/>
      <c r="K531" s="67"/>
      <c r="L531" s="67"/>
      <c r="M531" s="67"/>
      <c r="N531" s="67"/>
      <c r="O531" s="78"/>
      <c r="P531" s="78"/>
      <c r="S531" s="78"/>
      <c r="T531" s="78"/>
      <c r="U531" s="79"/>
      <c r="V531" s="65"/>
      <c r="Y531" s="78"/>
      <c r="Z531" s="78"/>
      <c r="AA531" s="78"/>
      <c r="AB531" s="78"/>
      <c r="AC531" s="78"/>
      <c r="AD531" s="78"/>
      <c r="AE531" s="78"/>
      <c r="AF531" s="78"/>
      <c r="AG531" s="79"/>
      <c r="AH531" s="65"/>
      <c r="AJ531" s="85"/>
      <c r="AK531" s="78"/>
      <c r="AL531" s="78"/>
      <c r="AM531" s="78"/>
      <c r="AN531" s="78"/>
      <c r="AO531" s="78"/>
      <c r="AP531" s="78"/>
      <c r="AQ531" s="79"/>
      <c r="AR531" s="65"/>
      <c r="AT531" s="85"/>
      <c r="AU531" s="78"/>
      <c r="AV531" s="78"/>
      <c r="AW531" s="78"/>
      <c r="AX531" s="78"/>
      <c r="AY531" s="78"/>
      <c r="AZ531" s="79"/>
      <c r="BA531" s="65"/>
      <c r="BC531" s="85"/>
      <c r="BD531" s="78"/>
      <c r="BE531" s="78"/>
      <c r="BF531" s="78"/>
      <c r="BG531" s="78"/>
      <c r="BH531" s="78"/>
      <c r="BI531" s="78"/>
      <c r="BJ531" s="79"/>
      <c r="BK531" s="65"/>
      <c r="CU531" s="67"/>
      <c r="EC531" s="67"/>
      <c r="FK531" s="67"/>
      <c r="FL531" s="67"/>
      <c r="FM531" s="67"/>
      <c r="FN531" s="67"/>
      <c r="FO531" s="67"/>
      <c r="FP531" s="67"/>
      <c r="FQ531" s="67"/>
      <c r="FR531" s="67"/>
      <c r="FS531" s="67"/>
      <c r="FT531" s="67"/>
      <c r="FU531" s="67"/>
      <c r="FV531" s="67"/>
      <c r="FW531" s="67"/>
      <c r="FX531" s="67"/>
      <c r="FY531" s="67"/>
      <c r="FZ531" s="67"/>
      <c r="GA531" s="67"/>
      <c r="GB531" s="67"/>
      <c r="GC531" s="67"/>
      <c r="GD531" s="67"/>
      <c r="GE531" s="67"/>
      <c r="GF531" s="67"/>
      <c r="GG531" s="67"/>
      <c r="GH531" s="67"/>
      <c r="GI531" s="67"/>
      <c r="GJ531" s="67"/>
      <c r="GK531" s="67"/>
      <c r="GL531" s="67"/>
      <c r="GM531" s="67"/>
      <c r="GN531" s="67"/>
      <c r="GO531" s="67"/>
      <c r="GP531" s="67"/>
    </row>
    <row r="532" spans="5:198" s="66" customFormat="1">
      <c r="E532" s="67"/>
      <c r="G532" s="67"/>
      <c r="H532" s="67"/>
      <c r="I532" s="67"/>
      <c r="J532" s="67"/>
      <c r="K532" s="67"/>
      <c r="L532" s="67"/>
      <c r="M532" s="67"/>
      <c r="N532" s="67"/>
      <c r="O532" s="78"/>
      <c r="P532" s="78"/>
      <c r="S532" s="78"/>
      <c r="T532" s="78"/>
      <c r="U532" s="79"/>
      <c r="V532" s="65"/>
      <c r="Y532" s="78"/>
      <c r="Z532" s="78"/>
      <c r="AA532" s="78"/>
      <c r="AB532" s="78"/>
      <c r="AC532" s="78"/>
      <c r="AD532" s="78"/>
      <c r="AE532" s="78"/>
      <c r="AF532" s="78"/>
      <c r="AG532" s="79"/>
      <c r="AH532" s="65"/>
      <c r="AJ532" s="85"/>
      <c r="AK532" s="78"/>
      <c r="AL532" s="78"/>
      <c r="AM532" s="78"/>
      <c r="AN532" s="78"/>
      <c r="AO532" s="78"/>
      <c r="AP532" s="78"/>
      <c r="AQ532" s="79"/>
      <c r="AR532" s="65"/>
      <c r="AT532" s="85"/>
      <c r="AU532" s="78"/>
      <c r="AV532" s="78"/>
      <c r="AW532" s="78"/>
      <c r="AX532" s="78"/>
      <c r="AY532" s="78"/>
      <c r="AZ532" s="79"/>
      <c r="BA532" s="65"/>
      <c r="BC532" s="85"/>
      <c r="BD532" s="78"/>
      <c r="BE532" s="78"/>
      <c r="BF532" s="78"/>
      <c r="BG532" s="78"/>
      <c r="BH532" s="78"/>
      <c r="BI532" s="78"/>
      <c r="BJ532" s="79"/>
      <c r="BK532" s="65"/>
      <c r="CU532" s="67"/>
      <c r="EC532" s="67"/>
      <c r="FK532" s="67"/>
      <c r="FL532" s="67"/>
      <c r="FM532" s="67"/>
      <c r="FN532" s="67"/>
      <c r="FO532" s="67"/>
      <c r="FP532" s="67"/>
      <c r="FQ532" s="67"/>
      <c r="FR532" s="67"/>
      <c r="FS532" s="67"/>
      <c r="FT532" s="67"/>
      <c r="FU532" s="67"/>
      <c r="FV532" s="67"/>
      <c r="FW532" s="67"/>
      <c r="FX532" s="67"/>
      <c r="FY532" s="67"/>
      <c r="FZ532" s="67"/>
      <c r="GA532" s="67"/>
      <c r="GB532" s="67"/>
      <c r="GC532" s="67"/>
      <c r="GD532" s="67"/>
      <c r="GE532" s="67"/>
      <c r="GF532" s="67"/>
      <c r="GG532" s="67"/>
      <c r="GH532" s="67"/>
      <c r="GI532" s="67"/>
      <c r="GJ532" s="67"/>
      <c r="GK532" s="67"/>
      <c r="GL532" s="67"/>
      <c r="GM532" s="67"/>
      <c r="GN532" s="67"/>
      <c r="GO532" s="67"/>
      <c r="GP532" s="67"/>
    </row>
    <row r="533" spans="5:198" s="66" customFormat="1">
      <c r="E533" s="67"/>
      <c r="G533" s="67"/>
      <c r="H533" s="67"/>
      <c r="I533" s="67"/>
      <c r="J533" s="67"/>
      <c r="K533" s="67"/>
      <c r="L533" s="67"/>
      <c r="M533" s="67"/>
      <c r="N533" s="67"/>
      <c r="O533" s="78"/>
      <c r="P533" s="78"/>
      <c r="S533" s="78"/>
      <c r="T533" s="78"/>
      <c r="U533" s="79"/>
      <c r="V533" s="65"/>
      <c r="Y533" s="78"/>
      <c r="Z533" s="78"/>
      <c r="AA533" s="78"/>
      <c r="AB533" s="78"/>
      <c r="AC533" s="78"/>
      <c r="AD533" s="78"/>
      <c r="AE533" s="78"/>
      <c r="AF533" s="78"/>
      <c r="AG533" s="79"/>
      <c r="AH533" s="65"/>
      <c r="AJ533" s="85"/>
      <c r="AK533" s="78"/>
      <c r="AL533" s="78"/>
      <c r="AM533" s="78"/>
      <c r="AN533" s="78"/>
      <c r="AO533" s="78"/>
      <c r="AP533" s="78"/>
      <c r="AQ533" s="79"/>
      <c r="AR533" s="65"/>
      <c r="AT533" s="85"/>
      <c r="AU533" s="78"/>
      <c r="AV533" s="78"/>
      <c r="AW533" s="78"/>
      <c r="AX533" s="78"/>
      <c r="AY533" s="78"/>
      <c r="AZ533" s="79"/>
      <c r="BA533" s="65"/>
      <c r="BC533" s="85"/>
      <c r="BD533" s="78"/>
      <c r="BE533" s="78"/>
      <c r="BF533" s="78"/>
      <c r="BG533" s="78"/>
      <c r="BH533" s="78"/>
      <c r="BI533" s="78"/>
      <c r="BJ533" s="79"/>
      <c r="BK533" s="65"/>
      <c r="CU533" s="67"/>
      <c r="EC533" s="67"/>
      <c r="FK533" s="67"/>
      <c r="FL533" s="67"/>
      <c r="FM533" s="67"/>
      <c r="FN533" s="67"/>
      <c r="FO533" s="67"/>
      <c r="FP533" s="67"/>
      <c r="FQ533" s="67"/>
      <c r="FR533" s="67"/>
      <c r="FS533" s="67"/>
      <c r="FT533" s="67"/>
      <c r="FU533" s="67"/>
      <c r="FV533" s="67"/>
      <c r="FW533" s="67"/>
      <c r="FX533" s="67"/>
      <c r="FY533" s="67"/>
      <c r="FZ533" s="67"/>
      <c r="GA533" s="67"/>
      <c r="GB533" s="67"/>
      <c r="GC533" s="67"/>
      <c r="GD533" s="67"/>
      <c r="GE533" s="67"/>
      <c r="GF533" s="67"/>
      <c r="GG533" s="67"/>
      <c r="GH533" s="67"/>
      <c r="GI533" s="67"/>
      <c r="GJ533" s="67"/>
      <c r="GK533" s="67"/>
      <c r="GL533" s="67"/>
      <c r="GM533" s="67"/>
      <c r="GN533" s="67"/>
      <c r="GO533" s="67"/>
      <c r="GP533" s="67"/>
    </row>
    <row r="534" spans="5:198" s="66" customFormat="1">
      <c r="E534" s="67"/>
      <c r="G534" s="67"/>
      <c r="H534" s="67"/>
      <c r="I534" s="67"/>
      <c r="J534" s="67"/>
      <c r="K534" s="67"/>
      <c r="L534" s="67"/>
      <c r="M534" s="67"/>
      <c r="N534" s="67"/>
      <c r="O534" s="78"/>
      <c r="P534" s="78"/>
      <c r="S534" s="78"/>
      <c r="T534" s="78"/>
      <c r="U534" s="79"/>
      <c r="V534" s="65"/>
      <c r="Y534" s="78"/>
      <c r="Z534" s="78"/>
      <c r="AA534" s="78"/>
      <c r="AB534" s="78"/>
      <c r="AC534" s="78"/>
      <c r="AD534" s="78"/>
      <c r="AE534" s="78"/>
      <c r="AF534" s="78"/>
      <c r="AG534" s="79"/>
      <c r="AH534" s="65"/>
      <c r="AJ534" s="85"/>
      <c r="AK534" s="78"/>
      <c r="AL534" s="78"/>
      <c r="AM534" s="78"/>
      <c r="AN534" s="78"/>
      <c r="AO534" s="78"/>
      <c r="AP534" s="78"/>
      <c r="AQ534" s="79"/>
      <c r="AR534" s="65"/>
      <c r="AT534" s="85"/>
      <c r="AU534" s="78"/>
      <c r="AV534" s="78"/>
      <c r="AW534" s="78"/>
      <c r="AX534" s="78"/>
      <c r="AY534" s="78"/>
      <c r="AZ534" s="79"/>
      <c r="BA534" s="65"/>
      <c r="BC534" s="85"/>
      <c r="BD534" s="78"/>
      <c r="BE534" s="78"/>
      <c r="BF534" s="78"/>
      <c r="BG534" s="78"/>
      <c r="BH534" s="78"/>
      <c r="BI534" s="78"/>
      <c r="BJ534" s="79"/>
      <c r="BK534" s="65"/>
      <c r="CU534" s="67"/>
      <c r="EC534" s="67"/>
      <c r="FK534" s="67"/>
      <c r="FL534" s="67"/>
      <c r="FM534" s="67"/>
      <c r="FN534" s="67"/>
      <c r="FO534" s="67"/>
      <c r="FP534" s="67"/>
      <c r="FQ534" s="67"/>
      <c r="FR534" s="67"/>
      <c r="FS534" s="67"/>
      <c r="FT534" s="67"/>
      <c r="FU534" s="67"/>
      <c r="FV534" s="67"/>
      <c r="FW534" s="67"/>
      <c r="FX534" s="67"/>
      <c r="FY534" s="67"/>
      <c r="FZ534" s="67"/>
      <c r="GA534" s="67"/>
      <c r="GB534" s="67"/>
      <c r="GC534" s="67"/>
      <c r="GD534" s="67"/>
      <c r="GE534" s="67"/>
      <c r="GF534" s="67"/>
      <c r="GG534" s="67"/>
      <c r="GH534" s="67"/>
      <c r="GI534" s="67"/>
      <c r="GJ534" s="67"/>
      <c r="GK534" s="67"/>
      <c r="GL534" s="67"/>
      <c r="GM534" s="67"/>
      <c r="GN534" s="67"/>
      <c r="GO534" s="67"/>
      <c r="GP534" s="67"/>
    </row>
    <row r="535" spans="5:198" s="66" customFormat="1">
      <c r="E535" s="67"/>
      <c r="G535" s="67"/>
      <c r="H535" s="67"/>
      <c r="I535" s="67"/>
      <c r="J535" s="67"/>
      <c r="K535" s="67"/>
      <c r="L535" s="67"/>
      <c r="M535" s="67"/>
      <c r="N535" s="67"/>
      <c r="O535" s="78"/>
      <c r="P535" s="78"/>
      <c r="S535" s="78"/>
      <c r="T535" s="78"/>
      <c r="U535" s="79"/>
      <c r="V535" s="65"/>
      <c r="Y535" s="78"/>
      <c r="Z535" s="78"/>
      <c r="AA535" s="78"/>
      <c r="AB535" s="78"/>
      <c r="AC535" s="78"/>
      <c r="AD535" s="78"/>
      <c r="AE535" s="78"/>
      <c r="AF535" s="78"/>
      <c r="AG535" s="79"/>
      <c r="AH535" s="65"/>
      <c r="AJ535" s="85"/>
      <c r="AK535" s="78"/>
      <c r="AL535" s="78"/>
      <c r="AM535" s="78"/>
      <c r="AN535" s="78"/>
      <c r="AO535" s="78"/>
      <c r="AP535" s="78"/>
      <c r="AQ535" s="79"/>
      <c r="AR535" s="65"/>
      <c r="AT535" s="85"/>
      <c r="AU535" s="78"/>
      <c r="AV535" s="78"/>
      <c r="AW535" s="78"/>
      <c r="AX535" s="78"/>
      <c r="AY535" s="78"/>
      <c r="AZ535" s="79"/>
      <c r="BA535" s="65"/>
      <c r="BC535" s="85"/>
      <c r="BD535" s="78"/>
      <c r="BE535" s="78"/>
      <c r="BF535" s="78"/>
      <c r="BG535" s="78"/>
      <c r="BH535" s="78"/>
      <c r="BI535" s="78"/>
      <c r="BJ535" s="79"/>
      <c r="BK535" s="65"/>
      <c r="CU535" s="67"/>
      <c r="EC535" s="67"/>
      <c r="FK535" s="67"/>
      <c r="FL535" s="67"/>
      <c r="FM535" s="67"/>
      <c r="FN535" s="67"/>
      <c r="FO535" s="67"/>
      <c r="FP535" s="67"/>
      <c r="FQ535" s="67"/>
      <c r="FR535" s="67"/>
      <c r="FS535" s="67"/>
      <c r="FT535" s="67"/>
      <c r="FU535" s="67"/>
      <c r="FV535" s="67"/>
      <c r="FW535" s="67"/>
      <c r="FX535" s="67"/>
      <c r="FY535" s="67"/>
      <c r="FZ535" s="67"/>
      <c r="GA535" s="67"/>
      <c r="GB535" s="67"/>
      <c r="GC535" s="67"/>
      <c r="GD535" s="67"/>
      <c r="GE535" s="67"/>
      <c r="GF535" s="67"/>
      <c r="GG535" s="67"/>
      <c r="GH535" s="67"/>
      <c r="GI535" s="67"/>
      <c r="GJ535" s="67"/>
      <c r="GK535" s="67"/>
      <c r="GL535" s="67"/>
      <c r="GM535" s="67"/>
      <c r="GN535" s="67"/>
      <c r="GO535" s="67"/>
      <c r="GP535" s="67"/>
    </row>
    <row r="536" spans="5:198" s="66" customFormat="1">
      <c r="E536" s="67"/>
      <c r="G536" s="67"/>
      <c r="H536" s="67"/>
      <c r="I536" s="67"/>
      <c r="J536" s="67"/>
      <c r="K536" s="67"/>
      <c r="L536" s="67"/>
      <c r="M536" s="67"/>
      <c r="N536" s="67"/>
      <c r="O536" s="78"/>
      <c r="P536" s="78"/>
      <c r="S536" s="78"/>
      <c r="T536" s="78"/>
      <c r="U536" s="79"/>
      <c r="V536" s="65"/>
      <c r="Y536" s="78"/>
      <c r="Z536" s="78"/>
      <c r="AA536" s="78"/>
      <c r="AB536" s="78"/>
      <c r="AC536" s="78"/>
      <c r="AD536" s="78"/>
      <c r="AE536" s="78"/>
      <c r="AF536" s="78"/>
      <c r="AG536" s="79"/>
      <c r="AH536" s="65"/>
      <c r="AJ536" s="85"/>
      <c r="AK536" s="78"/>
      <c r="AL536" s="78"/>
      <c r="AM536" s="78"/>
      <c r="AN536" s="78"/>
      <c r="AO536" s="78"/>
      <c r="AP536" s="78"/>
      <c r="AQ536" s="79"/>
      <c r="AR536" s="65"/>
      <c r="AT536" s="85"/>
      <c r="AU536" s="78"/>
      <c r="AV536" s="78"/>
      <c r="AW536" s="78"/>
      <c r="AX536" s="78"/>
      <c r="AY536" s="78"/>
      <c r="AZ536" s="79"/>
      <c r="BA536" s="65"/>
      <c r="BC536" s="85"/>
      <c r="BD536" s="78"/>
      <c r="BE536" s="78"/>
      <c r="BF536" s="78"/>
      <c r="BG536" s="78"/>
      <c r="BH536" s="78"/>
      <c r="BI536" s="78"/>
      <c r="BJ536" s="79"/>
      <c r="BK536" s="65"/>
      <c r="CU536" s="67"/>
      <c r="EC536" s="67"/>
      <c r="FK536" s="67"/>
      <c r="FL536" s="67"/>
      <c r="FM536" s="67"/>
      <c r="FN536" s="67"/>
      <c r="FO536" s="67"/>
      <c r="FP536" s="67"/>
      <c r="FQ536" s="67"/>
      <c r="FR536" s="67"/>
      <c r="FS536" s="67"/>
      <c r="FT536" s="67"/>
      <c r="FU536" s="67"/>
      <c r="FV536" s="67"/>
      <c r="FW536" s="67"/>
      <c r="FX536" s="67"/>
      <c r="FY536" s="67"/>
      <c r="FZ536" s="67"/>
      <c r="GA536" s="67"/>
      <c r="GB536" s="67"/>
      <c r="GC536" s="67"/>
      <c r="GD536" s="67"/>
      <c r="GE536" s="67"/>
      <c r="GF536" s="67"/>
      <c r="GG536" s="67"/>
      <c r="GH536" s="67"/>
      <c r="GI536" s="67"/>
      <c r="GJ536" s="67"/>
      <c r="GK536" s="67"/>
      <c r="GL536" s="67"/>
      <c r="GM536" s="67"/>
      <c r="GN536" s="67"/>
      <c r="GO536" s="67"/>
      <c r="GP536" s="67"/>
    </row>
    <row r="537" spans="5:198" s="66" customFormat="1">
      <c r="E537" s="67"/>
      <c r="G537" s="67"/>
      <c r="H537" s="67"/>
      <c r="I537" s="67"/>
      <c r="J537" s="67"/>
      <c r="K537" s="67"/>
      <c r="L537" s="67"/>
      <c r="M537" s="67"/>
      <c r="N537" s="67"/>
      <c r="O537" s="78"/>
      <c r="P537" s="78"/>
      <c r="S537" s="78"/>
      <c r="T537" s="78"/>
      <c r="U537" s="79"/>
      <c r="V537" s="65"/>
      <c r="Y537" s="78"/>
      <c r="Z537" s="78"/>
      <c r="AA537" s="78"/>
      <c r="AB537" s="78"/>
      <c r="AC537" s="78"/>
      <c r="AD537" s="78"/>
      <c r="AE537" s="78"/>
      <c r="AF537" s="78"/>
      <c r="AG537" s="79"/>
      <c r="AH537" s="65"/>
      <c r="AJ537" s="85"/>
      <c r="AK537" s="78"/>
      <c r="AL537" s="78"/>
      <c r="AM537" s="78"/>
      <c r="AN537" s="78"/>
      <c r="AO537" s="78"/>
      <c r="AP537" s="78"/>
      <c r="AQ537" s="79"/>
      <c r="AR537" s="65"/>
      <c r="AT537" s="85"/>
      <c r="AU537" s="78"/>
      <c r="AV537" s="78"/>
      <c r="AW537" s="78"/>
      <c r="AX537" s="78"/>
      <c r="AY537" s="78"/>
      <c r="AZ537" s="79"/>
      <c r="BA537" s="65"/>
      <c r="BC537" s="85"/>
      <c r="BD537" s="78"/>
      <c r="BE537" s="78"/>
      <c r="BF537" s="78"/>
      <c r="BG537" s="78"/>
      <c r="BH537" s="78"/>
      <c r="BI537" s="78"/>
      <c r="BJ537" s="79"/>
      <c r="BK537" s="65"/>
      <c r="CU537" s="67"/>
      <c r="EC537" s="67"/>
      <c r="FK537" s="67"/>
      <c r="FL537" s="67"/>
      <c r="FM537" s="67"/>
      <c r="FN537" s="67"/>
      <c r="FO537" s="67"/>
      <c r="FP537" s="67"/>
      <c r="FQ537" s="67"/>
      <c r="FR537" s="67"/>
      <c r="FS537" s="67"/>
      <c r="FT537" s="67"/>
      <c r="FU537" s="67"/>
      <c r="FV537" s="67"/>
      <c r="FW537" s="67"/>
      <c r="FX537" s="67"/>
      <c r="FY537" s="67"/>
      <c r="FZ537" s="67"/>
      <c r="GA537" s="67"/>
      <c r="GB537" s="67"/>
      <c r="GC537" s="67"/>
      <c r="GD537" s="67"/>
      <c r="GE537" s="67"/>
      <c r="GF537" s="67"/>
      <c r="GG537" s="67"/>
      <c r="GH537" s="67"/>
      <c r="GI537" s="67"/>
      <c r="GJ537" s="67"/>
      <c r="GK537" s="67"/>
      <c r="GL537" s="67"/>
      <c r="GM537" s="67"/>
      <c r="GN537" s="67"/>
      <c r="GO537" s="67"/>
      <c r="GP537" s="67"/>
    </row>
    <row r="538" spans="5:198" s="66" customFormat="1">
      <c r="E538" s="67"/>
      <c r="G538" s="67"/>
      <c r="H538" s="67"/>
      <c r="I538" s="67"/>
      <c r="J538" s="67"/>
      <c r="K538" s="67"/>
      <c r="L538" s="67"/>
      <c r="M538" s="67"/>
      <c r="N538" s="67"/>
      <c r="O538" s="78"/>
      <c r="P538" s="78"/>
      <c r="S538" s="78"/>
      <c r="T538" s="78"/>
      <c r="U538" s="79"/>
      <c r="V538" s="65"/>
      <c r="Y538" s="78"/>
      <c r="Z538" s="78"/>
      <c r="AA538" s="78"/>
      <c r="AB538" s="78"/>
      <c r="AC538" s="78"/>
      <c r="AD538" s="78"/>
      <c r="AE538" s="78"/>
      <c r="AF538" s="78"/>
      <c r="AG538" s="79"/>
      <c r="AH538" s="65"/>
      <c r="AJ538" s="85"/>
      <c r="AK538" s="78"/>
      <c r="AL538" s="78"/>
      <c r="AM538" s="78"/>
      <c r="AN538" s="78"/>
      <c r="AO538" s="78"/>
      <c r="AP538" s="78"/>
      <c r="AQ538" s="79"/>
      <c r="AR538" s="65"/>
      <c r="AT538" s="85"/>
      <c r="AU538" s="78"/>
      <c r="AV538" s="78"/>
      <c r="AW538" s="78"/>
      <c r="AX538" s="78"/>
      <c r="AY538" s="78"/>
      <c r="AZ538" s="79"/>
      <c r="BA538" s="65"/>
      <c r="BC538" s="85"/>
      <c r="BD538" s="78"/>
      <c r="BE538" s="78"/>
      <c r="BF538" s="78"/>
      <c r="BG538" s="78"/>
      <c r="BH538" s="78"/>
      <c r="BI538" s="78"/>
      <c r="BJ538" s="79"/>
      <c r="BK538" s="65"/>
      <c r="CU538" s="67"/>
      <c r="EC538" s="67"/>
      <c r="FK538" s="67"/>
      <c r="FL538" s="67"/>
      <c r="FM538" s="67"/>
      <c r="FN538" s="67"/>
      <c r="FO538" s="67"/>
      <c r="FP538" s="67"/>
      <c r="FQ538" s="67"/>
      <c r="FR538" s="67"/>
      <c r="FS538" s="67"/>
      <c r="FT538" s="67"/>
      <c r="FU538" s="67"/>
      <c r="FV538" s="67"/>
      <c r="FW538" s="67"/>
      <c r="FX538" s="67"/>
      <c r="FY538" s="67"/>
      <c r="FZ538" s="67"/>
      <c r="GA538" s="67"/>
      <c r="GB538" s="67"/>
      <c r="GC538" s="67"/>
      <c r="GD538" s="67"/>
      <c r="GE538" s="67"/>
      <c r="GF538" s="67"/>
      <c r="GG538" s="67"/>
      <c r="GH538" s="67"/>
      <c r="GI538" s="67"/>
      <c r="GJ538" s="67"/>
      <c r="GK538" s="67"/>
      <c r="GL538" s="67"/>
      <c r="GM538" s="67"/>
      <c r="GN538" s="67"/>
      <c r="GO538" s="67"/>
      <c r="GP538" s="67"/>
    </row>
    <row r="539" spans="5:198" s="66" customFormat="1">
      <c r="E539" s="67"/>
      <c r="G539" s="67"/>
      <c r="H539" s="67"/>
      <c r="I539" s="67"/>
      <c r="J539" s="67"/>
      <c r="K539" s="67"/>
      <c r="L539" s="67"/>
      <c r="M539" s="67"/>
      <c r="N539" s="67"/>
      <c r="O539" s="78"/>
      <c r="P539" s="78"/>
      <c r="S539" s="78"/>
      <c r="T539" s="78"/>
      <c r="U539" s="79"/>
      <c r="V539" s="65"/>
      <c r="Y539" s="78"/>
      <c r="Z539" s="78"/>
      <c r="AA539" s="78"/>
      <c r="AB539" s="78"/>
      <c r="AC539" s="78"/>
      <c r="AD539" s="78"/>
      <c r="AE539" s="78"/>
      <c r="AF539" s="78"/>
      <c r="AG539" s="79"/>
      <c r="AH539" s="65"/>
      <c r="AJ539" s="85"/>
      <c r="AK539" s="78"/>
      <c r="AL539" s="78"/>
      <c r="AM539" s="78"/>
      <c r="AN539" s="78"/>
      <c r="AO539" s="78"/>
      <c r="AP539" s="78"/>
      <c r="AQ539" s="79"/>
      <c r="AR539" s="65"/>
      <c r="AT539" s="85"/>
      <c r="AU539" s="78"/>
      <c r="AV539" s="78"/>
      <c r="AW539" s="78"/>
      <c r="AX539" s="78"/>
      <c r="AY539" s="78"/>
      <c r="AZ539" s="79"/>
      <c r="BA539" s="65"/>
      <c r="BC539" s="85"/>
      <c r="BD539" s="78"/>
      <c r="BE539" s="78"/>
      <c r="BF539" s="78"/>
      <c r="BG539" s="78"/>
      <c r="BH539" s="78"/>
      <c r="BI539" s="78"/>
      <c r="BJ539" s="79"/>
      <c r="BK539" s="65"/>
      <c r="CU539" s="67"/>
      <c r="EC539" s="67"/>
      <c r="FK539" s="67"/>
      <c r="FL539" s="67"/>
      <c r="FM539" s="67"/>
      <c r="FN539" s="67"/>
      <c r="FO539" s="67"/>
      <c r="FP539" s="67"/>
      <c r="FQ539" s="67"/>
      <c r="FR539" s="67"/>
      <c r="FS539" s="67"/>
      <c r="FT539" s="67"/>
      <c r="FU539" s="67"/>
      <c r="FV539" s="67"/>
      <c r="FW539" s="67"/>
      <c r="FX539" s="67"/>
      <c r="FY539" s="67"/>
      <c r="FZ539" s="67"/>
      <c r="GA539" s="67"/>
      <c r="GB539" s="67"/>
      <c r="GC539" s="67"/>
      <c r="GD539" s="67"/>
      <c r="GE539" s="67"/>
      <c r="GF539" s="67"/>
      <c r="GG539" s="67"/>
      <c r="GH539" s="67"/>
      <c r="GI539" s="67"/>
      <c r="GJ539" s="67"/>
      <c r="GK539" s="67"/>
      <c r="GL539" s="67"/>
      <c r="GM539" s="67"/>
      <c r="GN539" s="67"/>
      <c r="GO539" s="67"/>
      <c r="GP539" s="67"/>
    </row>
    <row r="540" spans="5:198" s="66" customFormat="1">
      <c r="E540" s="67"/>
      <c r="G540" s="67"/>
      <c r="H540" s="67"/>
      <c r="I540" s="67"/>
      <c r="J540" s="67"/>
      <c r="K540" s="67"/>
      <c r="L540" s="67"/>
      <c r="M540" s="67"/>
      <c r="N540" s="67"/>
      <c r="O540" s="78"/>
      <c r="P540" s="78"/>
      <c r="S540" s="78"/>
      <c r="T540" s="78"/>
      <c r="U540" s="79"/>
      <c r="V540" s="65"/>
      <c r="Y540" s="78"/>
      <c r="Z540" s="78"/>
      <c r="AA540" s="78"/>
      <c r="AB540" s="78"/>
      <c r="AC540" s="78"/>
      <c r="AD540" s="78"/>
      <c r="AE540" s="78"/>
      <c r="AF540" s="78"/>
      <c r="AG540" s="79"/>
      <c r="AH540" s="65"/>
      <c r="AJ540" s="85"/>
      <c r="AK540" s="78"/>
      <c r="AL540" s="78"/>
      <c r="AM540" s="78"/>
      <c r="AN540" s="78"/>
      <c r="AO540" s="78"/>
      <c r="AP540" s="78"/>
      <c r="AQ540" s="79"/>
      <c r="AR540" s="65"/>
      <c r="AT540" s="85"/>
      <c r="AU540" s="78"/>
      <c r="AV540" s="78"/>
      <c r="AW540" s="78"/>
      <c r="AX540" s="78"/>
      <c r="AY540" s="78"/>
      <c r="AZ540" s="79"/>
      <c r="BA540" s="65"/>
      <c r="BC540" s="85"/>
      <c r="BD540" s="78"/>
      <c r="BE540" s="78"/>
      <c r="BF540" s="78"/>
      <c r="BG540" s="78"/>
      <c r="BH540" s="78"/>
      <c r="BI540" s="78"/>
      <c r="BJ540" s="79"/>
      <c r="BK540" s="65"/>
      <c r="CU540" s="67"/>
      <c r="EC540" s="67"/>
      <c r="FK540" s="67"/>
      <c r="FL540" s="67"/>
      <c r="FM540" s="67"/>
      <c r="FN540" s="67"/>
      <c r="FO540" s="67"/>
      <c r="FP540" s="67"/>
      <c r="FQ540" s="67"/>
      <c r="FR540" s="67"/>
      <c r="FS540" s="67"/>
      <c r="FT540" s="67"/>
      <c r="FU540" s="67"/>
      <c r="FV540" s="67"/>
      <c r="FW540" s="67"/>
      <c r="FX540" s="67"/>
      <c r="FY540" s="67"/>
      <c r="FZ540" s="67"/>
      <c r="GA540" s="67"/>
      <c r="GB540" s="67"/>
      <c r="GC540" s="67"/>
      <c r="GD540" s="67"/>
      <c r="GE540" s="67"/>
      <c r="GF540" s="67"/>
      <c r="GG540" s="67"/>
      <c r="GH540" s="67"/>
      <c r="GI540" s="67"/>
      <c r="GJ540" s="67"/>
      <c r="GK540" s="67"/>
      <c r="GL540" s="67"/>
      <c r="GM540" s="67"/>
      <c r="GN540" s="67"/>
      <c r="GO540" s="67"/>
      <c r="GP540" s="67"/>
    </row>
    <row r="541" spans="5:198" s="66" customFormat="1">
      <c r="E541" s="67"/>
      <c r="G541" s="67"/>
      <c r="H541" s="67"/>
      <c r="I541" s="67"/>
      <c r="J541" s="67"/>
      <c r="K541" s="67"/>
      <c r="L541" s="67"/>
      <c r="M541" s="67"/>
      <c r="N541" s="67"/>
      <c r="O541" s="78"/>
      <c r="P541" s="78"/>
      <c r="S541" s="78"/>
      <c r="T541" s="78"/>
      <c r="U541" s="79"/>
      <c r="V541" s="65"/>
      <c r="Y541" s="78"/>
      <c r="Z541" s="78"/>
      <c r="AA541" s="78"/>
      <c r="AB541" s="78"/>
      <c r="AC541" s="78"/>
      <c r="AD541" s="78"/>
      <c r="AE541" s="78"/>
      <c r="AF541" s="78"/>
      <c r="AG541" s="79"/>
      <c r="AH541" s="65"/>
      <c r="AJ541" s="85"/>
      <c r="AK541" s="78"/>
      <c r="AL541" s="78"/>
      <c r="AM541" s="78"/>
      <c r="AN541" s="78"/>
      <c r="AO541" s="78"/>
      <c r="AP541" s="78"/>
      <c r="AQ541" s="79"/>
      <c r="AR541" s="65"/>
      <c r="AT541" s="85"/>
      <c r="AU541" s="78"/>
      <c r="AV541" s="78"/>
      <c r="AW541" s="78"/>
      <c r="AX541" s="78"/>
      <c r="AY541" s="78"/>
      <c r="AZ541" s="79"/>
      <c r="BA541" s="65"/>
      <c r="BC541" s="85"/>
      <c r="BD541" s="78"/>
      <c r="BE541" s="78"/>
      <c r="BF541" s="78"/>
      <c r="BG541" s="78"/>
      <c r="BH541" s="78"/>
      <c r="BI541" s="78"/>
      <c r="BJ541" s="79"/>
      <c r="BK541" s="65"/>
      <c r="CU541" s="67"/>
      <c r="EC541" s="67"/>
      <c r="FK541" s="67"/>
      <c r="FL541" s="67"/>
      <c r="FM541" s="67"/>
      <c r="FN541" s="67"/>
      <c r="FO541" s="67"/>
      <c r="FP541" s="67"/>
      <c r="FQ541" s="67"/>
      <c r="FR541" s="67"/>
      <c r="FS541" s="67"/>
      <c r="FT541" s="67"/>
      <c r="FU541" s="67"/>
      <c r="FV541" s="67"/>
      <c r="FW541" s="67"/>
      <c r="FX541" s="67"/>
      <c r="FY541" s="67"/>
      <c r="FZ541" s="67"/>
      <c r="GA541" s="67"/>
      <c r="GB541" s="67"/>
      <c r="GC541" s="67"/>
      <c r="GD541" s="67"/>
      <c r="GE541" s="67"/>
      <c r="GF541" s="67"/>
      <c r="GG541" s="67"/>
      <c r="GH541" s="67"/>
      <c r="GI541" s="67"/>
      <c r="GJ541" s="67"/>
      <c r="GK541" s="67"/>
      <c r="GL541" s="67"/>
      <c r="GM541" s="67"/>
      <c r="GN541" s="67"/>
      <c r="GO541" s="67"/>
      <c r="GP541" s="67"/>
    </row>
    <row r="542" spans="5:198" s="66" customFormat="1">
      <c r="E542" s="67"/>
      <c r="G542" s="67"/>
      <c r="H542" s="67"/>
      <c r="I542" s="67"/>
      <c r="J542" s="67"/>
      <c r="K542" s="67"/>
      <c r="L542" s="67"/>
      <c r="M542" s="67"/>
      <c r="N542" s="67"/>
      <c r="O542" s="78"/>
      <c r="P542" s="78"/>
      <c r="S542" s="78"/>
      <c r="T542" s="78"/>
      <c r="U542" s="79"/>
      <c r="V542" s="65"/>
      <c r="Y542" s="78"/>
      <c r="Z542" s="78"/>
      <c r="AA542" s="78"/>
      <c r="AB542" s="78"/>
      <c r="AC542" s="78"/>
      <c r="AD542" s="78"/>
      <c r="AE542" s="78"/>
      <c r="AF542" s="78"/>
      <c r="AG542" s="79"/>
      <c r="AH542" s="65"/>
      <c r="AJ542" s="85"/>
      <c r="AK542" s="78"/>
      <c r="AL542" s="78"/>
      <c r="AM542" s="78"/>
      <c r="AN542" s="78"/>
      <c r="AO542" s="78"/>
      <c r="AP542" s="78"/>
      <c r="AQ542" s="79"/>
      <c r="AR542" s="65"/>
      <c r="AT542" s="85"/>
      <c r="AU542" s="78"/>
      <c r="AV542" s="78"/>
      <c r="AW542" s="78"/>
      <c r="AX542" s="78"/>
      <c r="AY542" s="78"/>
      <c r="AZ542" s="79"/>
      <c r="BA542" s="65"/>
      <c r="BC542" s="85"/>
      <c r="BD542" s="78"/>
      <c r="BE542" s="78"/>
      <c r="BF542" s="78"/>
      <c r="BG542" s="78"/>
      <c r="BH542" s="78"/>
      <c r="BI542" s="78"/>
      <c r="BJ542" s="79"/>
      <c r="BK542" s="65"/>
      <c r="CU542" s="67"/>
      <c r="EC542" s="67"/>
      <c r="FK542" s="67"/>
      <c r="FL542" s="67"/>
      <c r="FM542" s="67"/>
      <c r="FN542" s="67"/>
      <c r="FO542" s="67"/>
      <c r="FP542" s="67"/>
      <c r="FQ542" s="67"/>
      <c r="FR542" s="67"/>
      <c r="FS542" s="67"/>
      <c r="FT542" s="67"/>
      <c r="FU542" s="67"/>
      <c r="FV542" s="67"/>
      <c r="FW542" s="67"/>
      <c r="FX542" s="67"/>
      <c r="FY542" s="67"/>
      <c r="FZ542" s="67"/>
      <c r="GA542" s="67"/>
      <c r="GB542" s="67"/>
      <c r="GC542" s="67"/>
      <c r="GD542" s="67"/>
      <c r="GE542" s="67"/>
      <c r="GF542" s="67"/>
      <c r="GG542" s="67"/>
      <c r="GH542" s="67"/>
      <c r="GI542" s="67"/>
      <c r="GJ542" s="67"/>
      <c r="GK542" s="67"/>
      <c r="GL542" s="67"/>
      <c r="GM542" s="67"/>
      <c r="GN542" s="67"/>
      <c r="GO542" s="67"/>
      <c r="GP542" s="67"/>
    </row>
    <row r="543" spans="5:198" s="66" customFormat="1">
      <c r="E543" s="67"/>
      <c r="G543" s="67"/>
      <c r="H543" s="67"/>
      <c r="I543" s="67"/>
      <c r="J543" s="67"/>
      <c r="K543" s="67"/>
      <c r="L543" s="67"/>
      <c r="M543" s="67"/>
      <c r="N543" s="67"/>
      <c r="O543" s="78"/>
      <c r="P543" s="78"/>
      <c r="S543" s="78"/>
      <c r="T543" s="78"/>
      <c r="U543" s="79"/>
      <c r="V543" s="65"/>
      <c r="Y543" s="78"/>
      <c r="Z543" s="78"/>
      <c r="AA543" s="78"/>
      <c r="AB543" s="78"/>
      <c r="AC543" s="78"/>
      <c r="AD543" s="78"/>
      <c r="AE543" s="78"/>
      <c r="AF543" s="78"/>
      <c r="AG543" s="79"/>
      <c r="AH543" s="65"/>
      <c r="AJ543" s="85"/>
      <c r="AK543" s="78"/>
      <c r="AL543" s="78"/>
      <c r="AM543" s="78"/>
      <c r="AN543" s="78"/>
      <c r="AO543" s="78"/>
      <c r="AP543" s="78"/>
      <c r="AQ543" s="79"/>
      <c r="AR543" s="65"/>
      <c r="AT543" s="85"/>
      <c r="AU543" s="78"/>
      <c r="AV543" s="78"/>
      <c r="AW543" s="78"/>
      <c r="AX543" s="78"/>
      <c r="AY543" s="78"/>
      <c r="AZ543" s="79"/>
      <c r="BA543" s="65"/>
      <c r="BC543" s="85"/>
      <c r="BD543" s="78"/>
      <c r="BE543" s="78"/>
      <c r="BF543" s="78"/>
      <c r="BG543" s="78"/>
      <c r="BH543" s="78"/>
      <c r="BI543" s="78"/>
      <c r="BJ543" s="79"/>
      <c r="BK543" s="65"/>
      <c r="CU543" s="67"/>
      <c r="EC543" s="67"/>
      <c r="FK543" s="67"/>
      <c r="FL543" s="67"/>
      <c r="FM543" s="67"/>
      <c r="FN543" s="67"/>
      <c r="FO543" s="67"/>
      <c r="FP543" s="67"/>
      <c r="FQ543" s="67"/>
      <c r="FR543" s="67"/>
      <c r="FS543" s="67"/>
      <c r="FT543" s="67"/>
      <c r="FU543" s="67"/>
      <c r="FV543" s="67"/>
      <c r="FW543" s="67"/>
      <c r="FX543" s="67"/>
      <c r="FY543" s="67"/>
      <c r="FZ543" s="67"/>
      <c r="GA543" s="67"/>
      <c r="GB543" s="67"/>
      <c r="GC543" s="67"/>
      <c r="GD543" s="67"/>
      <c r="GE543" s="67"/>
      <c r="GF543" s="67"/>
      <c r="GG543" s="67"/>
      <c r="GH543" s="67"/>
      <c r="GI543" s="67"/>
      <c r="GJ543" s="67"/>
      <c r="GK543" s="67"/>
      <c r="GL543" s="67"/>
      <c r="GM543" s="67"/>
      <c r="GN543" s="67"/>
      <c r="GO543" s="67"/>
      <c r="GP543" s="67"/>
    </row>
    <row r="544" spans="5:198" s="66" customFormat="1">
      <c r="E544" s="67"/>
      <c r="G544" s="67"/>
      <c r="H544" s="67"/>
      <c r="I544" s="67"/>
      <c r="J544" s="67"/>
      <c r="K544" s="67"/>
      <c r="L544" s="67"/>
      <c r="M544" s="67"/>
      <c r="N544" s="67"/>
      <c r="O544" s="78"/>
      <c r="P544" s="78"/>
      <c r="S544" s="78"/>
      <c r="T544" s="78"/>
      <c r="U544" s="79"/>
      <c r="V544" s="65"/>
      <c r="Y544" s="78"/>
      <c r="Z544" s="78"/>
      <c r="AA544" s="78"/>
      <c r="AB544" s="78"/>
      <c r="AC544" s="78"/>
      <c r="AD544" s="78"/>
      <c r="AE544" s="78"/>
      <c r="AF544" s="78"/>
      <c r="AG544" s="79"/>
      <c r="AH544" s="65"/>
      <c r="AJ544" s="85"/>
      <c r="AK544" s="78"/>
      <c r="AL544" s="78"/>
      <c r="AM544" s="78"/>
      <c r="AN544" s="78"/>
      <c r="AO544" s="78"/>
      <c r="AP544" s="78"/>
      <c r="AQ544" s="79"/>
      <c r="AR544" s="65"/>
      <c r="AT544" s="85"/>
      <c r="AU544" s="78"/>
      <c r="AV544" s="78"/>
      <c r="AW544" s="78"/>
      <c r="AX544" s="78"/>
      <c r="AY544" s="78"/>
      <c r="AZ544" s="79"/>
      <c r="BA544" s="65"/>
      <c r="BC544" s="85"/>
      <c r="BD544" s="78"/>
      <c r="BE544" s="78"/>
      <c r="BF544" s="78"/>
      <c r="BG544" s="78"/>
      <c r="BH544" s="78"/>
      <c r="BI544" s="78"/>
      <c r="BJ544" s="79"/>
      <c r="BK544" s="65"/>
      <c r="CU544" s="67"/>
      <c r="EC544" s="67"/>
      <c r="FK544" s="67"/>
      <c r="FL544" s="67"/>
      <c r="FM544" s="67"/>
      <c r="FN544" s="67"/>
      <c r="FO544" s="67"/>
      <c r="FP544" s="67"/>
      <c r="FQ544" s="67"/>
      <c r="FR544" s="67"/>
      <c r="FS544" s="67"/>
      <c r="FT544" s="67"/>
      <c r="FU544" s="67"/>
      <c r="FV544" s="67"/>
      <c r="FW544" s="67"/>
      <c r="FX544" s="67"/>
      <c r="FY544" s="67"/>
      <c r="FZ544" s="67"/>
      <c r="GA544" s="67"/>
      <c r="GB544" s="67"/>
      <c r="GC544" s="67"/>
      <c r="GD544" s="67"/>
      <c r="GE544" s="67"/>
      <c r="GF544" s="67"/>
      <c r="GG544" s="67"/>
      <c r="GH544" s="67"/>
      <c r="GI544" s="67"/>
      <c r="GJ544" s="67"/>
      <c r="GK544" s="67"/>
      <c r="GL544" s="67"/>
      <c r="GM544" s="67"/>
      <c r="GN544" s="67"/>
      <c r="GO544" s="67"/>
      <c r="GP544" s="67"/>
    </row>
    <row r="545" spans="5:198" s="66" customFormat="1">
      <c r="E545" s="67"/>
      <c r="G545" s="67"/>
      <c r="H545" s="67"/>
      <c r="I545" s="67"/>
      <c r="J545" s="67"/>
      <c r="K545" s="67"/>
      <c r="L545" s="67"/>
      <c r="M545" s="67"/>
      <c r="N545" s="67"/>
      <c r="O545" s="78"/>
      <c r="P545" s="78"/>
      <c r="S545" s="78"/>
      <c r="T545" s="78"/>
      <c r="U545" s="79"/>
      <c r="V545" s="65"/>
      <c r="Y545" s="78"/>
      <c r="Z545" s="78"/>
      <c r="AA545" s="78"/>
      <c r="AB545" s="78"/>
      <c r="AC545" s="78"/>
      <c r="AD545" s="78"/>
      <c r="AE545" s="78"/>
      <c r="AF545" s="78"/>
      <c r="AG545" s="79"/>
      <c r="AH545" s="65"/>
      <c r="AJ545" s="85"/>
      <c r="AK545" s="78"/>
      <c r="AL545" s="78"/>
      <c r="AM545" s="78"/>
      <c r="AN545" s="78"/>
      <c r="AO545" s="78"/>
      <c r="AP545" s="78"/>
      <c r="AQ545" s="79"/>
      <c r="AR545" s="65"/>
      <c r="AT545" s="85"/>
      <c r="AU545" s="78"/>
      <c r="AV545" s="78"/>
      <c r="AW545" s="78"/>
      <c r="AX545" s="78"/>
      <c r="AY545" s="78"/>
      <c r="AZ545" s="79"/>
      <c r="BA545" s="65"/>
      <c r="BC545" s="85"/>
      <c r="BD545" s="78"/>
      <c r="BE545" s="78"/>
      <c r="BF545" s="78"/>
      <c r="BG545" s="78"/>
      <c r="BH545" s="78"/>
      <c r="BI545" s="78"/>
      <c r="BJ545" s="79"/>
      <c r="BK545" s="65"/>
      <c r="CU545" s="67"/>
      <c r="EC545" s="67"/>
      <c r="FK545" s="67"/>
      <c r="FL545" s="67"/>
      <c r="FM545" s="67"/>
      <c r="FN545" s="67"/>
      <c r="FO545" s="67"/>
      <c r="FP545" s="67"/>
      <c r="FQ545" s="67"/>
      <c r="FR545" s="67"/>
      <c r="FS545" s="67"/>
      <c r="FT545" s="67"/>
      <c r="FU545" s="67"/>
      <c r="FV545" s="67"/>
      <c r="FW545" s="67"/>
      <c r="FX545" s="67"/>
      <c r="FY545" s="67"/>
      <c r="FZ545" s="67"/>
      <c r="GA545" s="67"/>
      <c r="GB545" s="67"/>
      <c r="GC545" s="67"/>
      <c r="GD545" s="67"/>
      <c r="GE545" s="67"/>
      <c r="GF545" s="67"/>
      <c r="GG545" s="67"/>
      <c r="GH545" s="67"/>
      <c r="GI545" s="67"/>
      <c r="GJ545" s="67"/>
      <c r="GK545" s="67"/>
      <c r="GL545" s="67"/>
      <c r="GM545" s="67"/>
      <c r="GN545" s="67"/>
      <c r="GO545" s="67"/>
      <c r="GP545" s="67"/>
    </row>
    <row r="546" spans="5:198" s="66" customFormat="1">
      <c r="E546" s="67"/>
      <c r="G546" s="67"/>
      <c r="H546" s="67"/>
      <c r="I546" s="67"/>
      <c r="J546" s="67"/>
      <c r="K546" s="67"/>
      <c r="L546" s="67"/>
      <c r="M546" s="67"/>
      <c r="N546" s="67"/>
      <c r="O546" s="78"/>
      <c r="P546" s="78"/>
      <c r="S546" s="78"/>
      <c r="T546" s="78"/>
      <c r="U546" s="79"/>
      <c r="V546" s="65"/>
      <c r="Y546" s="78"/>
      <c r="Z546" s="78"/>
      <c r="AA546" s="78"/>
      <c r="AB546" s="78"/>
      <c r="AC546" s="78"/>
      <c r="AD546" s="78"/>
      <c r="AE546" s="78"/>
      <c r="AF546" s="78"/>
      <c r="AG546" s="79"/>
      <c r="AH546" s="65"/>
      <c r="AJ546" s="85"/>
      <c r="AK546" s="78"/>
      <c r="AL546" s="78"/>
      <c r="AM546" s="78"/>
      <c r="AN546" s="78"/>
      <c r="AO546" s="78"/>
      <c r="AP546" s="78"/>
      <c r="AQ546" s="79"/>
      <c r="AR546" s="65"/>
      <c r="AT546" s="85"/>
      <c r="AU546" s="78"/>
      <c r="AV546" s="78"/>
      <c r="AW546" s="78"/>
      <c r="AX546" s="78"/>
      <c r="AY546" s="78"/>
      <c r="AZ546" s="79"/>
      <c r="BA546" s="65"/>
      <c r="BC546" s="85"/>
      <c r="BD546" s="78"/>
      <c r="BE546" s="78"/>
      <c r="BF546" s="78"/>
      <c r="BG546" s="78"/>
      <c r="BH546" s="78"/>
      <c r="BI546" s="78"/>
      <c r="BJ546" s="79"/>
      <c r="BK546" s="65"/>
      <c r="CU546" s="67"/>
      <c r="EC546" s="67"/>
      <c r="FK546" s="67"/>
      <c r="FL546" s="67"/>
      <c r="FM546" s="67"/>
      <c r="FN546" s="67"/>
      <c r="FO546" s="67"/>
      <c r="FP546" s="67"/>
      <c r="FQ546" s="67"/>
      <c r="FR546" s="67"/>
      <c r="FS546" s="67"/>
      <c r="FT546" s="67"/>
      <c r="FU546" s="67"/>
      <c r="FV546" s="67"/>
      <c r="FW546" s="67"/>
      <c r="FX546" s="67"/>
      <c r="FY546" s="67"/>
      <c r="FZ546" s="67"/>
      <c r="GA546" s="67"/>
      <c r="GB546" s="67"/>
      <c r="GC546" s="67"/>
      <c r="GD546" s="67"/>
      <c r="GE546" s="67"/>
      <c r="GF546" s="67"/>
      <c r="GG546" s="67"/>
      <c r="GH546" s="67"/>
      <c r="GI546" s="67"/>
      <c r="GJ546" s="67"/>
      <c r="GK546" s="67"/>
      <c r="GL546" s="67"/>
      <c r="GM546" s="67"/>
      <c r="GN546" s="67"/>
      <c r="GO546" s="67"/>
      <c r="GP546" s="67"/>
    </row>
    <row r="547" spans="5:198" s="66" customFormat="1">
      <c r="E547" s="67"/>
      <c r="G547" s="67"/>
      <c r="H547" s="67"/>
      <c r="I547" s="67"/>
      <c r="J547" s="67"/>
      <c r="K547" s="67"/>
      <c r="L547" s="67"/>
      <c r="M547" s="67"/>
      <c r="N547" s="67"/>
      <c r="O547" s="78"/>
      <c r="P547" s="78"/>
      <c r="S547" s="78"/>
      <c r="T547" s="78"/>
      <c r="U547" s="79"/>
      <c r="V547" s="65"/>
      <c r="Y547" s="78"/>
      <c r="Z547" s="78"/>
      <c r="AA547" s="78"/>
      <c r="AB547" s="78"/>
      <c r="AC547" s="78"/>
      <c r="AD547" s="78"/>
      <c r="AE547" s="78"/>
      <c r="AF547" s="78"/>
      <c r="AG547" s="79"/>
      <c r="AH547" s="65"/>
      <c r="AJ547" s="85"/>
      <c r="AK547" s="78"/>
      <c r="AL547" s="78"/>
      <c r="AM547" s="78"/>
      <c r="AN547" s="78"/>
      <c r="AO547" s="78"/>
      <c r="AP547" s="78"/>
      <c r="AQ547" s="79"/>
      <c r="AR547" s="65"/>
      <c r="AT547" s="85"/>
      <c r="AU547" s="78"/>
      <c r="AV547" s="78"/>
      <c r="AW547" s="78"/>
      <c r="AX547" s="78"/>
      <c r="AY547" s="78"/>
      <c r="AZ547" s="79"/>
      <c r="BA547" s="65"/>
      <c r="BC547" s="85"/>
      <c r="BD547" s="78"/>
      <c r="BE547" s="78"/>
      <c r="BF547" s="78"/>
      <c r="BG547" s="78"/>
      <c r="BH547" s="78"/>
      <c r="BI547" s="78"/>
      <c r="BJ547" s="79"/>
      <c r="BK547" s="65"/>
      <c r="CU547" s="67"/>
      <c r="EC547" s="67"/>
      <c r="FK547" s="67"/>
      <c r="FL547" s="67"/>
      <c r="FM547" s="67"/>
      <c r="FN547" s="67"/>
      <c r="FO547" s="67"/>
      <c r="FP547" s="67"/>
      <c r="FQ547" s="67"/>
      <c r="FR547" s="67"/>
      <c r="FS547" s="67"/>
      <c r="FT547" s="67"/>
      <c r="FU547" s="67"/>
      <c r="FV547" s="67"/>
      <c r="FW547" s="67"/>
      <c r="FX547" s="67"/>
      <c r="FY547" s="67"/>
      <c r="FZ547" s="67"/>
      <c r="GA547" s="67"/>
      <c r="GB547" s="67"/>
      <c r="GC547" s="67"/>
      <c r="GD547" s="67"/>
      <c r="GE547" s="67"/>
      <c r="GF547" s="67"/>
      <c r="GG547" s="67"/>
      <c r="GH547" s="67"/>
      <c r="GI547" s="67"/>
      <c r="GJ547" s="67"/>
      <c r="GK547" s="67"/>
      <c r="GL547" s="67"/>
      <c r="GM547" s="67"/>
      <c r="GN547" s="67"/>
      <c r="GO547" s="67"/>
      <c r="GP547" s="67"/>
    </row>
    <row r="548" spans="5:198" s="66" customFormat="1">
      <c r="E548" s="67"/>
      <c r="G548" s="67"/>
      <c r="H548" s="67"/>
      <c r="I548" s="67"/>
      <c r="J548" s="67"/>
      <c r="K548" s="67"/>
      <c r="L548" s="67"/>
      <c r="M548" s="67"/>
      <c r="N548" s="67"/>
      <c r="O548" s="78"/>
      <c r="P548" s="78"/>
      <c r="S548" s="78"/>
      <c r="T548" s="78"/>
      <c r="U548" s="79"/>
      <c r="V548" s="65"/>
      <c r="Y548" s="78"/>
      <c r="Z548" s="78"/>
      <c r="AA548" s="78"/>
      <c r="AB548" s="78"/>
      <c r="AC548" s="78"/>
      <c r="AD548" s="78"/>
      <c r="AE548" s="78"/>
      <c r="AF548" s="78"/>
      <c r="AG548" s="79"/>
      <c r="AH548" s="65"/>
      <c r="AJ548" s="85"/>
      <c r="AK548" s="78"/>
      <c r="AL548" s="78"/>
      <c r="AM548" s="78"/>
      <c r="AN548" s="78"/>
      <c r="AO548" s="78"/>
      <c r="AP548" s="78"/>
      <c r="AQ548" s="79"/>
      <c r="AR548" s="65"/>
      <c r="AT548" s="85"/>
      <c r="AU548" s="78"/>
      <c r="AV548" s="78"/>
      <c r="AW548" s="78"/>
      <c r="AX548" s="78"/>
      <c r="AY548" s="78"/>
      <c r="AZ548" s="79"/>
      <c r="BA548" s="65"/>
      <c r="BC548" s="85"/>
      <c r="BD548" s="78"/>
      <c r="BE548" s="78"/>
      <c r="BF548" s="78"/>
      <c r="BG548" s="78"/>
      <c r="BH548" s="78"/>
      <c r="BI548" s="78"/>
      <c r="BJ548" s="79"/>
      <c r="BK548" s="65"/>
      <c r="CU548" s="67"/>
      <c r="EC548" s="67"/>
      <c r="FK548" s="67"/>
      <c r="FL548" s="67"/>
      <c r="FM548" s="67"/>
      <c r="FN548" s="67"/>
      <c r="FO548" s="67"/>
      <c r="FP548" s="67"/>
      <c r="FQ548" s="67"/>
      <c r="FR548" s="67"/>
      <c r="FS548" s="67"/>
      <c r="FT548" s="67"/>
      <c r="FU548" s="67"/>
      <c r="FV548" s="67"/>
      <c r="FW548" s="67"/>
      <c r="FX548" s="67"/>
      <c r="FY548" s="67"/>
      <c r="FZ548" s="67"/>
      <c r="GA548" s="67"/>
      <c r="GB548" s="67"/>
      <c r="GC548" s="67"/>
      <c r="GD548" s="67"/>
      <c r="GE548" s="67"/>
      <c r="GF548" s="67"/>
      <c r="GG548" s="67"/>
      <c r="GH548" s="67"/>
      <c r="GI548" s="67"/>
      <c r="GJ548" s="67"/>
      <c r="GK548" s="67"/>
      <c r="GL548" s="67"/>
      <c r="GM548" s="67"/>
      <c r="GN548" s="67"/>
      <c r="GO548" s="67"/>
      <c r="GP548" s="67"/>
    </row>
    <row r="549" spans="5:198" s="66" customFormat="1">
      <c r="E549" s="67"/>
      <c r="G549" s="67"/>
      <c r="H549" s="67"/>
      <c r="I549" s="67"/>
      <c r="J549" s="67"/>
      <c r="K549" s="67"/>
      <c r="L549" s="67"/>
      <c r="M549" s="67"/>
      <c r="N549" s="67"/>
      <c r="O549" s="78"/>
      <c r="P549" s="78"/>
      <c r="S549" s="78"/>
      <c r="T549" s="78"/>
      <c r="U549" s="79"/>
      <c r="V549" s="65"/>
      <c r="Y549" s="78"/>
      <c r="Z549" s="78"/>
      <c r="AA549" s="78"/>
      <c r="AB549" s="78"/>
      <c r="AC549" s="78"/>
      <c r="AD549" s="78"/>
      <c r="AE549" s="78"/>
      <c r="AF549" s="78"/>
      <c r="AG549" s="79"/>
      <c r="AH549" s="65"/>
      <c r="AJ549" s="85"/>
      <c r="AK549" s="78"/>
      <c r="AL549" s="78"/>
      <c r="AM549" s="78"/>
      <c r="AN549" s="78"/>
      <c r="AO549" s="78"/>
      <c r="AP549" s="78"/>
      <c r="AQ549" s="79"/>
      <c r="AR549" s="65"/>
      <c r="AT549" s="85"/>
      <c r="AU549" s="78"/>
      <c r="AV549" s="78"/>
      <c r="AW549" s="78"/>
      <c r="AX549" s="78"/>
      <c r="AY549" s="78"/>
      <c r="AZ549" s="79"/>
      <c r="BA549" s="65"/>
      <c r="BC549" s="85"/>
      <c r="BD549" s="78"/>
      <c r="BE549" s="78"/>
      <c r="BF549" s="78"/>
      <c r="BG549" s="78"/>
      <c r="BH549" s="78"/>
      <c r="BI549" s="78"/>
      <c r="BJ549" s="79"/>
      <c r="BK549" s="65"/>
      <c r="CU549" s="67"/>
      <c r="EC549" s="67"/>
      <c r="FK549" s="67"/>
      <c r="FL549" s="67"/>
      <c r="FM549" s="67"/>
      <c r="FN549" s="67"/>
      <c r="FO549" s="67"/>
      <c r="FP549" s="67"/>
      <c r="FQ549" s="67"/>
      <c r="FR549" s="67"/>
      <c r="FS549" s="67"/>
      <c r="FT549" s="67"/>
      <c r="FU549" s="67"/>
      <c r="FV549" s="67"/>
      <c r="FW549" s="67"/>
      <c r="FX549" s="67"/>
      <c r="FY549" s="67"/>
      <c r="FZ549" s="67"/>
      <c r="GA549" s="67"/>
      <c r="GB549" s="67"/>
      <c r="GC549" s="67"/>
      <c r="GD549" s="67"/>
      <c r="GE549" s="67"/>
      <c r="GF549" s="67"/>
      <c r="GG549" s="67"/>
      <c r="GH549" s="67"/>
      <c r="GI549" s="67"/>
      <c r="GJ549" s="67"/>
      <c r="GK549" s="67"/>
      <c r="GL549" s="67"/>
      <c r="GM549" s="67"/>
      <c r="GN549" s="67"/>
      <c r="GO549" s="67"/>
      <c r="GP549" s="67"/>
    </row>
    <row r="550" spans="5:198" s="66" customFormat="1">
      <c r="E550" s="67"/>
      <c r="G550" s="67"/>
      <c r="H550" s="67"/>
      <c r="I550" s="67"/>
      <c r="J550" s="67"/>
      <c r="K550" s="67"/>
      <c r="L550" s="67"/>
      <c r="M550" s="67"/>
      <c r="N550" s="67"/>
      <c r="O550" s="78"/>
      <c r="P550" s="78"/>
      <c r="S550" s="78"/>
      <c r="T550" s="78"/>
      <c r="U550" s="79"/>
      <c r="V550" s="65"/>
      <c r="Y550" s="78"/>
      <c r="Z550" s="78"/>
      <c r="AA550" s="78"/>
      <c r="AB550" s="78"/>
      <c r="AC550" s="78"/>
      <c r="AD550" s="78"/>
      <c r="AE550" s="78"/>
      <c r="AF550" s="78"/>
      <c r="AG550" s="79"/>
      <c r="AH550" s="65"/>
      <c r="AJ550" s="85"/>
      <c r="AK550" s="78"/>
      <c r="AL550" s="78"/>
      <c r="AM550" s="78"/>
      <c r="AN550" s="78"/>
      <c r="AO550" s="78"/>
      <c r="AP550" s="78"/>
      <c r="AQ550" s="79"/>
      <c r="AR550" s="65"/>
      <c r="AT550" s="85"/>
      <c r="AU550" s="78"/>
      <c r="AV550" s="78"/>
      <c r="AW550" s="78"/>
      <c r="AX550" s="78"/>
      <c r="AY550" s="78"/>
      <c r="AZ550" s="79"/>
      <c r="BA550" s="65"/>
      <c r="BC550" s="85"/>
      <c r="BD550" s="78"/>
      <c r="BE550" s="78"/>
      <c r="BF550" s="78"/>
      <c r="BG550" s="78"/>
      <c r="BH550" s="78"/>
      <c r="BI550" s="78"/>
      <c r="BJ550" s="79"/>
      <c r="BK550" s="65"/>
      <c r="CU550" s="67"/>
      <c r="EC550" s="67"/>
      <c r="FK550" s="67"/>
      <c r="FL550" s="67"/>
      <c r="FM550" s="67"/>
      <c r="FN550" s="67"/>
      <c r="FO550" s="67"/>
      <c r="FP550" s="67"/>
      <c r="FQ550" s="67"/>
      <c r="FR550" s="67"/>
      <c r="FS550" s="67"/>
      <c r="FT550" s="67"/>
      <c r="FU550" s="67"/>
      <c r="FV550" s="67"/>
      <c r="FW550" s="67"/>
      <c r="FX550" s="67"/>
      <c r="FY550" s="67"/>
      <c r="FZ550" s="67"/>
      <c r="GA550" s="67"/>
      <c r="GB550" s="67"/>
      <c r="GC550" s="67"/>
      <c r="GD550" s="67"/>
      <c r="GE550" s="67"/>
      <c r="GF550" s="67"/>
      <c r="GG550" s="67"/>
      <c r="GH550" s="67"/>
      <c r="GI550" s="67"/>
      <c r="GJ550" s="67"/>
      <c r="GK550" s="67"/>
      <c r="GL550" s="67"/>
      <c r="GM550" s="67"/>
      <c r="GN550" s="67"/>
      <c r="GO550" s="67"/>
      <c r="GP550" s="67"/>
    </row>
    <row r="551" spans="5:198" s="66" customFormat="1">
      <c r="E551" s="67"/>
      <c r="G551" s="67"/>
      <c r="H551" s="67"/>
      <c r="I551" s="67"/>
      <c r="J551" s="67"/>
      <c r="K551" s="67"/>
      <c r="L551" s="67"/>
      <c r="M551" s="67"/>
      <c r="N551" s="67"/>
      <c r="O551" s="78"/>
      <c r="P551" s="78"/>
      <c r="S551" s="78"/>
      <c r="T551" s="78"/>
      <c r="U551" s="79"/>
      <c r="V551" s="65"/>
      <c r="Y551" s="78"/>
      <c r="Z551" s="78"/>
      <c r="AA551" s="78"/>
      <c r="AB551" s="78"/>
      <c r="AC551" s="78"/>
      <c r="AD551" s="78"/>
      <c r="AE551" s="78"/>
      <c r="AF551" s="78"/>
      <c r="AG551" s="79"/>
      <c r="AH551" s="65"/>
      <c r="AJ551" s="85"/>
      <c r="AK551" s="78"/>
      <c r="AL551" s="78"/>
      <c r="AM551" s="78"/>
      <c r="AN551" s="78"/>
      <c r="AO551" s="78"/>
      <c r="AP551" s="78"/>
      <c r="AQ551" s="79"/>
      <c r="AR551" s="65"/>
      <c r="AT551" s="85"/>
      <c r="AU551" s="78"/>
      <c r="AV551" s="78"/>
      <c r="AW551" s="78"/>
      <c r="AX551" s="78"/>
      <c r="AY551" s="78"/>
      <c r="AZ551" s="79"/>
      <c r="BA551" s="65"/>
      <c r="BC551" s="85"/>
      <c r="BD551" s="78"/>
      <c r="BE551" s="78"/>
      <c r="BF551" s="78"/>
      <c r="BG551" s="78"/>
      <c r="BH551" s="78"/>
      <c r="BI551" s="78"/>
      <c r="BJ551" s="79"/>
      <c r="BK551" s="65"/>
      <c r="CU551" s="67"/>
      <c r="EC551" s="67"/>
      <c r="FK551" s="67"/>
      <c r="FL551" s="67"/>
      <c r="FM551" s="67"/>
      <c r="FN551" s="67"/>
      <c r="FO551" s="67"/>
      <c r="FP551" s="67"/>
      <c r="FQ551" s="67"/>
      <c r="FR551" s="67"/>
      <c r="FS551" s="67"/>
      <c r="FT551" s="67"/>
      <c r="FU551" s="67"/>
      <c r="FV551" s="67"/>
      <c r="FW551" s="67"/>
      <c r="FX551" s="67"/>
      <c r="FY551" s="67"/>
      <c r="FZ551" s="67"/>
      <c r="GA551" s="67"/>
      <c r="GB551" s="67"/>
      <c r="GC551" s="67"/>
      <c r="GD551" s="67"/>
      <c r="GE551" s="67"/>
      <c r="GF551" s="67"/>
      <c r="GG551" s="67"/>
      <c r="GH551" s="67"/>
      <c r="GI551" s="67"/>
      <c r="GJ551" s="67"/>
      <c r="GK551" s="67"/>
      <c r="GL551" s="67"/>
      <c r="GM551" s="67"/>
      <c r="GN551" s="67"/>
      <c r="GO551" s="67"/>
      <c r="GP551" s="67"/>
    </row>
    <row r="552" spans="5:198" s="66" customFormat="1">
      <c r="E552" s="67"/>
      <c r="G552" s="67"/>
      <c r="H552" s="67"/>
      <c r="I552" s="67"/>
      <c r="J552" s="67"/>
      <c r="K552" s="67"/>
      <c r="L552" s="67"/>
      <c r="M552" s="67"/>
      <c r="N552" s="67"/>
      <c r="O552" s="78"/>
      <c r="P552" s="78"/>
      <c r="S552" s="78"/>
      <c r="T552" s="78"/>
      <c r="U552" s="79"/>
      <c r="V552" s="65"/>
      <c r="Y552" s="78"/>
      <c r="Z552" s="78"/>
      <c r="AA552" s="78"/>
      <c r="AB552" s="78"/>
      <c r="AC552" s="78"/>
      <c r="AD552" s="78"/>
      <c r="AE552" s="78"/>
      <c r="AF552" s="78"/>
      <c r="AG552" s="79"/>
      <c r="AH552" s="65"/>
      <c r="AJ552" s="85"/>
      <c r="AK552" s="78"/>
      <c r="AL552" s="78"/>
      <c r="AM552" s="78"/>
      <c r="AN552" s="78"/>
      <c r="AO552" s="78"/>
      <c r="AP552" s="78"/>
      <c r="AQ552" s="79"/>
      <c r="AR552" s="65"/>
      <c r="AT552" s="85"/>
      <c r="AU552" s="78"/>
      <c r="AV552" s="78"/>
      <c r="AW552" s="78"/>
      <c r="AX552" s="78"/>
      <c r="AY552" s="78"/>
      <c r="AZ552" s="79"/>
      <c r="BA552" s="65"/>
      <c r="BC552" s="85"/>
      <c r="BD552" s="78"/>
      <c r="BE552" s="78"/>
      <c r="BF552" s="78"/>
      <c r="BG552" s="78"/>
      <c r="BH552" s="78"/>
      <c r="BI552" s="78"/>
      <c r="BJ552" s="79"/>
      <c r="BK552" s="65"/>
      <c r="CU552" s="67"/>
      <c r="EC552" s="67"/>
      <c r="FK552" s="67"/>
      <c r="FL552" s="67"/>
      <c r="FM552" s="67"/>
      <c r="FN552" s="67"/>
      <c r="FO552" s="67"/>
      <c r="FP552" s="67"/>
      <c r="FQ552" s="67"/>
      <c r="FR552" s="67"/>
      <c r="FS552" s="67"/>
      <c r="FT552" s="67"/>
      <c r="FU552" s="67"/>
      <c r="FV552" s="67"/>
      <c r="FW552" s="67"/>
      <c r="FX552" s="67"/>
      <c r="FY552" s="67"/>
      <c r="FZ552" s="67"/>
      <c r="GA552" s="67"/>
      <c r="GB552" s="67"/>
      <c r="GC552" s="67"/>
      <c r="GD552" s="67"/>
      <c r="GE552" s="67"/>
      <c r="GF552" s="67"/>
      <c r="GG552" s="67"/>
      <c r="GH552" s="67"/>
      <c r="GI552" s="67"/>
      <c r="GJ552" s="67"/>
      <c r="GK552" s="67"/>
      <c r="GL552" s="67"/>
      <c r="GM552" s="67"/>
      <c r="GN552" s="67"/>
      <c r="GO552" s="67"/>
      <c r="GP552" s="67"/>
    </row>
    <row r="553" spans="5:198" s="66" customFormat="1">
      <c r="E553" s="67"/>
      <c r="G553" s="67"/>
      <c r="H553" s="67"/>
      <c r="I553" s="67"/>
      <c r="J553" s="67"/>
      <c r="K553" s="67"/>
      <c r="L553" s="67"/>
      <c r="M553" s="67"/>
      <c r="N553" s="67"/>
      <c r="O553" s="78"/>
      <c r="P553" s="78"/>
      <c r="S553" s="78"/>
      <c r="T553" s="78"/>
      <c r="U553" s="79"/>
      <c r="V553" s="65"/>
      <c r="Y553" s="78"/>
      <c r="Z553" s="78"/>
      <c r="AA553" s="78"/>
      <c r="AB553" s="78"/>
      <c r="AC553" s="78"/>
      <c r="AD553" s="78"/>
      <c r="AE553" s="78"/>
      <c r="AF553" s="78"/>
      <c r="AG553" s="79"/>
      <c r="AH553" s="65"/>
      <c r="AJ553" s="85"/>
      <c r="AK553" s="78"/>
      <c r="AL553" s="78"/>
      <c r="AM553" s="78"/>
      <c r="AN553" s="78"/>
      <c r="AO553" s="78"/>
      <c r="AP553" s="78"/>
      <c r="AQ553" s="79"/>
      <c r="AR553" s="65"/>
      <c r="AT553" s="85"/>
      <c r="AU553" s="78"/>
      <c r="AV553" s="78"/>
      <c r="AW553" s="78"/>
      <c r="AX553" s="78"/>
      <c r="AY553" s="78"/>
      <c r="AZ553" s="79"/>
      <c r="BA553" s="65"/>
      <c r="BC553" s="85"/>
      <c r="BD553" s="78"/>
      <c r="BE553" s="78"/>
      <c r="BF553" s="78"/>
      <c r="BG553" s="78"/>
      <c r="BH553" s="78"/>
      <c r="BI553" s="78"/>
      <c r="BJ553" s="79"/>
      <c r="BK553" s="65"/>
      <c r="CU553" s="67"/>
      <c r="EC553" s="67"/>
      <c r="FK553" s="67"/>
      <c r="FL553" s="67"/>
      <c r="FM553" s="67"/>
      <c r="FN553" s="67"/>
      <c r="FO553" s="67"/>
      <c r="FP553" s="67"/>
      <c r="FQ553" s="67"/>
      <c r="FR553" s="67"/>
      <c r="FS553" s="67"/>
      <c r="FT553" s="67"/>
      <c r="FU553" s="67"/>
      <c r="FV553" s="67"/>
      <c r="FW553" s="67"/>
      <c r="FX553" s="67"/>
      <c r="FY553" s="67"/>
      <c r="FZ553" s="67"/>
      <c r="GA553" s="67"/>
      <c r="GB553" s="67"/>
      <c r="GC553" s="67"/>
      <c r="GD553" s="67"/>
      <c r="GE553" s="67"/>
      <c r="GF553" s="67"/>
      <c r="GG553" s="67"/>
      <c r="GH553" s="67"/>
      <c r="GI553" s="67"/>
      <c r="GJ553" s="67"/>
      <c r="GK553" s="67"/>
      <c r="GL553" s="67"/>
      <c r="GM553" s="67"/>
      <c r="GN553" s="67"/>
      <c r="GO553" s="67"/>
      <c r="GP553" s="67"/>
    </row>
    <row r="554" spans="5:198" s="66" customFormat="1">
      <c r="E554" s="67"/>
      <c r="G554" s="67"/>
      <c r="H554" s="67"/>
      <c r="I554" s="67"/>
      <c r="J554" s="67"/>
      <c r="K554" s="67"/>
      <c r="L554" s="67"/>
      <c r="M554" s="67"/>
      <c r="N554" s="67"/>
      <c r="O554" s="78"/>
      <c r="P554" s="78"/>
      <c r="S554" s="78"/>
      <c r="T554" s="78"/>
      <c r="U554" s="79"/>
      <c r="V554" s="65"/>
      <c r="Y554" s="78"/>
      <c r="Z554" s="78"/>
      <c r="AA554" s="78"/>
      <c r="AB554" s="78"/>
      <c r="AC554" s="78"/>
      <c r="AD554" s="78"/>
      <c r="AE554" s="78"/>
      <c r="AF554" s="78"/>
      <c r="AG554" s="79"/>
      <c r="AH554" s="65"/>
      <c r="AJ554" s="85"/>
      <c r="AK554" s="78"/>
      <c r="AL554" s="78"/>
      <c r="AM554" s="78"/>
      <c r="AN554" s="78"/>
      <c r="AO554" s="78"/>
      <c r="AP554" s="78"/>
      <c r="AQ554" s="79"/>
      <c r="AR554" s="65"/>
      <c r="AT554" s="85"/>
      <c r="AU554" s="78"/>
      <c r="AV554" s="78"/>
      <c r="AW554" s="78"/>
      <c r="AX554" s="78"/>
      <c r="AY554" s="78"/>
      <c r="AZ554" s="79"/>
      <c r="BA554" s="65"/>
      <c r="BC554" s="85"/>
      <c r="BD554" s="78"/>
      <c r="BE554" s="78"/>
      <c r="BF554" s="78"/>
      <c r="BG554" s="78"/>
      <c r="BH554" s="78"/>
      <c r="BI554" s="78"/>
      <c r="BJ554" s="79"/>
      <c r="BK554" s="65"/>
      <c r="CU554" s="67"/>
      <c r="EC554" s="67"/>
      <c r="FK554" s="67"/>
      <c r="FL554" s="67"/>
      <c r="FM554" s="67"/>
      <c r="FN554" s="67"/>
      <c r="FO554" s="67"/>
      <c r="FP554" s="67"/>
      <c r="FQ554" s="67"/>
      <c r="FR554" s="67"/>
      <c r="FS554" s="67"/>
      <c r="FT554" s="67"/>
      <c r="FU554" s="67"/>
      <c r="FV554" s="67"/>
      <c r="FW554" s="67"/>
      <c r="FX554" s="67"/>
      <c r="FY554" s="67"/>
      <c r="FZ554" s="67"/>
      <c r="GA554" s="67"/>
      <c r="GB554" s="67"/>
      <c r="GC554" s="67"/>
      <c r="GD554" s="67"/>
      <c r="GE554" s="67"/>
      <c r="GF554" s="67"/>
      <c r="GG554" s="67"/>
      <c r="GH554" s="67"/>
      <c r="GI554" s="67"/>
      <c r="GJ554" s="67"/>
      <c r="GK554" s="67"/>
      <c r="GL554" s="67"/>
      <c r="GM554" s="67"/>
      <c r="GN554" s="67"/>
      <c r="GO554" s="67"/>
      <c r="GP554" s="67"/>
    </row>
    <row r="555" spans="5:198" s="66" customFormat="1">
      <c r="E555" s="67"/>
      <c r="G555" s="67"/>
      <c r="H555" s="67"/>
      <c r="I555" s="67"/>
      <c r="J555" s="67"/>
      <c r="K555" s="67"/>
      <c r="L555" s="67"/>
      <c r="M555" s="67"/>
      <c r="N555" s="67"/>
      <c r="O555" s="78"/>
      <c r="P555" s="78"/>
      <c r="S555" s="78"/>
      <c r="T555" s="78"/>
      <c r="U555" s="79"/>
      <c r="V555" s="65"/>
      <c r="Y555" s="78"/>
      <c r="Z555" s="78"/>
      <c r="AA555" s="78"/>
      <c r="AB555" s="78"/>
      <c r="AC555" s="78"/>
      <c r="AD555" s="78"/>
      <c r="AE555" s="78"/>
      <c r="AF555" s="78"/>
      <c r="AG555" s="79"/>
      <c r="AH555" s="65"/>
      <c r="AJ555" s="85"/>
      <c r="AK555" s="78"/>
      <c r="AL555" s="78"/>
      <c r="AM555" s="78"/>
      <c r="AN555" s="78"/>
      <c r="AO555" s="78"/>
      <c r="AP555" s="78"/>
      <c r="AQ555" s="79"/>
      <c r="AR555" s="65"/>
      <c r="AT555" s="85"/>
      <c r="AU555" s="78"/>
      <c r="AV555" s="78"/>
      <c r="AW555" s="78"/>
      <c r="AX555" s="78"/>
      <c r="AY555" s="78"/>
      <c r="AZ555" s="79"/>
      <c r="BA555" s="65"/>
      <c r="BC555" s="85"/>
      <c r="BD555" s="78"/>
      <c r="BE555" s="78"/>
      <c r="BF555" s="78"/>
      <c r="BG555" s="78"/>
      <c r="BH555" s="78"/>
      <c r="BI555" s="78"/>
      <c r="BJ555" s="79"/>
      <c r="BK555" s="65"/>
      <c r="CU555" s="67"/>
      <c r="EC555" s="67"/>
      <c r="FK555" s="67"/>
      <c r="FL555" s="67"/>
      <c r="FM555" s="67"/>
      <c r="FN555" s="67"/>
      <c r="FO555" s="67"/>
      <c r="FP555" s="67"/>
      <c r="FQ555" s="67"/>
      <c r="FR555" s="67"/>
      <c r="FS555" s="67"/>
      <c r="FT555" s="67"/>
      <c r="FU555" s="67"/>
      <c r="FV555" s="67"/>
      <c r="FW555" s="67"/>
      <c r="FX555" s="67"/>
      <c r="FY555" s="67"/>
      <c r="FZ555" s="67"/>
      <c r="GA555" s="67"/>
      <c r="GB555" s="67"/>
      <c r="GC555" s="67"/>
      <c r="GD555" s="67"/>
      <c r="GE555" s="67"/>
      <c r="GF555" s="67"/>
      <c r="GG555" s="67"/>
      <c r="GH555" s="67"/>
      <c r="GI555" s="67"/>
      <c r="GJ555" s="67"/>
      <c r="GK555" s="67"/>
      <c r="GL555" s="67"/>
      <c r="GM555" s="67"/>
      <c r="GN555" s="67"/>
      <c r="GO555" s="67"/>
      <c r="GP555" s="67"/>
    </row>
    <row r="556" spans="5:198" s="66" customFormat="1">
      <c r="E556" s="67"/>
      <c r="G556" s="67"/>
      <c r="H556" s="67"/>
      <c r="I556" s="67"/>
      <c r="J556" s="67"/>
      <c r="K556" s="67"/>
      <c r="L556" s="67"/>
      <c r="M556" s="67"/>
      <c r="N556" s="67"/>
      <c r="O556" s="78"/>
      <c r="P556" s="78"/>
      <c r="S556" s="78"/>
      <c r="T556" s="78"/>
      <c r="U556" s="79"/>
      <c r="V556" s="65"/>
      <c r="Y556" s="78"/>
      <c r="Z556" s="78"/>
      <c r="AA556" s="78"/>
      <c r="AB556" s="78"/>
      <c r="AC556" s="78"/>
      <c r="AD556" s="78"/>
      <c r="AE556" s="78"/>
      <c r="AF556" s="78"/>
      <c r="AG556" s="79"/>
      <c r="AH556" s="65"/>
      <c r="AJ556" s="85"/>
      <c r="AK556" s="78"/>
      <c r="AL556" s="78"/>
      <c r="AM556" s="78"/>
      <c r="AN556" s="78"/>
      <c r="AO556" s="78"/>
      <c r="AP556" s="78"/>
      <c r="AQ556" s="79"/>
      <c r="AR556" s="65"/>
      <c r="AT556" s="85"/>
      <c r="AU556" s="78"/>
      <c r="AV556" s="78"/>
      <c r="AW556" s="78"/>
      <c r="AX556" s="78"/>
      <c r="AY556" s="78"/>
      <c r="AZ556" s="79"/>
      <c r="BA556" s="65"/>
      <c r="BC556" s="85"/>
      <c r="BD556" s="78"/>
      <c r="BE556" s="78"/>
      <c r="BF556" s="78"/>
      <c r="BG556" s="78"/>
      <c r="BH556" s="78"/>
      <c r="BI556" s="78"/>
      <c r="BJ556" s="79"/>
      <c r="BK556" s="65"/>
      <c r="CU556" s="67"/>
      <c r="EC556" s="67"/>
      <c r="FK556" s="67"/>
      <c r="FL556" s="67"/>
      <c r="FM556" s="67"/>
      <c r="FN556" s="67"/>
      <c r="FO556" s="67"/>
      <c r="FP556" s="67"/>
      <c r="FQ556" s="67"/>
      <c r="FR556" s="67"/>
      <c r="FS556" s="67"/>
      <c r="FT556" s="67"/>
      <c r="FU556" s="67"/>
      <c r="FV556" s="67"/>
      <c r="FW556" s="67"/>
      <c r="FX556" s="67"/>
      <c r="FY556" s="67"/>
      <c r="FZ556" s="67"/>
      <c r="GA556" s="67"/>
      <c r="GB556" s="67"/>
      <c r="GC556" s="67"/>
      <c r="GD556" s="67"/>
      <c r="GE556" s="67"/>
      <c r="GF556" s="67"/>
      <c r="GG556" s="67"/>
      <c r="GH556" s="67"/>
      <c r="GI556" s="67"/>
      <c r="GJ556" s="67"/>
      <c r="GK556" s="67"/>
      <c r="GL556" s="67"/>
      <c r="GM556" s="67"/>
      <c r="GN556" s="67"/>
      <c r="GO556" s="67"/>
      <c r="GP556" s="67"/>
    </row>
    <row r="557" spans="5:198" s="66" customFormat="1">
      <c r="E557" s="67"/>
      <c r="G557" s="67"/>
      <c r="H557" s="67"/>
      <c r="I557" s="67"/>
      <c r="J557" s="67"/>
      <c r="K557" s="67"/>
      <c r="L557" s="67"/>
      <c r="M557" s="67"/>
      <c r="N557" s="67"/>
      <c r="O557" s="78"/>
      <c r="P557" s="78"/>
      <c r="S557" s="78"/>
      <c r="T557" s="78"/>
      <c r="U557" s="79"/>
      <c r="V557" s="65"/>
      <c r="Y557" s="78"/>
      <c r="Z557" s="78"/>
      <c r="AA557" s="78"/>
      <c r="AB557" s="78"/>
      <c r="AC557" s="78"/>
      <c r="AD557" s="78"/>
      <c r="AE557" s="78"/>
      <c r="AF557" s="78"/>
      <c r="AG557" s="79"/>
      <c r="AH557" s="65"/>
      <c r="AJ557" s="85"/>
      <c r="AK557" s="78"/>
      <c r="AL557" s="78"/>
      <c r="AM557" s="78"/>
      <c r="AN557" s="78"/>
      <c r="AO557" s="78"/>
      <c r="AP557" s="78"/>
      <c r="AQ557" s="79"/>
      <c r="AR557" s="65"/>
      <c r="AT557" s="85"/>
      <c r="AU557" s="78"/>
      <c r="AV557" s="78"/>
      <c r="AW557" s="78"/>
      <c r="AX557" s="78"/>
      <c r="AY557" s="78"/>
      <c r="AZ557" s="79"/>
      <c r="BA557" s="65"/>
      <c r="BC557" s="85"/>
      <c r="BD557" s="78"/>
      <c r="BE557" s="78"/>
      <c r="BF557" s="78"/>
      <c r="BG557" s="78"/>
      <c r="BH557" s="78"/>
      <c r="BI557" s="78"/>
      <c r="BJ557" s="79"/>
      <c r="BK557" s="65"/>
      <c r="CU557" s="67"/>
      <c r="EC557" s="67"/>
      <c r="FK557" s="67"/>
      <c r="FL557" s="67"/>
      <c r="FM557" s="67"/>
      <c r="FN557" s="67"/>
      <c r="FO557" s="67"/>
      <c r="FP557" s="67"/>
      <c r="FQ557" s="67"/>
      <c r="FR557" s="67"/>
      <c r="FS557" s="67"/>
      <c r="FT557" s="67"/>
      <c r="FU557" s="67"/>
      <c r="FV557" s="67"/>
      <c r="FW557" s="67"/>
      <c r="FX557" s="67"/>
      <c r="FY557" s="67"/>
      <c r="FZ557" s="67"/>
      <c r="GA557" s="67"/>
      <c r="GB557" s="67"/>
      <c r="GC557" s="67"/>
      <c r="GD557" s="67"/>
      <c r="GE557" s="67"/>
      <c r="GF557" s="67"/>
      <c r="GG557" s="67"/>
      <c r="GH557" s="67"/>
      <c r="GI557" s="67"/>
      <c r="GJ557" s="67"/>
      <c r="GK557" s="67"/>
      <c r="GL557" s="67"/>
      <c r="GM557" s="67"/>
      <c r="GN557" s="67"/>
      <c r="GO557" s="67"/>
      <c r="GP557" s="67"/>
    </row>
    <row r="558" spans="5:198" s="66" customFormat="1">
      <c r="E558" s="67"/>
      <c r="G558" s="67"/>
      <c r="H558" s="67"/>
      <c r="I558" s="67"/>
      <c r="J558" s="67"/>
      <c r="K558" s="67"/>
      <c r="L558" s="67"/>
      <c r="M558" s="67"/>
      <c r="N558" s="67"/>
      <c r="O558" s="78"/>
      <c r="P558" s="78"/>
      <c r="S558" s="78"/>
      <c r="T558" s="78"/>
      <c r="U558" s="79"/>
      <c r="V558" s="65"/>
      <c r="Y558" s="78"/>
      <c r="Z558" s="78"/>
      <c r="AA558" s="78"/>
      <c r="AB558" s="78"/>
      <c r="AC558" s="78"/>
      <c r="AD558" s="78"/>
      <c r="AE558" s="78"/>
      <c r="AF558" s="78"/>
      <c r="AG558" s="79"/>
      <c r="AH558" s="65"/>
      <c r="AJ558" s="85"/>
      <c r="AK558" s="78"/>
      <c r="AL558" s="78"/>
      <c r="AM558" s="78"/>
      <c r="AN558" s="78"/>
      <c r="AO558" s="78"/>
      <c r="AP558" s="78"/>
      <c r="AQ558" s="79"/>
      <c r="AR558" s="65"/>
      <c r="AT558" s="85"/>
      <c r="AU558" s="78"/>
      <c r="AV558" s="78"/>
      <c r="AW558" s="78"/>
      <c r="AX558" s="78"/>
      <c r="AY558" s="78"/>
      <c r="AZ558" s="79"/>
      <c r="BA558" s="65"/>
      <c r="BC558" s="85"/>
      <c r="BD558" s="78"/>
      <c r="BE558" s="78"/>
      <c r="BF558" s="78"/>
      <c r="BG558" s="78"/>
      <c r="BH558" s="78"/>
      <c r="BI558" s="78"/>
      <c r="BJ558" s="79"/>
      <c r="BK558" s="65"/>
      <c r="CU558" s="67"/>
      <c r="EC558" s="67"/>
      <c r="FK558" s="67"/>
      <c r="FL558" s="67"/>
      <c r="FM558" s="67"/>
      <c r="FN558" s="67"/>
      <c r="FO558" s="67"/>
      <c r="FP558" s="67"/>
      <c r="FQ558" s="67"/>
      <c r="FR558" s="67"/>
      <c r="FS558" s="67"/>
      <c r="FT558" s="67"/>
      <c r="FU558" s="67"/>
      <c r="FV558" s="67"/>
      <c r="FW558" s="67"/>
      <c r="FX558" s="67"/>
      <c r="FY558" s="67"/>
      <c r="FZ558" s="67"/>
      <c r="GA558" s="67"/>
      <c r="GB558" s="67"/>
      <c r="GC558" s="67"/>
      <c r="GD558" s="67"/>
      <c r="GE558" s="67"/>
      <c r="GF558" s="67"/>
      <c r="GG558" s="67"/>
      <c r="GH558" s="67"/>
      <c r="GI558" s="67"/>
      <c r="GJ558" s="67"/>
      <c r="GK558" s="67"/>
      <c r="GL558" s="67"/>
      <c r="GM558" s="67"/>
      <c r="GN558" s="67"/>
      <c r="GO558" s="67"/>
      <c r="GP558" s="67"/>
    </row>
    <row r="559" spans="5:198" s="66" customFormat="1">
      <c r="E559" s="67"/>
      <c r="G559" s="67"/>
      <c r="H559" s="67"/>
      <c r="I559" s="67"/>
      <c r="J559" s="67"/>
      <c r="K559" s="67"/>
      <c r="L559" s="67"/>
      <c r="M559" s="67"/>
      <c r="N559" s="67"/>
      <c r="O559" s="78"/>
      <c r="P559" s="78"/>
      <c r="S559" s="78"/>
      <c r="T559" s="78"/>
      <c r="U559" s="79"/>
      <c r="V559" s="65"/>
      <c r="Y559" s="78"/>
      <c r="Z559" s="78"/>
      <c r="AA559" s="78"/>
      <c r="AB559" s="78"/>
      <c r="AC559" s="78"/>
      <c r="AD559" s="78"/>
      <c r="AE559" s="78"/>
      <c r="AF559" s="78"/>
      <c r="AG559" s="79"/>
      <c r="AH559" s="65"/>
      <c r="AJ559" s="85"/>
      <c r="AK559" s="78"/>
      <c r="AL559" s="78"/>
      <c r="AM559" s="78"/>
      <c r="AN559" s="78"/>
      <c r="AO559" s="78"/>
      <c r="AP559" s="78"/>
      <c r="AQ559" s="79"/>
      <c r="AR559" s="65"/>
      <c r="AT559" s="85"/>
      <c r="AU559" s="78"/>
      <c r="AV559" s="78"/>
      <c r="AW559" s="78"/>
      <c r="AX559" s="78"/>
      <c r="AY559" s="78"/>
      <c r="AZ559" s="79"/>
      <c r="BA559" s="65"/>
      <c r="BC559" s="85"/>
      <c r="BD559" s="78"/>
      <c r="BE559" s="78"/>
      <c r="BF559" s="78"/>
      <c r="BG559" s="78"/>
      <c r="BH559" s="78"/>
      <c r="BI559" s="78"/>
      <c r="BJ559" s="79"/>
      <c r="BK559" s="65"/>
      <c r="CU559" s="67"/>
      <c r="EC559" s="67"/>
      <c r="FK559" s="67"/>
      <c r="FL559" s="67"/>
      <c r="FM559" s="67"/>
      <c r="FN559" s="67"/>
      <c r="FO559" s="67"/>
      <c r="FP559" s="67"/>
      <c r="FQ559" s="67"/>
      <c r="FR559" s="67"/>
      <c r="FS559" s="67"/>
      <c r="FT559" s="67"/>
      <c r="FU559" s="67"/>
      <c r="FV559" s="67"/>
      <c r="FW559" s="67"/>
      <c r="FX559" s="67"/>
      <c r="FY559" s="67"/>
      <c r="FZ559" s="67"/>
      <c r="GA559" s="67"/>
      <c r="GB559" s="67"/>
      <c r="GC559" s="67"/>
      <c r="GD559" s="67"/>
      <c r="GE559" s="67"/>
      <c r="GF559" s="67"/>
      <c r="GG559" s="67"/>
      <c r="GH559" s="67"/>
      <c r="GI559" s="67"/>
      <c r="GJ559" s="67"/>
      <c r="GK559" s="67"/>
      <c r="GL559" s="67"/>
      <c r="GM559" s="67"/>
      <c r="GN559" s="67"/>
      <c r="GO559" s="67"/>
      <c r="GP559" s="67"/>
    </row>
    <row r="560" spans="5:198" s="66" customFormat="1">
      <c r="E560" s="67"/>
      <c r="G560" s="67"/>
      <c r="H560" s="67"/>
      <c r="I560" s="67"/>
      <c r="J560" s="67"/>
      <c r="K560" s="67"/>
      <c r="L560" s="67"/>
      <c r="M560" s="67"/>
      <c r="N560" s="67"/>
      <c r="O560" s="78"/>
      <c r="P560" s="78"/>
      <c r="S560" s="78"/>
      <c r="T560" s="78"/>
      <c r="U560" s="79"/>
      <c r="V560" s="65"/>
      <c r="Y560" s="78"/>
      <c r="Z560" s="78"/>
      <c r="AA560" s="78"/>
      <c r="AB560" s="78"/>
      <c r="AC560" s="78"/>
      <c r="AD560" s="78"/>
      <c r="AE560" s="78"/>
      <c r="AF560" s="78"/>
      <c r="AG560" s="79"/>
      <c r="AH560" s="65"/>
      <c r="AJ560" s="85"/>
      <c r="AK560" s="78"/>
      <c r="AL560" s="78"/>
      <c r="AM560" s="78"/>
      <c r="AN560" s="78"/>
      <c r="AO560" s="78"/>
      <c r="AP560" s="78"/>
      <c r="AQ560" s="79"/>
      <c r="AR560" s="65"/>
      <c r="AT560" s="85"/>
      <c r="AU560" s="78"/>
      <c r="AV560" s="78"/>
      <c r="AW560" s="78"/>
      <c r="AX560" s="78"/>
      <c r="AY560" s="78"/>
      <c r="AZ560" s="79"/>
      <c r="BA560" s="65"/>
      <c r="BC560" s="85"/>
      <c r="BD560" s="78"/>
      <c r="BE560" s="78"/>
      <c r="BF560" s="78"/>
      <c r="BG560" s="78"/>
      <c r="BH560" s="78"/>
      <c r="BI560" s="78"/>
      <c r="BJ560" s="79"/>
      <c r="BK560" s="65"/>
      <c r="CU560" s="67"/>
      <c r="EC560" s="67"/>
      <c r="FK560" s="67"/>
      <c r="FL560" s="67"/>
      <c r="FM560" s="67"/>
      <c r="FN560" s="67"/>
      <c r="FO560" s="67"/>
      <c r="FP560" s="67"/>
      <c r="FQ560" s="67"/>
      <c r="FR560" s="67"/>
      <c r="FS560" s="67"/>
      <c r="FT560" s="67"/>
      <c r="FU560" s="67"/>
      <c r="FV560" s="67"/>
      <c r="FW560" s="67"/>
      <c r="FX560" s="67"/>
      <c r="FY560" s="67"/>
      <c r="FZ560" s="67"/>
      <c r="GA560" s="67"/>
      <c r="GB560" s="67"/>
      <c r="GC560" s="67"/>
      <c r="GD560" s="67"/>
      <c r="GE560" s="67"/>
      <c r="GF560" s="67"/>
      <c r="GG560" s="67"/>
      <c r="GH560" s="67"/>
      <c r="GI560" s="67"/>
      <c r="GJ560" s="67"/>
      <c r="GK560" s="67"/>
      <c r="GL560" s="67"/>
      <c r="GM560" s="67"/>
      <c r="GN560" s="67"/>
      <c r="GO560" s="67"/>
      <c r="GP560" s="67"/>
    </row>
    <row r="561" spans="5:198" s="66" customFormat="1">
      <c r="E561" s="67"/>
      <c r="G561" s="67"/>
      <c r="H561" s="67"/>
      <c r="I561" s="67"/>
      <c r="J561" s="67"/>
      <c r="K561" s="67"/>
      <c r="L561" s="67"/>
      <c r="M561" s="67"/>
      <c r="N561" s="67"/>
      <c r="O561" s="78"/>
      <c r="P561" s="78"/>
      <c r="S561" s="78"/>
      <c r="T561" s="78"/>
      <c r="U561" s="79"/>
      <c r="V561" s="65"/>
      <c r="Y561" s="78"/>
      <c r="Z561" s="78"/>
      <c r="AA561" s="78"/>
      <c r="AB561" s="78"/>
      <c r="AC561" s="78"/>
      <c r="AD561" s="78"/>
      <c r="AE561" s="78"/>
      <c r="AF561" s="78"/>
      <c r="AG561" s="79"/>
      <c r="AH561" s="65"/>
      <c r="AJ561" s="85"/>
      <c r="AK561" s="78"/>
      <c r="AL561" s="78"/>
      <c r="AM561" s="78"/>
      <c r="AN561" s="78"/>
      <c r="AO561" s="78"/>
      <c r="AP561" s="78"/>
      <c r="AQ561" s="79"/>
      <c r="AR561" s="65"/>
      <c r="AT561" s="85"/>
      <c r="AU561" s="78"/>
      <c r="AV561" s="78"/>
      <c r="AW561" s="78"/>
      <c r="AX561" s="78"/>
      <c r="AY561" s="78"/>
      <c r="AZ561" s="79"/>
      <c r="BA561" s="65"/>
      <c r="BC561" s="85"/>
      <c r="BD561" s="78"/>
      <c r="BE561" s="78"/>
      <c r="BF561" s="78"/>
      <c r="BG561" s="78"/>
      <c r="BH561" s="78"/>
      <c r="BI561" s="78"/>
      <c r="BJ561" s="79"/>
      <c r="BK561" s="65"/>
      <c r="CU561" s="67"/>
      <c r="EC561" s="67"/>
      <c r="FK561" s="67"/>
      <c r="FL561" s="67"/>
      <c r="FM561" s="67"/>
      <c r="FN561" s="67"/>
      <c r="FO561" s="67"/>
      <c r="FP561" s="67"/>
      <c r="FQ561" s="67"/>
      <c r="FR561" s="67"/>
      <c r="FS561" s="67"/>
      <c r="FT561" s="67"/>
      <c r="FU561" s="67"/>
      <c r="FV561" s="67"/>
      <c r="FW561" s="67"/>
      <c r="FX561" s="67"/>
      <c r="FY561" s="67"/>
      <c r="FZ561" s="67"/>
      <c r="GA561" s="67"/>
      <c r="GB561" s="67"/>
      <c r="GC561" s="67"/>
      <c r="GD561" s="67"/>
      <c r="GE561" s="67"/>
      <c r="GF561" s="67"/>
      <c r="GG561" s="67"/>
      <c r="GH561" s="67"/>
      <c r="GI561" s="67"/>
      <c r="GJ561" s="67"/>
      <c r="GK561" s="67"/>
      <c r="GL561" s="67"/>
      <c r="GM561" s="67"/>
      <c r="GN561" s="67"/>
      <c r="GO561" s="67"/>
      <c r="GP561" s="67"/>
    </row>
    <row r="562" spans="5:198" s="66" customFormat="1">
      <c r="E562" s="67"/>
      <c r="G562" s="67"/>
      <c r="H562" s="67"/>
      <c r="I562" s="67"/>
      <c r="J562" s="67"/>
      <c r="K562" s="67"/>
      <c r="L562" s="67"/>
      <c r="M562" s="67"/>
      <c r="N562" s="67"/>
      <c r="O562" s="78"/>
      <c r="P562" s="78"/>
      <c r="S562" s="78"/>
      <c r="T562" s="78"/>
      <c r="U562" s="79"/>
      <c r="V562" s="65"/>
      <c r="Y562" s="78"/>
      <c r="Z562" s="78"/>
      <c r="AA562" s="78"/>
      <c r="AB562" s="78"/>
      <c r="AC562" s="78"/>
      <c r="AD562" s="78"/>
      <c r="AE562" s="78"/>
      <c r="AF562" s="78"/>
      <c r="AG562" s="79"/>
      <c r="AH562" s="65"/>
      <c r="AJ562" s="85"/>
      <c r="AK562" s="78"/>
      <c r="AL562" s="78"/>
      <c r="AM562" s="78"/>
      <c r="AN562" s="78"/>
      <c r="AO562" s="78"/>
      <c r="AP562" s="78"/>
      <c r="AQ562" s="79"/>
      <c r="AR562" s="65"/>
      <c r="AT562" s="85"/>
      <c r="AU562" s="78"/>
      <c r="AV562" s="78"/>
      <c r="AW562" s="78"/>
      <c r="AX562" s="78"/>
      <c r="AY562" s="78"/>
      <c r="AZ562" s="79"/>
      <c r="BA562" s="65"/>
      <c r="BC562" s="85"/>
      <c r="BD562" s="78"/>
      <c r="BE562" s="78"/>
      <c r="BF562" s="78"/>
      <c r="BG562" s="78"/>
      <c r="BH562" s="78"/>
      <c r="BI562" s="78"/>
      <c r="BJ562" s="79"/>
      <c r="BK562" s="65"/>
      <c r="CU562" s="67"/>
      <c r="EC562" s="67"/>
      <c r="FK562" s="67"/>
      <c r="FL562" s="67"/>
      <c r="FM562" s="67"/>
      <c r="FN562" s="67"/>
      <c r="FO562" s="67"/>
      <c r="FP562" s="67"/>
      <c r="FQ562" s="67"/>
      <c r="FR562" s="67"/>
      <c r="FS562" s="67"/>
      <c r="FT562" s="67"/>
      <c r="FU562" s="67"/>
      <c r="FV562" s="67"/>
      <c r="FW562" s="67"/>
      <c r="FX562" s="67"/>
      <c r="FY562" s="67"/>
      <c r="FZ562" s="67"/>
      <c r="GA562" s="67"/>
      <c r="GB562" s="67"/>
      <c r="GC562" s="67"/>
      <c r="GD562" s="67"/>
      <c r="GE562" s="67"/>
      <c r="GF562" s="67"/>
      <c r="GG562" s="67"/>
      <c r="GH562" s="67"/>
      <c r="GI562" s="67"/>
      <c r="GJ562" s="67"/>
      <c r="GK562" s="67"/>
      <c r="GL562" s="67"/>
      <c r="GM562" s="67"/>
      <c r="GN562" s="67"/>
      <c r="GO562" s="67"/>
      <c r="GP562" s="67"/>
    </row>
    <row r="563" spans="5:198" s="66" customFormat="1">
      <c r="E563" s="67"/>
      <c r="G563" s="67"/>
      <c r="H563" s="67"/>
      <c r="I563" s="67"/>
      <c r="J563" s="67"/>
      <c r="K563" s="67"/>
      <c r="L563" s="67"/>
      <c r="M563" s="67"/>
      <c r="N563" s="67"/>
      <c r="O563" s="78"/>
      <c r="P563" s="78"/>
      <c r="S563" s="78"/>
      <c r="T563" s="78"/>
      <c r="U563" s="79"/>
      <c r="V563" s="65"/>
      <c r="Y563" s="78"/>
      <c r="Z563" s="78"/>
      <c r="AA563" s="78"/>
      <c r="AB563" s="78"/>
      <c r="AC563" s="78"/>
      <c r="AD563" s="78"/>
      <c r="AE563" s="78"/>
      <c r="AF563" s="78"/>
      <c r="AG563" s="79"/>
      <c r="AH563" s="65"/>
      <c r="AJ563" s="85"/>
      <c r="AK563" s="78"/>
      <c r="AL563" s="78"/>
      <c r="AM563" s="78"/>
      <c r="AN563" s="78"/>
      <c r="AO563" s="78"/>
      <c r="AP563" s="78"/>
      <c r="AQ563" s="79"/>
      <c r="AR563" s="65"/>
      <c r="AT563" s="85"/>
      <c r="AU563" s="78"/>
      <c r="AV563" s="78"/>
      <c r="AW563" s="78"/>
      <c r="AX563" s="78"/>
      <c r="AY563" s="78"/>
      <c r="AZ563" s="79"/>
      <c r="BA563" s="65"/>
      <c r="BC563" s="85"/>
      <c r="BD563" s="78"/>
      <c r="BE563" s="78"/>
      <c r="BF563" s="78"/>
      <c r="BG563" s="78"/>
      <c r="BH563" s="78"/>
      <c r="BI563" s="78"/>
      <c r="BJ563" s="79"/>
      <c r="BK563" s="65"/>
      <c r="CU563" s="67"/>
      <c r="EC563" s="67"/>
      <c r="FK563" s="67"/>
      <c r="FL563" s="67"/>
      <c r="FM563" s="67"/>
      <c r="FN563" s="67"/>
      <c r="FO563" s="67"/>
      <c r="FP563" s="67"/>
      <c r="FQ563" s="67"/>
      <c r="FR563" s="67"/>
      <c r="FS563" s="67"/>
      <c r="FT563" s="67"/>
      <c r="FU563" s="67"/>
      <c r="FV563" s="67"/>
      <c r="FW563" s="67"/>
      <c r="FX563" s="67"/>
      <c r="FY563" s="67"/>
      <c r="FZ563" s="67"/>
      <c r="GA563" s="67"/>
      <c r="GB563" s="67"/>
      <c r="GC563" s="67"/>
      <c r="GD563" s="67"/>
      <c r="GE563" s="67"/>
      <c r="GF563" s="67"/>
      <c r="GG563" s="67"/>
      <c r="GH563" s="67"/>
      <c r="GI563" s="67"/>
      <c r="GJ563" s="67"/>
      <c r="GK563" s="67"/>
      <c r="GL563" s="67"/>
      <c r="GM563" s="67"/>
      <c r="GN563" s="67"/>
      <c r="GO563" s="67"/>
      <c r="GP563" s="67"/>
    </row>
    <row r="564" spans="5:198" s="66" customFormat="1">
      <c r="E564" s="67"/>
      <c r="G564" s="67"/>
      <c r="H564" s="67"/>
      <c r="I564" s="67"/>
      <c r="J564" s="67"/>
      <c r="K564" s="67"/>
      <c r="L564" s="67"/>
      <c r="M564" s="67"/>
      <c r="N564" s="67"/>
      <c r="O564" s="78"/>
      <c r="P564" s="78"/>
      <c r="S564" s="78"/>
      <c r="T564" s="78"/>
      <c r="U564" s="79"/>
      <c r="V564" s="65"/>
      <c r="Y564" s="78"/>
      <c r="Z564" s="78"/>
      <c r="AA564" s="78"/>
      <c r="AB564" s="78"/>
      <c r="AC564" s="78"/>
      <c r="AD564" s="78"/>
      <c r="AE564" s="78"/>
      <c r="AF564" s="78"/>
      <c r="AG564" s="79"/>
      <c r="AH564" s="65"/>
      <c r="AJ564" s="85"/>
      <c r="AK564" s="78"/>
      <c r="AL564" s="78"/>
      <c r="AM564" s="78"/>
      <c r="AN564" s="78"/>
      <c r="AO564" s="78"/>
      <c r="AP564" s="78"/>
      <c r="AQ564" s="79"/>
      <c r="AR564" s="65"/>
      <c r="AT564" s="85"/>
      <c r="AU564" s="78"/>
      <c r="AV564" s="78"/>
      <c r="AW564" s="78"/>
      <c r="AX564" s="78"/>
      <c r="AY564" s="78"/>
      <c r="AZ564" s="79"/>
      <c r="BA564" s="65"/>
      <c r="BC564" s="85"/>
      <c r="BD564" s="78"/>
      <c r="BE564" s="78"/>
      <c r="BF564" s="78"/>
      <c r="BG564" s="78"/>
      <c r="BH564" s="78"/>
      <c r="BI564" s="78"/>
      <c r="BJ564" s="79"/>
      <c r="BK564" s="65"/>
      <c r="CU564" s="67"/>
      <c r="EC564" s="67"/>
      <c r="FK564" s="67"/>
      <c r="FL564" s="67"/>
      <c r="FM564" s="67"/>
      <c r="FN564" s="67"/>
      <c r="FO564" s="67"/>
      <c r="FP564" s="67"/>
      <c r="FQ564" s="67"/>
      <c r="FR564" s="67"/>
      <c r="FS564" s="67"/>
      <c r="FT564" s="67"/>
      <c r="FU564" s="67"/>
      <c r="FV564" s="67"/>
      <c r="FW564" s="67"/>
      <c r="FX564" s="67"/>
      <c r="FY564" s="67"/>
      <c r="FZ564" s="67"/>
      <c r="GA564" s="67"/>
      <c r="GB564" s="67"/>
      <c r="GC564" s="67"/>
      <c r="GD564" s="67"/>
      <c r="GE564" s="67"/>
      <c r="GF564" s="67"/>
      <c r="GG564" s="67"/>
      <c r="GH564" s="67"/>
      <c r="GI564" s="67"/>
      <c r="GJ564" s="67"/>
      <c r="GK564" s="67"/>
      <c r="GL564" s="67"/>
      <c r="GM564" s="67"/>
      <c r="GN564" s="67"/>
      <c r="GO564" s="67"/>
      <c r="GP564" s="67"/>
    </row>
    <row r="565" spans="5:198" s="66" customFormat="1">
      <c r="E565" s="67"/>
      <c r="G565" s="67"/>
      <c r="H565" s="67"/>
      <c r="I565" s="67"/>
      <c r="J565" s="67"/>
      <c r="K565" s="67"/>
      <c r="L565" s="67"/>
      <c r="M565" s="67"/>
      <c r="N565" s="67"/>
      <c r="O565" s="78"/>
      <c r="P565" s="78"/>
      <c r="S565" s="78"/>
      <c r="T565" s="78"/>
      <c r="U565" s="79"/>
      <c r="V565" s="65"/>
      <c r="Y565" s="78"/>
      <c r="Z565" s="78"/>
      <c r="AA565" s="78"/>
      <c r="AB565" s="78"/>
      <c r="AC565" s="78"/>
      <c r="AD565" s="78"/>
      <c r="AE565" s="78"/>
      <c r="AF565" s="78"/>
      <c r="AG565" s="79"/>
      <c r="AH565" s="65"/>
      <c r="AJ565" s="85"/>
      <c r="AK565" s="78"/>
      <c r="AL565" s="78"/>
      <c r="AM565" s="78"/>
      <c r="AN565" s="78"/>
      <c r="AO565" s="78"/>
      <c r="AP565" s="78"/>
      <c r="AQ565" s="79"/>
      <c r="AR565" s="65"/>
      <c r="AT565" s="85"/>
      <c r="AU565" s="78"/>
      <c r="AV565" s="78"/>
      <c r="AW565" s="78"/>
      <c r="AX565" s="78"/>
      <c r="AY565" s="78"/>
      <c r="AZ565" s="79"/>
      <c r="BA565" s="65"/>
      <c r="BC565" s="85"/>
      <c r="BD565" s="78"/>
      <c r="BE565" s="78"/>
      <c r="BF565" s="78"/>
      <c r="BG565" s="78"/>
      <c r="BH565" s="78"/>
      <c r="BI565" s="78"/>
      <c r="BJ565" s="79"/>
      <c r="BK565" s="65"/>
      <c r="CU565" s="67"/>
      <c r="EC565" s="67"/>
      <c r="FK565" s="67"/>
      <c r="FL565" s="67"/>
      <c r="FM565" s="67"/>
      <c r="FN565" s="67"/>
      <c r="FO565" s="67"/>
      <c r="FP565" s="67"/>
      <c r="FQ565" s="67"/>
      <c r="FR565" s="67"/>
      <c r="FS565" s="67"/>
      <c r="FT565" s="67"/>
      <c r="FU565" s="67"/>
      <c r="FV565" s="67"/>
      <c r="FW565" s="67"/>
      <c r="FX565" s="67"/>
      <c r="FY565" s="67"/>
      <c r="FZ565" s="67"/>
      <c r="GA565" s="67"/>
      <c r="GB565" s="67"/>
      <c r="GC565" s="67"/>
      <c r="GD565" s="67"/>
      <c r="GE565" s="67"/>
      <c r="GF565" s="67"/>
      <c r="GG565" s="67"/>
      <c r="GH565" s="67"/>
      <c r="GI565" s="67"/>
      <c r="GJ565" s="67"/>
      <c r="GK565" s="67"/>
      <c r="GL565" s="67"/>
      <c r="GM565" s="67"/>
      <c r="GN565" s="67"/>
      <c r="GO565" s="67"/>
      <c r="GP565" s="67"/>
    </row>
    <row r="566" spans="5:198" s="66" customFormat="1">
      <c r="E566" s="67"/>
      <c r="G566" s="67"/>
      <c r="H566" s="67"/>
      <c r="I566" s="67"/>
      <c r="J566" s="67"/>
      <c r="K566" s="67"/>
      <c r="L566" s="67"/>
      <c r="M566" s="67"/>
      <c r="N566" s="67"/>
      <c r="O566" s="78"/>
      <c r="P566" s="78"/>
      <c r="S566" s="78"/>
      <c r="T566" s="78"/>
      <c r="U566" s="79"/>
      <c r="V566" s="65"/>
      <c r="Y566" s="78"/>
      <c r="Z566" s="78"/>
      <c r="AA566" s="78"/>
      <c r="AB566" s="78"/>
      <c r="AC566" s="78"/>
      <c r="AD566" s="78"/>
      <c r="AE566" s="78"/>
      <c r="AF566" s="78"/>
      <c r="AG566" s="79"/>
      <c r="AH566" s="65"/>
      <c r="AJ566" s="85"/>
      <c r="AK566" s="78"/>
      <c r="AL566" s="78"/>
      <c r="AM566" s="78"/>
      <c r="AN566" s="78"/>
      <c r="AO566" s="78"/>
      <c r="AP566" s="78"/>
      <c r="AQ566" s="79"/>
      <c r="AR566" s="65"/>
      <c r="AT566" s="85"/>
      <c r="AU566" s="78"/>
      <c r="AV566" s="78"/>
      <c r="AW566" s="78"/>
      <c r="AX566" s="78"/>
      <c r="AY566" s="78"/>
      <c r="AZ566" s="79"/>
      <c r="BA566" s="65"/>
      <c r="BC566" s="85"/>
      <c r="BD566" s="78"/>
      <c r="BE566" s="78"/>
      <c r="BF566" s="78"/>
      <c r="BG566" s="78"/>
      <c r="BH566" s="78"/>
      <c r="BI566" s="78"/>
      <c r="BJ566" s="79"/>
      <c r="BK566" s="65"/>
      <c r="CU566" s="67"/>
      <c r="EC566" s="67"/>
      <c r="FK566" s="67"/>
      <c r="FL566" s="67"/>
      <c r="FM566" s="67"/>
      <c r="FN566" s="67"/>
      <c r="FO566" s="67"/>
      <c r="FP566" s="67"/>
      <c r="FQ566" s="67"/>
      <c r="FR566" s="67"/>
      <c r="FS566" s="67"/>
      <c r="FT566" s="67"/>
      <c r="FU566" s="67"/>
      <c r="FV566" s="67"/>
      <c r="FW566" s="67"/>
      <c r="FX566" s="67"/>
      <c r="FY566" s="67"/>
      <c r="FZ566" s="67"/>
      <c r="GA566" s="67"/>
      <c r="GB566" s="67"/>
      <c r="GC566" s="67"/>
      <c r="GD566" s="67"/>
      <c r="GE566" s="67"/>
      <c r="GF566" s="67"/>
      <c r="GG566" s="67"/>
      <c r="GH566" s="67"/>
      <c r="GI566" s="67"/>
      <c r="GJ566" s="67"/>
      <c r="GK566" s="67"/>
      <c r="GL566" s="67"/>
      <c r="GM566" s="67"/>
      <c r="GN566" s="67"/>
      <c r="GO566" s="67"/>
      <c r="GP566" s="67"/>
    </row>
    <row r="567" spans="5:198" s="66" customFormat="1">
      <c r="E567" s="67"/>
      <c r="G567" s="67"/>
      <c r="H567" s="67"/>
      <c r="I567" s="67"/>
      <c r="J567" s="67"/>
      <c r="K567" s="67"/>
      <c r="L567" s="67"/>
      <c r="M567" s="67"/>
      <c r="N567" s="67"/>
      <c r="O567" s="78"/>
      <c r="P567" s="78"/>
      <c r="S567" s="78"/>
      <c r="T567" s="78"/>
      <c r="U567" s="79"/>
      <c r="V567" s="65"/>
      <c r="Y567" s="78"/>
      <c r="Z567" s="78"/>
      <c r="AA567" s="78"/>
      <c r="AB567" s="78"/>
      <c r="AC567" s="78"/>
      <c r="AD567" s="78"/>
      <c r="AE567" s="78"/>
      <c r="AF567" s="78"/>
      <c r="AG567" s="79"/>
      <c r="AH567" s="65"/>
      <c r="AJ567" s="85"/>
      <c r="AK567" s="78"/>
      <c r="AL567" s="78"/>
      <c r="AM567" s="78"/>
      <c r="AN567" s="78"/>
      <c r="AO567" s="78"/>
      <c r="AP567" s="78"/>
      <c r="AQ567" s="79"/>
      <c r="AR567" s="65"/>
      <c r="AT567" s="85"/>
      <c r="AU567" s="78"/>
      <c r="AV567" s="78"/>
      <c r="AW567" s="78"/>
      <c r="AX567" s="78"/>
      <c r="AY567" s="78"/>
      <c r="AZ567" s="79"/>
      <c r="BA567" s="65"/>
      <c r="BC567" s="85"/>
      <c r="BD567" s="78"/>
      <c r="BE567" s="78"/>
      <c r="BF567" s="78"/>
      <c r="BG567" s="78"/>
      <c r="BH567" s="78"/>
      <c r="BI567" s="78"/>
      <c r="BJ567" s="79"/>
      <c r="BK567" s="65"/>
      <c r="CU567" s="67"/>
      <c r="EC567" s="67"/>
      <c r="FK567" s="67"/>
      <c r="FL567" s="67"/>
      <c r="FM567" s="67"/>
      <c r="FN567" s="67"/>
      <c r="FO567" s="67"/>
      <c r="FP567" s="67"/>
      <c r="FQ567" s="67"/>
      <c r="FR567" s="67"/>
      <c r="FS567" s="67"/>
      <c r="FT567" s="67"/>
      <c r="FU567" s="67"/>
      <c r="FV567" s="67"/>
      <c r="FW567" s="67"/>
      <c r="FX567" s="67"/>
      <c r="FY567" s="67"/>
      <c r="FZ567" s="67"/>
      <c r="GA567" s="67"/>
      <c r="GB567" s="67"/>
      <c r="GC567" s="67"/>
      <c r="GD567" s="67"/>
      <c r="GE567" s="67"/>
      <c r="GF567" s="67"/>
      <c r="GG567" s="67"/>
      <c r="GH567" s="67"/>
      <c r="GI567" s="67"/>
      <c r="GJ567" s="67"/>
      <c r="GK567" s="67"/>
      <c r="GL567" s="67"/>
      <c r="GM567" s="67"/>
      <c r="GN567" s="67"/>
      <c r="GO567" s="67"/>
      <c r="GP567" s="67"/>
    </row>
    <row r="568" spans="5:198" s="66" customFormat="1">
      <c r="E568" s="67"/>
      <c r="G568" s="67"/>
      <c r="H568" s="67"/>
      <c r="I568" s="67"/>
      <c r="J568" s="67"/>
      <c r="K568" s="67"/>
      <c r="L568" s="67"/>
      <c r="M568" s="67"/>
      <c r="N568" s="67"/>
      <c r="O568" s="78"/>
      <c r="P568" s="78"/>
      <c r="S568" s="78"/>
      <c r="T568" s="78"/>
      <c r="U568" s="79"/>
      <c r="V568" s="65"/>
      <c r="Y568" s="78"/>
      <c r="Z568" s="78"/>
      <c r="AA568" s="78"/>
      <c r="AB568" s="78"/>
      <c r="AC568" s="78"/>
      <c r="AD568" s="78"/>
      <c r="AE568" s="78"/>
      <c r="AF568" s="78"/>
      <c r="AG568" s="79"/>
      <c r="AH568" s="65"/>
      <c r="AJ568" s="85"/>
      <c r="AK568" s="78"/>
      <c r="AL568" s="78"/>
      <c r="AM568" s="78"/>
      <c r="AN568" s="78"/>
      <c r="AO568" s="78"/>
      <c r="AP568" s="78"/>
      <c r="AQ568" s="79"/>
      <c r="AR568" s="65"/>
      <c r="AT568" s="85"/>
      <c r="AU568" s="78"/>
      <c r="AV568" s="78"/>
      <c r="AW568" s="78"/>
      <c r="AX568" s="78"/>
      <c r="AY568" s="78"/>
      <c r="AZ568" s="79"/>
      <c r="BA568" s="65"/>
      <c r="BC568" s="85"/>
      <c r="BD568" s="78"/>
      <c r="BE568" s="78"/>
      <c r="BF568" s="78"/>
      <c r="BG568" s="78"/>
      <c r="BH568" s="78"/>
      <c r="BI568" s="78"/>
      <c r="BJ568" s="79"/>
      <c r="BK568" s="65"/>
      <c r="CU568" s="67"/>
      <c r="EC568" s="67"/>
      <c r="FK568" s="67"/>
      <c r="FL568" s="67"/>
      <c r="FM568" s="67"/>
      <c r="FN568" s="67"/>
      <c r="FO568" s="67"/>
      <c r="FP568" s="67"/>
      <c r="FQ568" s="67"/>
      <c r="FR568" s="67"/>
      <c r="FS568" s="67"/>
      <c r="FT568" s="67"/>
      <c r="FU568" s="67"/>
      <c r="FV568" s="67"/>
      <c r="FW568" s="67"/>
      <c r="FX568" s="67"/>
      <c r="FY568" s="67"/>
      <c r="FZ568" s="67"/>
      <c r="GA568" s="67"/>
      <c r="GB568" s="67"/>
      <c r="GC568" s="67"/>
      <c r="GD568" s="67"/>
      <c r="GE568" s="67"/>
      <c r="GF568" s="67"/>
      <c r="GG568" s="67"/>
      <c r="GH568" s="67"/>
      <c r="GI568" s="67"/>
      <c r="GJ568" s="67"/>
      <c r="GK568" s="67"/>
      <c r="GL568" s="67"/>
      <c r="GM568" s="67"/>
      <c r="GN568" s="67"/>
      <c r="GO568" s="67"/>
      <c r="GP568" s="67"/>
    </row>
    <row r="569" spans="5:198" s="66" customFormat="1">
      <c r="E569" s="67"/>
      <c r="G569" s="67"/>
      <c r="H569" s="67"/>
      <c r="I569" s="67"/>
      <c r="J569" s="67"/>
      <c r="K569" s="67"/>
      <c r="L569" s="67"/>
      <c r="M569" s="67"/>
      <c r="N569" s="67"/>
      <c r="O569" s="78"/>
      <c r="P569" s="78"/>
      <c r="S569" s="78"/>
      <c r="T569" s="78"/>
      <c r="U569" s="79"/>
      <c r="V569" s="65"/>
      <c r="Y569" s="78"/>
      <c r="Z569" s="78"/>
      <c r="AA569" s="78"/>
      <c r="AB569" s="78"/>
      <c r="AC569" s="78"/>
      <c r="AD569" s="78"/>
      <c r="AE569" s="78"/>
      <c r="AF569" s="78"/>
      <c r="AG569" s="79"/>
      <c r="AH569" s="65"/>
      <c r="AJ569" s="85"/>
      <c r="AK569" s="78"/>
      <c r="AL569" s="78"/>
      <c r="AM569" s="78"/>
      <c r="AN569" s="78"/>
      <c r="AO569" s="78"/>
      <c r="AP569" s="78"/>
      <c r="AQ569" s="79"/>
      <c r="AR569" s="65"/>
      <c r="AT569" s="85"/>
      <c r="AU569" s="78"/>
      <c r="AV569" s="78"/>
      <c r="AW569" s="78"/>
      <c r="AX569" s="78"/>
      <c r="AY569" s="78"/>
      <c r="AZ569" s="79"/>
      <c r="BA569" s="65"/>
      <c r="BC569" s="85"/>
      <c r="BD569" s="78"/>
      <c r="BE569" s="78"/>
      <c r="BF569" s="78"/>
      <c r="BG569" s="78"/>
      <c r="BH569" s="78"/>
      <c r="BI569" s="78"/>
      <c r="BJ569" s="79"/>
      <c r="BK569" s="65"/>
      <c r="CU569" s="67"/>
      <c r="EC569" s="67"/>
      <c r="FK569" s="67"/>
      <c r="FL569" s="67"/>
      <c r="FM569" s="67"/>
      <c r="FN569" s="67"/>
      <c r="FO569" s="67"/>
      <c r="FP569" s="67"/>
      <c r="FQ569" s="67"/>
      <c r="FR569" s="67"/>
      <c r="FS569" s="67"/>
      <c r="FT569" s="67"/>
      <c r="FU569" s="67"/>
      <c r="FV569" s="67"/>
      <c r="FW569" s="67"/>
      <c r="FX569" s="67"/>
      <c r="FY569" s="67"/>
      <c r="FZ569" s="67"/>
      <c r="GA569" s="67"/>
      <c r="GB569" s="67"/>
      <c r="GC569" s="67"/>
      <c r="GD569" s="67"/>
      <c r="GE569" s="67"/>
      <c r="GF569" s="67"/>
      <c r="GG569" s="67"/>
      <c r="GH569" s="67"/>
      <c r="GI569" s="67"/>
      <c r="GJ569" s="67"/>
      <c r="GK569" s="67"/>
      <c r="GL569" s="67"/>
      <c r="GM569" s="67"/>
      <c r="GN569" s="67"/>
      <c r="GO569" s="67"/>
      <c r="GP569" s="67"/>
    </row>
    <row r="570" spans="5:198" s="66" customFormat="1">
      <c r="E570" s="67"/>
      <c r="G570" s="67"/>
      <c r="H570" s="67"/>
      <c r="I570" s="67"/>
      <c r="J570" s="67"/>
      <c r="K570" s="67"/>
      <c r="L570" s="67"/>
      <c r="M570" s="67"/>
      <c r="N570" s="67"/>
      <c r="O570" s="78"/>
      <c r="P570" s="78"/>
      <c r="S570" s="78"/>
      <c r="T570" s="78"/>
      <c r="U570" s="79"/>
      <c r="V570" s="65"/>
      <c r="Y570" s="78"/>
      <c r="Z570" s="78"/>
      <c r="AA570" s="78"/>
      <c r="AB570" s="78"/>
      <c r="AC570" s="78"/>
      <c r="AD570" s="78"/>
      <c r="AE570" s="78"/>
      <c r="AF570" s="78"/>
      <c r="AG570" s="79"/>
      <c r="AH570" s="65"/>
      <c r="AJ570" s="85"/>
      <c r="AK570" s="78"/>
      <c r="AL570" s="78"/>
      <c r="AM570" s="78"/>
      <c r="AN570" s="78"/>
      <c r="AO570" s="78"/>
      <c r="AP570" s="78"/>
      <c r="AQ570" s="79"/>
      <c r="AR570" s="65"/>
      <c r="AT570" s="85"/>
      <c r="AU570" s="78"/>
      <c r="AV570" s="78"/>
      <c r="AW570" s="78"/>
      <c r="AX570" s="78"/>
      <c r="AY570" s="78"/>
      <c r="AZ570" s="79"/>
      <c r="BA570" s="65"/>
      <c r="BC570" s="85"/>
      <c r="BD570" s="78"/>
      <c r="BE570" s="78"/>
      <c r="BF570" s="78"/>
      <c r="BG570" s="78"/>
      <c r="BH570" s="78"/>
      <c r="BI570" s="78"/>
      <c r="BJ570" s="79"/>
      <c r="BK570" s="65"/>
      <c r="CU570" s="67"/>
      <c r="EC570" s="67"/>
      <c r="FK570" s="67"/>
      <c r="FL570" s="67"/>
      <c r="FM570" s="67"/>
      <c r="FN570" s="67"/>
      <c r="FO570" s="67"/>
      <c r="FP570" s="67"/>
      <c r="FQ570" s="67"/>
      <c r="FR570" s="67"/>
      <c r="FS570" s="67"/>
      <c r="FT570" s="67"/>
      <c r="FU570" s="67"/>
      <c r="FV570" s="67"/>
      <c r="FW570" s="67"/>
      <c r="FX570" s="67"/>
      <c r="FY570" s="67"/>
      <c r="FZ570" s="67"/>
      <c r="GA570" s="67"/>
      <c r="GB570" s="67"/>
      <c r="GC570" s="67"/>
      <c r="GD570" s="67"/>
      <c r="GE570" s="67"/>
      <c r="GF570" s="67"/>
      <c r="GG570" s="67"/>
      <c r="GH570" s="67"/>
      <c r="GI570" s="67"/>
      <c r="GJ570" s="67"/>
      <c r="GK570" s="67"/>
      <c r="GL570" s="67"/>
      <c r="GM570" s="67"/>
      <c r="GN570" s="67"/>
      <c r="GO570" s="67"/>
      <c r="GP570" s="67"/>
    </row>
    <row r="571" spans="5:198" s="66" customFormat="1">
      <c r="E571" s="67"/>
      <c r="G571" s="67"/>
      <c r="H571" s="67"/>
      <c r="I571" s="67"/>
      <c r="J571" s="67"/>
      <c r="K571" s="67"/>
      <c r="L571" s="67"/>
      <c r="M571" s="67"/>
      <c r="N571" s="67"/>
      <c r="O571" s="78"/>
      <c r="P571" s="78"/>
      <c r="S571" s="78"/>
      <c r="T571" s="78"/>
      <c r="U571" s="79"/>
      <c r="V571" s="65"/>
      <c r="Y571" s="78"/>
      <c r="Z571" s="78"/>
      <c r="AA571" s="78"/>
      <c r="AB571" s="78"/>
      <c r="AC571" s="78"/>
      <c r="AD571" s="78"/>
      <c r="AE571" s="78"/>
      <c r="AF571" s="78"/>
      <c r="AG571" s="79"/>
      <c r="AH571" s="65"/>
      <c r="AJ571" s="85"/>
      <c r="AK571" s="78"/>
      <c r="AL571" s="78"/>
      <c r="AM571" s="78"/>
      <c r="AN571" s="78"/>
      <c r="AO571" s="78"/>
      <c r="AP571" s="78"/>
      <c r="AQ571" s="79"/>
      <c r="AR571" s="65"/>
      <c r="AT571" s="85"/>
      <c r="AU571" s="78"/>
      <c r="AV571" s="78"/>
      <c r="AW571" s="78"/>
      <c r="AX571" s="78"/>
      <c r="AY571" s="78"/>
      <c r="AZ571" s="79"/>
      <c r="BA571" s="65"/>
      <c r="BC571" s="85"/>
      <c r="BD571" s="78"/>
      <c r="BE571" s="78"/>
      <c r="BF571" s="78"/>
      <c r="BG571" s="78"/>
      <c r="BH571" s="78"/>
      <c r="BI571" s="78"/>
      <c r="BJ571" s="79"/>
      <c r="BK571" s="65"/>
      <c r="CU571" s="67"/>
      <c r="EC571" s="67"/>
      <c r="FK571" s="67"/>
      <c r="FL571" s="67"/>
      <c r="FM571" s="67"/>
      <c r="FN571" s="67"/>
      <c r="FO571" s="67"/>
      <c r="FP571" s="67"/>
      <c r="FQ571" s="67"/>
      <c r="FR571" s="67"/>
      <c r="FS571" s="67"/>
      <c r="FT571" s="67"/>
      <c r="FU571" s="67"/>
      <c r="FV571" s="67"/>
      <c r="FW571" s="67"/>
      <c r="FX571" s="67"/>
      <c r="FY571" s="67"/>
      <c r="FZ571" s="67"/>
      <c r="GA571" s="67"/>
      <c r="GB571" s="67"/>
      <c r="GC571" s="67"/>
      <c r="GD571" s="67"/>
      <c r="GE571" s="67"/>
      <c r="GF571" s="67"/>
      <c r="GG571" s="67"/>
      <c r="GH571" s="67"/>
      <c r="GI571" s="67"/>
      <c r="GJ571" s="67"/>
      <c r="GK571" s="67"/>
      <c r="GL571" s="67"/>
      <c r="GM571" s="67"/>
      <c r="GN571" s="67"/>
      <c r="GO571" s="67"/>
      <c r="GP571" s="67"/>
    </row>
    <row r="572" spans="5:198" s="66" customFormat="1">
      <c r="E572" s="67"/>
      <c r="G572" s="67"/>
      <c r="H572" s="67"/>
      <c r="I572" s="67"/>
      <c r="J572" s="67"/>
      <c r="K572" s="67"/>
      <c r="L572" s="67"/>
      <c r="M572" s="67"/>
      <c r="N572" s="67"/>
      <c r="O572" s="78"/>
      <c r="P572" s="78"/>
      <c r="S572" s="78"/>
      <c r="T572" s="78"/>
      <c r="U572" s="79"/>
      <c r="V572" s="65"/>
      <c r="Y572" s="78"/>
      <c r="Z572" s="78"/>
      <c r="AA572" s="78"/>
      <c r="AB572" s="78"/>
      <c r="AC572" s="78"/>
      <c r="AD572" s="78"/>
      <c r="AE572" s="78"/>
      <c r="AF572" s="78"/>
      <c r="AG572" s="79"/>
      <c r="AH572" s="65"/>
      <c r="AJ572" s="85"/>
      <c r="AK572" s="78"/>
      <c r="AL572" s="78"/>
      <c r="AM572" s="78"/>
      <c r="AN572" s="78"/>
      <c r="AO572" s="78"/>
      <c r="AP572" s="78"/>
      <c r="AQ572" s="79"/>
      <c r="AR572" s="65"/>
      <c r="AT572" s="85"/>
      <c r="AU572" s="78"/>
      <c r="AV572" s="78"/>
      <c r="AW572" s="78"/>
      <c r="AX572" s="78"/>
      <c r="AY572" s="78"/>
      <c r="AZ572" s="79"/>
      <c r="BA572" s="65"/>
      <c r="BC572" s="85"/>
      <c r="BD572" s="78"/>
      <c r="BE572" s="78"/>
      <c r="BF572" s="78"/>
      <c r="BG572" s="78"/>
      <c r="BH572" s="78"/>
      <c r="BI572" s="78"/>
      <c r="BJ572" s="79"/>
      <c r="BK572" s="65"/>
      <c r="CU572" s="67"/>
      <c r="EC572" s="67"/>
      <c r="FK572" s="67"/>
      <c r="FL572" s="67"/>
      <c r="FM572" s="67"/>
      <c r="FN572" s="67"/>
      <c r="FO572" s="67"/>
      <c r="FP572" s="67"/>
      <c r="FQ572" s="67"/>
      <c r="FR572" s="67"/>
      <c r="FS572" s="67"/>
      <c r="FT572" s="67"/>
      <c r="FU572" s="67"/>
      <c r="FV572" s="67"/>
      <c r="FW572" s="67"/>
      <c r="FX572" s="67"/>
      <c r="FY572" s="67"/>
      <c r="FZ572" s="67"/>
      <c r="GA572" s="67"/>
      <c r="GB572" s="67"/>
      <c r="GC572" s="67"/>
      <c r="GD572" s="67"/>
      <c r="GE572" s="67"/>
      <c r="GF572" s="67"/>
      <c r="GG572" s="67"/>
      <c r="GH572" s="67"/>
      <c r="GI572" s="67"/>
      <c r="GJ572" s="67"/>
      <c r="GK572" s="67"/>
      <c r="GL572" s="67"/>
      <c r="GM572" s="67"/>
      <c r="GN572" s="67"/>
      <c r="GO572" s="67"/>
      <c r="GP572" s="67"/>
    </row>
    <row r="573" spans="5:198" s="66" customFormat="1">
      <c r="E573" s="67"/>
      <c r="G573" s="67"/>
      <c r="H573" s="67"/>
      <c r="I573" s="67"/>
      <c r="J573" s="67"/>
      <c r="K573" s="67"/>
      <c r="L573" s="67"/>
      <c r="M573" s="67"/>
      <c r="N573" s="67"/>
      <c r="O573" s="78"/>
      <c r="P573" s="78"/>
      <c r="S573" s="78"/>
      <c r="T573" s="78"/>
      <c r="U573" s="79"/>
      <c r="V573" s="65"/>
      <c r="Y573" s="78"/>
      <c r="Z573" s="78"/>
      <c r="AA573" s="78"/>
      <c r="AB573" s="78"/>
      <c r="AC573" s="78"/>
      <c r="AD573" s="78"/>
      <c r="AE573" s="78"/>
      <c r="AF573" s="78"/>
      <c r="AG573" s="79"/>
      <c r="AH573" s="65"/>
      <c r="AJ573" s="85"/>
      <c r="AK573" s="78"/>
      <c r="AL573" s="78"/>
      <c r="AM573" s="78"/>
      <c r="AN573" s="78"/>
      <c r="AO573" s="78"/>
      <c r="AP573" s="78"/>
      <c r="AQ573" s="79"/>
      <c r="AR573" s="65"/>
      <c r="AT573" s="85"/>
      <c r="AU573" s="78"/>
      <c r="AV573" s="78"/>
      <c r="AW573" s="78"/>
      <c r="AX573" s="78"/>
      <c r="AY573" s="78"/>
      <c r="AZ573" s="79"/>
      <c r="BA573" s="65"/>
      <c r="BC573" s="85"/>
      <c r="BD573" s="78"/>
      <c r="BE573" s="78"/>
      <c r="BF573" s="78"/>
      <c r="BG573" s="78"/>
      <c r="BH573" s="78"/>
      <c r="BI573" s="78"/>
      <c r="BJ573" s="79"/>
      <c r="BK573" s="65"/>
      <c r="CU573" s="67"/>
      <c r="EC573" s="67"/>
      <c r="FK573" s="67"/>
      <c r="FL573" s="67"/>
      <c r="FM573" s="67"/>
      <c r="FN573" s="67"/>
      <c r="FO573" s="67"/>
      <c r="FP573" s="67"/>
      <c r="FQ573" s="67"/>
      <c r="FR573" s="67"/>
      <c r="FS573" s="67"/>
      <c r="FT573" s="67"/>
      <c r="FU573" s="67"/>
      <c r="FV573" s="67"/>
      <c r="FW573" s="67"/>
      <c r="FX573" s="67"/>
      <c r="FY573" s="67"/>
      <c r="FZ573" s="67"/>
      <c r="GA573" s="67"/>
      <c r="GB573" s="67"/>
      <c r="GC573" s="67"/>
      <c r="GD573" s="67"/>
      <c r="GE573" s="67"/>
      <c r="GF573" s="67"/>
      <c r="GG573" s="67"/>
      <c r="GH573" s="67"/>
      <c r="GI573" s="67"/>
      <c r="GJ573" s="67"/>
      <c r="GK573" s="67"/>
      <c r="GL573" s="67"/>
      <c r="GM573" s="67"/>
      <c r="GN573" s="67"/>
      <c r="GO573" s="67"/>
      <c r="GP573" s="67"/>
    </row>
    <row r="574" spans="5:198" s="66" customFormat="1">
      <c r="E574" s="67"/>
      <c r="G574" s="67"/>
      <c r="H574" s="67"/>
      <c r="I574" s="67"/>
      <c r="J574" s="67"/>
      <c r="K574" s="67"/>
      <c r="L574" s="67"/>
      <c r="M574" s="67"/>
      <c r="N574" s="67"/>
      <c r="O574" s="78"/>
      <c r="P574" s="78"/>
      <c r="S574" s="78"/>
      <c r="T574" s="78"/>
      <c r="U574" s="79"/>
      <c r="V574" s="65"/>
      <c r="Y574" s="78"/>
      <c r="Z574" s="78"/>
      <c r="AA574" s="78"/>
      <c r="AB574" s="78"/>
      <c r="AC574" s="78"/>
      <c r="AD574" s="78"/>
      <c r="AE574" s="78"/>
      <c r="AF574" s="78"/>
      <c r="AG574" s="79"/>
      <c r="AH574" s="65"/>
      <c r="AJ574" s="85"/>
      <c r="AK574" s="78"/>
      <c r="AL574" s="78"/>
      <c r="AM574" s="78"/>
      <c r="AN574" s="78"/>
      <c r="AO574" s="78"/>
      <c r="AP574" s="78"/>
      <c r="AQ574" s="79"/>
      <c r="AR574" s="65"/>
      <c r="AT574" s="85"/>
      <c r="AU574" s="78"/>
      <c r="AV574" s="78"/>
      <c r="AW574" s="78"/>
      <c r="AX574" s="78"/>
      <c r="AY574" s="78"/>
      <c r="AZ574" s="79"/>
      <c r="BA574" s="65"/>
      <c r="BC574" s="85"/>
      <c r="BD574" s="78"/>
      <c r="BE574" s="78"/>
      <c r="BF574" s="78"/>
      <c r="BG574" s="78"/>
      <c r="BH574" s="78"/>
      <c r="BI574" s="78"/>
      <c r="BJ574" s="79"/>
      <c r="BK574" s="65"/>
      <c r="CU574" s="67"/>
      <c r="EC574" s="67"/>
      <c r="FK574" s="67"/>
      <c r="FL574" s="67"/>
      <c r="FM574" s="67"/>
      <c r="FN574" s="67"/>
      <c r="FO574" s="67"/>
      <c r="FP574" s="67"/>
      <c r="FQ574" s="67"/>
      <c r="FR574" s="67"/>
      <c r="FS574" s="67"/>
      <c r="FT574" s="67"/>
      <c r="FU574" s="67"/>
      <c r="FV574" s="67"/>
      <c r="FW574" s="67"/>
      <c r="FX574" s="67"/>
      <c r="FY574" s="67"/>
      <c r="FZ574" s="67"/>
      <c r="GA574" s="67"/>
      <c r="GB574" s="67"/>
      <c r="GC574" s="67"/>
      <c r="GD574" s="67"/>
      <c r="GE574" s="67"/>
      <c r="GF574" s="67"/>
      <c r="GG574" s="67"/>
      <c r="GH574" s="67"/>
      <c r="GI574" s="67"/>
      <c r="GJ574" s="67"/>
      <c r="GK574" s="67"/>
      <c r="GL574" s="67"/>
      <c r="GM574" s="67"/>
      <c r="GN574" s="67"/>
      <c r="GO574" s="67"/>
      <c r="GP574" s="67"/>
    </row>
    <row r="575" spans="5:198" s="66" customFormat="1">
      <c r="E575" s="67"/>
      <c r="G575" s="67"/>
      <c r="H575" s="67"/>
      <c r="I575" s="67"/>
      <c r="J575" s="67"/>
      <c r="K575" s="67"/>
      <c r="L575" s="67"/>
      <c r="M575" s="67"/>
      <c r="N575" s="67"/>
      <c r="O575" s="78"/>
      <c r="P575" s="78"/>
      <c r="S575" s="78"/>
      <c r="T575" s="78"/>
      <c r="U575" s="79"/>
      <c r="V575" s="65"/>
      <c r="Y575" s="78"/>
      <c r="Z575" s="78"/>
      <c r="AA575" s="78"/>
      <c r="AB575" s="78"/>
      <c r="AC575" s="78"/>
      <c r="AD575" s="78"/>
      <c r="AE575" s="78"/>
      <c r="AF575" s="78"/>
      <c r="AG575" s="79"/>
      <c r="AH575" s="65"/>
      <c r="AJ575" s="85"/>
      <c r="AK575" s="78"/>
      <c r="AL575" s="78"/>
      <c r="AM575" s="78"/>
      <c r="AN575" s="78"/>
      <c r="AO575" s="78"/>
      <c r="AP575" s="78"/>
      <c r="AQ575" s="79"/>
      <c r="AR575" s="65"/>
      <c r="AT575" s="85"/>
      <c r="AU575" s="78"/>
      <c r="AV575" s="78"/>
      <c r="AW575" s="78"/>
      <c r="AX575" s="78"/>
      <c r="AY575" s="78"/>
      <c r="AZ575" s="79"/>
      <c r="BA575" s="65"/>
      <c r="BC575" s="85"/>
      <c r="BD575" s="78"/>
      <c r="BE575" s="78"/>
      <c r="BF575" s="78"/>
      <c r="BG575" s="78"/>
      <c r="BH575" s="78"/>
      <c r="BI575" s="78"/>
      <c r="BJ575" s="79"/>
      <c r="BK575" s="65"/>
      <c r="CU575" s="67"/>
      <c r="EC575" s="67"/>
      <c r="FK575" s="67"/>
      <c r="FL575" s="67"/>
      <c r="FM575" s="67"/>
      <c r="FN575" s="67"/>
      <c r="FO575" s="67"/>
      <c r="FP575" s="67"/>
      <c r="FQ575" s="67"/>
      <c r="FR575" s="67"/>
      <c r="FS575" s="67"/>
      <c r="FT575" s="67"/>
      <c r="FU575" s="67"/>
      <c r="FV575" s="67"/>
      <c r="FW575" s="67"/>
      <c r="FX575" s="67"/>
      <c r="FY575" s="67"/>
      <c r="FZ575" s="67"/>
      <c r="GA575" s="67"/>
      <c r="GB575" s="67"/>
      <c r="GC575" s="67"/>
      <c r="GD575" s="67"/>
      <c r="GE575" s="67"/>
      <c r="GF575" s="67"/>
      <c r="GG575" s="67"/>
      <c r="GH575" s="67"/>
      <c r="GI575" s="67"/>
      <c r="GJ575" s="67"/>
      <c r="GK575" s="67"/>
      <c r="GL575" s="67"/>
      <c r="GM575" s="67"/>
      <c r="GN575" s="67"/>
      <c r="GO575" s="67"/>
      <c r="GP575" s="67"/>
    </row>
    <row r="576" spans="5:198" s="66" customFormat="1">
      <c r="E576" s="67"/>
      <c r="G576" s="67"/>
      <c r="H576" s="67"/>
      <c r="I576" s="67"/>
      <c r="J576" s="67"/>
      <c r="K576" s="67"/>
      <c r="L576" s="67"/>
      <c r="M576" s="67"/>
      <c r="N576" s="67"/>
      <c r="O576" s="78"/>
      <c r="P576" s="78"/>
      <c r="S576" s="78"/>
      <c r="T576" s="78"/>
      <c r="U576" s="79"/>
      <c r="V576" s="65"/>
      <c r="Y576" s="78"/>
      <c r="Z576" s="78"/>
      <c r="AA576" s="78"/>
      <c r="AB576" s="78"/>
      <c r="AC576" s="78"/>
      <c r="AD576" s="78"/>
      <c r="AE576" s="78"/>
      <c r="AF576" s="78"/>
      <c r="AG576" s="79"/>
      <c r="AH576" s="65"/>
      <c r="AJ576" s="85"/>
      <c r="AK576" s="78"/>
      <c r="AL576" s="78"/>
      <c r="AM576" s="78"/>
      <c r="AN576" s="78"/>
      <c r="AO576" s="78"/>
      <c r="AP576" s="78"/>
      <c r="AQ576" s="79"/>
      <c r="AR576" s="65"/>
      <c r="AT576" s="85"/>
      <c r="AU576" s="78"/>
      <c r="AV576" s="78"/>
      <c r="AW576" s="78"/>
      <c r="AX576" s="78"/>
      <c r="AY576" s="78"/>
      <c r="AZ576" s="79"/>
      <c r="BA576" s="65"/>
      <c r="BC576" s="85"/>
      <c r="BD576" s="78"/>
      <c r="BE576" s="78"/>
      <c r="BF576" s="78"/>
      <c r="BG576" s="78"/>
      <c r="BH576" s="78"/>
      <c r="BI576" s="78"/>
      <c r="BJ576" s="79"/>
      <c r="BK576" s="65"/>
      <c r="CU576" s="67"/>
      <c r="EC576" s="67"/>
      <c r="FK576" s="67"/>
      <c r="FL576" s="67"/>
      <c r="FM576" s="67"/>
      <c r="FN576" s="67"/>
      <c r="FO576" s="67"/>
      <c r="FP576" s="67"/>
      <c r="FQ576" s="67"/>
      <c r="FR576" s="67"/>
      <c r="FS576" s="67"/>
      <c r="FT576" s="67"/>
      <c r="FU576" s="67"/>
      <c r="FV576" s="67"/>
      <c r="FW576" s="67"/>
      <c r="FX576" s="67"/>
      <c r="FY576" s="67"/>
      <c r="FZ576" s="67"/>
      <c r="GA576" s="67"/>
      <c r="GB576" s="67"/>
      <c r="GC576" s="67"/>
      <c r="GD576" s="67"/>
      <c r="GE576" s="67"/>
      <c r="GF576" s="67"/>
      <c r="GG576" s="67"/>
      <c r="GH576" s="67"/>
      <c r="GI576" s="67"/>
      <c r="GJ576" s="67"/>
      <c r="GK576" s="67"/>
      <c r="GL576" s="67"/>
      <c r="GM576" s="67"/>
      <c r="GN576" s="67"/>
      <c r="GO576" s="67"/>
      <c r="GP576" s="67"/>
    </row>
    <row r="577" spans="5:198" s="66" customFormat="1">
      <c r="E577" s="67"/>
      <c r="G577" s="67"/>
      <c r="H577" s="67"/>
      <c r="I577" s="67"/>
      <c r="J577" s="67"/>
      <c r="K577" s="67"/>
      <c r="L577" s="67"/>
      <c r="M577" s="67"/>
      <c r="N577" s="67"/>
      <c r="O577" s="78"/>
      <c r="P577" s="78"/>
      <c r="S577" s="78"/>
      <c r="T577" s="78"/>
      <c r="U577" s="79"/>
      <c r="V577" s="65"/>
      <c r="Y577" s="78"/>
      <c r="Z577" s="78"/>
      <c r="AA577" s="78"/>
      <c r="AB577" s="78"/>
      <c r="AC577" s="78"/>
      <c r="AD577" s="78"/>
      <c r="AE577" s="78"/>
      <c r="AF577" s="78"/>
      <c r="AG577" s="79"/>
      <c r="AH577" s="65"/>
      <c r="AJ577" s="85"/>
      <c r="AK577" s="78"/>
      <c r="AL577" s="78"/>
      <c r="AM577" s="78"/>
      <c r="AN577" s="78"/>
      <c r="AO577" s="78"/>
      <c r="AP577" s="78"/>
      <c r="AQ577" s="79"/>
      <c r="AR577" s="65"/>
      <c r="AT577" s="85"/>
      <c r="AU577" s="78"/>
      <c r="AV577" s="78"/>
      <c r="AW577" s="78"/>
      <c r="AX577" s="78"/>
      <c r="AY577" s="78"/>
      <c r="AZ577" s="79"/>
      <c r="BA577" s="65"/>
      <c r="BC577" s="85"/>
      <c r="BD577" s="78"/>
      <c r="BE577" s="78"/>
      <c r="BF577" s="78"/>
      <c r="BG577" s="78"/>
      <c r="BH577" s="78"/>
      <c r="BI577" s="78"/>
      <c r="BJ577" s="79"/>
      <c r="BK577" s="65"/>
      <c r="CU577" s="67"/>
      <c r="EC577" s="67"/>
      <c r="FK577" s="67"/>
      <c r="FL577" s="67"/>
      <c r="FM577" s="67"/>
      <c r="FN577" s="67"/>
      <c r="FO577" s="67"/>
      <c r="FP577" s="67"/>
      <c r="FQ577" s="67"/>
      <c r="FR577" s="67"/>
      <c r="FS577" s="67"/>
      <c r="FT577" s="67"/>
      <c r="FU577" s="67"/>
      <c r="FV577" s="67"/>
      <c r="FW577" s="67"/>
      <c r="FX577" s="67"/>
      <c r="FY577" s="67"/>
      <c r="FZ577" s="67"/>
      <c r="GA577" s="67"/>
      <c r="GB577" s="67"/>
      <c r="GC577" s="67"/>
      <c r="GD577" s="67"/>
      <c r="GE577" s="67"/>
      <c r="GF577" s="67"/>
      <c r="GG577" s="67"/>
      <c r="GH577" s="67"/>
      <c r="GI577" s="67"/>
      <c r="GJ577" s="67"/>
      <c r="GK577" s="67"/>
      <c r="GL577" s="67"/>
      <c r="GM577" s="67"/>
      <c r="GN577" s="67"/>
      <c r="GO577" s="67"/>
      <c r="GP577" s="67"/>
    </row>
    <row r="578" spans="5:198" s="66" customFormat="1">
      <c r="E578" s="67"/>
      <c r="G578" s="67"/>
      <c r="H578" s="67"/>
      <c r="I578" s="67"/>
      <c r="J578" s="67"/>
      <c r="K578" s="67"/>
      <c r="L578" s="67"/>
      <c r="M578" s="67"/>
      <c r="N578" s="67"/>
      <c r="O578" s="78"/>
      <c r="P578" s="78"/>
      <c r="S578" s="78"/>
      <c r="T578" s="78"/>
      <c r="U578" s="79"/>
      <c r="V578" s="65"/>
      <c r="Y578" s="78"/>
      <c r="Z578" s="78"/>
      <c r="AA578" s="78"/>
      <c r="AB578" s="78"/>
      <c r="AC578" s="78"/>
      <c r="AD578" s="78"/>
      <c r="AE578" s="78"/>
      <c r="AF578" s="78"/>
      <c r="AG578" s="79"/>
      <c r="AH578" s="65"/>
      <c r="AJ578" s="85"/>
      <c r="AK578" s="78"/>
      <c r="AL578" s="78"/>
      <c r="AM578" s="78"/>
      <c r="AN578" s="78"/>
      <c r="AO578" s="78"/>
      <c r="AP578" s="78"/>
      <c r="AQ578" s="79"/>
      <c r="AR578" s="65"/>
      <c r="AT578" s="85"/>
      <c r="AU578" s="78"/>
      <c r="AV578" s="78"/>
      <c r="AW578" s="78"/>
      <c r="AX578" s="78"/>
      <c r="AY578" s="78"/>
      <c r="AZ578" s="79"/>
      <c r="BA578" s="65"/>
      <c r="BC578" s="85"/>
      <c r="BD578" s="78"/>
      <c r="BE578" s="78"/>
      <c r="BF578" s="78"/>
      <c r="BG578" s="78"/>
      <c r="BH578" s="78"/>
      <c r="BI578" s="78"/>
      <c r="BJ578" s="79"/>
      <c r="BK578" s="65"/>
      <c r="CU578" s="67"/>
      <c r="EC578" s="67"/>
      <c r="FK578" s="67"/>
      <c r="FL578" s="67"/>
      <c r="FM578" s="67"/>
      <c r="FN578" s="67"/>
      <c r="FO578" s="67"/>
      <c r="FP578" s="67"/>
      <c r="FQ578" s="67"/>
      <c r="FR578" s="67"/>
      <c r="FS578" s="67"/>
      <c r="FT578" s="67"/>
      <c r="FU578" s="67"/>
      <c r="FV578" s="67"/>
      <c r="FW578" s="67"/>
      <c r="FX578" s="67"/>
      <c r="FY578" s="67"/>
      <c r="FZ578" s="67"/>
      <c r="GA578" s="67"/>
      <c r="GB578" s="67"/>
      <c r="GC578" s="67"/>
      <c r="GD578" s="67"/>
      <c r="GE578" s="67"/>
      <c r="GF578" s="67"/>
      <c r="GG578" s="67"/>
      <c r="GH578" s="67"/>
      <c r="GI578" s="67"/>
      <c r="GJ578" s="67"/>
      <c r="GK578" s="67"/>
      <c r="GL578" s="67"/>
      <c r="GM578" s="67"/>
      <c r="GN578" s="67"/>
      <c r="GO578" s="67"/>
      <c r="GP578" s="67"/>
    </row>
    <row r="579" spans="5:198" s="66" customFormat="1">
      <c r="E579" s="67"/>
      <c r="G579" s="67"/>
      <c r="H579" s="67"/>
      <c r="I579" s="67"/>
      <c r="J579" s="67"/>
      <c r="K579" s="67"/>
      <c r="L579" s="67"/>
      <c r="M579" s="67"/>
      <c r="N579" s="67"/>
      <c r="O579" s="78"/>
      <c r="P579" s="78"/>
      <c r="S579" s="78"/>
      <c r="T579" s="78"/>
      <c r="U579" s="79"/>
      <c r="V579" s="65"/>
      <c r="Y579" s="78"/>
      <c r="Z579" s="78"/>
      <c r="AA579" s="78"/>
      <c r="AB579" s="78"/>
      <c r="AC579" s="78"/>
      <c r="AD579" s="78"/>
      <c r="AE579" s="78"/>
      <c r="AF579" s="78"/>
      <c r="AG579" s="79"/>
      <c r="AH579" s="65"/>
      <c r="AJ579" s="85"/>
      <c r="AK579" s="78"/>
      <c r="AL579" s="78"/>
      <c r="AM579" s="78"/>
      <c r="AN579" s="78"/>
      <c r="AO579" s="78"/>
      <c r="AP579" s="78"/>
      <c r="AQ579" s="79"/>
      <c r="AR579" s="65"/>
      <c r="AT579" s="85"/>
      <c r="AU579" s="78"/>
      <c r="AV579" s="78"/>
      <c r="AW579" s="78"/>
      <c r="AX579" s="78"/>
      <c r="AY579" s="78"/>
      <c r="AZ579" s="79"/>
      <c r="BA579" s="65"/>
      <c r="BC579" s="85"/>
      <c r="BD579" s="78"/>
      <c r="BE579" s="78"/>
      <c r="BF579" s="78"/>
      <c r="BG579" s="78"/>
      <c r="BH579" s="78"/>
      <c r="BI579" s="78"/>
      <c r="BJ579" s="79"/>
      <c r="BK579" s="65"/>
      <c r="CU579" s="67"/>
      <c r="EC579" s="67"/>
      <c r="FK579" s="67"/>
      <c r="FL579" s="67"/>
      <c r="FM579" s="67"/>
      <c r="FN579" s="67"/>
      <c r="FO579" s="67"/>
      <c r="FP579" s="67"/>
      <c r="FQ579" s="67"/>
      <c r="FR579" s="67"/>
      <c r="FS579" s="67"/>
      <c r="FT579" s="67"/>
      <c r="FU579" s="67"/>
      <c r="FV579" s="67"/>
      <c r="FW579" s="67"/>
      <c r="FX579" s="67"/>
      <c r="FY579" s="67"/>
      <c r="FZ579" s="67"/>
      <c r="GA579" s="67"/>
      <c r="GB579" s="67"/>
      <c r="GC579" s="67"/>
      <c r="GD579" s="67"/>
      <c r="GE579" s="67"/>
      <c r="GF579" s="67"/>
      <c r="GG579" s="67"/>
      <c r="GH579" s="67"/>
      <c r="GI579" s="67"/>
      <c r="GJ579" s="67"/>
      <c r="GK579" s="67"/>
      <c r="GL579" s="67"/>
      <c r="GM579" s="67"/>
      <c r="GN579" s="67"/>
      <c r="GO579" s="67"/>
      <c r="GP579" s="67"/>
    </row>
    <row r="580" spans="5:198" s="66" customFormat="1">
      <c r="E580" s="67"/>
      <c r="G580" s="67"/>
      <c r="H580" s="67"/>
      <c r="I580" s="67"/>
      <c r="J580" s="67"/>
      <c r="K580" s="67"/>
      <c r="L580" s="67"/>
      <c r="M580" s="67"/>
      <c r="N580" s="67"/>
      <c r="O580" s="78"/>
      <c r="P580" s="78"/>
      <c r="S580" s="78"/>
      <c r="T580" s="78"/>
      <c r="U580" s="79"/>
      <c r="V580" s="65"/>
      <c r="Y580" s="78"/>
      <c r="Z580" s="78"/>
      <c r="AA580" s="78"/>
      <c r="AB580" s="78"/>
      <c r="AC580" s="78"/>
      <c r="AD580" s="78"/>
      <c r="AE580" s="78"/>
      <c r="AF580" s="78"/>
      <c r="AG580" s="79"/>
      <c r="AH580" s="65"/>
      <c r="AJ580" s="85"/>
      <c r="AK580" s="78"/>
      <c r="AL580" s="78"/>
      <c r="AM580" s="78"/>
      <c r="AN580" s="78"/>
      <c r="AO580" s="78"/>
      <c r="AP580" s="78"/>
      <c r="AQ580" s="79"/>
      <c r="AR580" s="65"/>
      <c r="AT580" s="85"/>
      <c r="AU580" s="78"/>
      <c r="AV580" s="78"/>
      <c r="AW580" s="78"/>
      <c r="AX580" s="78"/>
      <c r="AY580" s="78"/>
      <c r="AZ580" s="79"/>
      <c r="BA580" s="65"/>
      <c r="BC580" s="85"/>
      <c r="BD580" s="78"/>
      <c r="BE580" s="78"/>
      <c r="BF580" s="78"/>
      <c r="BG580" s="78"/>
      <c r="BH580" s="78"/>
      <c r="BI580" s="78"/>
      <c r="BJ580" s="79"/>
      <c r="BK580" s="65"/>
      <c r="CU580" s="67"/>
      <c r="EC580" s="67"/>
      <c r="FK580" s="67"/>
      <c r="FL580" s="67"/>
      <c r="FM580" s="67"/>
      <c r="FN580" s="67"/>
      <c r="FO580" s="67"/>
      <c r="FP580" s="67"/>
      <c r="FQ580" s="67"/>
      <c r="FR580" s="67"/>
      <c r="FS580" s="67"/>
      <c r="FT580" s="67"/>
      <c r="FU580" s="67"/>
      <c r="FV580" s="67"/>
      <c r="FW580" s="67"/>
      <c r="FX580" s="67"/>
      <c r="FY580" s="67"/>
      <c r="FZ580" s="67"/>
      <c r="GA580" s="67"/>
      <c r="GB580" s="67"/>
      <c r="GC580" s="67"/>
      <c r="GD580" s="67"/>
      <c r="GE580" s="67"/>
      <c r="GF580" s="67"/>
      <c r="GG580" s="67"/>
      <c r="GH580" s="67"/>
      <c r="GI580" s="67"/>
      <c r="GJ580" s="67"/>
      <c r="GK580" s="67"/>
      <c r="GL580" s="67"/>
      <c r="GM580" s="67"/>
      <c r="GN580" s="67"/>
      <c r="GO580" s="67"/>
      <c r="GP580" s="67"/>
    </row>
    <row r="581" spans="5:198" s="66" customFormat="1">
      <c r="E581" s="67"/>
      <c r="G581" s="67"/>
      <c r="H581" s="67"/>
      <c r="I581" s="67"/>
      <c r="J581" s="67"/>
      <c r="K581" s="67"/>
      <c r="L581" s="67"/>
      <c r="M581" s="67"/>
      <c r="N581" s="67"/>
      <c r="O581" s="78"/>
      <c r="P581" s="78"/>
      <c r="S581" s="78"/>
      <c r="T581" s="78"/>
      <c r="U581" s="79"/>
      <c r="V581" s="65"/>
      <c r="Y581" s="78"/>
      <c r="Z581" s="78"/>
      <c r="AA581" s="78"/>
      <c r="AB581" s="78"/>
      <c r="AC581" s="78"/>
      <c r="AD581" s="78"/>
      <c r="AE581" s="78"/>
      <c r="AF581" s="78"/>
      <c r="AG581" s="79"/>
      <c r="AH581" s="65"/>
      <c r="AJ581" s="85"/>
      <c r="AK581" s="78"/>
      <c r="AL581" s="78"/>
      <c r="AM581" s="78"/>
      <c r="AN581" s="78"/>
      <c r="AO581" s="78"/>
      <c r="AP581" s="78"/>
      <c r="AQ581" s="79"/>
      <c r="AR581" s="65"/>
      <c r="AT581" s="85"/>
      <c r="AU581" s="78"/>
      <c r="AV581" s="78"/>
      <c r="AW581" s="78"/>
      <c r="AX581" s="78"/>
      <c r="AY581" s="78"/>
      <c r="AZ581" s="79"/>
      <c r="BA581" s="65"/>
      <c r="BC581" s="85"/>
      <c r="BD581" s="78"/>
      <c r="BE581" s="78"/>
      <c r="BF581" s="78"/>
      <c r="BG581" s="78"/>
      <c r="BH581" s="78"/>
      <c r="BI581" s="78"/>
      <c r="BJ581" s="79"/>
      <c r="BK581" s="65"/>
      <c r="CU581" s="67"/>
      <c r="EC581" s="67"/>
      <c r="FK581" s="67"/>
      <c r="FL581" s="67"/>
      <c r="FM581" s="67"/>
      <c r="FN581" s="67"/>
      <c r="FO581" s="67"/>
      <c r="FP581" s="67"/>
      <c r="FQ581" s="67"/>
      <c r="FR581" s="67"/>
      <c r="FS581" s="67"/>
      <c r="FT581" s="67"/>
      <c r="FU581" s="67"/>
      <c r="FV581" s="67"/>
      <c r="FW581" s="67"/>
      <c r="FX581" s="67"/>
      <c r="FY581" s="67"/>
      <c r="FZ581" s="67"/>
      <c r="GA581" s="67"/>
      <c r="GB581" s="67"/>
      <c r="GC581" s="67"/>
      <c r="GD581" s="67"/>
      <c r="GE581" s="67"/>
      <c r="GF581" s="67"/>
      <c r="GG581" s="67"/>
      <c r="GH581" s="67"/>
      <c r="GI581" s="67"/>
      <c r="GJ581" s="67"/>
      <c r="GK581" s="67"/>
      <c r="GL581" s="67"/>
      <c r="GM581" s="67"/>
      <c r="GN581" s="67"/>
      <c r="GO581" s="67"/>
      <c r="GP581" s="67"/>
    </row>
    <row r="582" spans="5:198" s="66" customFormat="1">
      <c r="E582" s="67"/>
      <c r="G582" s="67"/>
      <c r="H582" s="67"/>
      <c r="I582" s="67"/>
      <c r="J582" s="67"/>
      <c r="K582" s="67"/>
      <c r="L582" s="67"/>
      <c r="M582" s="67"/>
      <c r="N582" s="67"/>
      <c r="O582" s="78"/>
      <c r="P582" s="78"/>
      <c r="S582" s="78"/>
      <c r="T582" s="78"/>
      <c r="U582" s="79"/>
      <c r="V582" s="65"/>
      <c r="Y582" s="78"/>
      <c r="Z582" s="78"/>
      <c r="AA582" s="78"/>
      <c r="AB582" s="78"/>
      <c r="AC582" s="78"/>
      <c r="AD582" s="78"/>
      <c r="AE582" s="78"/>
      <c r="AF582" s="78"/>
      <c r="AG582" s="79"/>
      <c r="AH582" s="65"/>
      <c r="AJ582" s="85"/>
      <c r="AK582" s="78"/>
      <c r="AL582" s="78"/>
      <c r="AM582" s="78"/>
      <c r="AN582" s="78"/>
      <c r="AO582" s="78"/>
      <c r="AP582" s="78"/>
      <c r="AQ582" s="79"/>
      <c r="AR582" s="65"/>
      <c r="AT582" s="85"/>
      <c r="AU582" s="78"/>
      <c r="AV582" s="78"/>
      <c r="AW582" s="78"/>
      <c r="AX582" s="78"/>
      <c r="AY582" s="78"/>
      <c r="AZ582" s="79"/>
      <c r="BA582" s="65"/>
      <c r="BC582" s="85"/>
      <c r="BD582" s="78"/>
      <c r="BE582" s="78"/>
      <c r="BF582" s="78"/>
      <c r="BG582" s="78"/>
      <c r="BH582" s="78"/>
      <c r="BI582" s="78"/>
      <c r="BJ582" s="79"/>
      <c r="BK582" s="65"/>
      <c r="CU582" s="67"/>
      <c r="EC582" s="67"/>
      <c r="FK582" s="67"/>
      <c r="FL582" s="67"/>
      <c r="FM582" s="67"/>
      <c r="FN582" s="67"/>
      <c r="FO582" s="67"/>
      <c r="FP582" s="67"/>
      <c r="FQ582" s="67"/>
      <c r="FR582" s="67"/>
      <c r="FS582" s="67"/>
      <c r="FT582" s="67"/>
      <c r="FU582" s="67"/>
      <c r="FV582" s="67"/>
      <c r="FW582" s="67"/>
      <c r="FX582" s="67"/>
      <c r="FY582" s="67"/>
      <c r="FZ582" s="67"/>
      <c r="GA582" s="67"/>
      <c r="GB582" s="67"/>
      <c r="GC582" s="67"/>
      <c r="GD582" s="67"/>
      <c r="GE582" s="67"/>
      <c r="GF582" s="67"/>
      <c r="GG582" s="67"/>
      <c r="GH582" s="67"/>
      <c r="GI582" s="67"/>
      <c r="GJ582" s="67"/>
      <c r="GK582" s="67"/>
      <c r="GL582" s="67"/>
      <c r="GM582" s="67"/>
      <c r="GN582" s="67"/>
      <c r="GO582" s="67"/>
      <c r="GP582" s="67"/>
    </row>
    <row r="583" spans="5:198" s="66" customFormat="1">
      <c r="E583" s="67"/>
      <c r="G583" s="67"/>
      <c r="H583" s="67"/>
      <c r="I583" s="67"/>
      <c r="J583" s="67"/>
      <c r="K583" s="67"/>
      <c r="L583" s="67"/>
      <c r="M583" s="67"/>
      <c r="N583" s="67"/>
      <c r="O583" s="78"/>
      <c r="P583" s="78"/>
      <c r="S583" s="78"/>
      <c r="T583" s="78"/>
      <c r="U583" s="79"/>
      <c r="V583" s="65"/>
      <c r="Y583" s="78"/>
      <c r="Z583" s="78"/>
      <c r="AA583" s="78"/>
      <c r="AB583" s="78"/>
      <c r="AC583" s="78"/>
      <c r="AD583" s="78"/>
      <c r="AE583" s="78"/>
      <c r="AF583" s="78"/>
      <c r="AG583" s="79"/>
      <c r="AH583" s="65"/>
      <c r="AJ583" s="85"/>
      <c r="AK583" s="78"/>
      <c r="AL583" s="78"/>
      <c r="AM583" s="78"/>
      <c r="AN583" s="78"/>
      <c r="AO583" s="78"/>
      <c r="AP583" s="78"/>
      <c r="AQ583" s="79"/>
      <c r="AR583" s="65"/>
      <c r="AT583" s="85"/>
      <c r="AU583" s="78"/>
      <c r="AV583" s="78"/>
      <c r="AW583" s="78"/>
      <c r="AX583" s="78"/>
      <c r="AY583" s="78"/>
      <c r="AZ583" s="79"/>
      <c r="BA583" s="65"/>
      <c r="BC583" s="85"/>
      <c r="BD583" s="78"/>
      <c r="BE583" s="78"/>
      <c r="BF583" s="78"/>
      <c r="BG583" s="78"/>
      <c r="BH583" s="78"/>
      <c r="BI583" s="78"/>
      <c r="BJ583" s="79"/>
      <c r="BK583" s="65"/>
      <c r="CU583" s="67"/>
      <c r="EC583" s="67"/>
      <c r="FK583" s="67"/>
      <c r="FL583" s="67"/>
      <c r="FM583" s="67"/>
      <c r="FN583" s="67"/>
      <c r="FO583" s="67"/>
      <c r="FP583" s="67"/>
      <c r="FQ583" s="67"/>
      <c r="FR583" s="67"/>
      <c r="FS583" s="67"/>
      <c r="FT583" s="67"/>
      <c r="FU583" s="67"/>
      <c r="FV583" s="67"/>
      <c r="FW583" s="67"/>
      <c r="FX583" s="67"/>
      <c r="FY583" s="67"/>
      <c r="FZ583" s="67"/>
      <c r="GA583" s="67"/>
      <c r="GB583" s="67"/>
      <c r="GC583" s="67"/>
      <c r="GD583" s="67"/>
      <c r="GE583" s="67"/>
      <c r="GF583" s="67"/>
      <c r="GG583" s="67"/>
      <c r="GH583" s="67"/>
      <c r="GI583" s="67"/>
      <c r="GJ583" s="67"/>
      <c r="GK583" s="67"/>
      <c r="GL583" s="67"/>
      <c r="GM583" s="67"/>
      <c r="GN583" s="67"/>
      <c r="GO583" s="67"/>
      <c r="GP583" s="67"/>
    </row>
    <row r="584" spans="5:198" s="66" customFormat="1">
      <c r="E584" s="67"/>
      <c r="G584" s="67"/>
      <c r="H584" s="67"/>
      <c r="I584" s="67"/>
      <c r="J584" s="67"/>
      <c r="K584" s="67"/>
      <c r="L584" s="67"/>
      <c r="M584" s="67"/>
      <c r="N584" s="67"/>
      <c r="O584" s="78"/>
      <c r="P584" s="78"/>
      <c r="S584" s="78"/>
      <c r="T584" s="78"/>
      <c r="U584" s="79"/>
      <c r="V584" s="65"/>
      <c r="Y584" s="78"/>
      <c r="Z584" s="78"/>
      <c r="AA584" s="78"/>
      <c r="AB584" s="78"/>
      <c r="AC584" s="78"/>
      <c r="AD584" s="78"/>
      <c r="AE584" s="78"/>
      <c r="AF584" s="78"/>
      <c r="AG584" s="79"/>
      <c r="AH584" s="65"/>
      <c r="AJ584" s="85"/>
      <c r="AK584" s="78"/>
      <c r="AL584" s="78"/>
      <c r="AM584" s="78"/>
      <c r="AN584" s="78"/>
      <c r="AO584" s="78"/>
      <c r="AP584" s="78"/>
      <c r="AQ584" s="79"/>
      <c r="AR584" s="65"/>
      <c r="AT584" s="85"/>
      <c r="AU584" s="78"/>
      <c r="AV584" s="78"/>
      <c r="AW584" s="78"/>
      <c r="AX584" s="78"/>
      <c r="AY584" s="78"/>
      <c r="AZ584" s="79"/>
      <c r="BA584" s="65"/>
      <c r="BC584" s="85"/>
      <c r="BD584" s="78"/>
      <c r="BE584" s="78"/>
      <c r="BF584" s="78"/>
      <c r="BG584" s="78"/>
      <c r="BH584" s="78"/>
      <c r="BI584" s="78"/>
      <c r="BJ584" s="79"/>
      <c r="BK584" s="65"/>
      <c r="CU584" s="67"/>
      <c r="EC584" s="67"/>
      <c r="FK584" s="67"/>
      <c r="FL584" s="67"/>
      <c r="FM584" s="67"/>
      <c r="FN584" s="67"/>
      <c r="FO584" s="67"/>
      <c r="FP584" s="67"/>
      <c r="FQ584" s="67"/>
      <c r="FR584" s="67"/>
      <c r="FS584" s="67"/>
      <c r="FT584" s="67"/>
      <c r="FU584" s="67"/>
      <c r="FV584" s="67"/>
      <c r="FW584" s="67"/>
      <c r="FX584" s="67"/>
      <c r="FY584" s="67"/>
      <c r="FZ584" s="67"/>
      <c r="GA584" s="67"/>
      <c r="GB584" s="67"/>
      <c r="GC584" s="67"/>
      <c r="GD584" s="67"/>
      <c r="GE584" s="67"/>
      <c r="GF584" s="67"/>
      <c r="GG584" s="67"/>
      <c r="GH584" s="67"/>
      <c r="GI584" s="67"/>
      <c r="GJ584" s="67"/>
      <c r="GK584" s="67"/>
      <c r="GL584" s="67"/>
      <c r="GM584" s="67"/>
      <c r="GN584" s="67"/>
      <c r="GO584" s="67"/>
      <c r="GP584" s="67"/>
    </row>
    <row r="585" spans="5:198" s="66" customFormat="1">
      <c r="E585" s="67"/>
      <c r="G585" s="67"/>
      <c r="H585" s="67"/>
      <c r="I585" s="67"/>
      <c r="J585" s="67"/>
      <c r="K585" s="67"/>
      <c r="L585" s="67"/>
      <c r="M585" s="67"/>
      <c r="N585" s="67"/>
      <c r="O585" s="78"/>
      <c r="P585" s="78"/>
      <c r="S585" s="78"/>
      <c r="T585" s="78"/>
      <c r="U585" s="79"/>
      <c r="V585" s="65"/>
      <c r="Y585" s="78"/>
      <c r="Z585" s="78"/>
      <c r="AA585" s="78"/>
      <c r="AB585" s="78"/>
      <c r="AC585" s="78"/>
      <c r="AD585" s="78"/>
      <c r="AE585" s="78"/>
      <c r="AF585" s="78"/>
      <c r="AG585" s="79"/>
      <c r="AH585" s="65"/>
      <c r="AJ585" s="85"/>
      <c r="AK585" s="78"/>
      <c r="AL585" s="78"/>
      <c r="AM585" s="78"/>
      <c r="AN585" s="78"/>
      <c r="AO585" s="78"/>
      <c r="AP585" s="78"/>
      <c r="AQ585" s="79"/>
      <c r="AR585" s="65"/>
      <c r="AT585" s="85"/>
      <c r="AU585" s="78"/>
      <c r="AV585" s="78"/>
      <c r="AW585" s="78"/>
      <c r="AX585" s="78"/>
      <c r="AY585" s="78"/>
      <c r="AZ585" s="79"/>
      <c r="BA585" s="65"/>
      <c r="BC585" s="85"/>
      <c r="BD585" s="78"/>
      <c r="BE585" s="78"/>
      <c r="BF585" s="78"/>
      <c r="BG585" s="78"/>
      <c r="BH585" s="78"/>
      <c r="BI585" s="78"/>
      <c r="BJ585" s="79"/>
      <c r="BK585" s="65"/>
      <c r="CU585" s="67"/>
      <c r="EC585" s="67"/>
      <c r="FK585" s="67"/>
      <c r="FL585" s="67"/>
      <c r="FM585" s="67"/>
      <c r="FN585" s="67"/>
      <c r="FO585" s="67"/>
      <c r="FP585" s="67"/>
      <c r="FQ585" s="67"/>
      <c r="FR585" s="67"/>
      <c r="FS585" s="67"/>
      <c r="FT585" s="67"/>
      <c r="FU585" s="67"/>
      <c r="FV585" s="67"/>
      <c r="FW585" s="67"/>
      <c r="FX585" s="67"/>
      <c r="FY585" s="67"/>
      <c r="FZ585" s="67"/>
      <c r="GA585" s="67"/>
      <c r="GB585" s="67"/>
      <c r="GC585" s="67"/>
      <c r="GD585" s="67"/>
      <c r="GE585" s="67"/>
      <c r="GF585" s="67"/>
      <c r="GG585" s="67"/>
      <c r="GH585" s="67"/>
      <c r="GI585" s="67"/>
      <c r="GJ585" s="67"/>
      <c r="GK585" s="67"/>
      <c r="GL585" s="67"/>
      <c r="GM585" s="67"/>
      <c r="GN585" s="67"/>
      <c r="GO585" s="67"/>
      <c r="GP585" s="67"/>
    </row>
    <row r="586" spans="5:198" s="66" customFormat="1">
      <c r="E586" s="67"/>
      <c r="G586" s="67"/>
      <c r="H586" s="67"/>
      <c r="I586" s="67"/>
      <c r="J586" s="67"/>
      <c r="K586" s="67"/>
      <c r="L586" s="67"/>
      <c r="M586" s="67"/>
      <c r="N586" s="67"/>
      <c r="O586" s="78"/>
      <c r="P586" s="78"/>
      <c r="S586" s="78"/>
      <c r="T586" s="78"/>
      <c r="U586" s="79"/>
      <c r="V586" s="65"/>
      <c r="Y586" s="78"/>
      <c r="Z586" s="78"/>
      <c r="AA586" s="78"/>
      <c r="AB586" s="78"/>
      <c r="AC586" s="78"/>
      <c r="AD586" s="78"/>
      <c r="AE586" s="78"/>
      <c r="AF586" s="78"/>
      <c r="AG586" s="79"/>
      <c r="AH586" s="65"/>
      <c r="AJ586" s="85"/>
      <c r="AK586" s="78"/>
      <c r="AL586" s="78"/>
      <c r="AM586" s="78"/>
      <c r="AN586" s="78"/>
      <c r="AO586" s="78"/>
      <c r="AP586" s="78"/>
      <c r="AQ586" s="79"/>
      <c r="AR586" s="65"/>
      <c r="AT586" s="85"/>
      <c r="AU586" s="78"/>
      <c r="AV586" s="78"/>
      <c r="AW586" s="78"/>
      <c r="AX586" s="78"/>
      <c r="AY586" s="78"/>
      <c r="AZ586" s="79"/>
      <c r="BA586" s="65"/>
      <c r="BC586" s="85"/>
      <c r="BD586" s="78"/>
      <c r="BE586" s="78"/>
      <c r="BF586" s="78"/>
      <c r="BG586" s="78"/>
      <c r="BH586" s="78"/>
      <c r="BI586" s="78"/>
      <c r="BJ586" s="79"/>
      <c r="BK586" s="65"/>
      <c r="CU586" s="67"/>
      <c r="EC586" s="67"/>
      <c r="FK586" s="67"/>
      <c r="FL586" s="67"/>
      <c r="FM586" s="67"/>
      <c r="FN586" s="67"/>
      <c r="FO586" s="67"/>
      <c r="FP586" s="67"/>
      <c r="FQ586" s="67"/>
      <c r="FR586" s="67"/>
      <c r="FS586" s="67"/>
      <c r="FT586" s="67"/>
      <c r="FU586" s="67"/>
      <c r="FV586" s="67"/>
      <c r="FW586" s="67"/>
      <c r="FX586" s="67"/>
      <c r="FY586" s="67"/>
      <c r="FZ586" s="67"/>
      <c r="GA586" s="67"/>
      <c r="GB586" s="67"/>
      <c r="GC586" s="67"/>
      <c r="GD586" s="67"/>
      <c r="GE586" s="67"/>
      <c r="GF586" s="67"/>
      <c r="GG586" s="67"/>
      <c r="GH586" s="67"/>
      <c r="GI586" s="67"/>
      <c r="GJ586" s="67"/>
      <c r="GK586" s="67"/>
      <c r="GL586" s="67"/>
      <c r="GM586" s="67"/>
      <c r="GN586" s="67"/>
      <c r="GO586" s="67"/>
      <c r="GP586" s="67"/>
    </row>
    <row r="587" spans="5:198" s="66" customFormat="1">
      <c r="E587" s="67"/>
      <c r="G587" s="67"/>
      <c r="H587" s="67"/>
      <c r="I587" s="67"/>
      <c r="J587" s="67"/>
      <c r="K587" s="67"/>
      <c r="L587" s="67"/>
      <c r="M587" s="67"/>
      <c r="N587" s="67"/>
      <c r="O587" s="78"/>
      <c r="P587" s="78"/>
      <c r="S587" s="78"/>
      <c r="T587" s="78"/>
      <c r="U587" s="79"/>
      <c r="V587" s="65"/>
      <c r="Y587" s="78"/>
      <c r="Z587" s="78"/>
      <c r="AA587" s="78"/>
      <c r="AB587" s="78"/>
      <c r="AC587" s="78"/>
      <c r="AD587" s="78"/>
      <c r="AE587" s="78"/>
      <c r="AF587" s="78"/>
      <c r="AG587" s="79"/>
      <c r="AH587" s="65"/>
      <c r="AJ587" s="85"/>
      <c r="AK587" s="78"/>
      <c r="AL587" s="78"/>
      <c r="AM587" s="78"/>
      <c r="AN587" s="78"/>
      <c r="AO587" s="78"/>
      <c r="AP587" s="78"/>
      <c r="AQ587" s="79"/>
      <c r="AR587" s="65"/>
      <c r="AT587" s="85"/>
      <c r="AU587" s="78"/>
      <c r="AV587" s="78"/>
      <c r="AW587" s="78"/>
      <c r="AX587" s="78"/>
      <c r="AY587" s="78"/>
      <c r="AZ587" s="79"/>
      <c r="BA587" s="65"/>
      <c r="BC587" s="85"/>
      <c r="BD587" s="78"/>
      <c r="BE587" s="78"/>
      <c r="BF587" s="78"/>
      <c r="BG587" s="78"/>
      <c r="BH587" s="78"/>
      <c r="BI587" s="78"/>
      <c r="BJ587" s="79"/>
      <c r="BK587" s="65"/>
      <c r="CU587" s="67"/>
      <c r="EC587" s="67"/>
      <c r="FK587" s="67"/>
      <c r="FL587" s="67"/>
      <c r="FM587" s="67"/>
      <c r="FN587" s="67"/>
      <c r="FO587" s="67"/>
      <c r="FP587" s="67"/>
      <c r="FQ587" s="67"/>
      <c r="FR587" s="67"/>
      <c r="FS587" s="67"/>
      <c r="FT587" s="67"/>
      <c r="FU587" s="67"/>
      <c r="FV587" s="67"/>
      <c r="FW587" s="67"/>
      <c r="FX587" s="67"/>
      <c r="FY587" s="67"/>
      <c r="FZ587" s="67"/>
      <c r="GA587" s="67"/>
      <c r="GB587" s="67"/>
      <c r="GC587" s="67"/>
      <c r="GD587" s="67"/>
      <c r="GE587" s="67"/>
      <c r="GF587" s="67"/>
      <c r="GG587" s="67"/>
      <c r="GH587" s="67"/>
      <c r="GI587" s="67"/>
      <c r="GJ587" s="67"/>
      <c r="GK587" s="67"/>
      <c r="GL587" s="67"/>
      <c r="GM587" s="67"/>
      <c r="GN587" s="67"/>
      <c r="GO587" s="67"/>
      <c r="GP587" s="67"/>
    </row>
    <row r="588" spans="5:198" s="66" customFormat="1">
      <c r="E588" s="67"/>
      <c r="G588" s="67"/>
      <c r="H588" s="67"/>
      <c r="I588" s="67"/>
      <c r="J588" s="67"/>
      <c r="K588" s="67"/>
      <c r="L588" s="67"/>
      <c r="M588" s="67"/>
      <c r="N588" s="67"/>
      <c r="O588" s="78"/>
      <c r="P588" s="78"/>
      <c r="S588" s="78"/>
      <c r="T588" s="78"/>
      <c r="U588" s="79"/>
      <c r="V588" s="65"/>
      <c r="Y588" s="78"/>
      <c r="Z588" s="78"/>
      <c r="AA588" s="78"/>
      <c r="AB588" s="78"/>
      <c r="AC588" s="78"/>
      <c r="AD588" s="78"/>
      <c r="AE588" s="78"/>
      <c r="AF588" s="78"/>
      <c r="AG588" s="79"/>
      <c r="AH588" s="65"/>
      <c r="AJ588" s="85"/>
      <c r="AK588" s="78"/>
      <c r="AL588" s="78"/>
      <c r="AM588" s="78"/>
      <c r="AN588" s="78"/>
      <c r="AO588" s="78"/>
      <c r="AP588" s="78"/>
      <c r="AQ588" s="79"/>
      <c r="AR588" s="65"/>
      <c r="AT588" s="85"/>
      <c r="AU588" s="78"/>
      <c r="AV588" s="78"/>
      <c r="AW588" s="78"/>
      <c r="AX588" s="78"/>
      <c r="AY588" s="78"/>
      <c r="AZ588" s="79"/>
      <c r="BA588" s="65"/>
      <c r="BC588" s="85"/>
      <c r="BD588" s="78"/>
      <c r="BE588" s="78"/>
      <c r="BF588" s="78"/>
      <c r="BG588" s="78"/>
      <c r="BH588" s="78"/>
      <c r="BI588" s="78"/>
      <c r="BJ588" s="79"/>
      <c r="BK588" s="65"/>
      <c r="CU588" s="67"/>
      <c r="EC588" s="67"/>
      <c r="FK588" s="67"/>
      <c r="FL588" s="67"/>
      <c r="FM588" s="67"/>
      <c r="FN588" s="67"/>
      <c r="FO588" s="67"/>
      <c r="FP588" s="67"/>
      <c r="FQ588" s="67"/>
      <c r="FR588" s="67"/>
      <c r="FS588" s="67"/>
      <c r="FT588" s="67"/>
      <c r="FU588" s="67"/>
      <c r="FV588" s="67"/>
      <c r="FW588" s="67"/>
      <c r="FX588" s="67"/>
      <c r="FY588" s="67"/>
      <c r="FZ588" s="67"/>
      <c r="GA588" s="67"/>
      <c r="GB588" s="67"/>
      <c r="GC588" s="67"/>
      <c r="GD588" s="67"/>
      <c r="GE588" s="67"/>
      <c r="GF588" s="67"/>
      <c r="GG588" s="67"/>
      <c r="GH588" s="67"/>
      <c r="GI588" s="67"/>
      <c r="GJ588" s="67"/>
      <c r="GK588" s="67"/>
      <c r="GL588" s="67"/>
      <c r="GM588" s="67"/>
      <c r="GN588" s="67"/>
      <c r="GO588" s="67"/>
      <c r="GP588" s="67"/>
    </row>
    <row r="589" spans="5:198" s="66" customFormat="1">
      <c r="E589" s="67"/>
      <c r="G589" s="67"/>
      <c r="H589" s="67"/>
      <c r="I589" s="67"/>
      <c r="J589" s="67"/>
      <c r="K589" s="67"/>
      <c r="L589" s="67"/>
      <c r="M589" s="67"/>
      <c r="N589" s="67"/>
      <c r="O589" s="78"/>
      <c r="P589" s="78"/>
      <c r="S589" s="78"/>
      <c r="T589" s="78"/>
      <c r="U589" s="79"/>
      <c r="V589" s="65"/>
      <c r="Y589" s="78"/>
      <c r="Z589" s="78"/>
      <c r="AA589" s="78"/>
      <c r="AB589" s="78"/>
      <c r="AC589" s="78"/>
      <c r="AD589" s="78"/>
      <c r="AE589" s="78"/>
      <c r="AF589" s="78"/>
      <c r="AG589" s="79"/>
      <c r="AH589" s="65"/>
      <c r="AJ589" s="85"/>
      <c r="AK589" s="78"/>
      <c r="AL589" s="78"/>
      <c r="AM589" s="78"/>
      <c r="AN589" s="78"/>
      <c r="AO589" s="78"/>
      <c r="AP589" s="78"/>
      <c r="AQ589" s="79"/>
      <c r="AR589" s="65"/>
      <c r="AT589" s="85"/>
      <c r="AU589" s="78"/>
      <c r="AV589" s="78"/>
      <c r="AW589" s="78"/>
      <c r="AX589" s="78"/>
      <c r="AY589" s="78"/>
      <c r="AZ589" s="79"/>
      <c r="BA589" s="65"/>
      <c r="BC589" s="85"/>
      <c r="BD589" s="78"/>
      <c r="BE589" s="78"/>
      <c r="BF589" s="78"/>
      <c r="BG589" s="78"/>
      <c r="BH589" s="78"/>
      <c r="BI589" s="78"/>
      <c r="BJ589" s="79"/>
      <c r="BK589" s="65"/>
      <c r="CU589" s="67"/>
      <c r="EC589" s="67"/>
      <c r="FK589" s="67"/>
      <c r="FL589" s="67"/>
      <c r="FM589" s="67"/>
      <c r="FN589" s="67"/>
      <c r="FO589" s="67"/>
      <c r="FP589" s="67"/>
      <c r="FQ589" s="67"/>
      <c r="FR589" s="67"/>
      <c r="FS589" s="67"/>
      <c r="FT589" s="67"/>
      <c r="FU589" s="67"/>
      <c r="FV589" s="67"/>
      <c r="FW589" s="67"/>
      <c r="FX589" s="67"/>
      <c r="FY589" s="67"/>
      <c r="FZ589" s="67"/>
      <c r="GA589" s="67"/>
      <c r="GB589" s="67"/>
      <c r="GC589" s="67"/>
      <c r="GD589" s="67"/>
      <c r="GE589" s="67"/>
      <c r="GF589" s="67"/>
      <c r="GG589" s="67"/>
      <c r="GH589" s="67"/>
      <c r="GI589" s="67"/>
      <c r="GJ589" s="67"/>
      <c r="GK589" s="67"/>
      <c r="GL589" s="67"/>
      <c r="GM589" s="67"/>
      <c r="GN589" s="67"/>
      <c r="GO589" s="67"/>
      <c r="GP589" s="67"/>
    </row>
    <row r="590" spans="5:198" s="66" customFormat="1">
      <c r="E590" s="67"/>
      <c r="G590" s="67"/>
      <c r="H590" s="67"/>
      <c r="I590" s="67"/>
      <c r="J590" s="67"/>
      <c r="K590" s="67"/>
      <c r="L590" s="67"/>
      <c r="M590" s="67"/>
      <c r="N590" s="67"/>
      <c r="O590" s="78"/>
      <c r="P590" s="78"/>
      <c r="S590" s="78"/>
      <c r="T590" s="78"/>
      <c r="U590" s="79"/>
      <c r="V590" s="65"/>
      <c r="Y590" s="78"/>
      <c r="Z590" s="78"/>
      <c r="AA590" s="78"/>
      <c r="AB590" s="78"/>
      <c r="AC590" s="78"/>
      <c r="AD590" s="78"/>
      <c r="AE590" s="78"/>
      <c r="AF590" s="78"/>
      <c r="AG590" s="79"/>
      <c r="AH590" s="65"/>
      <c r="AJ590" s="85"/>
      <c r="AK590" s="78"/>
      <c r="AL590" s="78"/>
      <c r="AM590" s="78"/>
      <c r="AN590" s="78"/>
      <c r="AO590" s="78"/>
      <c r="AP590" s="78"/>
      <c r="AQ590" s="79"/>
      <c r="AR590" s="65"/>
      <c r="AT590" s="85"/>
      <c r="AU590" s="78"/>
      <c r="AV590" s="78"/>
      <c r="AW590" s="78"/>
      <c r="AX590" s="78"/>
      <c r="AY590" s="78"/>
      <c r="AZ590" s="79"/>
      <c r="BA590" s="65"/>
      <c r="BC590" s="85"/>
      <c r="BD590" s="78"/>
      <c r="BE590" s="78"/>
      <c r="BF590" s="78"/>
      <c r="BG590" s="78"/>
      <c r="BH590" s="78"/>
      <c r="BI590" s="78"/>
      <c r="BJ590" s="79"/>
      <c r="BK590" s="65"/>
      <c r="CU590" s="67"/>
      <c r="EC590" s="67"/>
      <c r="FK590" s="67"/>
      <c r="FL590" s="67"/>
      <c r="FM590" s="67"/>
      <c r="FN590" s="67"/>
      <c r="FO590" s="67"/>
      <c r="FP590" s="67"/>
      <c r="FQ590" s="67"/>
      <c r="FR590" s="67"/>
      <c r="FS590" s="67"/>
      <c r="FT590" s="67"/>
      <c r="FU590" s="67"/>
      <c r="FV590" s="67"/>
      <c r="FW590" s="67"/>
      <c r="FX590" s="67"/>
      <c r="FY590" s="67"/>
      <c r="FZ590" s="67"/>
      <c r="GA590" s="67"/>
      <c r="GB590" s="67"/>
      <c r="GC590" s="67"/>
      <c r="GD590" s="67"/>
      <c r="GE590" s="67"/>
      <c r="GF590" s="67"/>
      <c r="GG590" s="67"/>
      <c r="GH590" s="67"/>
      <c r="GI590" s="67"/>
      <c r="GJ590" s="67"/>
      <c r="GK590" s="67"/>
      <c r="GL590" s="67"/>
      <c r="GM590" s="67"/>
      <c r="GN590" s="67"/>
      <c r="GO590" s="67"/>
      <c r="GP590" s="67"/>
    </row>
    <row r="591" spans="5:198" s="66" customFormat="1">
      <c r="E591" s="67"/>
      <c r="G591" s="67"/>
      <c r="H591" s="67"/>
      <c r="I591" s="67"/>
      <c r="J591" s="67"/>
      <c r="K591" s="67"/>
      <c r="L591" s="67"/>
      <c r="M591" s="67"/>
      <c r="N591" s="67"/>
      <c r="O591" s="78"/>
      <c r="P591" s="78"/>
      <c r="S591" s="78"/>
      <c r="T591" s="78"/>
      <c r="U591" s="79"/>
      <c r="V591" s="65"/>
      <c r="Y591" s="78"/>
      <c r="Z591" s="78"/>
      <c r="AA591" s="78"/>
      <c r="AB591" s="78"/>
      <c r="AC591" s="78"/>
      <c r="AD591" s="78"/>
      <c r="AE591" s="78"/>
      <c r="AF591" s="78"/>
      <c r="AG591" s="79"/>
      <c r="AH591" s="65"/>
      <c r="AJ591" s="85"/>
      <c r="AK591" s="78"/>
      <c r="AL591" s="78"/>
      <c r="AM591" s="78"/>
      <c r="AN591" s="78"/>
      <c r="AO591" s="78"/>
      <c r="AP591" s="78"/>
      <c r="AQ591" s="79"/>
      <c r="AR591" s="65"/>
      <c r="AT591" s="85"/>
      <c r="AU591" s="78"/>
      <c r="AV591" s="78"/>
      <c r="AW591" s="78"/>
      <c r="AX591" s="78"/>
      <c r="AY591" s="78"/>
      <c r="AZ591" s="79"/>
      <c r="BA591" s="65"/>
      <c r="BC591" s="85"/>
      <c r="BD591" s="78"/>
      <c r="BE591" s="78"/>
      <c r="BF591" s="78"/>
      <c r="BG591" s="78"/>
      <c r="BH591" s="78"/>
      <c r="BI591" s="78"/>
      <c r="BJ591" s="79"/>
      <c r="BK591" s="65"/>
      <c r="CU591" s="67"/>
      <c r="EC591" s="67"/>
      <c r="FK591" s="67"/>
      <c r="FL591" s="67"/>
      <c r="FM591" s="67"/>
      <c r="FN591" s="67"/>
      <c r="FO591" s="67"/>
      <c r="FP591" s="67"/>
      <c r="FQ591" s="67"/>
      <c r="FR591" s="67"/>
      <c r="FS591" s="67"/>
      <c r="FT591" s="67"/>
      <c r="FU591" s="67"/>
      <c r="FV591" s="67"/>
      <c r="FW591" s="67"/>
      <c r="FX591" s="67"/>
      <c r="FY591" s="67"/>
      <c r="FZ591" s="67"/>
      <c r="GA591" s="67"/>
      <c r="GB591" s="67"/>
      <c r="GC591" s="67"/>
      <c r="GD591" s="67"/>
      <c r="GE591" s="67"/>
      <c r="GF591" s="67"/>
      <c r="GG591" s="67"/>
      <c r="GH591" s="67"/>
      <c r="GI591" s="67"/>
      <c r="GJ591" s="67"/>
      <c r="GK591" s="67"/>
      <c r="GL591" s="67"/>
      <c r="GM591" s="67"/>
      <c r="GN591" s="67"/>
      <c r="GO591" s="67"/>
      <c r="GP591" s="67"/>
    </row>
    <row r="592" spans="5:198" s="66" customFormat="1">
      <c r="E592" s="67"/>
      <c r="G592" s="67"/>
      <c r="H592" s="67"/>
      <c r="I592" s="67"/>
      <c r="J592" s="67"/>
      <c r="K592" s="67"/>
      <c r="L592" s="67"/>
      <c r="M592" s="67"/>
      <c r="N592" s="67"/>
      <c r="O592" s="78"/>
      <c r="P592" s="78"/>
      <c r="S592" s="78"/>
      <c r="T592" s="78"/>
      <c r="U592" s="79"/>
      <c r="V592" s="65"/>
      <c r="Y592" s="78"/>
      <c r="Z592" s="78"/>
      <c r="AA592" s="78"/>
      <c r="AB592" s="78"/>
      <c r="AC592" s="78"/>
      <c r="AD592" s="78"/>
      <c r="AE592" s="78"/>
      <c r="AF592" s="78"/>
      <c r="AG592" s="79"/>
      <c r="AH592" s="65"/>
      <c r="AJ592" s="85"/>
      <c r="AK592" s="78"/>
      <c r="AL592" s="78"/>
      <c r="AM592" s="78"/>
      <c r="AN592" s="78"/>
      <c r="AO592" s="78"/>
      <c r="AP592" s="78"/>
      <c r="AQ592" s="79"/>
      <c r="AR592" s="65"/>
      <c r="AT592" s="85"/>
      <c r="AU592" s="78"/>
      <c r="AV592" s="78"/>
      <c r="AW592" s="78"/>
      <c r="AX592" s="78"/>
      <c r="AY592" s="78"/>
      <c r="AZ592" s="79"/>
      <c r="BA592" s="65"/>
      <c r="BC592" s="85"/>
      <c r="BD592" s="78"/>
      <c r="BE592" s="78"/>
      <c r="BF592" s="78"/>
      <c r="BG592" s="78"/>
      <c r="BH592" s="78"/>
      <c r="BI592" s="78"/>
      <c r="BJ592" s="79"/>
      <c r="BK592" s="65"/>
      <c r="CU592" s="67"/>
      <c r="EC592" s="67"/>
      <c r="FK592" s="67"/>
      <c r="FL592" s="67"/>
      <c r="FM592" s="67"/>
      <c r="FN592" s="67"/>
      <c r="FO592" s="67"/>
      <c r="FP592" s="67"/>
      <c r="FQ592" s="67"/>
      <c r="FR592" s="67"/>
      <c r="FS592" s="67"/>
      <c r="FT592" s="67"/>
      <c r="FU592" s="67"/>
      <c r="FV592" s="67"/>
      <c r="FW592" s="67"/>
      <c r="FX592" s="67"/>
      <c r="FY592" s="67"/>
      <c r="FZ592" s="67"/>
      <c r="GA592" s="67"/>
      <c r="GB592" s="67"/>
      <c r="GC592" s="67"/>
      <c r="GD592" s="67"/>
      <c r="GE592" s="67"/>
      <c r="GF592" s="67"/>
      <c r="GG592" s="67"/>
      <c r="GH592" s="67"/>
      <c r="GI592" s="67"/>
      <c r="GJ592" s="67"/>
      <c r="GK592" s="67"/>
      <c r="GL592" s="67"/>
      <c r="GM592" s="67"/>
      <c r="GN592" s="67"/>
      <c r="GO592" s="67"/>
      <c r="GP592" s="67"/>
    </row>
    <row r="593" spans="5:198" s="66" customFormat="1">
      <c r="E593" s="67"/>
      <c r="G593" s="67"/>
      <c r="H593" s="67"/>
      <c r="I593" s="67"/>
      <c r="J593" s="67"/>
      <c r="K593" s="67"/>
      <c r="L593" s="67"/>
      <c r="M593" s="67"/>
      <c r="N593" s="67"/>
      <c r="O593" s="78"/>
      <c r="P593" s="78"/>
      <c r="S593" s="78"/>
      <c r="T593" s="78"/>
      <c r="U593" s="79"/>
      <c r="V593" s="65"/>
      <c r="Y593" s="78"/>
      <c r="Z593" s="78"/>
      <c r="AA593" s="78"/>
      <c r="AB593" s="78"/>
      <c r="AC593" s="78"/>
      <c r="AD593" s="78"/>
      <c r="AE593" s="78"/>
      <c r="AF593" s="78"/>
      <c r="AG593" s="79"/>
      <c r="AH593" s="65"/>
      <c r="AJ593" s="85"/>
      <c r="AK593" s="78"/>
      <c r="AL593" s="78"/>
      <c r="AM593" s="78"/>
      <c r="AN593" s="78"/>
      <c r="AO593" s="78"/>
      <c r="AP593" s="78"/>
      <c r="AQ593" s="79"/>
      <c r="AR593" s="65"/>
      <c r="AT593" s="85"/>
      <c r="AU593" s="78"/>
      <c r="AV593" s="78"/>
      <c r="AW593" s="78"/>
      <c r="AX593" s="78"/>
      <c r="AY593" s="78"/>
      <c r="AZ593" s="79"/>
      <c r="BA593" s="65"/>
      <c r="BC593" s="85"/>
      <c r="BD593" s="78"/>
      <c r="BE593" s="78"/>
      <c r="BF593" s="78"/>
      <c r="BG593" s="78"/>
      <c r="BH593" s="78"/>
      <c r="BI593" s="78"/>
      <c r="BJ593" s="79"/>
      <c r="BK593" s="65"/>
      <c r="CU593" s="67"/>
      <c r="EC593" s="67"/>
      <c r="FK593" s="67"/>
      <c r="FL593" s="67"/>
      <c r="FM593" s="67"/>
      <c r="FN593" s="67"/>
      <c r="FO593" s="67"/>
      <c r="FP593" s="67"/>
      <c r="FQ593" s="67"/>
      <c r="FR593" s="67"/>
      <c r="FS593" s="67"/>
      <c r="FT593" s="67"/>
      <c r="FU593" s="67"/>
      <c r="FV593" s="67"/>
      <c r="FW593" s="67"/>
      <c r="FX593" s="67"/>
      <c r="FY593" s="67"/>
      <c r="FZ593" s="67"/>
      <c r="GA593" s="67"/>
      <c r="GB593" s="67"/>
      <c r="GC593" s="67"/>
      <c r="GD593" s="67"/>
      <c r="GE593" s="67"/>
      <c r="GF593" s="67"/>
      <c r="GG593" s="67"/>
      <c r="GH593" s="67"/>
      <c r="GI593" s="67"/>
      <c r="GJ593" s="67"/>
      <c r="GK593" s="67"/>
      <c r="GL593" s="67"/>
      <c r="GM593" s="67"/>
      <c r="GN593" s="67"/>
      <c r="GO593" s="67"/>
      <c r="GP593" s="67"/>
    </row>
    <row r="594" spans="5:198" s="66" customFormat="1">
      <c r="E594" s="67"/>
      <c r="G594" s="67"/>
      <c r="H594" s="67"/>
      <c r="I594" s="67"/>
      <c r="J594" s="67"/>
      <c r="K594" s="67"/>
      <c r="L594" s="67"/>
      <c r="M594" s="67"/>
      <c r="N594" s="67"/>
      <c r="O594" s="78"/>
      <c r="P594" s="78"/>
      <c r="S594" s="78"/>
      <c r="T594" s="78"/>
      <c r="U594" s="79"/>
      <c r="V594" s="65"/>
      <c r="Y594" s="78"/>
      <c r="Z594" s="78"/>
      <c r="AA594" s="78"/>
      <c r="AB594" s="78"/>
      <c r="AC594" s="78"/>
      <c r="AD594" s="78"/>
      <c r="AE594" s="78"/>
      <c r="AF594" s="78"/>
      <c r="AG594" s="79"/>
      <c r="AH594" s="65"/>
      <c r="AJ594" s="85"/>
      <c r="AK594" s="78"/>
      <c r="AL594" s="78"/>
      <c r="AM594" s="78"/>
      <c r="AN594" s="78"/>
      <c r="AO594" s="78"/>
      <c r="AP594" s="78"/>
      <c r="AQ594" s="79"/>
      <c r="AR594" s="65"/>
      <c r="AT594" s="85"/>
      <c r="AU594" s="78"/>
      <c r="AV594" s="78"/>
      <c r="AW594" s="78"/>
      <c r="AX594" s="78"/>
      <c r="AY594" s="78"/>
      <c r="AZ594" s="79"/>
      <c r="BA594" s="65"/>
      <c r="BC594" s="85"/>
      <c r="BD594" s="78"/>
      <c r="BE594" s="78"/>
      <c r="BF594" s="78"/>
      <c r="BG594" s="78"/>
      <c r="BH594" s="78"/>
      <c r="BI594" s="78"/>
      <c r="BJ594" s="79"/>
      <c r="BK594" s="65"/>
      <c r="CU594" s="67"/>
      <c r="EC594" s="67"/>
      <c r="FK594" s="67"/>
      <c r="FL594" s="67"/>
      <c r="FM594" s="67"/>
      <c r="FN594" s="67"/>
      <c r="FO594" s="67"/>
      <c r="FP594" s="67"/>
      <c r="FQ594" s="67"/>
      <c r="FR594" s="67"/>
      <c r="FS594" s="67"/>
      <c r="FT594" s="67"/>
      <c r="FU594" s="67"/>
      <c r="FV594" s="67"/>
      <c r="FW594" s="67"/>
      <c r="FX594" s="67"/>
      <c r="FY594" s="67"/>
      <c r="FZ594" s="67"/>
      <c r="GA594" s="67"/>
      <c r="GB594" s="67"/>
      <c r="GC594" s="67"/>
      <c r="GD594" s="67"/>
      <c r="GE594" s="67"/>
      <c r="GF594" s="67"/>
      <c r="GG594" s="67"/>
      <c r="GH594" s="67"/>
      <c r="GI594" s="67"/>
      <c r="GJ594" s="67"/>
      <c r="GK594" s="67"/>
      <c r="GL594" s="67"/>
      <c r="GM594" s="67"/>
      <c r="GN594" s="67"/>
      <c r="GO594" s="67"/>
      <c r="GP594" s="67"/>
    </row>
    <row r="595" spans="5:198" s="66" customFormat="1">
      <c r="E595" s="67"/>
      <c r="G595" s="67"/>
      <c r="H595" s="67"/>
      <c r="I595" s="67"/>
      <c r="J595" s="67"/>
      <c r="K595" s="67"/>
      <c r="L595" s="67"/>
      <c r="M595" s="67"/>
      <c r="N595" s="67"/>
      <c r="O595" s="78"/>
      <c r="P595" s="78"/>
      <c r="S595" s="78"/>
      <c r="T595" s="78"/>
      <c r="U595" s="79"/>
      <c r="V595" s="65"/>
      <c r="Y595" s="78"/>
      <c r="Z595" s="78"/>
      <c r="AA595" s="78"/>
      <c r="AB595" s="78"/>
      <c r="AC595" s="78"/>
      <c r="AD595" s="78"/>
      <c r="AE595" s="78"/>
      <c r="AF595" s="78"/>
      <c r="AG595" s="79"/>
      <c r="AH595" s="65"/>
      <c r="AJ595" s="85"/>
      <c r="AK595" s="78"/>
      <c r="AL595" s="78"/>
      <c r="AM595" s="78"/>
      <c r="AN595" s="78"/>
      <c r="AO595" s="78"/>
      <c r="AP595" s="78"/>
      <c r="AQ595" s="79"/>
      <c r="AR595" s="65"/>
      <c r="AT595" s="85"/>
      <c r="AU595" s="78"/>
      <c r="AV595" s="78"/>
      <c r="AW595" s="78"/>
      <c r="AX595" s="78"/>
      <c r="AY595" s="78"/>
      <c r="AZ595" s="79"/>
      <c r="BA595" s="65"/>
      <c r="BC595" s="85"/>
      <c r="BD595" s="78"/>
      <c r="BE595" s="78"/>
      <c r="BF595" s="78"/>
      <c r="BG595" s="78"/>
      <c r="BH595" s="78"/>
      <c r="BI595" s="78"/>
      <c r="BJ595" s="79"/>
      <c r="BK595" s="65"/>
      <c r="CU595" s="67"/>
      <c r="EC595" s="67"/>
      <c r="FK595" s="67"/>
      <c r="FL595" s="67"/>
      <c r="FM595" s="67"/>
      <c r="FN595" s="67"/>
      <c r="FO595" s="67"/>
      <c r="FP595" s="67"/>
      <c r="FQ595" s="67"/>
      <c r="FR595" s="67"/>
      <c r="FS595" s="67"/>
      <c r="FT595" s="67"/>
      <c r="FU595" s="67"/>
      <c r="FV595" s="67"/>
      <c r="FW595" s="67"/>
      <c r="FX595" s="67"/>
      <c r="FY595" s="67"/>
      <c r="FZ595" s="67"/>
      <c r="GA595" s="67"/>
      <c r="GB595" s="67"/>
      <c r="GC595" s="67"/>
      <c r="GD595" s="67"/>
      <c r="GE595" s="67"/>
      <c r="GF595" s="67"/>
      <c r="GG595" s="67"/>
      <c r="GH595" s="67"/>
      <c r="GI595" s="67"/>
      <c r="GJ595" s="67"/>
      <c r="GK595" s="67"/>
      <c r="GL595" s="67"/>
      <c r="GM595" s="67"/>
      <c r="GN595" s="67"/>
      <c r="GO595" s="67"/>
      <c r="GP595" s="67"/>
    </row>
    <row r="596" spans="5:198" s="66" customFormat="1">
      <c r="E596" s="67"/>
      <c r="G596" s="67"/>
      <c r="H596" s="67"/>
      <c r="I596" s="67"/>
      <c r="J596" s="67"/>
      <c r="K596" s="67"/>
      <c r="L596" s="67"/>
      <c r="M596" s="67"/>
      <c r="N596" s="67"/>
      <c r="O596" s="78"/>
      <c r="P596" s="78"/>
      <c r="S596" s="78"/>
      <c r="T596" s="78"/>
      <c r="U596" s="79"/>
      <c r="V596" s="65"/>
      <c r="Y596" s="78"/>
      <c r="Z596" s="78"/>
      <c r="AA596" s="78"/>
      <c r="AB596" s="78"/>
      <c r="AC596" s="78"/>
      <c r="AD596" s="78"/>
      <c r="AE596" s="78"/>
      <c r="AF596" s="78"/>
      <c r="AG596" s="79"/>
      <c r="AH596" s="65"/>
      <c r="AJ596" s="85"/>
      <c r="AK596" s="78"/>
      <c r="AL596" s="78"/>
      <c r="AM596" s="78"/>
      <c r="AN596" s="78"/>
      <c r="AO596" s="78"/>
      <c r="AP596" s="78"/>
      <c r="AQ596" s="79"/>
      <c r="AR596" s="65"/>
      <c r="AT596" s="85"/>
      <c r="AU596" s="78"/>
      <c r="AV596" s="78"/>
      <c r="AW596" s="78"/>
      <c r="AX596" s="78"/>
      <c r="AY596" s="78"/>
      <c r="AZ596" s="79"/>
      <c r="BA596" s="65"/>
      <c r="BC596" s="85"/>
      <c r="BD596" s="78"/>
      <c r="BE596" s="78"/>
      <c r="BF596" s="78"/>
      <c r="BG596" s="78"/>
      <c r="BH596" s="78"/>
      <c r="BI596" s="78"/>
      <c r="BJ596" s="79"/>
      <c r="BK596" s="65"/>
      <c r="CU596" s="67"/>
      <c r="EC596" s="67"/>
      <c r="FK596" s="67"/>
      <c r="FL596" s="67"/>
      <c r="FM596" s="67"/>
      <c r="FN596" s="67"/>
      <c r="FO596" s="67"/>
      <c r="FP596" s="67"/>
      <c r="FQ596" s="67"/>
      <c r="FR596" s="67"/>
      <c r="FS596" s="67"/>
      <c r="FT596" s="67"/>
      <c r="FU596" s="67"/>
      <c r="FV596" s="67"/>
      <c r="FW596" s="67"/>
      <c r="FX596" s="67"/>
      <c r="FY596" s="67"/>
      <c r="FZ596" s="67"/>
      <c r="GA596" s="67"/>
      <c r="GB596" s="67"/>
      <c r="GC596" s="67"/>
      <c r="GD596" s="67"/>
      <c r="GE596" s="67"/>
      <c r="GF596" s="67"/>
      <c r="GG596" s="67"/>
      <c r="GH596" s="67"/>
      <c r="GI596" s="67"/>
      <c r="GJ596" s="67"/>
      <c r="GK596" s="67"/>
      <c r="GL596" s="67"/>
      <c r="GM596" s="67"/>
      <c r="GN596" s="67"/>
      <c r="GO596" s="67"/>
      <c r="GP596" s="67"/>
    </row>
    <row r="597" spans="5:198" s="66" customFormat="1">
      <c r="E597" s="67"/>
      <c r="G597" s="67"/>
      <c r="H597" s="67"/>
      <c r="I597" s="67"/>
      <c r="J597" s="67"/>
      <c r="K597" s="67"/>
      <c r="L597" s="67"/>
      <c r="M597" s="67"/>
      <c r="N597" s="67"/>
      <c r="O597" s="78"/>
      <c r="P597" s="78"/>
      <c r="S597" s="78"/>
      <c r="T597" s="78"/>
      <c r="U597" s="79"/>
      <c r="V597" s="65"/>
      <c r="Y597" s="78"/>
      <c r="Z597" s="78"/>
      <c r="AA597" s="78"/>
      <c r="AB597" s="78"/>
      <c r="AC597" s="78"/>
      <c r="AD597" s="78"/>
      <c r="AE597" s="78"/>
      <c r="AF597" s="78"/>
      <c r="AG597" s="79"/>
      <c r="AH597" s="65"/>
      <c r="AJ597" s="85"/>
      <c r="AK597" s="78"/>
      <c r="AL597" s="78"/>
      <c r="AM597" s="78"/>
      <c r="AN597" s="78"/>
      <c r="AO597" s="78"/>
      <c r="AP597" s="78"/>
      <c r="AQ597" s="79"/>
      <c r="AR597" s="65"/>
      <c r="AT597" s="85"/>
      <c r="AU597" s="78"/>
      <c r="AV597" s="78"/>
      <c r="AW597" s="78"/>
      <c r="AX597" s="78"/>
      <c r="AY597" s="78"/>
      <c r="AZ597" s="79"/>
      <c r="BA597" s="65"/>
      <c r="BC597" s="85"/>
      <c r="BD597" s="78"/>
      <c r="BE597" s="78"/>
      <c r="BF597" s="78"/>
      <c r="BG597" s="78"/>
      <c r="BH597" s="78"/>
      <c r="BI597" s="78"/>
      <c r="BJ597" s="79"/>
      <c r="BK597" s="65"/>
      <c r="CU597" s="67"/>
      <c r="EC597" s="67"/>
      <c r="FK597" s="67"/>
      <c r="FL597" s="67"/>
      <c r="FM597" s="67"/>
      <c r="FN597" s="67"/>
      <c r="FO597" s="67"/>
      <c r="FP597" s="67"/>
      <c r="FQ597" s="67"/>
      <c r="FR597" s="67"/>
      <c r="FS597" s="67"/>
      <c r="FT597" s="67"/>
      <c r="FU597" s="67"/>
      <c r="FV597" s="67"/>
      <c r="FW597" s="67"/>
      <c r="FX597" s="67"/>
      <c r="FY597" s="67"/>
      <c r="FZ597" s="67"/>
      <c r="GA597" s="67"/>
      <c r="GB597" s="67"/>
      <c r="GC597" s="67"/>
      <c r="GD597" s="67"/>
      <c r="GE597" s="67"/>
      <c r="GF597" s="67"/>
      <c r="GG597" s="67"/>
      <c r="GH597" s="67"/>
      <c r="GI597" s="67"/>
      <c r="GJ597" s="67"/>
      <c r="GK597" s="67"/>
      <c r="GL597" s="67"/>
      <c r="GM597" s="67"/>
      <c r="GN597" s="67"/>
      <c r="GO597" s="67"/>
      <c r="GP597" s="67"/>
    </row>
    <row r="598" spans="5:198" s="66" customFormat="1">
      <c r="E598" s="67"/>
      <c r="G598" s="67"/>
      <c r="H598" s="67"/>
      <c r="I598" s="67"/>
      <c r="J598" s="67"/>
      <c r="K598" s="67"/>
      <c r="L598" s="67"/>
      <c r="M598" s="67"/>
      <c r="N598" s="67"/>
      <c r="O598" s="78"/>
      <c r="P598" s="78"/>
      <c r="S598" s="78"/>
      <c r="T598" s="78"/>
      <c r="U598" s="79"/>
      <c r="V598" s="65"/>
      <c r="Y598" s="78"/>
      <c r="Z598" s="78"/>
      <c r="AA598" s="78"/>
      <c r="AB598" s="78"/>
      <c r="AC598" s="78"/>
      <c r="AD598" s="78"/>
      <c r="AE598" s="78"/>
      <c r="AF598" s="78"/>
      <c r="AG598" s="79"/>
      <c r="AH598" s="65"/>
      <c r="AJ598" s="85"/>
      <c r="AK598" s="78"/>
      <c r="AL598" s="78"/>
      <c r="AM598" s="78"/>
      <c r="AN598" s="78"/>
      <c r="AO598" s="78"/>
      <c r="AP598" s="78"/>
      <c r="AQ598" s="79"/>
      <c r="AR598" s="65"/>
      <c r="AT598" s="85"/>
      <c r="AU598" s="78"/>
      <c r="AV598" s="78"/>
      <c r="AW598" s="78"/>
      <c r="AX598" s="78"/>
      <c r="AY598" s="78"/>
      <c r="AZ598" s="79"/>
      <c r="BA598" s="65"/>
      <c r="BC598" s="85"/>
      <c r="BD598" s="78"/>
      <c r="BE598" s="78"/>
      <c r="BF598" s="78"/>
      <c r="BG598" s="78"/>
      <c r="BH598" s="78"/>
      <c r="BI598" s="78"/>
      <c r="BJ598" s="79"/>
      <c r="BK598" s="65"/>
      <c r="CU598" s="67"/>
      <c r="EC598" s="67"/>
      <c r="FK598" s="67"/>
      <c r="FL598" s="67"/>
      <c r="FM598" s="67"/>
      <c r="FN598" s="67"/>
      <c r="FO598" s="67"/>
      <c r="FP598" s="67"/>
      <c r="FQ598" s="67"/>
      <c r="FR598" s="67"/>
      <c r="FS598" s="67"/>
      <c r="FT598" s="67"/>
      <c r="FU598" s="67"/>
      <c r="FV598" s="67"/>
      <c r="FW598" s="67"/>
      <c r="FX598" s="67"/>
      <c r="FY598" s="67"/>
      <c r="FZ598" s="67"/>
      <c r="GA598" s="67"/>
      <c r="GB598" s="67"/>
      <c r="GC598" s="67"/>
      <c r="GD598" s="67"/>
      <c r="GE598" s="67"/>
      <c r="GF598" s="67"/>
      <c r="GG598" s="67"/>
      <c r="GH598" s="67"/>
      <c r="GI598" s="67"/>
      <c r="GJ598" s="67"/>
      <c r="GK598" s="67"/>
      <c r="GL598" s="67"/>
      <c r="GM598" s="67"/>
      <c r="GN598" s="67"/>
      <c r="GO598" s="67"/>
      <c r="GP598" s="67"/>
    </row>
    <row r="599" spans="5:198" s="66" customFormat="1">
      <c r="E599" s="67"/>
      <c r="G599" s="67"/>
      <c r="H599" s="67"/>
      <c r="I599" s="67"/>
      <c r="J599" s="67"/>
      <c r="K599" s="67"/>
      <c r="L599" s="67"/>
      <c r="M599" s="67"/>
      <c r="N599" s="67"/>
      <c r="O599" s="78"/>
      <c r="P599" s="78"/>
      <c r="S599" s="78"/>
      <c r="T599" s="78"/>
      <c r="U599" s="79"/>
      <c r="V599" s="65"/>
      <c r="Y599" s="78"/>
      <c r="Z599" s="78"/>
      <c r="AA599" s="78"/>
      <c r="AB599" s="78"/>
      <c r="AC599" s="78"/>
      <c r="AD599" s="78"/>
      <c r="AE599" s="78"/>
      <c r="AF599" s="78"/>
      <c r="AG599" s="79"/>
      <c r="AH599" s="65"/>
      <c r="AJ599" s="85"/>
      <c r="AK599" s="78"/>
      <c r="AL599" s="78"/>
      <c r="AM599" s="78"/>
      <c r="AN599" s="78"/>
      <c r="AO599" s="78"/>
      <c r="AP599" s="78"/>
      <c r="AQ599" s="79"/>
      <c r="AR599" s="65"/>
      <c r="AT599" s="85"/>
      <c r="AU599" s="78"/>
      <c r="AV599" s="78"/>
      <c r="AW599" s="78"/>
      <c r="AX599" s="78"/>
      <c r="AY599" s="78"/>
      <c r="AZ599" s="79"/>
      <c r="BA599" s="65"/>
      <c r="BC599" s="85"/>
      <c r="BD599" s="78"/>
      <c r="BE599" s="78"/>
      <c r="BF599" s="78"/>
      <c r="BG599" s="78"/>
      <c r="BH599" s="78"/>
      <c r="BI599" s="78"/>
      <c r="BJ599" s="79"/>
      <c r="BK599" s="65"/>
      <c r="CU599" s="67"/>
      <c r="EC599" s="67"/>
      <c r="FK599" s="67"/>
      <c r="FL599" s="67"/>
      <c r="FM599" s="67"/>
      <c r="FN599" s="67"/>
      <c r="FO599" s="67"/>
      <c r="FP599" s="67"/>
      <c r="FQ599" s="67"/>
      <c r="FR599" s="67"/>
      <c r="FS599" s="67"/>
      <c r="FT599" s="67"/>
      <c r="FU599" s="67"/>
      <c r="FV599" s="67"/>
      <c r="FW599" s="67"/>
      <c r="FX599" s="67"/>
      <c r="FY599" s="67"/>
      <c r="FZ599" s="67"/>
      <c r="GA599" s="67"/>
      <c r="GB599" s="67"/>
      <c r="GC599" s="67"/>
      <c r="GD599" s="67"/>
      <c r="GE599" s="67"/>
      <c r="GF599" s="67"/>
      <c r="GG599" s="67"/>
      <c r="GH599" s="67"/>
      <c r="GI599" s="67"/>
      <c r="GJ599" s="67"/>
      <c r="GK599" s="67"/>
      <c r="GL599" s="67"/>
      <c r="GM599" s="67"/>
      <c r="GN599" s="67"/>
      <c r="GO599" s="67"/>
      <c r="GP599" s="67"/>
    </row>
    <row r="600" spans="5:198" s="66" customFormat="1">
      <c r="E600" s="67"/>
      <c r="G600" s="67"/>
      <c r="H600" s="67"/>
      <c r="I600" s="67"/>
      <c r="J600" s="67"/>
      <c r="K600" s="67"/>
      <c r="L600" s="67"/>
      <c r="M600" s="67"/>
      <c r="N600" s="67"/>
      <c r="O600" s="78"/>
      <c r="P600" s="78"/>
      <c r="S600" s="78"/>
      <c r="T600" s="78"/>
      <c r="U600" s="79"/>
      <c r="V600" s="65"/>
      <c r="Y600" s="78"/>
      <c r="Z600" s="78"/>
      <c r="AA600" s="78"/>
      <c r="AB600" s="78"/>
      <c r="AC600" s="78"/>
      <c r="AD600" s="78"/>
      <c r="AE600" s="78"/>
      <c r="AF600" s="78"/>
      <c r="AG600" s="79"/>
      <c r="AH600" s="65"/>
      <c r="AJ600" s="85"/>
      <c r="AK600" s="78"/>
      <c r="AL600" s="78"/>
      <c r="AM600" s="78"/>
      <c r="AN600" s="78"/>
      <c r="AO600" s="78"/>
      <c r="AP600" s="78"/>
      <c r="AQ600" s="79"/>
      <c r="AR600" s="65"/>
      <c r="AT600" s="85"/>
      <c r="AU600" s="78"/>
      <c r="AV600" s="78"/>
      <c r="AW600" s="78"/>
      <c r="AX600" s="78"/>
      <c r="AY600" s="78"/>
      <c r="AZ600" s="79"/>
      <c r="BA600" s="65"/>
      <c r="BC600" s="85"/>
      <c r="BD600" s="78"/>
      <c r="BE600" s="78"/>
      <c r="BF600" s="78"/>
      <c r="BG600" s="78"/>
      <c r="BH600" s="78"/>
      <c r="BI600" s="78"/>
      <c r="BJ600" s="79"/>
      <c r="BK600" s="65"/>
      <c r="CU600" s="67"/>
      <c r="EC600" s="67"/>
      <c r="FK600" s="67"/>
      <c r="FL600" s="67"/>
      <c r="FM600" s="67"/>
      <c r="FN600" s="67"/>
      <c r="FO600" s="67"/>
      <c r="FP600" s="67"/>
      <c r="FQ600" s="67"/>
      <c r="FR600" s="67"/>
      <c r="FS600" s="67"/>
      <c r="FT600" s="67"/>
      <c r="FU600" s="67"/>
      <c r="FV600" s="67"/>
      <c r="FW600" s="67"/>
      <c r="FX600" s="67"/>
      <c r="FY600" s="67"/>
      <c r="FZ600" s="67"/>
      <c r="GA600" s="67"/>
      <c r="GB600" s="67"/>
      <c r="GC600" s="67"/>
      <c r="GD600" s="67"/>
      <c r="GE600" s="67"/>
      <c r="GF600" s="67"/>
      <c r="GG600" s="67"/>
      <c r="GH600" s="67"/>
      <c r="GI600" s="67"/>
      <c r="GJ600" s="67"/>
      <c r="GK600" s="67"/>
      <c r="GL600" s="67"/>
      <c r="GM600" s="67"/>
      <c r="GN600" s="67"/>
      <c r="GO600" s="67"/>
      <c r="GP600" s="67"/>
    </row>
    <row r="601" spans="5:198" s="66" customFormat="1">
      <c r="E601" s="67"/>
      <c r="G601" s="67"/>
      <c r="H601" s="67"/>
      <c r="I601" s="67"/>
      <c r="J601" s="67"/>
      <c r="K601" s="67"/>
      <c r="L601" s="67"/>
      <c r="M601" s="67"/>
      <c r="N601" s="67"/>
      <c r="O601" s="78"/>
      <c r="P601" s="78"/>
      <c r="S601" s="78"/>
      <c r="T601" s="78"/>
      <c r="U601" s="79"/>
      <c r="V601" s="65"/>
      <c r="Y601" s="78"/>
      <c r="Z601" s="78"/>
      <c r="AA601" s="78"/>
      <c r="AB601" s="78"/>
      <c r="AC601" s="78"/>
      <c r="AD601" s="78"/>
      <c r="AE601" s="78"/>
      <c r="AF601" s="78"/>
      <c r="AG601" s="79"/>
      <c r="AH601" s="65"/>
      <c r="AJ601" s="85"/>
      <c r="AK601" s="78"/>
      <c r="AL601" s="78"/>
      <c r="AM601" s="78"/>
      <c r="AN601" s="78"/>
      <c r="AO601" s="78"/>
      <c r="AP601" s="78"/>
      <c r="AQ601" s="79"/>
      <c r="AR601" s="65"/>
      <c r="AT601" s="85"/>
      <c r="AU601" s="78"/>
      <c r="AV601" s="78"/>
      <c r="AW601" s="78"/>
      <c r="AX601" s="78"/>
      <c r="AY601" s="78"/>
      <c r="AZ601" s="79"/>
      <c r="BA601" s="65"/>
      <c r="BC601" s="85"/>
      <c r="BD601" s="78"/>
      <c r="BE601" s="78"/>
      <c r="BF601" s="78"/>
      <c r="BG601" s="78"/>
      <c r="BH601" s="78"/>
      <c r="BI601" s="78"/>
      <c r="BJ601" s="79"/>
      <c r="BK601" s="65"/>
      <c r="CU601" s="67"/>
      <c r="EC601" s="67"/>
      <c r="FK601" s="67"/>
      <c r="FL601" s="67"/>
      <c r="FM601" s="67"/>
      <c r="FN601" s="67"/>
      <c r="FO601" s="67"/>
      <c r="FP601" s="67"/>
      <c r="FQ601" s="67"/>
      <c r="FR601" s="67"/>
      <c r="FS601" s="67"/>
      <c r="FT601" s="67"/>
      <c r="FU601" s="67"/>
      <c r="FV601" s="67"/>
      <c r="FW601" s="67"/>
      <c r="FX601" s="67"/>
      <c r="FY601" s="67"/>
      <c r="FZ601" s="67"/>
      <c r="GA601" s="67"/>
      <c r="GB601" s="67"/>
      <c r="GC601" s="67"/>
      <c r="GD601" s="67"/>
      <c r="GE601" s="67"/>
      <c r="GF601" s="67"/>
      <c r="GG601" s="67"/>
      <c r="GH601" s="67"/>
      <c r="GI601" s="67"/>
      <c r="GJ601" s="67"/>
      <c r="GK601" s="67"/>
      <c r="GL601" s="67"/>
      <c r="GM601" s="67"/>
      <c r="GN601" s="67"/>
      <c r="GO601" s="67"/>
      <c r="GP601" s="67"/>
    </row>
    <row r="602" spans="5:198" s="66" customFormat="1">
      <c r="E602" s="67"/>
      <c r="G602" s="67"/>
      <c r="H602" s="67"/>
      <c r="I602" s="67"/>
      <c r="J602" s="67"/>
      <c r="K602" s="67"/>
      <c r="L602" s="67"/>
      <c r="M602" s="67"/>
      <c r="N602" s="67"/>
      <c r="O602" s="78"/>
      <c r="P602" s="78"/>
      <c r="S602" s="78"/>
      <c r="T602" s="78"/>
      <c r="U602" s="79"/>
      <c r="V602" s="65"/>
      <c r="Y602" s="78"/>
      <c r="Z602" s="78"/>
      <c r="AA602" s="78"/>
      <c r="AB602" s="78"/>
      <c r="AC602" s="78"/>
      <c r="AD602" s="78"/>
      <c r="AE602" s="78"/>
      <c r="AF602" s="78"/>
      <c r="AG602" s="79"/>
      <c r="AH602" s="65"/>
      <c r="AJ602" s="85"/>
      <c r="AK602" s="78"/>
      <c r="AL602" s="78"/>
      <c r="AM602" s="78"/>
      <c r="AN602" s="78"/>
      <c r="AO602" s="78"/>
      <c r="AP602" s="78"/>
      <c r="AQ602" s="79"/>
      <c r="AR602" s="65"/>
      <c r="AT602" s="85"/>
      <c r="AU602" s="78"/>
      <c r="AV602" s="78"/>
      <c r="AW602" s="78"/>
      <c r="AX602" s="78"/>
      <c r="AY602" s="78"/>
      <c r="AZ602" s="79"/>
      <c r="BA602" s="65"/>
      <c r="BC602" s="85"/>
      <c r="BD602" s="78"/>
      <c r="BE602" s="78"/>
      <c r="BF602" s="78"/>
      <c r="BG602" s="78"/>
      <c r="BH602" s="78"/>
      <c r="BI602" s="78"/>
      <c r="BJ602" s="79"/>
      <c r="BK602" s="65"/>
      <c r="CU602" s="67"/>
      <c r="EC602" s="67"/>
      <c r="FK602" s="67"/>
      <c r="FL602" s="67"/>
      <c r="FM602" s="67"/>
      <c r="FN602" s="67"/>
      <c r="FO602" s="67"/>
      <c r="FP602" s="67"/>
      <c r="FQ602" s="67"/>
      <c r="FR602" s="67"/>
      <c r="FS602" s="67"/>
      <c r="FT602" s="67"/>
      <c r="FU602" s="67"/>
      <c r="FV602" s="67"/>
      <c r="FW602" s="67"/>
      <c r="FX602" s="67"/>
      <c r="FY602" s="67"/>
      <c r="FZ602" s="67"/>
      <c r="GA602" s="67"/>
      <c r="GB602" s="67"/>
      <c r="GC602" s="67"/>
      <c r="GD602" s="67"/>
      <c r="GE602" s="67"/>
      <c r="GF602" s="67"/>
      <c r="GG602" s="67"/>
      <c r="GH602" s="67"/>
      <c r="GI602" s="67"/>
      <c r="GJ602" s="67"/>
      <c r="GK602" s="67"/>
      <c r="GL602" s="67"/>
      <c r="GM602" s="67"/>
      <c r="GN602" s="67"/>
      <c r="GO602" s="67"/>
      <c r="GP602" s="67"/>
    </row>
    <row r="603" spans="5:198" s="66" customFormat="1">
      <c r="E603" s="67"/>
      <c r="G603" s="67"/>
      <c r="H603" s="67"/>
      <c r="I603" s="67"/>
      <c r="J603" s="67"/>
      <c r="K603" s="67"/>
      <c r="L603" s="67"/>
      <c r="M603" s="67"/>
      <c r="N603" s="67"/>
      <c r="O603" s="78"/>
      <c r="P603" s="78"/>
      <c r="S603" s="78"/>
      <c r="T603" s="78"/>
      <c r="U603" s="79"/>
      <c r="V603" s="65"/>
      <c r="Y603" s="78"/>
      <c r="Z603" s="78"/>
      <c r="AA603" s="78"/>
      <c r="AB603" s="78"/>
      <c r="AC603" s="78"/>
      <c r="AD603" s="78"/>
      <c r="AE603" s="78"/>
      <c r="AF603" s="78"/>
      <c r="AG603" s="79"/>
      <c r="AH603" s="65"/>
      <c r="AJ603" s="85"/>
      <c r="AK603" s="78"/>
      <c r="AL603" s="78"/>
      <c r="AM603" s="78"/>
      <c r="AN603" s="78"/>
      <c r="AO603" s="78"/>
      <c r="AP603" s="78"/>
      <c r="AQ603" s="79"/>
      <c r="AR603" s="65"/>
      <c r="AT603" s="85"/>
      <c r="AU603" s="78"/>
      <c r="AV603" s="78"/>
      <c r="AW603" s="78"/>
      <c r="AX603" s="78"/>
      <c r="AY603" s="78"/>
      <c r="AZ603" s="79"/>
      <c r="BA603" s="65"/>
      <c r="BC603" s="85"/>
      <c r="BD603" s="78"/>
      <c r="BE603" s="78"/>
      <c r="BF603" s="78"/>
      <c r="BG603" s="78"/>
      <c r="BH603" s="78"/>
      <c r="BI603" s="78"/>
      <c r="BJ603" s="79"/>
      <c r="BK603" s="65"/>
      <c r="CU603" s="67"/>
      <c r="EC603" s="67"/>
      <c r="FK603" s="67"/>
      <c r="FL603" s="67"/>
      <c r="FM603" s="67"/>
      <c r="FN603" s="67"/>
      <c r="FO603" s="67"/>
      <c r="FP603" s="67"/>
      <c r="FQ603" s="67"/>
      <c r="FR603" s="67"/>
      <c r="FS603" s="67"/>
      <c r="FT603" s="67"/>
      <c r="FU603" s="67"/>
      <c r="FV603" s="67"/>
      <c r="FW603" s="67"/>
      <c r="FX603" s="67"/>
      <c r="FY603" s="67"/>
      <c r="FZ603" s="67"/>
      <c r="GA603" s="67"/>
      <c r="GB603" s="67"/>
      <c r="GC603" s="67"/>
      <c r="GD603" s="67"/>
      <c r="GE603" s="67"/>
      <c r="GF603" s="67"/>
      <c r="GG603" s="67"/>
      <c r="GH603" s="67"/>
      <c r="GI603" s="67"/>
      <c r="GJ603" s="67"/>
      <c r="GK603" s="67"/>
      <c r="GL603" s="67"/>
      <c r="GM603" s="67"/>
      <c r="GN603" s="67"/>
      <c r="GO603" s="67"/>
      <c r="GP603" s="67"/>
    </row>
    <row r="604" spans="5:198" s="66" customFormat="1">
      <c r="E604" s="67"/>
      <c r="G604" s="67"/>
      <c r="H604" s="67"/>
      <c r="I604" s="67"/>
      <c r="J604" s="67"/>
      <c r="K604" s="67"/>
      <c r="L604" s="67"/>
      <c r="M604" s="67"/>
      <c r="N604" s="67"/>
      <c r="O604" s="78"/>
      <c r="P604" s="78"/>
      <c r="S604" s="78"/>
      <c r="T604" s="78"/>
      <c r="U604" s="79"/>
      <c r="V604" s="65"/>
      <c r="Y604" s="78"/>
      <c r="Z604" s="78"/>
      <c r="AA604" s="78"/>
      <c r="AB604" s="78"/>
      <c r="AC604" s="78"/>
      <c r="AD604" s="78"/>
      <c r="AE604" s="78"/>
      <c r="AF604" s="78"/>
      <c r="AG604" s="79"/>
      <c r="AH604" s="65"/>
      <c r="AJ604" s="85"/>
      <c r="AK604" s="78"/>
      <c r="AL604" s="78"/>
      <c r="AM604" s="78"/>
      <c r="AN604" s="78"/>
      <c r="AO604" s="78"/>
      <c r="AP604" s="78"/>
      <c r="AQ604" s="79"/>
      <c r="AR604" s="65"/>
      <c r="AT604" s="85"/>
      <c r="AU604" s="78"/>
      <c r="AV604" s="78"/>
      <c r="AW604" s="78"/>
      <c r="AX604" s="78"/>
      <c r="AY604" s="78"/>
      <c r="AZ604" s="79"/>
      <c r="BA604" s="65"/>
      <c r="BC604" s="85"/>
      <c r="BD604" s="78"/>
      <c r="BE604" s="78"/>
      <c r="BF604" s="78"/>
      <c r="BG604" s="78"/>
      <c r="BH604" s="78"/>
      <c r="BI604" s="78"/>
      <c r="BJ604" s="79"/>
      <c r="BK604" s="65"/>
      <c r="CU604" s="67"/>
      <c r="EC604" s="67"/>
      <c r="FK604" s="67"/>
      <c r="FL604" s="67"/>
      <c r="FM604" s="67"/>
      <c r="FN604" s="67"/>
      <c r="FO604" s="67"/>
      <c r="FP604" s="67"/>
      <c r="FQ604" s="67"/>
      <c r="FR604" s="67"/>
      <c r="FS604" s="67"/>
      <c r="FT604" s="67"/>
      <c r="FU604" s="67"/>
      <c r="FV604" s="67"/>
      <c r="FW604" s="67"/>
      <c r="FX604" s="67"/>
      <c r="FY604" s="67"/>
      <c r="FZ604" s="67"/>
      <c r="GA604" s="67"/>
      <c r="GB604" s="67"/>
      <c r="GC604" s="67"/>
      <c r="GD604" s="67"/>
      <c r="GE604" s="67"/>
      <c r="GF604" s="67"/>
      <c r="GG604" s="67"/>
      <c r="GH604" s="67"/>
      <c r="GI604" s="67"/>
      <c r="GJ604" s="67"/>
      <c r="GK604" s="67"/>
      <c r="GL604" s="67"/>
      <c r="GM604" s="67"/>
      <c r="GN604" s="67"/>
      <c r="GO604" s="67"/>
      <c r="GP604" s="67"/>
    </row>
    <row r="605" spans="5:198" s="66" customFormat="1">
      <c r="E605" s="67"/>
      <c r="G605" s="67"/>
      <c r="H605" s="67"/>
      <c r="I605" s="67"/>
      <c r="J605" s="67"/>
      <c r="K605" s="67"/>
      <c r="L605" s="67"/>
      <c r="M605" s="67"/>
      <c r="N605" s="67"/>
      <c r="O605" s="78"/>
      <c r="P605" s="78"/>
      <c r="S605" s="78"/>
      <c r="T605" s="78"/>
      <c r="U605" s="79"/>
      <c r="V605" s="65"/>
      <c r="Y605" s="78"/>
      <c r="Z605" s="78"/>
      <c r="AA605" s="78"/>
      <c r="AB605" s="78"/>
      <c r="AC605" s="78"/>
      <c r="AD605" s="78"/>
      <c r="AE605" s="78"/>
      <c r="AF605" s="78"/>
      <c r="AG605" s="79"/>
      <c r="AH605" s="65"/>
      <c r="AJ605" s="85"/>
      <c r="AK605" s="78"/>
      <c r="AL605" s="78"/>
      <c r="AM605" s="78"/>
      <c r="AN605" s="78"/>
      <c r="AO605" s="78"/>
      <c r="AP605" s="78"/>
      <c r="AQ605" s="79"/>
      <c r="AR605" s="65"/>
      <c r="AT605" s="85"/>
      <c r="AU605" s="78"/>
      <c r="AV605" s="78"/>
      <c r="AW605" s="78"/>
      <c r="AX605" s="78"/>
      <c r="AY605" s="78"/>
      <c r="AZ605" s="79"/>
      <c r="BA605" s="65"/>
      <c r="BC605" s="85"/>
      <c r="BD605" s="78"/>
      <c r="BE605" s="78"/>
      <c r="BF605" s="78"/>
      <c r="BG605" s="78"/>
      <c r="BH605" s="78"/>
      <c r="BI605" s="78"/>
      <c r="BJ605" s="79"/>
      <c r="BK605" s="65"/>
      <c r="CU605" s="67"/>
      <c r="EC605" s="67"/>
      <c r="FK605" s="67"/>
      <c r="FL605" s="67"/>
      <c r="FM605" s="67"/>
      <c r="FN605" s="67"/>
      <c r="FO605" s="67"/>
      <c r="FP605" s="67"/>
      <c r="FQ605" s="67"/>
      <c r="FR605" s="67"/>
      <c r="FS605" s="67"/>
      <c r="FT605" s="67"/>
      <c r="FU605" s="67"/>
      <c r="FV605" s="67"/>
      <c r="FW605" s="67"/>
      <c r="FX605" s="67"/>
      <c r="FY605" s="67"/>
      <c r="FZ605" s="67"/>
      <c r="GA605" s="67"/>
      <c r="GB605" s="67"/>
      <c r="GC605" s="67"/>
      <c r="GD605" s="67"/>
      <c r="GE605" s="67"/>
      <c r="GF605" s="67"/>
      <c r="GG605" s="67"/>
      <c r="GH605" s="67"/>
      <c r="GI605" s="67"/>
      <c r="GJ605" s="67"/>
      <c r="GK605" s="67"/>
      <c r="GL605" s="67"/>
      <c r="GM605" s="67"/>
      <c r="GN605" s="67"/>
      <c r="GO605" s="67"/>
      <c r="GP605" s="67"/>
    </row>
    <row r="606" spans="5:198" s="66" customFormat="1">
      <c r="E606" s="67"/>
      <c r="G606" s="67"/>
      <c r="H606" s="67"/>
      <c r="I606" s="67"/>
      <c r="J606" s="67"/>
      <c r="K606" s="67"/>
      <c r="L606" s="67"/>
      <c r="M606" s="67"/>
      <c r="N606" s="67"/>
      <c r="O606" s="78"/>
      <c r="P606" s="78"/>
      <c r="S606" s="78"/>
      <c r="T606" s="78"/>
      <c r="U606" s="79"/>
      <c r="V606" s="65"/>
      <c r="Y606" s="78"/>
      <c r="Z606" s="78"/>
      <c r="AA606" s="78"/>
      <c r="AB606" s="78"/>
      <c r="AC606" s="78"/>
      <c r="AD606" s="78"/>
      <c r="AE606" s="78"/>
      <c r="AF606" s="78"/>
      <c r="AG606" s="79"/>
      <c r="AH606" s="65"/>
      <c r="AJ606" s="85"/>
      <c r="AK606" s="78"/>
      <c r="AL606" s="78"/>
      <c r="AM606" s="78"/>
      <c r="AN606" s="78"/>
      <c r="AO606" s="78"/>
      <c r="AP606" s="78"/>
      <c r="AQ606" s="79"/>
      <c r="AR606" s="65"/>
      <c r="AT606" s="85"/>
      <c r="AU606" s="78"/>
      <c r="AV606" s="78"/>
      <c r="AW606" s="78"/>
      <c r="AX606" s="78"/>
      <c r="AY606" s="78"/>
      <c r="AZ606" s="79"/>
      <c r="BA606" s="65"/>
      <c r="BC606" s="85"/>
      <c r="BD606" s="78"/>
      <c r="BE606" s="78"/>
      <c r="BF606" s="78"/>
      <c r="BG606" s="78"/>
      <c r="BH606" s="78"/>
      <c r="BI606" s="78"/>
      <c r="BJ606" s="79"/>
      <c r="BK606" s="65"/>
      <c r="CU606" s="67"/>
      <c r="EC606" s="67"/>
      <c r="FK606" s="67"/>
      <c r="FL606" s="67"/>
      <c r="FM606" s="67"/>
      <c r="FN606" s="67"/>
      <c r="FO606" s="67"/>
      <c r="FP606" s="67"/>
      <c r="FQ606" s="67"/>
      <c r="FR606" s="67"/>
      <c r="FS606" s="67"/>
      <c r="FT606" s="67"/>
      <c r="FU606" s="67"/>
      <c r="FV606" s="67"/>
      <c r="FW606" s="67"/>
      <c r="FX606" s="67"/>
      <c r="FY606" s="67"/>
      <c r="FZ606" s="67"/>
      <c r="GA606" s="67"/>
      <c r="GB606" s="67"/>
      <c r="GC606" s="67"/>
      <c r="GD606" s="67"/>
      <c r="GE606" s="67"/>
      <c r="GF606" s="67"/>
      <c r="GG606" s="67"/>
      <c r="GH606" s="67"/>
      <c r="GI606" s="67"/>
      <c r="GJ606" s="67"/>
      <c r="GK606" s="67"/>
      <c r="GL606" s="67"/>
      <c r="GM606" s="67"/>
      <c r="GN606" s="67"/>
      <c r="GO606" s="67"/>
      <c r="GP606" s="67"/>
    </row>
    <row r="607" spans="5:198" s="66" customFormat="1">
      <c r="E607" s="67"/>
      <c r="G607" s="67"/>
      <c r="H607" s="67"/>
      <c r="I607" s="67"/>
      <c r="J607" s="67"/>
      <c r="K607" s="67"/>
      <c r="L607" s="67"/>
      <c r="M607" s="67"/>
      <c r="N607" s="67"/>
      <c r="O607" s="78"/>
      <c r="P607" s="78"/>
      <c r="S607" s="78"/>
      <c r="T607" s="78"/>
      <c r="U607" s="79"/>
      <c r="V607" s="65"/>
      <c r="Y607" s="78"/>
      <c r="Z607" s="78"/>
      <c r="AA607" s="78"/>
      <c r="AB607" s="78"/>
      <c r="AC607" s="78"/>
      <c r="AD607" s="78"/>
      <c r="AE607" s="78"/>
      <c r="AF607" s="78"/>
      <c r="AG607" s="79"/>
      <c r="AH607" s="65"/>
      <c r="AJ607" s="85"/>
      <c r="AK607" s="78"/>
      <c r="AL607" s="78"/>
      <c r="AM607" s="78"/>
      <c r="AN607" s="78"/>
      <c r="AO607" s="78"/>
      <c r="AP607" s="78"/>
      <c r="AQ607" s="79"/>
      <c r="AR607" s="65"/>
      <c r="AT607" s="85"/>
      <c r="AU607" s="78"/>
      <c r="AV607" s="78"/>
      <c r="AW607" s="78"/>
      <c r="AX607" s="78"/>
      <c r="AY607" s="78"/>
      <c r="AZ607" s="79"/>
      <c r="BA607" s="65"/>
      <c r="BC607" s="85"/>
      <c r="BD607" s="78"/>
      <c r="BE607" s="78"/>
      <c r="BF607" s="78"/>
      <c r="BG607" s="78"/>
      <c r="BH607" s="78"/>
      <c r="BI607" s="78"/>
      <c r="BJ607" s="79"/>
      <c r="BK607" s="65"/>
      <c r="CU607" s="67"/>
      <c r="EC607" s="67"/>
      <c r="FK607" s="67"/>
      <c r="FL607" s="67"/>
      <c r="FM607" s="67"/>
      <c r="FN607" s="67"/>
      <c r="FO607" s="67"/>
      <c r="FP607" s="67"/>
      <c r="FQ607" s="67"/>
      <c r="FR607" s="67"/>
      <c r="FS607" s="67"/>
      <c r="FT607" s="67"/>
      <c r="FU607" s="67"/>
      <c r="FV607" s="67"/>
      <c r="FW607" s="67"/>
      <c r="FX607" s="67"/>
      <c r="FY607" s="67"/>
      <c r="FZ607" s="67"/>
      <c r="GA607" s="67"/>
      <c r="GB607" s="67"/>
      <c r="GC607" s="67"/>
      <c r="GD607" s="67"/>
      <c r="GE607" s="67"/>
      <c r="GF607" s="67"/>
      <c r="GG607" s="67"/>
      <c r="GH607" s="67"/>
      <c r="GI607" s="67"/>
      <c r="GJ607" s="67"/>
      <c r="GK607" s="67"/>
      <c r="GL607" s="67"/>
      <c r="GM607" s="67"/>
      <c r="GN607" s="67"/>
      <c r="GO607" s="67"/>
      <c r="GP607" s="67"/>
    </row>
    <row r="608" spans="5:198" s="66" customFormat="1">
      <c r="E608" s="67"/>
      <c r="G608" s="67"/>
      <c r="H608" s="67"/>
      <c r="I608" s="67"/>
      <c r="J608" s="67"/>
      <c r="K608" s="67"/>
      <c r="L608" s="67"/>
      <c r="M608" s="67"/>
      <c r="N608" s="67"/>
      <c r="O608" s="78"/>
      <c r="P608" s="78"/>
      <c r="S608" s="78"/>
      <c r="T608" s="78"/>
      <c r="U608" s="79"/>
      <c r="V608" s="65"/>
      <c r="Y608" s="78"/>
      <c r="Z608" s="78"/>
      <c r="AA608" s="78"/>
      <c r="AB608" s="78"/>
      <c r="AC608" s="78"/>
      <c r="AD608" s="78"/>
      <c r="AE608" s="78"/>
      <c r="AF608" s="78"/>
      <c r="AG608" s="79"/>
      <c r="AH608" s="65"/>
      <c r="AJ608" s="85"/>
      <c r="AK608" s="78"/>
      <c r="AL608" s="78"/>
      <c r="AM608" s="78"/>
      <c r="AN608" s="78"/>
      <c r="AO608" s="78"/>
      <c r="AP608" s="78"/>
      <c r="AQ608" s="79"/>
      <c r="AR608" s="65"/>
      <c r="AT608" s="85"/>
      <c r="AU608" s="78"/>
      <c r="AV608" s="78"/>
      <c r="AW608" s="78"/>
      <c r="AX608" s="78"/>
      <c r="AY608" s="78"/>
      <c r="AZ608" s="79"/>
      <c r="BA608" s="65"/>
      <c r="BC608" s="85"/>
      <c r="BD608" s="78"/>
      <c r="BE608" s="78"/>
      <c r="BF608" s="78"/>
      <c r="BG608" s="78"/>
      <c r="BH608" s="78"/>
      <c r="BI608" s="78"/>
      <c r="BJ608" s="79"/>
      <c r="BK608" s="65"/>
      <c r="CU608" s="67"/>
      <c r="EC608" s="67"/>
      <c r="FK608" s="67"/>
      <c r="FL608" s="67"/>
      <c r="FM608" s="67"/>
      <c r="FN608" s="67"/>
      <c r="FO608" s="67"/>
      <c r="FP608" s="67"/>
      <c r="FQ608" s="67"/>
      <c r="FR608" s="67"/>
      <c r="FS608" s="67"/>
      <c r="FT608" s="67"/>
      <c r="FU608" s="67"/>
      <c r="FV608" s="67"/>
      <c r="FW608" s="67"/>
      <c r="FX608" s="67"/>
      <c r="FY608" s="67"/>
      <c r="FZ608" s="67"/>
      <c r="GA608" s="67"/>
      <c r="GB608" s="67"/>
      <c r="GC608" s="67"/>
      <c r="GD608" s="67"/>
      <c r="GE608" s="67"/>
      <c r="GF608" s="67"/>
      <c r="GG608" s="67"/>
      <c r="GH608" s="67"/>
      <c r="GI608" s="67"/>
      <c r="GJ608" s="67"/>
      <c r="GK608" s="67"/>
      <c r="GL608" s="67"/>
      <c r="GM608" s="67"/>
      <c r="GN608" s="67"/>
      <c r="GO608" s="67"/>
      <c r="GP608" s="67"/>
    </row>
    <row r="609" spans="5:198" s="66" customFormat="1">
      <c r="E609" s="67"/>
      <c r="G609" s="67"/>
      <c r="H609" s="67"/>
      <c r="I609" s="67"/>
      <c r="J609" s="67"/>
      <c r="K609" s="67"/>
      <c r="L609" s="67"/>
      <c r="M609" s="67"/>
      <c r="N609" s="67"/>
      <c r="O609" s="78"/>
      <c r="P609" s="78"/>
      <c r="S609" s="78"/>
      <c r="T609" s="78"/>
      <c r="U609" s="79"/>
      <c r="V609" s="65"/>
      <c r="Y609" s="78"/>
      <c r="Z609" s="78"/>
      <c r="AA609" s="78"/>
      <c r="AB609" s="78"/>
      <c r="AC609" s="78"/>
      <c r="AD609" s="78"/>
      <c r="AE609" s="78"/>
      <c r="AF609" s="78"/>
      <c r="AG609" s="79"/>
      <c r="AH609" s="65"/>
      <c r="AJ609" s="85"/>
      <c r="AK609" s="78"/>
      <c r="AL609" s="78"/>
      <c r="AM609" s="78"/>
      <c r="AN609" s="78"/>
      <c r="AO609" s="78"/>
      <c r="AP609" s="78"/>
      <c r="AQ609" s="79"/>
      <c r="AR609" s="65"/>
      <c r="AT609" s="85"/>
      <c r="AU609" s="78"/>
      <c r="AV609" s="78"/>
      <c r="AW609" s="78"/>
      <c r="AX609" s="78"/>
      <c r="AY609" s="78"/>
      <c r="AZ609" s="79"/>
      <c r="BA609" s="65"/>
      <c r="BC609" s="85"/>
      <c r="BD609" s="78"/>
      <c r="BE609" s="78"/>
      <c r="BF609" s="78"/>
      <c r="BG609" s="78"/>
      <c r="BH609" s="78"/>
      <c r="BI609" s="78"/>
      <c r="BJ609" s="79"/>
      <c r="BK609" s="65"/>
      <c r="CU609" s="67"/>
      <c r="EC609" s="67"/>
      <c r="FK609" s="67"/>
      <c r="FL609" s="67"/>
      <c r="FM609" s="67"/>
      <c r="FN609" s="67"/>
      <c r="FO609" s="67"/>
      <c r="FP609" s="67"/>
      <c r="FQ609" s="67"/>
      <c r="FR609" s="67"/>
      <c r="FS609" s="67"/>
      <c r="FT609" s="67"/>
      <c r="FU609" s="67"/>
      <c r="FV609" s="67"/>
      <c r="FW609" s="67"/>
      <c r="FX609" s="67"/>
      <c r="FY609" s="67"/>
      <c r="FZ609" s="67"/>
      <c r="GA609" s="67"/>
      <c r="GB609" s="67"/>
      <c r="GC609" s="67"/>
      <c r="GD609" s="67"/>
      <c r="GE609" s="67"/>
      <c r="GF609" s="67"/>
      <c r="GG609" s="67"/>
      <c r="GH609" s="67"/>
      <c r="GI609" s="67"/>
      <c r="GJ609" s="67"/>
      <c r="GK609" s="67"/>
      <c r="GL609" s="67"/>
      <c r="GM609" s="67"/>
      <c r="GN609" s="67"/>
      <c r="GO609" s="67"/>
      <c r="GP609" s="67"/>
    </row>
    <row r="610" spans="5:198" s="66" customFormat="1">
      <c r="E610" s="67"/>
      <c r="G610" s="67"/>
      <c r="H610" s="67"/>
      <c r="I610" s="67"/>
      <c r="J610" s="67"/>
      <c r="K610" s="67"/>
      <c r="L610" s="67"/>
      <c r="M610" s="67"/>
      <c r="N610" s="67"/>
      <c r="O610" s="78"/>
      <c r="P610" s="78"/>
      <c r="S610" s="78"/>
      <c r="T610" s="78"/>
      <c r="U610" s="79"/>
      <c r="V610" s="65"/>
      <c r="Y610" s="78"/>
      <c r="Z610" s="78"/>
      <c r="AA610" s="78"/>
      <c r="AB610" s="78"/>
      <c r="AC610" s="78"/>
      <c r="AD610" s="78"/>
      <c r="AE610" s="78"/>
      <c r="AF610" s="78"/>
      <c r="AG610" s="79"/>
      <c r="AH610" s="65"/>
      <c r="AJ610" s="85"/>
      <c r="AK610" s="78"/>
      <c r="AL610" s="78"/>
      <c r="AM610" s="78"/>
      <c r="AN610" s="78"/>
      <c r="AO610" s="78"/>
      <c r="AP610" s="78"/>
      <c r="AQ610" s="79"/>
      <c r="AR610" s="65"/>
      <c r="AT610" s="85"/>
      <c r="AU610" s="78"/>
      <c r="AV610" s="78"/>
      <c r="AW610" s="78"/>
      <c r="AX610" s="78"/>
      <c r="AY610" s="78"/>
      <c r="AZ610" s="79"/>
      <c r="BA610" s="65"/>
      <c r="BC610" s="85"/>
      <c r="BD610" s="78"/>
      <c r="BE610" s="78"/>
      <c r="BF610" s="78"/>
      <c r="BG610" s="78"/>
      <c r="BH610" s="78"/>
      <c r="BI610" s="78"/>
      <c r="BJ610" s="79"/>
      <c r="BK610" s="65"/>
      <c r="CU610" s="67"/>
      <c r="EC610" s="67"/>
      <c r="FK610" s="67"/>
      <c r="FL610" s="67"/>
      <c r="FM610" s="67"/>
      <c r="FN610" s="67"/>
      <c r="FO610" s="67"/>
      <c r="FP610" s="67"/>
      <c r="FQ610" s="67"/>
      <c r="FR610" s="67"/>
      <c r="FS610" s="67"/>
      <c r="FT610" s="67"/>
      <c r="FU610" s="67"/>
      <c r="FV610" s="67"/>
      <c r="FW610" s="67"/>
      <c r="FX610" s="67"/>
      <c r="FY610" s="67"/>
      <c r="FZ610" s="67"/>
      <c r="GA610" s="67"/>
      <c r="GB610" s="67"/>
      <c r="GC610" s="67"/>
      <c r="GD610" s="67"/>
      <c r="GE610" s="67"/>
      <c r="GF610" s="67"/>
      <c r="GG610" s="67"/>
      <c r="GH610" s="67"/>
      <c r="GI610" s="67"/>
      <c r="GJ610" s="67"/>
      <c r="GK610" s="67"/>
      <c r="GL610" s="67"/>
      <c r="GM610" s="67"/>
      <c r="GN610" s="67"/>
      <c r="GO610" s="67"/>
      <c r="GP610" s="67"/>
    </row>
    <row r="611" spans="5:198" s="66" customFormat="1">
      <c r="E611" s="67"/>
      <c r="G611" s="67"/>
      <c r="H611" s="67"/>
      <c r="I611" s="67"/>
      <c r="J611" s="67"/>
      <c r="K611" s="67"/>
      <c r="L611" s="67"/>
      <c r="M611" s="67"/>
      <c r="N611" s="67"/>
      <c r="O611" s="78"/>
      <c r="P611" s="78"/>
      <c r="S611" s="78"/>
      <c r="T611" s="78"/>
      <c r="U611" s="79"/>
      <c r="V611" s="65"/>
      <c r="Y611" s="78"/>
      <c r="Z611" s="78"/>
      <c r="AA611" s="78"/>
      <c r="AB611" s="78"/>
      <c r="AC611" s="78"/>
      <c r="AD611" s="78"/>
      <c r="AE611" s="78"/>
      <c r="AF611" s="78"/>
      <c r="AG611" s="79"/>
      <c r="AH611" s="65"/>
      <c r="AJ611" s="85"/>
      <c r="AK611" s="78"/>
      <c r="AL611" s="78"/>
      <c r="AM611" s="78"/>
      <c r="AN611" s="78"/>
      <c r="AO611" s="78"/>
      <c r="AP611" s="78"/>
      <c r="AQ611" s="79"/>
      <c r="AR611" s="65"/>
      <c r="AT611" s="85"/>
      <c r="AU611" s="78"/>
      <c r="AV611" s="78"/>
      <c r="AW611" s="78"/>
      <c r="AX611" s="78"/>
      <c r="AY611" s="78"/>
      <c r="AZ611" s="79"/>
      <c r="BA611" s="65"/>
      <c r="BC611" s="85"/>
      <c r="BD611" s="78"/>
      <c r="BE611" s="78"/>
      <c r="BF611" s="78"/>
      <c r="BG611" s="78"/>
      <c r="BH611" s="78"/>
      <c r="BI611" s="78"/>
      <c r="BJ611" s="79"/>
      <c r="BK611" s="65"/>
      <c r="CU611" s="67"/>
      <c r="EC611" s="67"/>
      <c r="FK611" s="67"/>
      <c r="FL611" s="67"/>
      <c r="FM611" s="67"/>
      <c r="FN611" s="67"/>
      <c r="FO611" s="67"/>
      <c r="FP611" s="67"/>
      <c r="FQ611" s="67"/>
      <c r="FR611" s="67"/>
      <c r="FS611" s="67"/>
      <c r="FT611" s="67"/>
      <c r="FU611" s="67"/>
      <c r="FV611" s="67"/>
      <c r="FW611" s="67"/>
      <c r="FX611" s="67"/>
      <c r="FY611" s="67"/>
      <c r="FZ611" s="67"/>
      <c r="GA611" s="67"/>
      <c r="GB611" s="67"/>
      <c r="GC611" s="67"/>
      <c r="GD611" s="67"/>
      <c r="GE611" s="67"/>
      <c r="GF611" s="67"/>
      <c r="GG611" s="67"/>
      <c r="GH611" s="67"/>
      <c r="GI611" s="67"/>
      <c r="GJ611" s="67"/>
      <c r="GK611" s="67"/>
      <c r="GL611" s="67"/>
      <c r="GM611" s="67"/>
      <c r="GN611" s="67"/>
      <c r="GO611" s="67"/>
      <c r="GP611" s="67"/>
    </row>
    <row r="612" spans="5:198" s="66" customFormat="1">
      <c r="E612" s="67"/>
      <c r="G612" s="67"/>
      <c r="H612" s="67"/>
      <c r="I612" s="67"/>
      <c r="J612" s="67"/>
      <c r="K612" s="67"/>
      <c r="L612" s="67"/>
      <c r="M612" s="67"/>
      <c r="N612" s="67"/>
      <c r="O612" s="78"/>
      <c r="P612" s="78"/>
      <c r="S612" s="78"/>
      <c r="T612" s="78"/>
      <c r="U612" s="79"/>
      <c r="V612" s="65"/>
      <c r="Y612" s="78"/>
      <c r="Z612" s="78"/>
      <c r="AA612" s="78"/>
      <c r="AB612" s="78"/>
      <c r="AC612" s="78"/>
      <c r="AD612" s="78"/>
      <c r="AE612" s="78"/>
      <c r="AF612" s="78"/>
      <c r="AG612" s="79"/>
      <c r="AH612" s="65"/>
      <c r="AJ612" s="85"/>
      <c r="AK612" s="78"/>
      <c r="AL612" s="78"/>
      <c r="AM612" s="78"/>
      <c r="AN612" s="78"/>
      <c r="AO612" s="78"/>
      <c r="AP612" s="78"/>
      <c r="AQ612" s="79"/>
      <c r="AR612" s="65"/>
      <c r="AT612" s="85"/>
      <c r="AU612" s="78"/>
      <c r="AV612" s="78"/>
      <c r="AW612" s="78"/>
      <c r="AX612" s="78"/>
      <c r="AY612" s="78"/>
      <c r="AZ612" s="79"/>
      <c r="BA612" s="65"/>
      <c r="BC612" s="85"/>
      <c r="BD612" s="78"/>
      <c r="BE612" s="78"/>
      <c r="BF612" s="78"/>
      <c r="BG612" s="78"/>
      <c r="BH612" s="78"/>
      <c r="BI612" s="78"/>
      <c r="BJ612" s="79"/>
      <c r="BK612" s="65"/>
      <c r="CU612" s="67"/>
      <c r="EC612" s="67"/>
      <c r="FK612" s="67"/>
      <c r="FL612" s="67"/>
      <c r="FM612" s="67"/>
      <c r="FN612" s="67"/>
      <c r="FO612" s="67"/>
      <c r="FP612" s="67"/>
      <c r="FQ612" s="67"/>
      <c r="FR612" s="67"/>
      <c r="FS612" s="67"/>
      <c r="FT612" s="67"/>
      <c r="FU612" s="67"/>
      <c r="FV612" s="67"/>
      <c r="FW612" s="67"/>
      <c r="FX612" s="67"/>
      <c r="FY612" s="67"/>
      <c r="FZ612" s="67"/>
      <c r="GA612" s="67"/>
      <c r="GB612" s="67"/>
      <c r="GC612" s="67"/>
      <c r="GD612" s="67"/>
      <c r="GE612" s="67"/>
      <c r="GF612" s="67"/>
      <c r="GG612" s="67"/>
      <c r="GH612" s="67"/>
      <c r="GI612" s="67"/>
      <c r="GJ612" s="67"/>
      <c r="GK612" s="67"/>
      <c r="GL612" s="67"/>
      <c r="GM612" s="67"/>
      <c r="GN612" s="67"/>
      <c r="GO612" s="67"/>
      <c r="GP612" s="67"/>
    </row>
    <row r="613" spans="5:198" s="66" customFormat="1">
      <c r="E613" s="67"/>
      <c r="G613" s="67"/>
      <c r="H613" s="67"/>
      <c r="I613" s="67"/>
      <c r="J613" s="67"/>
      <c r="K613" s="67"/>
      <c r="L613" s="67"/>
      <c r="M613" s="67"/>
      <c r="N613" s="67"/>
      <c r="O613" s="78"/>
      <c r="P613" s="78"/>
      <c r="S613" s="78"/>
      <c r="T613" s="78"/>
      <c r="U613" s="79"/>
      <c r="V613" s="65"/>
      <c r="Y613" s="78"/>
      <c r="Z613" s="78"/>
      <c r="AA613" s="78"/>
      <c r="AB613" s="78"/>
      <c r="AC613" s="78"/>
      <c r="AD613" s="78"/>
      <c r="AE613" s="78"/>
      <c r="AF613" s="78"/>
      <c r="AG613" s="79"/>
      <c r="AH613" s="65"/>
      <c r="AJ613" s="85"/>
      <c r="AK613" s="78"/>
      <c r="AL613" s="78"/>
      <c r="AM613" s="78"/>
      <c r="AN613" s="78"/>
      <c r="AO613" s="78"/>
      <c r="AP613" s="78"/>
      <c r="AQ613" s="79"/>
      <c r="AR613" s="65"/>
      <c r="AT613" s="85"/>
      <c r="AU613" s="78"/>
      <c r="AV613" s="78"/>
      <c r="AW613" s="78"/>
      <c r="AX613" s="78"/>
      <c r="AY613" s="78"/>
      <c r="AZ613" s="79"/>
      <c r="BA613" s="65"/>
      <c r="BC613" s="85"/>
      <c r="BD613" s="78"/>
      <c r="BE613" s="78"/>
      <c r="BF613" s="78"/>
      <c r="BG613" s="78"/>
      <c r="BH613" s="78"/>
      <c r="BI613" s="78"/>
      <c r="BJ613" s="79"/>
      <c r="BK613" s="65"/>
      <c r="CU613" s="67"/>
      <c r="EC613" s="67"/>
      <c r="FK613" s="67"/>
      <c r="FL613" s="67"/>
      <c r="FM613" s="67"/>
      <c r="FN613" s="67"/>
      <c r="FO613" s="67"/>
      <c r="FP613" s="67"/>
      <c r="FQ613" s="67"/>
      <c r="FR613" s="67"/>
      <c r="FS613" s="67"/>
      <c r="FT613" s="67"/>
      <c r="FU613" s="67"/>
      <c r="FV613" s="67"/>
      <c r="FW613" s="67"/>
      <c r="FX613" s="67"/>
      <c r="FY613" s="67"/>
      <c r="FZ613" s="67"/>
      <c r="GA613" s="67"/>
      <c r="GB613" s="67"/>
      <c r="GC613" s="67"/>
      <c r="GD613" s="67"/>
      <c r="GE613" s="67"/>
      <c r="GF613" s="67"/>
      <c r="GG613" s="67"/>
      <c r="GH613" s="67"/>
      <c r="GI613" s="67"/>
      <c r="GJ613" s="67"/>
      <c r="GK613" s="67"/>
      <c r="GL613" s="67"/>
      <c r="GM613" s="67"/>
      <c r="GN613" s="67"/>
      <c r="GO613" s="67"/>
      <c r="GP613" s="67"/>
    </row>
    <row r="614" spans="5:198" s="66" customFormat="1">
      <c r="E614" s="67"/>
      <c r="G614" s="67"/>
      <c r="H614" s="67"/>
      <c r="I614" s="67"/>
      <c r="J614" s="67"/>
      <c r="K614" s="67"/>
      <c r="L614" s="67"/>
      <c r="M614" s="67"/>
      <c r="N614" s="67"/>
      <c r="O614" s="78"/>
      <c r="P614" s="78"/>
      <c r="S614" s="78"/>
      <c r="T614" s="78"/>
      <c r="U614" s="79"/>
      <c r="V614" s="65"/>
      <c r="Y614" s="78"/>
      <c r="Z614" s="78"/>
      <c r="AA614" s="78"/>
      <c r="AB614" s="78"/>
      <c r="AC614" s="78"/>
      <c r="AD614" s="78"/>
      <c r="AE614" s="78"/>
      <c r="AF614" s="78"/>
      <c r="AG614" s="79"/>
      <c r="AH614" s="65"/>
      <c r="AJ614" s="85"/>
      <c r="AK614" s="78"/>
      <c r="AL614" s="78"/>
      <c r="AM614" s="78"/>
      <c r="AN614" s="78"/>
      <c r="AO614" s="78"/>
      <c r="AP614" s="78"/>
      <c r="AQ614" s="79"/>
      <c r="AR614" s="65"/>
      <c r="AT614" s="85"/>
      <c r="AU614" s="78"/>
      <c r="AV614" s="78"/>
      <c r="AW614" s="78"/>
      <c r="AX614" s="78"/>
      <c r="AY614" s="78"/>
      <c r="AZ614" s="79"/>
      <c r="BA614" s="65"/>
      <c r="BC614" s="85"/>
      <c r="BD614" s="78"/>
      <c r="BE614" s="78"/>
      <c r="BF614" s="78"/>
      <c r="BG614" s="78"/>
      <c r="BH614" s="78"/>
      <c r="BI614" s="78"/>
      <c r="BJ614" s="79"/>
      <c r="BK614" s="65"/>
      <c r="CU614" s="67"/>
      <c r="EC614" s="67"/>
      <c r="FK614" s="67"/>
      <c r="FL614" s="67"/>
      <c r="FM614" s="67"/>
      <c r="FN614" s="67"/>
      <c r="FO614" s="67"/>
      <c r="FP614" s="67"/>
      <c r="FQ614" s="67"/>
      <c r="FR614" s="67"/>
      <c r="FS614" s="67"/>
      <c r="FT614" s="67"/>
      <c r="FU614" s="67"/>
      <c r="FV614" s="67"/>
      <c r="FW614" s="67"/>
      <c r="FX614" s="67"/>
      <c r="FY614" s="67"/>
      <c r="FZ614" s="67"/>
      <c r="GA614" s="67"/>
      <c r="GB614" s="67"/>
      <c r="GC614" s="67"/>
      <c r="GD614" s="67"/>
      <c r="GE614" s="67"/>
      <c r="GF614" s="67"/>
      <c r="GG614" s="67"/>
      <c r="GH614" s="67"/>
      <c r="GI614" s="67"/>
      <c r="GJ614" s="67"/>
      <c r="GK614" s="67"/>
      <c r="GL614" s="67"/>
      <c r="GM614" s="67"/>
      <c r="GN614" s="67"/>
      <c r="GO614" s="67"/>
      <c r="GP614" s="67"/>
    </row>
    <row r="615" spans="5:198" s="66" customFormat="1">
      <c r="E615" s="67"/>
      <c r="G615" s="67"/>
      <c r="H615" s="67"/>
      <c r="I615" s="67"/>
      <c r="J615" s="67"/>
      <c r="K615" s="67"/>
      <c r="L615" s="67"/>
      <c r="M615" s="67"/>
      <c r="N615" s="67"/>
      <c r="O615" s="78"/>
      <c r="P615" s="78"/>
      <c r="S615" s="78"/>
      <c r="T615" s="78"/>
      <c r="U615" s="79"/>
      <c r="V615" s="65"/>
      <c r="Y615" s="78"/>
      <c r="Z615" s="78"/>
      <c r="AA615" s="78"/>
      <c r="AB615" s="78"/>
      <c r="AC615" s="78"/>
      <c r="AD615" s="78"/>
      <c r="AE615" s="78"/>
      <c r="AF615" s="78"/>
      <c r="AG615" s="79"/>
      <c r="AH615" s="65"/>
      <c r="AJ615" s="85"/>
      <c r="AK615" s="78"/>
      <c r="AL615" s="78"/>
      <c r="AM615" s="78"/>
      <c r="AN615" s="78"/>
      <c r="AO615" s="78"/>
      <c r="AP615" s="78"/>
      <c r="AQ615" s="79"/>
      <c r="AR615" s="65"/>
      <c r="AT615" s="85"/>
      <c r="AU615" s="78"/>
      <c r="AV615" s="78"/>
      <c r="AW615" s="78"/>
      <c r="AX615" s="78"/>
      <c r="AY615" s="78"/>
      <c r="AZ615" s="79"/>
      <c r="BA615" s="65"/>
      <c r="BC615" s="85"/>
      <c r="BD615" s="78"/>
      <c r="BE615" s="78"/>
      <c r="BF615" s="78"/>
      <c r="BG615" s="78"/>
      <c r="BH615" s="78"/>
      <c r="BI615" s="78"/>
      <c r="BJ615" s="79"/>
      <c r="BK615" s="65"/>
      <c r="CU615" s="67"/>
      <c r="EC615" s="67"/>
      <c r="FK615" s="67"/>
      <c r="FL615" s="67"/>
      <c r="FM615" s="67"/>
      <c r="FN615" s="67"/>
      <c r="FO615" s="67"/>
      <c r="FP615" s="67"/>
      <c r="FQ615" s="67"/>
      <c r="FR615" s="67"/>
      <c r="FS615" s="67"/>
      <c r="FT615" s="67"/>
      <c r="FU615" s="67"/>
      <c r="FV615" s="67"/>
      <c r="FW615" s="67"/>
      <c r="FX615" s="67"/>
      <c r="FY615" s="67"/>
      <c r="FZ615" s="67"/>
      <c r="GA615" s="67"/>
      <c r="GB615" s="67"/>
      <c r="GC615" s="67"/>
      <c r="GD615" s="67"/>
      <c r="GE615" s="67"/>
      <c r="GF615" s="67"/>
      <c r="GG615" s="67"/>
      <c r="GH615" s="67"/>
      <c r="GI615" s="67"/>
      <c r="GJ615" s="67"/>
      <c r="GK615" s="67"/>
      <c r="GL615" s="67"/>
      <c r="GM615" s="67"/>
      <c r="GN615" s="67"/>
      <c r="GO615" s="67"/>
      <c r="GP615" s="67"/>
    </row>
    <row r="616" spans="5:198" s="66" customFormat="1">
      <c r="E616" s="67"/>
      <c r="G616" s="67"/>
      <c r="H616" s="67"/>
      <c r="I616" s="67"/>
      <c r="J616" s="67"/>
      <c r="K616" s="67"/>
      <c r="L616" s="67"/>
      <c r="M616" s="67"/>
      <c r="N616" s="67"/>
      <c r="O616" s="78"/>
      <c r="P616" s="78"/>
      <c r="S616" s="78"/>
      <c r="T616" s="78"/>
      <c r="U616" s="79"/>
      <c r="V616" s="65"/>
      <c r="Y616" s="78"/>
      <c r="Z616" s="78"/>
      <c r="AA616" s="78"/>
      <c r="AB616" s="78"/>
      <c r="AC616" s="78"/>
      <c r="AD616" s="78"/>
      <c r="AE616" s="78"/>
      <c r="AF616" s="78"/>
      <c r="AG616" s="79"/>
      <c r="AH616" s="65"/>
      <c r="AJ616" s="85"/>
      <c r="AK616" s="78"/>
      <c r="AL616" s="78"/>
      <c r="AM616" s="78"/>
      <c r="AN616" s="78"/>
      <c r="AO616" s="78"/>
      <c r="AP616" s="78"/>
      <c r="AQ616" s="79"/>
      <c r="AR616" s="65"/>
      <c r="AT616" s="85"/>
      <c r="AU616" s="78"/>
      <c r="AV616" s="78"/>
      <c r="AW616" s="78"/>
      <c r="AX616" s="78"/>
      <c r="AY616" s="78"/>
      <c r="AZ616" s="79"/>
      <c r="BA616" s="65"/>
      <c r="BC616" s="85"/>
      <c r="BD616" s="78"/>
      <c r="BE616" s="78"/>
      <c r="BF616" s="78"/>
      <c r="BG616" s="78"/>
      <c r="BH616" s="78"/>
      <c r="BI616" s="78"/>
      <c r="BJ616" s="79"/>
      <c r="BK616" s="65"/>
      <c r="CU616" s="67"/>
      <c r="EC616" s="67"/>
      <c r="FK616" s="67"/>
      <c r="FL616" s="67"/>
      <c r="FM616" s="67"/>
      <c r="FN616" s="67"/>
      <c r="FO616" s="67"/>
      <c r="FP616" s="67"/>
      <c r="FQ616" s="67"/>
      <c r="FR616" s="67"/>
      <c r="FS616" s="67"/>
      <c r="FT616" s="67"/>
      <c r="FU616" s="67"/>
      <c r="FV616" s="67"/>
      <c r="FW616" s="67"/>
      <c r="FX616" s="67"/>
      <c r="FY616" s="67"/>
      <c r="FZ616" s="67"/>
      <c r="GA616" s="67"/>
      <c r="GB616" s="67"/>
      <c r="GC616" s="67"/>
      <c r="GD616" s="67"/>
      <c r="GE616" s="67"/>
      <c r="GF616" s="67"/>
      <c r="GG616" s="67"/>
      <c r="GH616" s="67"/>
      <c r="GI616" s="67"/>
      <c r="GJ616" s="67"/>
      <c r="GK616" s="67"/>
      <c r="GL616" s="67"/>
      <c r="GM616" s="67"/>
      <c r="GN616" s="67"/>
      <c r="GO616" s="67"/>
      <c r="GP616" s="67"/>
    </row>
    <row r="617" spans="5:198" s="66" customFormat="1">
      <c r="E617" s="67"/>
      <c r="G617" s="67"/>
      <c r="H617" s="67"/>
      <c r="I617" s="67"/>
      <c r="J617" s="67"/>
      <c r="K617" s="67"/>
      <c r="L617" s="67"/>
      <c r="M617" s="67"/>
      <c r="N617" s="67"/>
      <c r="O617" s="78"/>
      <c r="P617" s="78"/>
      <c r="S617" s="78"/>
      <c r="T617" s="78"/>
      <c r="U617" s="79"/>
      <c r="V617" s="65"/>
      <c r="Y617" s="78"/>
      <c r="Z617" s="78"/>
      <c r="AA617" s="78"/>
      <c r="AB617" s="78"/>
      <c r="AC617" s="78"/>
      <c r="AD617" s="78"/>
      <c r="AE617" s="78"/>
      <c r="AF617" s="78"/>
      <c r="AG617" s="79"/>
      <c r="AH617" s="65"/>
      <c r="AJ617" s="85"/>
      <c r="AK617" s="78"/>
      <c r="AL617" s="78"/>
      <c r="AM617" s="78"/>
      <c r="AN617" s="78"/>
      <c r="AO617" s="78"/>
      <c r="AP617" s="78"/>
      <c r="AQ617" s="79"/>
      <c r="AR617" s="65"/>
      <c r="AT617" s="85"/>
      <c r="AU617" s="78"/>
      <c r="AV617" s="78"/>
      <c r="AW617" s="78"/>
      <c r="AX617" s="78"/>
      <c r="AY617" s="78"/>
      <c r="AZ617" s="79"/>
      <c r="BA617" s="65"/>
      <c r="BC617" s="85"/>
      <c r="BD617" s="78"/>
      <c r="BE617" s="78"/>
      <c r="BF617" s="78"/>
      <c r="BG617" s="78"/>
      <c r="BH617" s="78"/>
      <c r="BI617" s="78"/>
      <c r="BJ617" s="79"/>
      <c r="BK617" s="65"/>
      <c r="CU617" s="67"/>
      <c r="EC617" s="67"/>
      <c r="FK617" s="67"/>
      <c r="FL617" s="67"/>
      <c r="FM617" s="67"/>
      <c r="FN617" s="67"/>
      <c r="FO617" s="67"/>
      <c r="FP617" s="67"/>
      <c r="FQ617" s="67"/>
      <c r="FR617" s="67"/>
      <c r="FS617" s="67"/>
      <c r="FT617" s="67"/>
      <c r="FU617" s="67"/>
      <c r="FV617" s="67"/>
      <c r="FW617" s="67"/>
      <c r="FX617" s="67"/>
      <c r="FY617" s="67"/>
      <c r="FZ617" s="67"/>
      <c r="GA617" s="67"/>
      <c r="GB617" s="67"/>
      <c r="GC617" s="67"/>
      <c r="GD617" s="67"/>
      <c r="GE617" s="67"/>
      <c r="GF617" s="67"/>
      <c r="GG617" s="67"/>
      <c r="GH617" s="67"/>
      <c r="GI617" s="67"/>
      <c r="GJ617" s="67"/>
      <c r="GK617" s="67"/>
      <c r="GL617" s="67"/>
      <c r="GM617" s="67"/>
      <c r="GN617" s="67"/>
      <c r="GO617" s="67"/>
      <c r="GP617" s="67"/>
    </row>
    <row r="618" spans="5:198" s="66" customFormat="1">
      <c r="E618" s="67"/>
      <c r="G618" s="67"/>
      <c r="H618" s="67"/>
      <c r="I618" s="67"/>
      <c r="J618" s="67"/>
      <c r="K618" s="67"/>
      <c r="L618" s="67"/>
      <c r="M618" s="67"/>
      <c r="N618" s="67"/>
      <c r="O618" s="78"/>
      <c r="P618" s="78"/>
      <c r="S618" s="78"/>
      <c r="T618" s="78"/>
      <c r="U618" s="79"/>
      <c r="V618" s="65"/>
      <c r="Y618" s="78"/>
      <c r="Z618" s="78"/>
      <c r="AA618" s="78"/>
      <c r="AB618" s="78"/>
      <c r="AC618" s="78"/>
      <c r="AD618" s="78"/>
      <c r="AE618" s="78"/>
      <c r="AF618" s="78"/>
      <c r="AG618" s="79"/>
      <c r="AH618" s="65"/>
      <c r="AJ618" s="85"/>
      <c r="AK618" s="78"/>
      <c r="AL618" s="78"/>
      <c r="AM618" s="78"/>
      <c r="AN618" s="78"/>
      <c r="AO618" s="78"/>
      <c r="AP618" s="78"/>
      <c r="AQ618" s="79"/>
      <c r="AR618" s="65"/>
      <c r="AT618" s="85"/>
      <c r="AU618" s="78"/>
      <c r="AV618" s="78"/>
      <c r="AW618" s="78"/>
      <c r="AX618" s="78"/>
      <c r="AY618" s="78"/>
      <c r="AZ618" s="79"/>
      <c r="BA618" s="65"/>
      <c r="BC618" s="85"/>
      <c r="BD618" s="78"/>
      <c r="BE618" s="78"/>
      <c r="BF618" s="78"/>
      <c r="BG618" s="78"/>
      <c r="BH618" s="78"/>
      <c r="BI618" s="78"/>
      <c r="BJ618" s="79"/>
      <c r="BK618" s="65"/>
      <c r="CU618" s="67"/>
      <c r="EC618" s="67"/>
      <c r="FK618" s="67"/>
      <c r="FL618" s="67"/>
      <c r="FM618" s="67"/>
      <c r="FN618" s="67"/>
      <c r="FO618" s="67"/>
      <c r="FP618" s="67"/>
      <c r="FQ618" s="67"/>
      <c r="FR618" s="67"/>
      <c r="FS618" s="67"/>
      <c r="FT618" s="67"/>
      <c r="FU618" s="67"/>
      <c r="FV618" s="67"/>
      <c r="FW618" s="67"/>
      <c r="FX618" s="67"/>
      <c r="FY618" s="67"/>
      <c r="FZ618" s="67"/>
      <c r="GA618" s="67"/>
      <c r="GB618" s="67"/>
      <c r="GC618" s="67"/>
      <c r="GD618" s="67"/>
      <c r="GE618" s="67"/>
      <c r="GF618" s="67"/>
      <c r="GG618" s="67"/>
      <c r="GH618" s="67"/>
      <c r="GI618" s="67"/>
      <c r="GJ618" s="67"/>
      <c r="GK618" s="67"/>
      <c r="GL618" s="67"/>
      <c r="GM618" s="67"/>
      <c r="GN618" s="67"/>
      <c r="GO618" s="67"/>
      <c r="GP618" s="67"/>
    </row>
    <row r="619" spans="5:198" s="66" customFormat="1">
      <c r="E619" s="67"/>
      <c r="G619" s="67"/>
      <c r="H619" s="67"/>
      <c r="I619" s="67"/>
      <c r="J619" s="67"/>
      <c r="K619" s="67"/>
      <c r="L619" s="67"/>
      <c r="M619" s="67"/>
      <c r="N619" s="67"/>
      <c r="O619" s="78"/>
      <c r="P619" s="78"/>
      <c r="S619" s="78"/>
      <c r="T619" s="78"/>
      <c r="U619" s="79"/>
      <c r="V619" s="65"/>
      <c r="Y619" s="78"/>
      <c r="Z619" s="78"/>
      <c r="AA619" s="78"/>
      <c r="AB619" s="78"/>
      <c r="AC619" s="78"/>
      <c r="AD619" s="78"/>
      <c r="AE619" s="78"/>
      <c r="AF619" s="78"/>
      <c r="AG619" s="79"/>
      <c r="AH619" s="65"/>
      <c r="AJ619" s="85"/>
      <c r="AK619" s="78"/>
      <c r="AL619" s="78"/>
      <c r="AM619" s="78"/>
      <c r="AN619" s="78"/>
      <c r="AO619" s="78"/>
      <c r="AP619" s="78"/>
      <c r="AQ619" s="79"/>
      <c r="AR619" s="65"/>
      <c r="AT619" s="85"/>
      <c r="AU619" s="78"/>
      <c r="AV619" s="78"/>
      <c r="AW619" s="78"/>
      <c r="AX619" s="78"/>
      <c r="AY619" s="78"/>
      <c r="AZ619" s="79"/>
      <c r="BA619" s="65"/>
      <c r="BC619" s="85"/>
      <c r="BD619" s="78"/>
      <c r="BE619" s="78"/>
      <c r="BF619" s="78"/>
      <c r="BG619" s="78"/>
      <c r="BH619" s="78"/>
      <c r="BI619" s="78"/>
      <c r="BJ619" s="79"/>
      <c r="BK619" s="65"/>
      <c r="CU619" s="67"/>
      <c r="EC619" s="67"/>
      <c r="FK619" s="67"/>
      <c r="FL619" s="67"/>
      <c r="FM619" s="67"/>
      <c r="FN619" s="67"/>
      <c r="FO619" s="67"/>
      <c r="FP619" s="67"/>
      <c r="FQ619" s="67"/>
      <c r="FR619" s="67"/>
      <c r="FS619" s="67"/>
      <c r="FT619" s="67"/>
      <c r="FU619" s="67"/>
      <c r="FV619" s="67"/>
      <c r="FW619" s="67"/>
      <c r="FX619" s="67"/>
      <c r="FY619" s="67"/>
      <c r="FZ619" s="67"/>
      <c r="GA619" s="67"/>
      <c r="GB619" s="67"/>
      <c r="GC619" s="67"/>
      <c r="GD619" s="67"/>
      <c r="GE619" s="67"/>
      <c r="GF619" s="67"/>
      <c r="GG619" s="67"/>
      <c r="GH619" s="67"/>
      <c r="GI619" s="67"/>
      <c r="GJ619" s="67"/>
      <c r="GK619" s="67"/>
      <c r="GL619" s="67"/>
      <c r="GM619" s="67"/>
      <c r="GN619" s="67"/>
      <c r="GO619" s="67"/>
      <c r="GP619" s="67"/>
    </row>
    <row r="620" spans="5:198" s="66" customFormat="1">
      <c r="E620" s="67"/>
      <c r="G620" s="67"/>
      <c r="H620" s="67"/>
      <c r="I620" s="67"/>
      <c r="J620" s="67"/>
      <c r="K620" s="67"/>
      <c r="L620" s="67"/>
      <c r="M620" s="67"/>
      <c r="N620" s="67"/>
      <c r="O620" s="78"/>
      <c r="P620" s="78"/>
      <c r="S620" s="78"/>
      <c r="T620" s="78"/>
      <c r="U620" s="79"/>
      <c r="V620" s="65"/>
      <c r="Y620" s="78"/>
      <c r="Z620" s="78"/>
      <c r="AA620" s="78"/>
      <c r="AB620" s="78"/>
      <c r="AC620" s="78"/>
      <c r="AD620" s="78"/>
      <c r="AE620" s="78"/>
      <c r="AF620" s="78"/>
      <c r="AG620" s="79"/>
      <c r="AH620" s="65"/>
      <c r="AJ620" s="85"/>
      <c r="AK620" s="78"/>
      <c r="AL620" s="78"/>
      <c r="AM620" s="78"/>
      <c r="AN620" s="78"/>
      <c r="AO620" s="78"/>
      <c r="AP620" s="78"/>
      <c r="AQ620" s="79"/>
      <c r="AR620" s="65"/>
      <c r="AT620" s="85"/>
      <c r="AU620" s="78"/>
      <c r="AV620" s="78"/>
      <c r="AW620" s="78"/>
      <c r="AX620" s="78"/>
      <c r="AY620" s="78"/>
      <c r="AZ620" s="79"/>
      <c r="BA620" s="65"/>
      <c r="BC620" s="85"/>
      <c r="BD620" s="78"/>
      <c r="BE620" s="78"/>
      <c r="BF620" s="78"/>
      <c r="BG620" s="78"/>
      <c r="BH620" s="78"/>
      <c r="BI620" s="78"/>
      <c r="BJ620" s="79"/>
      <c r="BK620" s="65"/>
      <c r="CU620" s="67"/>
      <c r="EC620" s="67"/>
      <c r="FK620" s="67"/>
      <c r="FL620" s="67"/>
      <c r="FM620" s="67"/>
      <c r="FN620" s="67"/>
      <c r="FO620" s="67"/>
      <c r="FP620" s="67"/>
      <c r="FQ620" s="67"/>
      <c r="FR620" s="67"/>
      <c r="FS620" s="67"/>
      <c r="FT620" s="67"/>
      <c r="FU620" s="67"/>
      <c r="FV620" s="67"/>
      <c r="FW620" s="67"/>
      <c r="FX620" s="67"/>
      <c r="FY620" s="67"/>
      <c r="FZ620" s="67"/>
      <c r="GA620" s="67"/>
      <c r="GB620" s="67"/>
      <c r="GC620" s="67"/>
      <c r="GD620" s="67"/>
      <c r="GE620" s="67"/>
      <c r="GF620" s="67"/>
      <c r="GG620" s="67"/>
      <c r="GH620" s="67"/>
      <c r="GI620" s="67"/>
      <c r="GJ620" s="67"/>
      <c r="GK620" s="67"/>
      <c r="GL620" s="67"/>
      <c r="GM620" s="67"/>
      <c r="GN620" s="67"/>
      <c r="GO620" s="67"/>
      <c r="GP620" s="67"/>
    </row>
    <row r="621" spans="5:198" s="66" customFormat="1">
      <c r="E621" s="67"/>
      <c r="G621" s="67"/>
      <c r="H621" s="67"/>
      <c r="I621" s="67"/>
      <c r="J621" s="67"/>
      <c r="K621" s="67"/>
      <c r="L621" s="67"/>
      <c r="M621" s="67"/>
      <c r="N621" s="67"/>
      <c r="O621" s="78"/>
      <c r="P621" s="78"/>
      <c r="S621" s="78"/>
      <c r="T621" s="78"/>
      <c r="U621" s="79"/>
      <c r="V621" s="65"/>
      <c r="Y621" s="78"/>
      <c r="Z621" s="78"/>
      <c r="AA621" s="78"/>
      <c r="AB621" s="78"/>
      <c r="AC621" s="78"/>
      <c r="AD621" s="78"/>
      <c r="AE621" s="78"/>
      <c r="AF621" s="78"/>
      <c r="AG621" s="79"/>
      <c r="AH621" s="65"/>
      <c r="AJ621" s="85"/>
      <c r="AK621" s="78"/>
      <c r="AL621" s="78"/>
      <c r="AM621" s="78"/>
      <c r="AN621" s="78"/>
      <c r="AO621" s="78"/>
      <c r="AP621" s="78"/>
      <c r="AQ621" s="79"/>
      <c r="AR621" s="65"/>
      <c r="AT621" s="85"/>
      <c r="AU621" s="78"/>
      <c r="AV621" s="78"/>
      <c r="AW621" s="78"/>
      <c r="AX621" s="78"/>
      <c r="AY621" s="78"/>
      <c r="AZ621" s="79"/>
      <c r="BA621" s="65"/>
      <c r="BC621" s="85"/>
      <c r="BD621" s="78"/>
      <c r="BE621" s="78"/>
      <c r="BF621" s="78"/>
      <c r="BG621" s="78"/>
      <c r="BH621" s="78"/>
      <c r="BI621" s="78"/>
      <c r="BJ621" s="79"/>
      <c r="BK621" s="65"/>
      <c r="CU621" s="67"/>
      <c r="EC621" s="67"/>
      <c r="FK621" s="67"/>
      <c r="FL621" s="67"/>
      <c r="FM621" s="67"/>
      <c r="FN621" s="67"/>
      <c r="FO621" s="67"/>
      <c r="FP621" s="67"/>
      <c r="FQ621" s="67"/>
      <c r="FR621" s="67"/>
      <c r="FS621" s="67"/>
      <c r="FT621" s="67"/>
      <c r="FU621" s="67"/>
      <c r="FV621" s="67"/>
      <c r="FW621" s="67"/>
      <c r="FX621" s="67"/>
      <c r="FY621" s="67"/>
      <c r="FZ621" s="67"/>
      <c r="GA621" s="67"/>
      <c r="GB621" s="67"/>
      <c r="GC621" s="67"/>
      <c r="GD621" s="67"/>
      <c r="GE621" s="67"/>
      <c r="GF621" s="67"/>
      <c r="GG621" s="67"/>
      <c r="GH621" s="67"/>
      <c r="GI621" s="67"/>
      <c r="GJ621" s="67"/>
      <c r="GK621" s="67"/>
      <c r="GL621" s="67"/>
      <c r="GM621" s="67"/>
      <c r="GN621" s="67"/>
      <c r="GO621" s="67"/>
      <c r="GP621" s="67"/>
    </row>
    <row r="622" spans="5:198" s="66" customFormat="1">
      <c r="E622" s="67"/>
      <c r="G622" s="67"/>
      <c r="H622" s="67"/>
      <c r="I622" s="67"/>
      <c r="J622" s="67"/>
      <c r="K622" s="67"/>
      <c r="L622" s="67"/>
      <c r="M622" s="67"/>
      <c r="N622" s="67"/>
      <c r="O622" s="78"/>
      <c r="P622" s="78"/>
      <c r="S622" s="78"/>
      <c r="T622" s="78"/>
      <c r="U622" s="79"/>
      <c r="V622" s="65"/>
      <c r="Y622" s="78"/>
      <c r="Z622" s="78"/>
      <c r="AA622" s="78"/>
      <c r="AB622" s="78"/>
      <c r="AC622" s="78"/>
      <c r="AD622" s="78"/>
      <c r="AE622" s="78"/>
      <c r="AF622" s="78"/>
      <c r="AG622" s="79"/>
      <c r="AH622" s="65"/>
      <c r="AJ622" s="85"/>
      <c r="AK622" s="78"/>
      <c r="AL622" s="78"/>
      <c r="AM622" s="78"/>
      <c r="AN622" s="78"/>
      <c r="AO622" s="78"/>
      <c r="AP622" s="78"/>
      <c r="AQ622" s="79"/>
      <c r="AR622" s="65"/>
      <c r="AT622" s="85"/>
      <c r="AU622" s="78"/>
      <c r="AV622" s="78"/>
      <c r="AW622" s="78"/>
      <c r="AX622" s="78"/>
      <c r="AY622" s="78"/>
      <c r="AZ622" s="79"/>
      <c r="BA622" s="65"/>
      <c r="BC622" s="85"/>
      <c r="BD622" s="78"/>
      <c r="BE622" s="78"/>
      <c r="BF622" s="78"/>
      <c r="BG622" s="78"/>
      <c r="BH622" s="78"/>
      <c r="BI622" s="78"/>
      <c r="BJ622" s="79"/>
      <c r="BK622" s="65"/>
      <c r="CU622" s="67"/>
      <c r="EC622" s="67"/>
      <c r="FK622" s="67"/>
      <c r="FL622" s="67"/>
      <c r="FM622" s="67"/>
      <c r="FN622" s="67"/>
      <c r="FO622" s="67"/>
      <c r="FP622" s="67"/>
      <c r="FQ622" s="67"/>
      <c r="FR622" s="67"/>
      <c r="FS622" s="67"/>
      <c r="FT622" s="67"/>
      <c r="FU622" s="67"/>
      <c r="FV622" s="67"/>
      <c r="FW622" s="67"/>
      <c r="FX622" s="67"/>
      <c r="FY622" s="67"/>
      <c r="FZ622" s="67"/>
      <c r="GA622" s="67"/>
      <c r="GB622" s="67"/>
      <c r="GC622" s="67"/>
      <c r="GD622" s="67"/>
      <c r="GE622" s="67"/>
      <c r="GF622" s="67"/>
      <c r="GG622" s="67"/>
      <c r="GH622" s="67"/>
      <c r="GI622" s="67"/>
      <c r="GJ622" s="67"/>
      <c r="GK622" s="67"/>
      <c r="GL622" s="67"/>
      <c r="GM622" s="67"/>
      <c r="GN622" s="67"/>
      <c r="GO622" s="67"/>
      <c r="GP622" s="67"/>
    </row>
    <row r="623" spans="5:198" s="66" customFormat="1">
      <c r="E623" s="67"/>
      <c r="G623" s="67"/>
      <c r="H623" s="67"/>
      <c r="I623" s="67"/>
      <c r="J623" s="67"/>
      <c r="K623" s="67"/>
      <c r="L623" s="67"/>
      <c r="M623" s="67"/>
      <c r="N623" s="67"/>
      <c r="O623" s="78"/>
      <c r="P623" s="78"/>
      <c r="S623" s="78"/>
      <c r="T623" s="78"/>
      <c r="U623" s="79"/>
      <c r="V623" s="65"/>
      <c r="Y623" s="78"/>
      <c r="Z623" s="78"/>
      <c r="AA623" s="78"/>
      <c r="AB623" s="78"/>
      <c r="AC623" s="78"/>
      <c r="AD623" s="78"/>
      <c r="AE623" s="78"/>
      <c r="AF623" s="78"/>
      <c r="AG623" s="79"/>
      <c r="AH623" s="65"/>
      <c r="AJ623" s="85"/>
      <c r="AK623" s="78"/>
      <c r="AL623" s="78"/>
      <c r="AM623" s="78"/>
      <c r="AN623" s="78"/>
      <c r="AO623" s="78"/>
      <c r="AP623" s="78"/>
      <c r="AQ623" s="79"/>
      <c r="AR623" s="65"/>
      <c r="AT623" s="85"/>
      <c r="AU623" s="78"/>
      <c r="AV623" s="78"/>
      <c r="AW623" s="78"/>
      <c r="AX623" s="78"/>
      <c r="AY623" s="78"/>
      <c r="AZ623" s="79"/>
      <c r="BA623" s="65"/>
      <c r="BC623" s="85"/>
      <c r="BD623" s="78"/>
      <c r="BE623" s="78"/>
      <c r="BF623" s="78"/>
      <c r="BG623" s="78"/>
      <c r="BH623" s="78"/>
      <c r="BI623" s="78"/>
      <c r="BJ623" s="79"/>
      <c r="BK623" s="65"/>
      <c r="CU623" s="67"/>
      <c r="EC623" s="67"/>
      <c r="FK623" s="67"/>
      <c r="FL623" s="67"/>
      <c r="FM623" s="67"/>
      <c r="FN623" s="67"/>
      <c r="FO623" s="67"/>
      <c r="FP623" s="67"/>
      <c r="FQ623" s="67"/>
      <c r="FR623" s="67"/>
      <c r="FS623" s="67"/>
      <c r="FT623" s="67"/>
      <c r="FU623" s="67"/>
      <c r="FV623" s="67"/>
      <c r="FW623" s="67"/>
      <c r="FX623" s="67"/>
      <c r="FY623" s="67"/>
      <c r="FZ623" s="67"/>
      <c r="GA623" s="67"/>
      <c r="GB623" s="67"/>
      <c r="GC623" s="67"/>
      <c r="GD623" s="67"/>
      <c r="GE623" s="67"/>
      <c r="GF623" s="67"/>
      <c r="GG623" s="67"/>
      <c r="GH623" s="67"/>
      <c r="GI623" s="67"/>
      <c r="GJ623" s="67"/>
      <c r="GK623" s="67"/>
      <c r="GL623" s="67"/>
      <c r="GM623" s="67"/>
      <c r="GN623" s="67"/>
      <c r="GO623" s="67"/>
      <c r="GP623" s="67"/>
    </row>
    <row r="624" spans="5:198" s="66" customFormat="1">
      <c r="E624" s="67"/>
      <c r="G624" s="67"/>
      <c r="H624" s="67"/>
      <c r="I624" s="67"/>
      <c r="J624" s="67"/>
      <c r="K624" s="67"/>
      <c r="L624" s="67"/>
      <c r="M624" s="67"/>
      <c r="N624" s="67"/>
      <c r="O624" s="78"/>
      <c r="P624" s="78"/>
      <c r="S624" s="78"/>
      <c r="T624" s="78"/>
      <c r="U624" s="79"/>
      <c r="V624" s="65"/>
      <c r="Y624" s="78"/>
      <c r="Z624" s="78"/>
      <c r="AA624" s="78"/>
      <c r="AB624" s="78"/>
      <c r="AC624" s="78"/>
      <c r="AD624" s="78"/>
      <c r="AE624" s="78"/>
      <c r="AF624" s="78"/>
      <c r="AG624" s="79"/>
      <c r="AH624" s="65"/>
      <c r="AJ624" s="85"/>
      <c r="AK624" s="78"/>
      <c r="AL624" s="78"/>
      <c r="AM624" s="78"/>
      <c r="AN624" s="78"/>
      <c r="AO624" s="78"/>
      <c r="AP624" s="78"/>
      <c r="AQ624" s="79"/>
      <c r="AR624" s="65"/>
      <c r="AT624" s="85"/>
      <c r="AU624" s="78"/>
      <c r="AV624" s="78"/>
      <c r="AW624" s="78"/>
      <c r="AX624" s="78"/>
      <c r="AY624" s="78"/>
      <c r="AZ624" s="79"/>
      <c r="BA624" s="65"/>
      <c r="BC624" s="85"/>
      <c r="BD624" s="78"/>
      <c r="BE624" s="78"/>
      <c r="BF624" s="78"/>
      <c r="BG624" s="78"/>
      <c r="BH624" s="78"/>
      <c r="BI624" s="78"/>
      <c r="BJ624" s="79"/>
      <c r="BK624" s="65"/>
      <c r="CU624" s="67"/>
      <c r="EC624" s="67"/>
      <c r="FK624" s="67"/>
      <c r="FL624" s="67"/>
      <c r="FM624" s="67"/>
      <c r="FN624" s="67"/>
      <c r="FO624" s="67"/>
      <c r="FP624" s="67"/>
      <c r="FQ624" s="67"/>
      <c r="FR624" s="67"/>
      <c r="FS624" s="67"/>
      <c r="FT624" s="67"/>
      <c r="FU624" s="67"/>
      <c r="FV624" s="67"/>
      <c r="FW624" s="67"/>
      <c r="FX624" s="67"/>
      <c r="FY624" s="67"/>
      <c r="FZ624" s="67"/>
      <c r="GA624" s="67"/>
      <c r="GB624" s="67"/>
      <c r="GC624" s="67"/>
      <c r="GD624" s="67"/>
      <c r="GE624" s="67"/>
      <c r="GF624" s="67"/>
      <c r="GG624" s="67"/>
      <c r="GH624" s="67"/>
      <c r="GI624" s="67"/>
      <c r="GJ624" s="67"/>
      <c r="GK624" s="67"/>
      <c r="GL624" s="67"/>
      <c r="GM624" s="67"/>
      <c r="GN624" s="67"/>
      <c r="GO624" s="67"/>
      <c r="GP624" s="67"/>
    </row>
    <row r="625" spans="5:198" s="66" customFormat="1">
      <c r="E625" s="67"/>
      <c r="G625" s="67"/>
      <c r="H625" s="67"/>
      <c r="I625" s="67"/>
      <c r="J625" s="67"/>
      <c r="K625" s="67"/>
      <c r="L625" s="67"/>
      <c r="M625" s="67"/>
      <c r="N625" s="67"/>
      <c r="O625" s="78"/>
      <c r="P625" s="78"/>
      <c r="S625" s="78"/>
      <c r="T625" s="78"/>
      <c r="U625" s="79"/>
      <c r="V625" s="65"/>
      <c r="Y625" s="78"/>
      <c r="Z625" s="78"/>
      <c r="AA625" s="78"/>
      <c r="AB625" s="78"/>
      <c r="AC625" s="78"/>
      <c r="AD625" s="78"/>
      <c r="AE625" s="78"/>
      <c r="AF625" s="78"/>
      <c r="AG625" s="79"/>
      <c r="AH625" s="65"/>
      <c r="AJ625" s="85"/>
      <c r="AK625" s="78"/>
      <c r="AL625" s="78"/>
      <c r="AM625" s="78"/>
      <c r="AN625" s="78"/>
      <c r="AO625" s="78"/>
      <c r="AP625" s="78"/>
      <c r="AQ625" s="79"/>
      <c r="AR625" s="65"/>
      <c r="AT625" s="85"/>
      <c r="AU625" s="78"/>
      <c r="AV625" s="78"/>
      <c r="AW625" s="78"/>
      <c r="AX625" s="78"/>
      <c r="AY625" s="78"/>
      <c r="AZ625" s="79"/>
      <c r="BA625" s="65"/>
      <c r="BC625" s="85"/>
      <c r="BD625" s="78"/>
      <c r="BE625" s="78"/>
      <c r="BF625" s="78"/>
      <c r="BG625" s="78"/>
      <c r="BH625" s="78"/>
      <c r="BI625" s="78"/>
      <c r="BJ625" s="79"/>
      <c r="BK625" s="65"/>
      <c r="CU625" s="67"/>
      <c r="EC625" s="67"/>
      <c r="FK625" s="67"/>
      <c r="FL625" s="67"/>
      <c r="FM625" s="67"/>
      <c r="FN625" s="67"/>
      <c r="FO625" s="67"/>
      <c r="FP625" s="67"/>
      <c r="FQ625" s="67"/>
      <c r="FR625" s="67"/>
      <c r="FS625" s="67"/>
      <c r="FT625" s="67"/>
      <c r="FU625" s="67"/>
      <c r="FV625" s="67"/>
      <c r="FW625" s="67"/>
      <c r="FX625" s="67"/>
      <c r="FY625" s="67"/>
      <c r="FZ625" s="67"/>
      <c r="GA625" s="67"/>
      <c r="GB625" s="67"/>
      <c r="GC625" s="67"/>
      <c r="GD625" s="67"/>
      <c r="GE625" s="67"/>
      <c r="GF625" s="67"/>
      <c r="GG625" s="67"/>
      <c r="GH625" s="67"/>
      <c r="GI625" s="67"/>
      <c r="GJ625" s="67"/>
      <c r="GK625" s="67"/>
      <c r="GL625" s="67"/>
      <c r="GM625" s="67"/>
      <c r="GN625" s="67"/>
      <c r="GO625" s="67"/>
      <c r="GP625" s="67"/>
    </row>
    <row r="626" spans="5:198" s="66" customFormat="1">
      <c r="E626" s="67"/>
      <c r="G626" s="67"/>
      <c r="H626" s="67"/>
      <c r="I626" s="67"/>
      <c r="J626" s="67"/>
      <c r="K626" s="67"/>
      <c r="L626" s="67"/>
      <c r="M626" s="67"/>
      <c r="N626" s="67"/>
      <c r="O626" s="78"/>
      <c r="P626" s="78"/>
      <c r="S626" s="78"/>
      <c r="T626" s="78"/>
      <c r="U626" s="79"/>
      <c r="V626" s="65"/>
      <c r="Y626" s="78"/>
      <c r="Z626" s="78"/>
      <c r="AA626" s="78"/>
      <c r="AB626" s="78"/>
      <c r="AC626" s="78"/>
      <c r="AD626" s="78"/>
      <c r="AE626" s="78"/>
      <c r="AF626" s="78"/>
      <c r="AG626" s="79"/>
      <c r="AH626" s="65"/>
      <c r="AJ626" s="85"/>
      <c r="AK626" s="78"/>
      <c r="AL626" s="78"/>
      <c r="AM626" s="78"/>
      <c r="AN626" s="78"/>
      <c r="AO626" s="78"/>
      <c r="AP626" s="78"/>
      <c r="AQ626" s="79"/>
      <c r="AR626" s="65"/>
      <c r="AT626" s="85"/>
      <c r="AU626" s="78"/>
      <c r="AV626" s="78"/>
      <c r="AW626" s="78"/>
      <c r="AX626" s="78"/>
      <c r="AY626" s="78"/>
      <c r="AZ626" s="79"/>
      <c r="BA626" s="65"/>
      <c r="BC626" s="85"/>
      <c r="BD626" s="78"/>
      <c r="BE626" s="78"/>
      <c r="BF626" s="78"/>
      <c r="BG626" s="78"/>
      <c r="BH626" s="78"/>
      <c r="BI626" s="78"/>
      <c r="BJ626" s="79"/>
      <c r="BK626" s="65"/>
      <c r="CU626" s="67"/>
      <c r="EC626" s="67"/>
      <c r="FK626" s="67"/>
      <c r="FL626" s="67"/>
      <c r="FM626" s="67"/>
      <c r="FN626" s="67"/>
      <c r="FO626" s="67"/>
      <c r="FP626" s="67"/>
      <c r="FQ626" s="67"/>
      <c r="FR626" s="67"/>
      <c r="FS626" s="67"/>
      <c r="FT626" s="67"/>
      <c r="FU626" s="67"/>
      <c r="FV626" s="67"/>
      <c r="FW626" s="67"/>
      <c r="FX626" s="67"/>
      <c r="FY626" s="67"/>
      <c r="FZ626" s="67"/>
      <c r="GA626" s="67"/>
      <c r="GB626" s="67"/>
      <c r="GC626" s="67"/>
      <c r="GD626" s="67"/>
      <c r="GE626" s="67"/>
      <c r="GF626" s="67"/>
      <c r="GG626" s="67"/>
      <c r="GH626" s="67"/>
      <c r="GI626" s="67"/>
      <c r="GJ626" s="67"/>
      <c r="GK626" s="67"/>
      <c r="GL626" s="67"/>
      <c r="GM626" s="67"/>
      <c r="GN626" s="67"/>
      <c r="GO626" s="67"/>
      <c r="GP626" s="67"/>
    </row>
    <row r="627" spans="5:198" s="66" customFormat="1">
      <c r="E627" s="67"/>
      <c r="G627" s="67"/>
      <c r="H627" s="67"/>
      <c r="I627" s="67"/>
      <c r="J627" s="67"/>
      <c r="K627" s="67"/>
      <c r="L627" s="67"/>
      <c r="M627" s="67"/>
      <c r="N627" s="67"/>
      <c r="O627" s="78"/>
      <c r="P627" s="78"/>
      <c r="S627" s="78"/>
      <c r="T627" s="78"/>
      <c r="U627" s="79"/>
      <c r="V627" s="65"/>
      <c r="Y627" s="78"/>
      <c r="Z627" s="78"/>
      <c r="AA627" s="78"/>
      <c r="AB627" s="78"/>
      <c r="AC627" s="78"/>
      <c r="AD627" s="78"/>
      <c r="AE627" s="78"/>
      <c r="AF627" s="78"/>
      <c r="AG627" s="79"/>
      <c r="AH627" s="65"/>
      <c r="AJ627" s="85"/>
      <c r="AK627" s="78"/>
      <c r="AL627" s="78"/>
      <c r="AM627" s="78"/>
      <c r="AN627" s="78"/>
      <c r="AO627" s="78"/>
      <c r="AP627" s="78"/>
      <c r="AQ627" s="79"/>
      <c r="AR627" s="65"/>
      <c r="AT627" s="85"/>
      <c r="AU627" s="78"/>
      <c r="AV627" s="78"/>
      <c r="AW627" s="78"/>
      <c r="AX627" s="78"/>
      <c r="AY627" s="78"/>
      <c r="AZ627" s="79"/>
      <c r="BA627" s="65"/>
      <c r="BC627" s="85"/>
      <c r="BD627" s="78"/>
      <c r="BE627" s="78"/>
      <c r="BF627" s="78"/>
      <c r="BG627" s="78"/>
      <c r="BH627" s="78"/>
      <c r="BI627" s="78"/>
      <c r="BJ627" s="79"/>
      <c r="BK627" s="65"/>
      <c r="CU627" s="67"/>
      <c r="EC627" s="67"/>
      <c r="FK627" s="67"/>
      <c r="FL627" s="67"/>
      <c r="FM627" s="67"/>
      <c r="FN627" s="67"/>
      <c r="FO627" s="67"/>
      <c r="FP627" s="67"/>
      <c r="FQ627" s="67"/>
      <c r="FR627" s="67"/>
      <c r="FS627" s="67"/>
      <c r="FT627" s="67"/>
      <c r="FU627" s="67"/>
      <c r="FV627" s="67"/>
      <c r="FW627" s="67"/>
      <c r="FX627" s="67"/>
      <c r="FY627" s="67"/>
      <c r="FZ627" s="67"/>
      <c r="GA627" s="67"/>
      <c r="GB627" s="67"/>
      <c r="GC627" s="67"/>
      <c r="GD627" s="67"/>
      <c r="GE627" s="67"/>
      <c r="GF627" s="67"/>
      <c r="GG627" s="67"/>
      <c r="GH627" s="67"/>
      <c r="GI627" s="67"/>
      <c r="GJ627" s="67"/>
      <c r="GK627" s="67"/>
      <c r="GL627" s="67"/>
      <c r="GM627" s="67"/>
      <c r="GN627" s="67"/>
      <c r="GO627" s="67"/>
      <c r="GP627" s="67"/>
    </row>
    <row r="628" spans="5:198" s="66" customFormat="1">
      <c r="E628" s="67"/>
      <c r="G628" s="67"/>
      <c r="H628" s="67"/>
      <c r="I628" s="67"/>
      <c r="J628" s="67"/>
      <c r="K628" s="67"/>
      <c r="L628" s="67"/>
      <c r="M628" s="67"/>
      <c r="N628" s="67"/>
      <c r="O628" s="78"/>
      <c r="P628" s="78"/>
      <c r="S628" s="78"/>
      <c r="T628" s="78"/>
      <c r="U628" s="79"/>
      <c r="V628" s="65"/>
      <c r="Y628" s="78"/>
      <c r="Z628" s="78"/>
      <c r="AA628" s="78"/>
      <c r="AB628" s="78"/>
      <c r="AC628" s="78"/>
      <c r="AD628" s="78"/>
      <c r="AE628" s="78"/>
      <c r="AF628" s="78"/>
      <c r="AG628" s="79"/>
      <c r="AH628" s="65"/>
      <c r="AJ628" s="85"/>
      <c r="AK628" s="78"/>
      <c r="AL628" s="78"/>
      <c r="AM628" s="78"/>
      <c r="AN628" s="78"/>
      <c r="AO628" s="78"/>
      <c r="AP628" s="78"/>
      <c r="AQ628" s="79"/>
      <c r="AR628" s="65"/>
      <c r="AT628" s="85"/>
      <c r="AU628" s="78"/>
      <c r="AV628" s="78"/>
      <c r="AW628" s="78"/>
      <c r="AX628" s="78"/>
      <c r="AY628" s="78"/>
      <c r="AZ628" s="79"/>
      <c r="BA628" s="65"/>
      <c r="BC628" s="85"/>
      <c r="BD628" s="78"/>
      <c r="BE628" s="78"/>
      <c r="BF628" s="78"/>
      <c r="BG628" s="78"/>
      <c r="BH628" s="78"/>
      <c r="BI628" s="78"/>
      <c r="BJ628" s="79"/>
      <c r="BK628" s="65"/>
      <c r="CU628" s="67"/>
      <c r="EC628" s="67"/>
      <c r="FK628" s="67"/>
      <c r="FL628" s="67"/>
      <c r="FM628" s="67"/>
      <c r="FN628" s="67"/>
      <c r="FO628" s="67"/>
      <c r="FP628" s="67"/>
      <c r="FQ628" s="67"/>
      <c r="FR628" s="67"/>
      <c r="FS628" s="67"/>
      <c r="FT628" s="67"/>
      <c r="FU628" s="67"/>
      <c r="FV628" s="67"/>
      <c r="FW628" s="67"/>
      <c r="FX628" s="67"/>
      <c r="FY628" s="67"/>
      <c r="FZ628" s="67"/>
      <c r="GA628" s="67"/>
      <c r="GB628" s="67"/>
      <c r="GC628" s="67"/>
      <c r="GD628" s="67"/>
      <c r="GE628" s="67"/>
      <c r="GF628" s="67"/>
      <c r="GG628" s="67"/>
      <c r="GH628" s="67"/>
      <c r="GI628" s="67"/>
      <c r="GJ628" s="67"/>
      <c r="GK628" s="67"/>
      <c r="GL628" s="67"/>
      <c r="GM628" s="67"/>
      <c r="GN628" s="67"/>
      <c r="GO628" s="67"/>
      <c r="GP628" s="67"/>
    </row>
    <row r="629" spans="5:198" s="66" customFormat="1">
      <c r="E629" s="67"/>
      <c r="G629" s="67"/>
      <c r="H629" s="67"/>
      <c r="I629" s="67"/>
      <c r="J629" s="67"/>
      <c r="K629" s="67"/>
      <c r="L629" s="67"/>
      <c r="M629" s="67"/>
      <c r="N629" s="67"/>
      <c r="O629" s="78"/>
      <c r="P629" s="78"/>
      <c r="S629" s="78"/>
      <c r="T629" s="78"/>
      <c r="U629" s="79"/>
      <c r="V629" s="65"/>
      <c r="Y629" s="78"/>
      <c r="Z629" s="78"/>
      <c r="AA629" s="78"/>
      <c r="AB629" s="78"/>
      <c r="AC629" s="78"/>
      <c r="AD629" s="78"/>
      <c r="AE629" s="78"/>
      <c r="AF629" s="78"/>
      <c r="AG629" s="79"/>
      <c r="AH629" s="65"/>
      <c r="AJ629" s="85"/>
      <c r="AK629" s="78"/>
      <c r="AL629" s="78"/>
      <c r="AM629" s="78"/>
      <c r="AN629" s="78"/>
      <c r="AO629" s="78"/>
      <c r="AP629" s="78"/>
      <c r="AQ629" s="79"/>
      <c r="AR629" s="65"/>
      <c r="AT629" s="85"/>
      <c r="AU629" s="78"/>
      <c r="AV629" s="78"/>
      <c r="AW629" s="78"/>
      <c r="AX629" s="78"/>
      <c r="AY629" s="78"/>
      <c r="AZ629" s="79"/>
      <c r="BA629" s="65"/>
      <c r="BC629" s="85"/>
      <c r="BD629" s="78"/>
      <c r="BE629" s="78"/>
      <c r="BF629" s="78"/>
      <c r="BG629" s="78"/>
      <c r="BH629" s="78"/>
      <c r="BI629" s="78"/>
      <c r="BJ629" s="79"/>
      <c r="BK629" s="65"/>
      <c r="CU629" s="67"/>
      <c r="EC629" s="67"/>
      <c r="FK629" s="67"/>
      <c r="FL629" s="67"/>
      <c r="FM629" s="67"/>
      <c r="FN629" s="67"/>
      <c r="FO629" s="67"/>
      <c r="FP629" s="67"/>
      <c r="FQ629" s="67"/>
      <c r="FR629" s="67"/>
      <c r="FS629" s="67"/>
      <c r="FT629" s="67"/>
      <c r="FU629" s="67"/>
      <c r="FV629" s="67"/>
      <c r="FW629" s="67"/>
      <c r="FX629" s="67"/>
      <c r="FY629" s="67"/>
      <c r="FZ629" s="67"/>
      <c r="GA629" s="67"/>
      <c r="GB629" s="67"/>
      <c r="GC629" s="67"/>
      <c r="GD629" s="67"/>
      <c r="GE629" s="67"/>
      <c r="GF629" s="67"/>
      <c r="GG629" s="67"/>
      <c r="GH629" s="67"/>
      <c r="GI629" s="67"/>
      <c r="GJ629" s="67"/>
      <c r="GK629" s="67"/>
      <c r="GL629" s="67"/>
      <c r="GM629" s="67"/>
      <c r="GN629" s="67"/>
      <c r="GO629" s="67"/>
      <c r="GP629" s="67"/>
    </row>
    <row r="630" spans="5:198" s="66" customFormat="1">
      <c r="E630" s="67"/>
      <c r="G630" s="67"/>
      <c r="H630" s="67"/>
      <c r="I630" s="67"/>
      <c r="J630" s="67"/>
      <c r="K630" s="67"/>
      <c r="L630" s="67"/>
      <c r="M630" s="67"/>
      <c r="N630" s="67"/>
      <c r="O630" s="78"/>
      <c r="P630" s="78"/>
      <c r="S630" s="78"/>
      <c r="T630" s="78"/>
      <c r="U630" s="79"/>
      <c r="V630" s="65"/>
      <c r="Y630" s="78"/>
      <c r="Z630" s="78"/>
      <c r="AA630" s="78"/>
      <c r="AB630" s="78"/>
      <c r="AC630" s="78"/>
      <c r="AD630" s="78"/>
      <c r="AE630" s="78"/>
      <c r="AF630" s="78"/>
      <c r="AG630" s="79"/>
      <c r="AH630" s="65"/>
      <c r="AJ630" s="85"/>
      <c r="AK630" s="78"/>
      <c r="AL630" s="78"/>
      <c r="AM630" s="78"/>
      <c r="AN630" s="78"/>
      <c r="AO630" s="78"/>
      <c r="AP630" s="78"/>
      <c r="AQ630" s="79"/>
      <c r="AR630" s="65"/>
      <c r="AT630" s="85"/>
      <c r="AU630" s="78"/>
      <c r="AV630" s="78"/>
      <c r="AW630" s="78"/>
      <c r="AX630" s="78"/>
      <c r="AY630" s="78"/>
      <c r="AZ630" s="79"/>
      <c r="BA630" s="65"/>
      <c r="BC630" s="85"/>
      <c r="BD630" s="78"/>
      <c r="BE630" s="78"/>
      <c r="BF630" s="78"/>
      <c r="BG630" s="78"/>
      <c r="BH630" s="78"/>
      <c r="BI630" s="78"/>
      <c r="BJ630" s="79"/>
      <c r="BK630" s="65"/>
      <c r="CU630" s="67"/>
      <c r="EC630" s="67"/>
      <c r="FK630" s="67"/>
      <c r="FL630" s="67"/>
      <c r="FM630" s="67"/>
      <c r="FN630" s="67"/>
      <c r="FO630" s="67"/>
      <c r="FP630" s="67"/>
      <c r="FQ630" s="67"/>
      <c r="FR630" s="67"/>
      <c r="FS630" s="67"/>
      <c r="FT630" s="67"/>
      <c r="FU630" s="67"/>
      <c r="FV630" s="67"/>
      <c r="FW630" s="67"/>
      <c r="FX630" s="67"/>
      <c r="FY630" s="67"/>
      <c r="FZ630" s="67"/>
      <c r="GA630" s="67"/>
      <c r="GB630" s="67"/>
      <c r="GC630" s="67"/>
      <c r="GD630" s="67"/>
      <c r="GE630" s="67"/>
      <c r="GF630" s="67"/>
      <c r="GG630" s="67"/>
      <c r="GH630" s="67"/>
      <c r="GI630" s="67"/>
      <c r="GJ630" s="67"/>
      <c r="GK630" s="67"/>
      <c r="GL630" s="67"/>
      <c r="GM630" s="67"/>
      <c r="GN630" s="67"/>
      <c r="GO630" s="67"/>
      <c r="GP630" s="67"/>
    </row>
    <row r="631" spans="5:198" s="66" customFormat="1">
      <c r="E631" s="67"/>
      <c r="G631" s="67"/>
      <c r="H631" s="67"/>
      <c r="I631" s="67"/>
      <c r="J631" s="67"/>
      <c r="K631" s="67"/>
      <c r="L631" s="67"/>
      <c r="M631" s="67"/>
      <c r="N631" s="67"/>
      <c r="O631" s="78"/>
      <c r="P631" s="78"/>
      <c r="S631" s="78"/>
      <c r="T631" s="78"/>
      <c r="U631" s="79"/>
      <c r="V631" s="65"/>
      <c r="Y631" s="78"/>
      <c r="Z631" s="78"/>
      <c r="AA631" s="78"/>
      <c r="AB631" s="78"/>
      <c r="AC631" s="78"/>
      <c r="AD631" s="78"/>
      <c r="AE631" s="78"/>
      <c r="AF631" s="78"/>
      <c r="AG631" s="79"/>
      <c r="AH631" s="65"/>
      <c r="AJ631" s="85"/>
      <c r="AK631" s="78"/>
      <c r="AL631" s="78"/>
      <c r="AM631" s="78"/>
      <c r="AN631" s="78"/>
      <c r="AO631" s="78"/>
      <c r="AP631" s="78"/>
      <c r="AQ631" s="79"/>
      <c r="AR631" s="65"/>
      <c r="AT631" s="85"/>
      <c r="AU631" s="78"/>
      <c r="AV631" s="78"/>
      <c r="AW631" s="78"/>
      <c r="AX631" s="78"/>
      <c r="AY631" s="78"/>
      <c r="AZ631" s="79"/>
      <c r="BA631" s="65"/>
      <c r="BC631" s="85"/>
      <c r="BD631" s="78"/>
      <c r="BE631" s="78"/>
      <c r="BF631" s="78"/>
      <c r="BG631" s="78"/>
      <c r="BH631" s="78"/>
      <c r="BI631" s="78"/>
      <c r="BJ631" s="79"/>
      <c r="BK631" s="65"/>
      <c r="CU631" s="67"/>
      <c r="EC631" s="67"/>
      <c r="FK631" s="67"/>
      <c r="FL631" s="67"/>
      <c r="FM631" s="67"/>
      <c r="FN631" s="67"/>
      <c r="FO631" s="67"/>
      <c r="FP631" s="67"/>
      <c r="FQ631" s="67"/>
      <c r="FR631" s="67"/>
      <c r="FS631" s="67"/>
      <c r="FT631" s="67"/>
      <c r="FU631" s="67"/>
      <c r="FV631" s="67"/>
      <c r="FW631" s="67"/>
      <c r="FX631" s="67"/>
      <c r="FY631" s="67"/>
      <c r="FZ631" s="67"/>
      <c r="GA631" s="67"/>
      <c r="GB631" s="67"/>
      <c r="GC631" s="67"/>
      <c r="GD631" s="67"/>
      <c r="GE631" s="67"/>
      <c r="GF631" s="67"/>
      <c r="GG631" s="67"/>
      <c r="GH631" s="67"/>
      <c r="GI631" s="67"/>
      <c r="GJ631" s="67"/>
      <c r="GK631" s="67"/>
      <c r="GL631" s="67"/>
      <c r="GM631" s="67"/>
      <c r="GN631" s="67"/>
      <c r="GO631" s="67"/>
      <c r="GP631" s="67"/>
    </row>
    <row r="632" spans="5:198" s="66" customFormat="1">
      <c r="E632" s="67"/>
      <c r="G632" s="67"/>
      <c r="H632" s="67"/>
      <c r="I632" s="67"/>
      <c r="J632" s="67"/>
      <c r="K632" s="67"/>
      <c r="L632" s="67"/>
      <c r="M632" s="67"/>
      <c r="N632" s="67"/>
      <c r="O632" s="78"/>
      <c r="P632" s="78"/>
      <c r="S632" s="78"/>
      <c r="T632" s="78"/>
      <c r="U632" s="79"/>
      <c r="V632" s="65"/>
      <c r="Y632" s="78"/>
      <c r="Z632" s="78"/>
      <c r="AA632" s="78"/>
      <c r="AB632" s="78"/>
      <c r="AC632" s="78"/>
      <c r="AD632" s="78"/>
      <c r="AE632" s="78"/>
      <c r="AF632" s="78"/>
      <c r="AG632" s="79"/>
      <c r="AH632" s="65"/>
      <c r="AJ632" s="85"/>
      <c r="AK632" s="78"/>
      <c r="AL632" s="78"/>
      <c r="AM632" s="78"/>
      <c r="AN632" s="78"/>
      <c r="AO632" s="78"/>
      <c r="AP632" s="78"/>
      <c r="AQ632" s="79"/>
      <c r="AR632" s="65"/>
      <c r="AT632" s="85"/>
      <c r="AU632" s="78"/>
      <c r="AV632" s="78"/>
      <c r="AW632" s="78"/>
      <c r="AX632" s="78"/>
      <c r="AY632" s="78"/>
      <c r="AZ632" s="79"/>
      <c r="BA632" s="65"/>
      <c r="BC632" s="85"/>
      <c r="BD632" s="78"/>
      <c r="BE632" s="78"/>
      <c r="BF632" s="78"/>
      <c r="BG632" s="78"/>
      <c r="BH632" s="78"/>
      <c r="BI632" s="78"/>
      <c r="BJ632" s="79"/>
      <c r="BK632" s="65"/>
      <c r="CU632" s="67"/>
      <c r="EC632" s="67"/>
      <c r="FK632" s="67"/>
      <c r="FL632" s="67"/>
      <c r="FM632" s="67"/>
      <c r="FN632" s="67"/>
      <c r="FO632" s="67"/>
      <c r="FP632" s="67"/>
      <c r="FQ632" s="67"/>
      <c r="FR632" s="67"/>
      <c r="FS632" s="67"/>
      <c r="FT632" s="67"/>
      <c r="FU632" s="67"/>
      <c r="FV632" s="67"/>
      <c r="FW632" s="67"/>
      <c r="FX632" s="67"/>
      <c r="FY632" s="67"/>
      <c r="FZ632" s="67"/>
      <c r="GA632" s="67"/>
      <c r="GB632" s="67"/>
      <c r="GC632" s="67"/>
      <c r="GD632" s="67"/>
      <c r="GE632" s="67"/>
      <c r="GF632" s="67"/>
      <c r="GG632" s="67"/>
      <c r="GH632" s="67"/>
      <c r="GI632" s="67"/>
      <c r="GJ632" s="67"/>
      <c r="GK632" s="67"/>
      <c r="GL632" s="67"/>
      <c r="GM632" s="67"/>
      <c r="GN632" s="67"/>
      <c r="GO632" s="67"/>
      <c r="GP632" s="67"/>
    </row>
    <row r="633" spans="5:198" s="66" customFormat="1">
      <c r="E633" s="67"/>
      <c r="G633" s="67"/>
      <c r="H633" s="67"/>
      <c r="I633" s="67"/>
      <c r="J633" s="67"/>
      <c r="K633" s="67"/>
      <c r="L633" s="67"/>
      <c r="M633" s="67"/>
      <c r="N633" s="67"/>
      <c r="O633" s="78"/>
      <c r="P633" s="78"/>
      <c r="S633" s="78"/>
      <c r="T633" s="78"/>
      <c r="U633" s="79"/>
      <c r="V633" s="65"/>
      <c r="Y633" s="78"/>
      <c r="Z633" s="78"/>
      <c r="AA633" s="78"/>
      <c r="AB633" s="78"/>
      <c r="AC633" s="78"/>
      <c r="AD633" s="78"/>
      <c r="AE633" s="78"/>
      <c r="AF633" s="78"/>
      <c r="AG633" s="79"/>
      <c r="AH633" s="65"/>
      <c r="AJ633" s="85"/>
      <c r="AK633" s="78"/>
      <c r="AL633" s="78"/>
      <c r="AM633" s="78"/>
      <c r="AN633" s="78"/>
      <c r="AO633" s="78"/>
      <c r="AP633" s="78"/>
      <c r="AQ633" s="79"/>
      <c r="AR633" s="65"/>
      <c r="AT633" s="85"/>
      <c r="AU633" s="78"/>
      <c r="AV633" s="78"/>
      <c r="AW633" s="78"/>
      <c r="AX633" s="78"/>
      <c r="AY633" s="78"/>
      <c r="AZ633" s="79"/>
      <c r="BA633" s="65"/>
      <c r="BC633" s="85"/>
      <c r="BD633" s="78"/>
      <c r="BE633" s="78"/>
      <c r="BF633" s="78"/>
      <c r="BG633" s="78"/>
      <c r="BH633" s="78"/>
      <c r="BI633" s="78"/>
      <c r="BJ633" s="79"/>
      <c r="BK633" s="65"/>
      <c r="CU633" s="67"/>
      <c r="EC633" s="67"/>
      <c r="FK633" s="67"/>
      <c r="FL633" s="67"/>
      <c r="FM633" s="67"/>
      <c r="FN633" s="67"/>
      <c r="FO633" s="67"/>
      <c r="FP633" s="67"/>
      <c r="FQ633" s="67"/>
      <c r="FR633" s="67"/>
      <c r="FS633" s="67"/>
      <c r="FT633" s="67"/>
      <c r="FU633" s="67"/>
      <c r="FV633" s="67"/>
      <c r="FW633" s="67"/>
      <c r="FX633" s="67"/>
      <c r="FY633" s="67"/>
      <c r="FZ633" s="67"/>
      <c r="GA633" s="67"/>
      <c r="GB633" s="67"/>
      <c r="GC633" s="67"/>
      <c r="GD633" s="67"/>
      <c r="GE633" s="67"/>
      <c r="GF633" s="67"/>
      <c r="GG633" s="67"/>
      <c r="GH633" s="67"/>
      <c r="GI633" s="67"/>
      <c r="GJ633" s="67"/>
      <c r="GK633" s="67"/>
      <c r="GL633" s="67"/>
      <c r="GM633" s="67"/>
      <c r="GN633" s="67"/>
      <c r="GO633" s="67"/>
      <c r="GP633" s="67"/>
    </row>
    <row r="634" spans="5:198" s="66" customFormat="1">
      <c r="E634" s="67"/>
      <c r="G634" s="67"/>
      <c r="H634" s="67"/>
      <c r="I634" s="67"/>
      <c r="J634" s="67"/>
      <c r="K634" s="67"/>
      <c r="L634" s="67"/>
      <c r="M634" s="67"/>
      <c r="N634" s="67"/>
      <c r="O634" s="78"/>
      <c r="P634" s="78"/>
      <c r="S634" s="78"/>
      <c r="T634" s="78"/>
      <c r="U634" s="79"/>
      <c r="V634" s="65"/>
      <c r="Y634" s="78"/>
      <c r="Z634" s="78"/>
      <c r="AA634" s="78"/>
      <c r="AB634" s="78"/>
      <c r="AC634" s="78"/>
      <c r="AD634" s="78"/>
      <c r="AE634" s="78"/>
      <c r="AF634" s="78"/>
      <c r="AG634" s="79"/>
      <c r="AH634" s="65"/>
      <c r="AJ634" s="85"/>
      <c r="AK634" s="78"/>
      <c r="AL634" s="78"/>
      <c r="AM634" s="78"/>
      <c r="AN634" s="78"/>
      <c r="AO634" s="78"/>
      <c r="AP634" s="78"/>
      <c r="AQ634" s="79"/>
      <c r="AR634" s="65"/>
      <c r="AT634" s="85"/>
      <c r="AU634" s="78"/>
      <c r="AV634" s="78"/>
      <c r="AW634" s="78"/>
      <c r="AX634" s="78"/>
      <c r="AY634" s="78"/>
      <c r="AZ634" s="79"/>
      <c r="BA634" s="65"/>
      <c r="BC634" s="85"/>
      <c r="BD634" s="78"/>
      <c r="BE634" s="78"/>
      <c r="BF634" s="78"/>
      <c r="BG634" s="78"/>
      <c r="BH634" s="78"/>
      <c r="BI634" s="78"/>
      <c r="BJ634" s="79"/>
      <c r="BK634" s="65"/>
      <c r="CU634" s="67"/>
      <c r="EC634" s="67"/>
      <c r="FK634" s="67"/>
      <c r="FL634" s="67"/>
      <c r="FM634" s="67"/>
      <c r="FN634" s="67"/>
      <c r="FO634" s="67"/>
      <c r="FP634" s="67"/>
      <c r="FQ634" s="67"/>
      <c r="FR634" s="67"/>
      <c r="FS634" s="67"/>
      <c r="FT634" s="67"/>
      <c r="FU634" s="67"/>
      <c r="FV634" s="67"/>
      <c r="FW634" s="67"/>
      <c r="FX634" s="67"/>
      <c r="FY634" s="67"/>
      <c r="FZ634" s="67"/>
      <c r="GA634" s="67"/>
      <c r="GB634" s="67"/>
      <c r="GC634" s="67"/>
      <c r="GD634" s="67"/>
      <c r="GE634" s="67"/>
      <c r="GF634" s="67"/>
      <c r="GG634" s="67"/>
      <c r="GH634" s="67"/>
      <c r="GI634" s="67"/>
      <c r="GJ634" s="67"/>
      <c r="GK634" s="67"/>
      <c r="GL634" s="67"/>
      <c r="GM634" s="67"/>
      <c r="GN634" s="67"/>
      <c r="GO634" s="67"/>
      <c r="GP634" s="67"/>
    </row>
    <row r="635" spans="5:198" s="66" customFormat="1">
      <c r="E635" s="67"/>
      <c r="G635" s="67"/>
      <c r="H635" s="67"/>
      <c r="I635" s="67"/>
      <c r="J635" s="67"/>
      <c r="K635" s="67"/>
      <c r="L635" s="67"/>
      <c r="M635" s="67"/>
      <c r="N635" s="67"/>
      <c r="O635" s="78"/>
      <c r="P635" s="78"/>
      <c r="S635" s="78"/>
      <c r="T635" s="78"/>
      <c r="U635" s="79"/>
      <c r="V635" s="65"/>
      <c r="Y635" s="78"/>
      <c r="Z635" s="78"/>
      <c r="AA635" s="78"/>
      <c r="AB635" s="78"/>
      <c r="AC635" s="78"/>
      <c r="AD635" s="78"/>
      <c r="AE635" s="78"/>
      <c r="AF635" s="78"/>
      <c r="AG635" s="79"/>
      <c r="AH635" s="65"/>
      <c r="AJ635" s="85"/>
      <c r="AK635" s="78"/>
      <c r="AL635" s="78"/>
      <c r="AM635" s="78"/>
      <c r="AN635" s="78"/>
      <c r="AO635" s="78"/>
      <c r="AP635" s="78"/>
      <c r="AQ635" s="79"/>
      <c r="AR635" s="65"/>
      <c r="AT635" s="85"/>
      <c r="AU635" s="78"/>
      <c r="AV635" s="78"/>
      <c r="AW635" s="78"/>
      <c r="AX635" s="78"/>
      <c r="AY635" s="78"/>
      <c r="AZ635" s="79"/>
      <c r="BA635" s="65"/>
      <c r="BC635" s="85"/>
      <c r="BD635" s="78"/>
      <c r="BE635" s="78"/>
      <c r="BF635" s="78"/>
      <c r="BG635" s="78"/>
      <c r="BH635" s="78"/>
      <c r="BI635" s="78"/>
      <c r="BJ635" s="79"/>
      <c r="BK635" s="65"/>
      <c r="CU635" s="67"/>
      <c r="EC635" s="67"/>
      <c r="FK635" s="67"/>
      <c r="FL635" s="67"/>
      <c r="FM635" s="67"/>
      <c r="FN635" s="67"/>
      <c r="FO635" s="67"/>
      <c r="FP635" s="67"/>
      <c r="FQ635" s="67"/>
      <c r="FR635" s="67"/>
      <c r="FS635" s="67"/>
      <c r="FT635" s="67"/>
      <c r="FU635" s="67"/>
      <c r="FV635" s="67"/>
      <c r="FW635" s="67"/>
      <c r="FX635" s="67"/>
      <c r="FY635" s="67"/>
      <c r="FZ635" s="67"/>
      <c r="GA635" s="67"/>
      <c r="GB635" s="67"/>
      <c r="GC635" s="67"/>
      <c r="GD635" s="67"/>
      <c r="GE635" s="67"/>
      <c r="GF635" s="67"/>
      <c r="GG635" s="67"/>
      <c r="GH635" s="67"/>
      <c r="GI635" s="67"/>
      <c r="GJ635" s="67"/>
      <c r="GK635" s="67"/>
      <c r="GL635" s="67"/>
      <c r="GM635" s="67"/>
      <c r="GN635" s="67"/>
      <c r="GO635" s="67"/>
      <c r="GP635" s="67"/>
    </row>
    <row r="636" spans="5:198" s="66" customFormat="1">
      <c r="E636" s="67"/>
      <c r="G636" s="67"/>
      <c r="H636" s="67"/>
      <c r="I636" s="67"/>
      <c r="J636" s="67"/>
      <c r="K636" s="67"/>
      <c r="L636" s="67"/>
      <c r="M636" s="67"/>
      <c r="N636" s="67"/>
      <c r="O636" s="78"/>
      <c r="P636" s="78"/>
      <c r="S636" s="78"/>
      <c r="T636" s="78"/>
      <c r="U636" s="79"/>
      <c r="V636" s="65"/>
      <c r="Y636" s="78"/>
      <c r="Z636" s="78"/>
      <c r="AA636" s="78"/>
      <c r="AB636" s="78"/>
      <c r="AC636" s="78"/>
      <c r="AD636" s="78"/>
      <c r="AE636" s="78"/>
      <c r="AF636" s="78"/>
      <c r="AG636" s="79"/>
      <c r="AH636" s="65"/>
      <c r="AJ636" s="85"/>
      <c r="AK636" s="78"/>
      <c r="AL636" s="78"/>
      <c r="AM636" s="78"/>
      <c r="AN636" s="78"/>
      <c r="AO636" s="78"/>
      <c r="AP636" s="78"/>
      <c r="AQ636" s="79"/>
      <c r="AR636" s="65"/>
      <c r="AT636" s="85"/>
      <c r="AU636" s="78"/>
      <c r="AV636" s="78"/>
      <c r="AW636" s="78"/>
      <c r="AX636" s="78"/>
      <c r="AY636" s="78"/>
      <c r="AZ636" s="79"/>
      <c r="BA636" s="65"/>
      <c r="BC636" s="85"/>
      <c r="BD636" s="78"/>
      <c r="BE636" s="78"/>
      <c r="BF636" s="78"/>
      <c r="BG636" s="78"/>
      <c r="BH636" s="78"/>
      <c r="BI636" s="78"/>
      <c r="BJ636" s="79"/>
      <c r="BK636" s="65"/>
      <c r="CU636" s="67"/>
      <c r="EC636" s="67"/>
      <c r="FK636" s="67"/>
      <c r="FL636" s="67"/>
      <c r="FM636" s="67"/>
      <c r="FN636" s="67"/>
      <c r="FO636" s="67"/>
      <c r="FP636" s="67"/>
      <c r="FQ636" s="67"/>
      <c r="FR636" s="67"/>
      <c r="FS636" s="67"/>
      <c r="FT636" s="67"/>
      <c r="FU636" s="67"/>
      <c r="FV636" s="67"/>
      <c r="FW636" s="67"/>
      <c r="FX636" s="67"/>
      <c r="FY636" s="67"/>
      <c r="FZ636" s="67"/>
      <c r="GA636" s="67"/>
      <c r="GB636" s="67"/>
      <c r="GC636" s="67"/>
      <c r="GD636" s="67"/>
      <c r="GE636" s="67"/>
      <c r="GF636" s="67"/>
      <c r="GG636" s="67"/>
      <c r="GH636" s="67"/>
      <c r="GI636" s="67"/>
      <c r="GJ636" s="67"/>
      <c r="GK636" s="67"/>
      <c r="GL636" s="67"/>
      <c r="GM636" s="67"/>
      <c r="GN636" s="67"/>
      <c r="GO636" s="67"/>
      <c r="GP636" s="67"/>
    </row>
    <row r="637" spans="5:198" s="66" customFormat="1">
      <c r="E637" s="67"/>
      <c r="G637" s="67"/>
      <c r="H637" s="67"/>
      <c r="I637" s="67"/>
      <c r="J637" s="67"/>
      <c r="K637" s="67"/>
      <c r="L637" s="67"/>
      <c r="M637" s="67"/>
      <c r="N637" s="67"/>
      <c r="O637" s="78"/>
      <c r="P637" s="78"/>
      <c r="S637" s="78"/>
      <c r="T637" s="78"/>
      <c r="U637" s="79"/>
      <c r="V637" s="65"/>
      <c r="Y637" s="78"/>
      <c r="Z637" s="78"/>
      <c r="AA637" s="78"/>
      <c r="AB637" s="78"/>
      <c r="AC637" s="78"/>
      <c r="AD637" s="78"/>
      <c r="AE637" s="78"/>
      <c r="AF637" s="78"/>
      <c r="AG637" s="79"/>
      <c r="AH637" s="65"/>
      <c r="AJ637" s="85"/>
      <c r="AK637" s="78"/>
      <c r="AL637" s="78"/>
      <c r="AM637" s="78"/>
      <c r="AN637" s="78"/>
      <c r="AO637" s="78"/>
      <c r="AP637" s="78"/>
      <c r="AQ637" s="79"/>
      <c r="AR637" s="65"/>
      <c r="AT637" s="85"/>
      <c r="AU637" s="78"/>
      <c r="AV637" s="78"/>
      <c r="AW637" s="78"/>
      <c r="AX637" s="78"/>
      <c r="AY637" s="78"/>
      <c r="AZ637" s="79"/>
      <c r="BA637" s="65"/>
      <c r="BC637" s="85"/>
      <c r="BD637" s="78"/>
      <c r="BE637" s="78"/>
      <c r="BF637" s="78"/>
      <c r="BG637" s="78"/>
      <c r="BH637" s="78"/>
      <c r="BI637" s="78"/>
      <c r="BJ637" s="79"/>
      <c r="BK637" s="65"/>
      <c r="CU637" s="67"/>
      <c r="EC637" s="67"/>
      <c r="FK637" s="67"/>
      <c r="FL637" s="67"/>
      <c r="FM637" s="67"/>
      <c r="FN637" s="67"/>
      <c r="FO637" s="67"/>
      <c r="FP637" s="67"/>
      <c r="FQ637" s="67"/>
      <c r="FR637" s="67"/>
      <c r="FS637" s="67"/>
      <c r="FT637" s="67"/>
      <c r="FU637" s="67"/>
      <c r="FV637" s="67"/>
      <c r="FW637" s="67"/>
      <c r="FX637" s="67"/>
      <c r="FY637" s="67"/>
      <c r="FZ637" s="67"/>
      <c r="GA637" s="67"/>
      <c r="GB637" s="67"/>
      <c r="GC637" s="67"/>
      <c r="GD637" s="67"/>
      <c r="GE637" s="67"/>
      <c r="GF637" s="67"/>
      <c r="GG637" s="67"/>
      <c r="GH637" s="67"/>
      <c r="GI637" s="67"/>
      <c r="GJ637" s="67"/>
      <c r="GK637" s="67"/>
      <c r="GL637" s="67"/>
      <c r="GM637" s="67"/>
      <c r="GN637" s="67"/>
      <c r="GO637" s="67"/>
      <c r="GP637" s="67"/>
    </row>
    <row r="638" spans="5:198" s="66" customFormat="1">
      <c r="E638" s="67"/>
      <c r="G638" s="67"/>
      <c r="H638" s="67"/>
      <c r="I638" s="67"/>
      <c r="J638" s="67"/>
      <c r="K638" s="67"/>
      <c r="L638" s="67"/>
      <c r="M638" s="67"/>
      <c r="N638" s="67"/>
      <c r="O638" s="78"/>
      <c r="P638" s="78"/>
      <c r="S638" s="78"/>
      <c r="T638" s="78"/>
      <c r="U638" s="79"/>
      <c r="V638" s="65"/>
      <c r="Y638" s="78"/>
      <c r="Z638" s="78"/>
      <c r="AA638" s="78"/>
      <c r="AB638" s="78"/>
      <c r="AC638" s="78"/>
      <c r="AD638" s="78"/>
      <c r="AE638" s="78"/>
      <c r="AF638" s="78"/>
      <c r="AG638" s="79"/>
      <c r="AH638" s="65"/>
      <c r="AJ638" s="85"/>
      <c r="AK638" s="78"/>
      <c r="AL638" s="78"/>
      <c r="AM638" s="78"/>
      <c r="AN638" s="78"/>
      <c r="AO638" s="78"/>
      <c r="AP638" s="78"/>
      <c r="AQ638" s="79"/>
      <c r="AR638" s="65"/>
      <c r="AT638" s="85"/>
      <c r="AU638" s="78"/>
      <c r="AV638" s="78"/>
      <c r="AW638" s="78"/>
      <c r="AX638" s="78"/>
      <c r="AY638" s="78"/>
      <c r="AZ638" s="79"/>
      <c r="BA638" s="65"/>
      <c r="BC638" s="85"/>
      <c r="BD638" s="78"/>
      <c r="BE638" s="78"/>
      <c r="BF638" s="78"/>
      <c r="BG638" s="78"/>
      <c r="BH638" s="78"/>
      <c r="BI638" s="78"/>
      <c r="BJ638" s="79"/>
      <c r="BK638" s="65"/>
      <c r="CU638" s="67"/>
      <c r="EC638" s="67"/>
      <c r="FK638" s="67"/>
      <c r="FL638" s="67"/>
      <c r="FM638" s="67"/>
      <c r="FN638" s="67"/>
      <c r="FO638" s="67"/>
      <c r="FP638" s="67"/>
      <c r="FQ638" s="67"/>
      <c r="FR638" s="67"/>
      <c r="FS638" s="67"/>
      <c r="FT638" s="67"/>
      <c r="FU638" s="67"/>
      <c r="FV638" s="67"/>
      <c r="FW638" s="67"/>
      <c r="FX638" s="67"/>
      <c r="FY638" s="67"/>
      <c r="FZ638" s="67"/>
      <c r="GA638" s="67"/>
      <c r="GB638" s="67"/>
      <c r="GC638" s="67"/>
      <c r="GD638" s="67"/>
      <c r="GE638" s="67"/>
      <c r="GF638" s="67"/>
      <c r="GG638" s="67"/>
      <c r="GH638" s="67"/>
      <c r="GI638" s="67"/>
      <c r="GJ638" s="67"/>
      <c r="GK638" s="67"/>
      <c r="GL638" s="67"/>
      <c r="GM638" s="67"/>
      <c r="GN638" s="67"/>
      <c r="GO638" s="67"/>
      <c r="GP638" s="67"/>
    </row>
    <row r="639" spans="5:198" s="66" customFormat="1">
      <c r="E639" s="67"/>
      <c r="G639" s="67"/>
      <c r="H639" s="67"/>
      <c r="I639" s="67"/>
      <c r="J639" s="67"/>
      <c r="K639" s="67"/>
      <c r="L639" s="67"/>
      <c r="M639" s="67"/>
      <c r="N639" s="67"/>
      <c r="O639" s="78"/>
      <c r="P639" s="78"/>
      <c r="S639" s="78"/>
      <c r="T639" s="78"/>
      <c r="U639" s="79"/>
      <c r="V639" s="65"/>
      <c r="Y639" s="78"/>
      <c r="Z639" s="78"/>
      <c r="AA639" s="78"/>
      <c r="AB639" s="78"/>
      <c r="AC639" s="78"/>
      <c r="AD639" s="78"/>
      <c r="AE639" s="78"/>
      <c r="AF639" s="78"/>
      <c r="AG639" s="79"/>
      <c r="AH639" s="65"/>
      <c r="AJ639" s="85"/>
      <c r="AK639" s="78"/>
      <c r="AL639" s="78"/>
      <c r="AM639" s="78"/>
      <c r="AN639" s="78"/>
      <c r="AO639" s="78"/>
      <c r="AP639" s="78"/>
      <c r="AQ639" s="79"/>
      <c r="AR639" s="65"/>
      <c r="AT639" s="85"/>
      <c r="AU639" s="78"/>
      <c r="AV639" s="78"/>
      <c r="AW639" s="78"/>
      <c r="AX639" s="78"/>
      <c r="AY639" s="78"/>
      <c r="AZ639" s="79"/>
      <c r="BA639" s="65"/>
      <c r="BC639" s="85"/>
      <c r="BD639" s="78"/>
      <c r="BE639" s="78"/>
      <c r="BF639" s="78"/>
      <c r="BG639" s="78"/>
      <c r="BH639" s="78"/>
      <c r="BI639" s="78"/>
      <c r="BJ639" s="79"/>
      <c r="BK639" s="65"/>
      <c r="CU639" s="67"/>
      <c r="EC639" s="67"/>
      <c r="FK639" s="67"/>
      <c r="FL639" s="67"/>
      <c r="FM639" s="67"/>
      <c r="FN639" s="67"/>
      <c r="FO639" s="67"/>
      <c r="FP639" s="67"/>
      <c r="FQ639" s="67"/>
      <c r="FR639" s="67"/>
      <c r="FS639" s="67"/>
      <c r="FT639" s="67"/>
      <c r="FU639" s="67"/>
      <c r="FV639" s="67"/>
      <c r="FW639" s="67"/>
      <c r="FX639" s="67"/>
      <c r="FY639" s="67"/>
      <c r="FZ639" s="67"/>
      <c r="GA639" s="67"/>
      <c r="GB639" s="67"/>
      <c r="GC639" s="67"/>
      <c r="GD639" s="67"/>
      <c r="GE639" s="67"/>
      <c r="GF639" s="67"/>
      <c r="GG639" s="67"/>
      <c r="GH639" s="67"/>
      <c r="GI639" s="67"/>
      <c r="GJ639" s="67"/>
      <c r="GK639" s="67"/>
      <c r="GL639" s="67"/>
      <c r="GM639" s="67"/>
      <c r="GN639" s="67"/>
      <c r="GO639" s="67"/>
      <c r="GP639" s="67"/>
    </row>
    <row r="640" spans="5:198" s="66" customFormat="1">
      <c r="E640" s="67"/>
      <c r="G640" s="67"/>
      <c r="H640" s="67"/>
      <c r="I640" s="67"/>
      <c r="J640" s="67"/>
      <c r="K640" s="67"/>
      <c r="L640" s="67"/>
      <c r="M640" s="67"/>
      <c r="N640" s="67"/>
      <c r="O640" s="78"/>
      <c r="P640" s="78"/>
      <c r="S640" s="78"/>
      <c r="T640" s="78"/>
      <c r="U640" s="79"/>
      <c r="V640" s="65"/>
      <c r="Y640" s="78"/>
      <c r="Z640" s="78"/>
      <c r="AA640" s="78"/>
      <c r="AB640" s="78"/>
      <c r="AC640" s="78"/>
      <c r="AD640" s="78"/>
      <c r="AE640" s="78"/>
      <c r="AF640" s="78"/>
      <c r="AG640" s="79"/>
      <c r="AH640" s="65"/>
      <c r="AJ640" s="85"/>
      <c r="AK640" s="78"/>
      <c r="AL640" s="78"/>
      <c r="AM640" s="78"/>
      <c r="AN640" s="78"/>
      <c r="AO640" s="78"/>
      <c r="AP640" s="78"/>
      <c r="AQ640" s="79"/>
      <c r="AR640" s="65"/>
      <c r="AT640" s="85"/>
      <c r="AU640" s="78"/>
      <c r="AV640" s="78"/>
      <c r="AW640" s="78"/>
      <c r="AX640" s="78"/>
      <c r="AY640" s="78"/>
      <c r="AZ640" s="79"/>
      <c r="BA640" s="65"/>
      <c r="BC640" s="85"/>
      <c r="BD640" s="78"/>
      <c r="BE640" s="78"/>
      <c r="BF640" s="78"/>
      <c r="BG640" s="78"/>
      <c r="BH640" s="78"/>
      <c r="BI640" s="78"/>
      <c r="BJ640" s="79"/>
      <c r="BK640" s="65"/>
      <c r="CU640" s="67"/>
      <c r="EC640" s="67"/>
      <c r="FK640" s="67"/>
      <c r="FL640" s="67"/>
      <c r="FM640" s="67"/>
      <c r="FN640" s="67"/>
      <c r="FO640" s="67"/>
      <c r="FP640" s="67"/>
      <c r="FQ640" s="67"/>
      <c r="FR640" s="67"/>
      <c r="FS640" s="67"/>
      <c r="FT640" s="67"/>
      <c r="FU640" s="67"/>
      <c r="FV640" s="67"/>
      <c r="FW640" s="67"/>
      <c r="FX640" s="67"/>
      <c r="FY640" s="67"/>
      <c r="FZ640" s="67"/>
      <c r="GA640" s="67"/>
      <c r="GB640" s="67"/>
      <c r="GC640" s="67"/>
      <c r="GD640" s="67"/>
      <c r="GE640" s="67"/>
      <c r="GF640" s="67"/>
      <c r="GG640" s="67"/>
      <c r="GH640" s="67"/>
      <c r="GI640" s="67"/>
      <c r="GJ640" s="67"/>
      <c r="GK640" s="67"/>
      <c r="GL640" s="67"/>
      <c r="GM640" s="67"/>
      <c r="GN640" s="67"/>
      <c r="GO640" s="67"/>
      <c r="GP640" s="67"/>
    </row>
    <row r="641" spans="5:198" s="66" customFormat="1">
      <c r="E641" s="67"/>
      <c r="G641" s="67"/>
      <c r="H641" s="67"/>
      <c r="I641" s="67"/>
      <c r="J641" s="67"/>
      <c r="K641" s="67"/>
      <c r="L641" s="67"/>
      <c r="M641" s="67"/>
      <c r="N641" s="67"/>
      <c r="O641" s="78"/>
      <c r="P641" s="78"/>
      <c r="S641" s="78"/>
      <c r="T641" s="78"/>
      <c r="U641" s="79"/>
      <c r="V641" s="65"/>
      <c r="Y641" s="78"/>
      <c r="Z641" s="78"/>
      <c r="AA641" s="78"/>
      <c r="AB641" s="78"/>
      <c r="AC641" s="78"/>
      <c r="AD641" s="78"/>
      <c r="AE641" s="78"/>
      <c r="AF641" s="78"/>
      <c r="AG641" s="79"/>
      <c r="AH641" s="65"/>
      <c r="AJ641" s="85"/>
      <c r="AK641" s="78"/>
      <c r="AL641" s="78"/>
      <c r="AM641" s="78"/>
      <c r="AN641" s="78"/>
      <c r="AO641" s="78"/>
      <c r="AP641" s="78"/>
      <c r="AQ641" s="79"/>
      <c r="AR641" s="65"/>
      <c r="AT641" s="85"/>
      <c r="AU641" s="78"/>
      <c r="AV641" s="78"/>
      <c r="AW641" s="78"/>
      <c r="AX641" s="78"/>
      <c r="AY641" s="78"/>
      <c r="AZ641" s="79"/>
      <c r="BA641" s="65"/>
      <c r="BC641" s="85"/>
      <c r="BD641" s="78"/>
      <c r="BE641" s="78"/>
      <c r="BF641" s="78"/>
      <c r="BG641" s="78"/>
      <c r="BH641" s="78"/>
      <c r="BI641" s="78"/>
      <c r="BJ641" s="79"/>
      <c r="BK641" s="65"/>
      <c r="CU641" s="67"/>
      <c r="EC641" s="67"/>
      <c r="FK641" s="67"/>
      <c r="FL641" s="67"/>
      <c r="FM641" s="67"/>
      <c r="FN641" s="67"/>
      <c r="FO641" s="67"/>
      <c r="FP641" s="67"/>
      <c r="FQ641" s="67"/>
      <c r="FR641" s="67"/>
      <c r="FS641" s="67"/>
      <c r="FT641" s="67"/>
      <c r="FU641" s="67"/>
      <c r="FV641" s="67"/>
      <c r="FW641" s="67"/>
      <c r="FX641" s="67"/>
      <c r="FY641" s="67"/>
      <c r="FZ641" s="67"/>
      <c r="GA641" s="67"/>
      <c r="GB641" s="67"/>
      <c r="GC641" s="67"/>
      <c r="GD641" s="67"/>
      <c r="GE641" s="67"/>
      <c r="GF641" s="67"/>
      <c r="GG641" s="67"/>
      <c r="GH641" s="67"/>
      <c r="GI641" s="67"/>
      <c r="GJ641" s="67"/>
      <c r="GK641" s="67"/>
      <c r="GL641" s="67"/>
      <c r="GM641" s="67"/>
      <c r="GN641" s="67"/>
      <c r="GO641" s="67"/>
      <c r="GP641" s="67"/>
    </row>
    <row r="642" spans="5:198" s="66" customFormat="1">
      <c r="E642" s="67"/>
      <c r="G642" s="67"/>
      <c r="H642" s="67"/>
      <c r="I642" s="67"/>
      <c r="J642" s="67"/>
      <c r="K642" s="67"/>
      <c r="L642" s="67"/>
      <c r="M642" s="67"/>
      <c r="N642" s="67"/>
      <c r="O642" s="78"/>
      <c r="P642" s="78"/>
      <c r="S642" s="78"/>
      <c r="T642" s="78"/>
      <c r="U642" s="79"/>
      <c r="V642" s="65"/>
      <c r="Y642" s="78"/>
      <c r="Z642" s="78"/>
      <c r="AA642" s="78"/>
      <c r="AB642" s="78"/>
      <c r="AC642" s="78"/>
      <c r="AD642" s="78"/>
      <c r="AE642" s="78"/>
      <c r="AF642" s="78"/>
      <c r="AG642" s="79"/>
      <c r="AH642" s="65"/>
      <c r="AJ642" s="85"/>
      <c r="AK642" s="78"/>
      <c r="AL642" s="78"/>
      <c r="AM642" s="78"/>
      <c r="AN642" s="78"/>
      <c r="AO642" s="78"/>
      <c r="AP642" s="78"/>
      <c r="AQ642" s="79"/>
      <c r="AR642" s="65"/>
      <c r="AT642" s="85"/>
      <c r="AU642" s="78"/>
      <c r="AV642" s="78"/>
      <c r="AW642" s="78"/>
      <c r="AX642" s="78"/>
      <c r="AY642" s="78"/>
      <c r="AZ642" s="79"/>
      <c r="BA642" s="65"/>
      <c r="BC642" s="85"/>
      <c r="BD642" s="78"/>
      <c r="BE642" s="78"/>
      <c r="BF642" s="78"/>
      <c r="BG642" s="78"/>
      <c r="BH642" s="78"/>
      <c r="BI642" s="78"/>
      <c r="BJ642" s="79"/>
      <c r="BK642" s="65"/>
      <c r="CU642" s="67"/>
      <c r="EC642" s="67"/>
      <c r="FK642" s="67"/>
      <c r="FL642" s="67"/>
      <c r="FM642" s="67"/>
      <c r="FN642" s="67"/>
      <c r="FO642" s="67"/>
      <c r="FP642" s="67"/>
      <c r="FQ642" s="67"/>
      <c r="FR642" s="67"/>
      <c r="FS642" s="67"/>
      <c r="FT642" s="67"/>
      <c r="FU642" s="67"/>
      <c r="FV642" s="67"/>
      <c r="FW642" s="67"/>
      <c r="FX642" s="67"/>
      <c r="FY642" s="67"/>
      <c r="FZ642" s="67"/>
      <c r="GA642" s="67"/>
      <c r="GB642" s="67"/>
      <c r="GC642" s="67"/>
      <c r="GD642" s="67"/>
      <c r="GE642" s="67"/>
      <c r="GF642" s="67"/>
      <c r="GG642" s="67"/>
      <c r="GH642" s="67"/>
      <c r="GI642" s="67"/>
      <c r="GJ642" s="67"/>
      <c r="GK642" s="67"/>
      <c r="GL642" s="67"/>
      <c r="GM642" s="67"/>
      <c r="GN642" s="67"/>
      <c r="GO642" s="67"/>
      <c r="GP642" s="67"/>
    </row>
    <row r="643" spans="5:198" s="66" customFormat="1">
      <c r="E643" s="67"/>
      <c r="G643" s="67"/>
      <c r="H643" s="67"/>
      <c r="I643" s="67"/>
      <c r="J643" s="67"/>
      <c r="K643" s="67"/>
      <c r="L643" s="67"/>
      <c r="M643" s="67"/>
      <c r="N643" s="67"/>
      <c r="O643" s="78"/>
      <c r="P643" s="78"/>
      <c r="S643" s="78"/>
      <c r="T643" s="78"/>
      <c r="U643" s="79"/>
      <c r="V643" s="65"/>
      <c r="Y643" s="78"/>
      <c r="Z643" s="78"/>
      <c r="AA643" s="78"/>
      <c r="AB643" s="78"/>
      <c r="AC643" s="78"/>
      <c r="AD643" s="78"/>
      <c r="AE643" s="78"/>
      <c r="AF643" s="78"/>
      <c r="AG643" s="79"/>
      <c r="AH643" s="65"/>
      <c r="AJ643" s="85"/>
      <c r="AK643" s="78"/>
      <c r="AL643" s="78"/>
      <c r="AM643" s="78"/>
      <c r="AN643" s="78"/>
      <c r="AO643" s="78"/>
      <c r="AP643" s="78"/>
      <c r="AQ643" s="79"/>
      <c r="AR643" s="65"/>
      <c r="AT643" s="85"/>
      <c r="AU643" s="78"/>
      <c r="AV643" s="78"/>
      <c r="AW643" s="78"/>
      <c r="AX643" s="78"/>
      <c r="AY643" s="78"/>
      <c r="AZ643" s="79"/>
      <c r="BA643" s="65"/>
      <c r="BC643" s="85"/>
      <c r="BD643" s="78"/>
      <c r="BE643" s="78"/>
      <c r="BF643" s="78"/>
      <c r="BG643" s="78"/>
      <c r="BH643" s="78"/>
      <c r="BI643" s="78"/>
      <c r="BJ643" s="79"/>
      <c r="BK643" s="65"/>
      <c r="CU643" s="67"/>
      <c r="EC643" s="67"/>
      <c r="FK643" s="67"/>
      <c r="FL643" s="67"/>
      <c r="FM643" s="67"/>
      <c r="FN643" s="67"/>
      <c r="FO643" s="67"/>
      <c r="FP643" s="67"/>
      <c r="FQ643" s="67"/>
      <c r="FR643" s="67"/>
      <c r="FS643" s="67"/>
      <c r="FT643" s="67"/>
      <c r="FU643" s="67"/>
      <c r="FV643" s="67"/>
      <c r="FW643" s="67"/>
      <c r="FX643" s="67"/>
      <c r="FY643" s="67"/>
      <c r="FZ643" s="67"/>
      <c r="GA643" s="67"/>
      <c r="GB643" s="67"/>
      <c r="GC643" s="67"/>
      <c r="GD643" s="67"/>
      <c r="GE643" s="67"/>
      <c r="GF643" s="67"/>
      <c r="GG643" s="67"/>
      <c r="GH643" s="67"/>
      <c r="GI643" s="67"/>
      <c r="GJ643" s="67"/>
      <c r="GK643" s="67"/>
      <c r="GL643" s="67"/>
      <c r="GM643" s="67"/>
      <c r="GN643" s="67"/>
      <c r="GO643" s="67"/>
      <c r="GP643" s="67"/>
    </row>
    <row r="644" spans="5:198" s="66" customFormat="1">
      <c r="E644" s="67"/>
      <c r="G644" s="67"/>
      <c r="H644" s="67"/>
      <c r="I644" s="67"/>
      <c r="J644" s="67"/>
      <c r="K644" s="67"/>
      <c r="L644" s="67"/>
      <c r="M644" s="67"/>
      <c r="N644" s="67"/>
      <c r="O644" s="78"/>
      <c r="P644" s="78"/>
      <c r="S644" s="78"/>
      <c r="T644" s="78"/>
      <c r="U644" s="79"/>
      <c r="V644" s="65"/>
      <c r="Y644" s="78"/>
      <c r="Z644" s="78"/>
      <c r="AA644" s="78"/>
      <c r="AB644" s="78"/>
      <c r="AC644" s="78"/>
      <c r="AD644" s="78"/>
      <c r="AE644" s="78"/>
      <c r="AF644" s="78"/>
      <c r="AG644" s="79"/>
      <c r="AH644" s="65"/>
      <c r="AJ644" s="85"/>
      <c r="AK644" s="78"/>
      <c r="AL644" s="78"/>
      <c r="AM644" s="78"/>
      <c r="AN644" s="78"/>
      <c r="AO644" s="78"/>
      <c r="AP644" s="78"/>
      <c r="AQ644" s="79"/>
      <c r="AR644" s="65"/>
      <c r="AT644" s="85"/>
      <c r="AU644" s="78"/>
      <c r="AV644" s="78"/>
      <c r="AW644" s="78"/>
      <c r="AX644" s="78"/>
      <c r="AY644" s="78"/>
      <c r="AZ644" s="79"/>
      <c r="BA644" s="65"/>
      <c r="BC644" s="85"/>
      <c r="BD644" s="78"/>
      <c r="BE644" s="78"/>
      <c r="BF644" s="78"/>
      <c r="BG644" s="78"/>
      <c r="BH644" s="78"/>
      <c r="BI644" s="78"/>
      <c r="BJ644" s="79"/>
      <c r="BK644" s="65"/>
      <c r="CU644" s="67"/>
      <c r="EC644" s="67"/>
      <c r="FK644" s="67"/>
      <c r="FL644" s="67"/>
      <c r="FM644" s="67"/>
      <c r="FN644" s="67"/>
      <c r="FO644" s="67"/>
      <c r="FP644" s="67"/>
      <c r="FQ644" s="67"/>
      <c r="FR644" s="67"/>
      <c r="FS644" s="67"/>
      <c r="FT644" s="67"/>
      <c r="FU644" s="67"/>
      <c r="FV644" s="67"/>
      <c r="FW644" s="67"/>
      <c r="FX644" s="67"/>
      <c r="FY644" s="67"/>
      <c r="FZ644" s="67"/>
      <c r="GA644" s="67"/>
      <c r="GB644" s="67"/>
      <c r="GC644" s="67"/>
      <c r="GD644" s="67"/>
      <c r="GE644" s="67"/>
      <c r="GF644" s="67"/>
      <c r="GG644" s="67"/>
      <c r="GH644" s="67"/>
      <c r="GI644" s="67"/>
      <c r="GJ644" s="67"/>
      <c r="GK644" s="67"/>
      <c r="GL644" s="67"/>
      <c r="GM644" s="67"/>
      <c r="GN644" s="67"/>
      <c r="GO644" s="67"/>
      <c r="GP644" s="67"/>
    </row>
    <row r="645" spans="5:198" s="66" customFormat="1">
      <c r="E645" s="67"/>
      <c r="G645" s="67"/>
      <c r="H645" s="67"/>
      <c r="I645" s="67"/>
      <c r="J645" s="67"/>
      <c r="K645" s="67"/>
      <c r="L645" s="67"/>
      <c r="M645" s="67"/>
      <c r="N645" s="67"/>
      <c r="O645" s="78"/>
      <c r="P645" s="78"/>
      <c r="S645" s="78"/>
      <c r="T645" s="78"/>
      <c r="U645" s="79"/>
      <c r="V645" s="65"/>
      <c r="Y645" s="78"/>
      <c r="Z645" s="78"/>
      <c r="AA645" s="78"/>
      <c r="AB645" s="78"/>
      <c r="AC645" s="78"/>
      <c r="AD645" s="78"/>
      <c r="AE645" s="78"/>
      <c r="AF645" s="78"/>
      <c r="AG645" s="79"/>
      <c r="AH645" s="65"/>
      <c r="AJ645" s="85"/>
      <c r="AK645" s="78"/>
      <c r="AL645" s="78"/>
      <c r="AM645" s="78"/>
      <c r="AN645" s="78"/>
      <c r="AO645" s="78"/>
      <c r="AP645" s="78"/>
      <c r="AQ645" s="79"/>
      <c r="AR645" s="65"/>
      <c r="AT645" s="85"/>
      <c r="AU645" s="78"/>
      <c r="AV645" s="78"/>
      <c r="AW645" s="78"/>
      <c r="AX645" s="78"/>
      <c r="AY645" s="78"/>
      <c r="AZ645" s="79"/>
      <c r="BA645" s="65"/>
      <c r="BC645" s="85"/>
      <c r="BD645" s="78"/>
      <c r="BE645" s="78"/>
      <c r="BF645" s="78"/>
      <c r="BG645" s="78"/>
      <c r="BH645" s="78"/>
      <c r="BI645" s="78"/>
      <c r="BJ645" s="79"/>
      <c r="BK645" s="65"/>
      <c r="CU645" s="67"/>
      <c r="EC645" s="67"/>
      <c r="FK645" s="67"/>
      <c r="FL645" s="67"/>
      <c r="FM645" s="67"/>
      <c r="FN645" s="67"/>
      <c r="FO645" s="67"/>
      <c r="FP645" s="67"/>
      <c r="FQ645" s="67"/>
      <c r="FR645" s="67"/>
      <c r="FS645" s="67"/>
      <c r="FT645" s="67"/>
      <c r="FU645" s="67"/>
      <c r="FV645" s="67"/>
      <c r="FW645" s="67"/>
      <c r="FX645" s="67"/>
      <c r="FY645" s="67"/>
      <c r="FZ645" s="67"/>
      <c r="GA645" s="67"/>
      <c r="GB645" s="67"/>
      <c r="GC645" s="67"/>
      <c r="GD645" s="67"/>
      <c r="GE645" s="67"/>
      <c r="GF645" s="67"/>
      <c r="GG645" s="67"/>
      <c r="GH645" s="67"/>
      <c r="GI645" s="67"/>
      <c r="GJ645" s="67"/>
      <c r="GK645" s="67"/>
      <c r="GL645" s="67"/>
      <c r="GM645" s="67"/>
      <c r="GN645" s="67"/>
      <c r="GO645" s="67"/>
      <c r="GP645" s="67"/>
    </row>
    <row r="646" spans="5:198" s="66" customFormat="1">
      <c r="E646" s="67"/>
      <c r="G646" s="67"/>
      <c r="H646" s="67"/>
      <c r="I646" s="67"/>
      <c r="J646" s="67"/>
      <c r="K646" s="67"/>
      <c r="L646" s="67"/>
      <c r="M646" s="67"/>
      <c r="N646" s="67"/>
      <c r="O646" s="78"/>
      <c r="P646" s="78"/>
      <c r="S646" s="78"/>
      <c r="T646" s="78"/>
      <c r="U646" s="79"/>
      <c r="V646" s="65"/>
      <c r="Y646" s="78"/>
      <c r="Z646" s="78"/>
      <c r="AA646" s="78"/>
      <c r="AB646" s="78"/>
      <c r="AC646" s="78"/>
      <c r="AD646" s="78"/>
      <c r="AE646" s="78"/>
      <c r="AF646" s="78"/>
      <c r="AG646" s="79"/>
      <c r="AH646" s="65"/>
      <c r="AJ646" s="85"/>
      <c r="AK646" s="78"/>
      <c r="AL646" s="78"/>
      <c r="AM646" s="78"/>
      <c r="AN646" s="78"/>
      <c r="AO646" s="78"/>
      <c r="AP646" s="78"/>
      <c r="AQ646" s="79"/>
      <c r="AR646" s="65"/>
      <c r="AT646" s="85"/>
      <c r="AU646" s="78"/>
      <c r="AV646" s="78"/>
      <c r="AW646" s="78"/>
      <c r="AX646" s="78"/>
      <c r="AY646" s="78"/>
      <c r="AZ646" s="79"/>
      <c r="BA646" s="65"/>
      <c r="BC646" s="85"/>
      <c r="BD646" s="78"/>
      <c r="BE646" s="78"/>
      <c r="BF646" s="78"/>
      <c r="BG646" s="78"/>
      <c r="BH646" s="78"/>
      <c r="BI646" s="78"/>
      <c r="BJ646" s="79"/>
      <c r="BK646" s="65"/>
      <c r="CU646" s="67"/>
      <c r="EC646" s="67"/>
      <c r="FK646" s="67"/>
      <c r="FL646" s="67"/>
      <c r="FM646" s="67"/>
      <c r="FN646" s="67"/>
      <c r="FO646" s="67"/>
      <c r="FP646" s="67"/>
      <c r="FQ646" s="67"/>
      <c r="FR646" s="67"/>
      <c r="FS646" s="67"/>
      <c r="FT646" s="67"/>
      <c r="FU646" s="67"/>
      <c r="FV646" s="67"/>
      <c r="FW646" s="67"/>
      <c r="FX646" s="67"/>
      <c r="FY646" s="67"/>
      <c r="FZ646" s="67"/>
      <c r="GA646" s="67"/>
      <c r="GB646" s="67"/>
      <c r="GC646" s="67"/>
      <c r="GD646" s="67"/>
      <c r="GE646" s="67"/>
      <c r="GF646" s="67"/>
      <c r="GG646" s="67"/>
      <c r="GH646" s="67"/>
      <c r="GI646" s="67"/>
      <c r="GJ646" s="67"/>
      <c r="GK646" s="67"/>
      <c r="GL646" s="67"/>
      <c r="GM646" s="67"/>
      <c r="GN646" s="67"/>
      <c r="GO646" s="67"/>
      <c r="GP646" s="67"/>
    </row>
    <row r="647" spans="5:198" s="66" customFormat="1">
      <c r="E647" s="67"/>
      <c r="G647" s="67"/>
      <c r="H647" s="67"/>
      <c r="I647" s="67"/>
      <c r="J647" s="67"/>
      <c r="K647" s="67"/>
      <c r="L647" s="67"/>
      <c r="M647" s="67"/>
      <c r="N647" s="67"/>
      <c r="O647" s="78"/>
      <c r="P647" s="78"/>
      <c r="S647" s="78"/>
      <c r="T647" s="78"/>
      <c r="U647" s="79"/>
      <c r="V647" s="65"/>
      <c r="Y647" s="78"/>
      <c r="Z647" s="78"/>
      <c r="AA647" s="78"/>
      <c r="AB647" s="78"/>
      <c r="AC647" s="78"/>
      <c r="AD647" s="78"/>
      <c r="AE647" s="78"/>
      <c r="AF647" s="78"/>
      <c r="AG647" s="79"/>
      <c r="AH647" s="65"/>
      <c r="AJ647" s="85"/>
      <c r="AK647" s="78"/>
      <c r="AL647" s="78"/>
      <c r="AM647" s="78"/>
      <c r="AN647" s="78"/>
      <c r="AO647" s="78"/>
      <c r="AP647" s="78"/>
      <c r="AQ647" s="79"/>
      <c r="AR647" s="65"/>
      <c r="AT647" s="85"/>
      <c r="AU647" s="78"/>
      <c r="AV647" s="78"/>
      <c r="AW647" s="78"/>
      <c r="AX647" s="78"/>
      <c r="AY647" s="78"/>
      <c r="AZ647" s="79"/>
      <c r="BA647" s="65"/>
      <c r="BC647" s="85"/>
      <c r="BD647" s="78"/>
      <c r="BE647" s="78"/>
      <c r="BF647" s="78"/>
      <c r="BG647" s="78"/>
      <c r="BH647" s="78"/>
      <c r="BI647" s="78"/>
      <c r="BJ647" s="79"/>
      <c r="BK647" s="65"/>
      <c r="CU647" s="67"/>
      <c r="EC647" s="67"/>
      <c r="FK647" s="67"/>
      <c r="FL647" s="67"/>
      <c r="FM647" s="67"/>
      <c r="FN647" s="67"/>
      <c r="FO647" s="67"/>
      <c r="FP647" s="67"/>
      <c r="FQ647" s="67"/>
      <c r="FR647" s="67"/>
      <c r="FS647" s="67"/>
      <c r="FT647" s="67"/>
      <c r="FU647" s="67"/>
      <c r="FV647" s="67"/>
      <c r="FW647" s="67"/>
      <c r="FX647" s="67"/>
      <c r="FY647" s="67"/>
      <c r="FZ647" s="67"/>
      <c r="GA647" s="67"/>
      <c r="GB647" s="67"/>
      <c r="GC647" s="67"/>
      <c r="GD647" s="67"/>
      <c r="GE647" s="67"/>
      <c r="GF647" s="67"/>
      <c r="GG647" s="67"/>
      <c r="GH647" s="67"/>
      <c r="GI647" s="67"/>
      <c r="GJ647" s="67"/>
      <c r="GK647" s="67"/>
      <c r="GL647" s="67"/>
      <c r="GM647" s="67"/>
      <c r="GN647" s="67"/>
      <c r="GO647" s="67"/>
      <c r="GP647" s="67"/>
    </row>
    <row r="648" spans="5:198" s="66" customFormat="1">
      <c r="E648" s="67"/>
      <c r="G648" s="67"/>
      <c r="H648" s="67"/>
      <c r="I648" s="67"/>
      <c r="J648" s="67"/>
      <c r="K648" s="67"/>
      <c r="L648" s="67"/>
      <c r="M648" s="67"/>
      <c r="N648" s="67"/>
      <c r="O648" s="78"/>
      <c r="P648" s="78"/>
      <c r="S648" s="78"/>
      <c r="T648" s="78"/>
      <c r="U648" s="79"/>
      <c r="V648" s="65"/>
      <c r="Y648" s="78"/>
      <c r="Z648" s="78"/>
      <c r="AA648" s="78"/>
      <c r="AB648" s="78"/>
      <c r="AC648" s="78"/>
      <c r="AD648" s="78"/>
      <c r="AE648" s="78"/>
      <c r="AF648" s="78"/>
      <c r="AG648" s="79"/>
      <c r="AH648" s="65"/>
      <c r="AJ648" s="85"/>
      <c r="AK648" s="78"/>
      <c r="AL648" s="78"/>
      <c r="AM648" s="78"/>
      <c r="AN648" s="78"/>
      <c r="AO648" s="78"/>
      <c r="AP648" s="78"/>
      <c r="AQ648" s="79"/>
      <c r="AR648" s="65"/>
      <c r="AT648" s="85"/>
      <c r="AU648" s="78"/>
      <c r="AV648" s="78"/>
      <c r="AW648" s="78"/>
      <c r="AX648" s="78"/>
      <c r="AY648" s="78"/>
      <c r="AZ648" s="79"/>
      <c r="BA648" s="65"/>
      <c r="BC648" s="85"/>
      <c r="BD648" s="78"/>
      <c r="BE648" s="78"/>
      <c r="BF648" s="78"/>
      <c r="BG648" s="78"/>
      <c r="BH648" s="78"/>
      <c r="BI648" s="78"/>
      <c r="BJ648" s="79"/>
      <c r="BK648" s="65"/>
      <c r="CU648" s="67"/>
      <c r="EC648" s="67"/>
      <c r="FK648" s="67"/>
      <c r="FL648" s="67"/>
      <c r="FM648" s="67"/>
      <c r="FN648" s="67"/>
      <c r="FO648" s="67"/>
      <c r="FP648" s="67"/>
      <c r="FQ648" s="67"/>
      <c r="FR648" s="67"/>
      <c r="FS648" s="67"/>
      <c r="FT648" s="67"/>
      <c r="FU648" s="67"/>
      <c r="FV648" s="67"/>
      <c r="FW648" s="67"/>
      <c r="FX648" s="67"/>
      <c r="FY648" s="67"/>
      <c r="FZ648" s="67"/>
      <c r="GA648" s="67"/>
      <c r="GB648" s="67"/>
      <c r="GC648" s="67"/>
      <c r="GD648" s="67"/>
      <c r="GE648" s="67"/>
      <c r="GF648" s="67"/>
      <c r="GG648" s="67"/>
      <c r="GH648" s="67"/>
      <c r="GI648" s="67"/>
      <c r="GJ648" s="67"/>
      <c r="GK648" s="67"/>
      <c r="GL648" s="67"/>
      <c r="GM648" s="67"/>
      <c r="GN648" s="67"/>
      <c r="GO648" s="67"/>
      <c r="GP648" s="67"/>
    </row>
    <row r="649" spans="5:198" s="66" customFormat="1">
      <c r="E649" s="67"/>
      <c r="G649" s="67"/>
      <c r="H649" s="67"/>
      <c r="I649" s="67"/>
      <c r="J649" s="67"/>
      <c r="K649" s="67"/>
      <c r="L649" s="67"/>
      <c r="M649" s="67"/>
      <c r="N649" s="67"/>
      <c r="O649" s="78"/>
      <c r="P649" s="78"/>
      <c r="S649" s="78"/>
      <c r="T649" s="78"/>
      <c r="U649" s="79"/>
      <c r="V649" s="65"/>
      <c r="Y649" s="78"/>
      <c r="Z649" s="78"/>
      <c r="AA649" s="78"/>
      <c r="AB649" s="78"/>
      <c r="AC649" s="78"/>
      <c r="AD649" s="78"/>
      <c r="AE649" s="78"/>
      <c r="AF649" s="78"/>
      <c r="AG649" s="79"/>
      <c r="AH649" s="65"/>
      <c r="AJ649" s="85"/>
      <c r="AK649" s="78"/>
      <c r="AL649" s="78"/>
      <c r="AM649" s="78"/>
      <c r="AN649" s="78"/>
      <c r="AO649" s="78"/>
      <c r="AP649" s="78"/>
      <c r="AQ649" s="79"/>
      <c r="AR649" s="65"/>
      <c r="AT649" s="85"/>
      <c r="AU649" s="78"/>
      <c r="AV649" s="78"/>
      <c r="AW649" s="78"/>
      <c r="AX649" s="78"/>
      <c r="AY649" s="78"/>
      <c r="AZ649" s="79"/>
      <c r="BA649" s="65"/>
      <c r="BC649" s="85"/>
      <c r="BD649" s="78"/>
      <c r="BE649" s="78"/>
      <c r="BF649" s="78"/>
      <c r="BG649" s="78"/>
      <c r="BH649" s="78"/>
      <c r="BI649" s="78"/>
      <c r="BJ649" s="79"/>
      <c r="BK649" s="65"/>
      <c r="CU649" s="67"/>
      <c r="EC649" s="67"/>
      <c r="FK649" s="67"/>
      <c r="FL649" s="67"/>
      <c r="FM649" s="67"/>
      <c r="FN649" s="67"/>
      <c r="FO649" s="67"/>
      <c r="FP649" s="67"/>
      <c r="FQ649" s="67"/>
      <c r="FR649" s="67"/>
      <c r="FS649" s="67"/>
      <c r="FT649" s="67"/>
      <c r="FU649" s="67"/>
      <c r="FV649" s="67"/>
      <c r="FW649" s="67"/>
      <c r="FX649" s="67"/>
      <c r="FY649" s="67"/>
      <c r="FZ649" s="67"/>
      <c r="GA649" s="67"/>
      <c r="GB649" s="67"/>
      <c r="GC649" s="67"/>
      <c r="GD649" s="67"/>
      <c r="GE649" s="67"/>
      <c r="GF649" s="67"/>
      <c r="GG649" s="67"/>
      <c r="GH649" s="67"/>
      <c r="GI649" s="67"/>
      <c r="GJ649" s="67"/>
      <c r="GK649" s="67"/>
      <c r="GL649" s="67"/>
      <c r="GM649" s="67"/>
      <c r="GN649" s="67"/>
      <c r="GO649" s="67"/>
      <c r="GP649" s="67"/>
    </row>
    <row r="650" spans="5:198" s="66" customFormat="1">
      <c r="E650" s="67"/>
      <c r="G650" s="67"/>
      <c r="H650" s="67"/>
      <c r="I650" s="67"/>
      <c r="J650" s="67"/>
      <c r="K650" s="67"/>
      <c r="L650" s="67"/>
      <c r="M650" s="67"/>
      <c r="N650" s="67"/>
      <c r="O650" s="78"/>
      <c r="P650" s="78"/>
      <c r="S650" s="78"/>
      <c r="T650" s="78"/>
      <c r="U650" s="79"/>
      <c r="V650" s="65"/>
      <c r="Y650" s="78"/>
      <c r="Z650" s="78"/>
      <c r="AA650" s="78"/>
      <c r="AB650" s="78"/>
      <c r="AC650" s="78"/>
      <c r="AD650" s="78"/>
      <c r="AE650" s="78"/>
      <c r="AF650" s="78"/>
      <c r="AG650" s="79"/>
      <c r="AH650" s="65"/>
      <c r="AJ650" s="85"/>
      <c r="AK650" s="78"/>
      <c r="AL650" s="78"/>
      <c r="AM650" s="78"/>
      <c r="AN650" s="78"/>
      <c r="AO650" s="78"/>
      <c r="AP650" s="78"/>
      <c r="AQ650" s="79"/>
      <c r="AR650" s="65"/>
      <c r="AT650" s="85"/>
      <c r="AU650" s="78"/>
      <c r="AV650" s="78"/>
      <c r="AW650" s="78"/>
      <c r="AX650" s="78"/>
      <c r="AY650" s="78"/>
      <c r="AZ650" s="79"/>
      <c r="BA650" s="65"/>
      <c r="BC650" s="85"/>
      <c r="BD650" s="78"/>
      <c r="BE650" s="78"/>
      <c r="BF650" s="78"/>
      <c r="BG650" s="78"/>
      <c r="BH650" s="78"/>
      <c r="BI650" s="78"/>
      <c r="BJ650" s="79"/>
      <c r="BK650" s="65"/>
      <c r="CU650" s="67"/>
      <c r="EC650" s="67"/>
      <c r="FK650" s="67"/>
      <c r="FL650" s="67"/>
      <c r="FM650" s="67"/>
      <c r="FN650" s="67"/>
      <c r="FO650" s="67"/>
      <c r="FP650" s="67"/>
      <c r="FQ650" s="67"/>
      <c r="FR650" s="67"/>
      <c r="FS650" s="67"/>
      <c r="FT650" s="67"/>
      <c r="FU650" s="67"/>
      <c r="FV650" s="67"/>
      <c r="FW650" s="67"/>
      <c r="FX650" s="67"/>
      <c r="FY650" s="67"/>
      <c r="FZ650" s="67"/>
      <c r="GA650" s="67"/>
      <c r="GB650" s="67"/>
      <c r="GC650" s="67"/>
      <c r="GD650" s="67"/>
      <c r="GE650" s="67"/>
      <c r="GF650" s="67"/>
      <c r="GG650" s="67"/>
      <c r="GH650" s="67"/>
      <c r="GI650" s="67"/>
      <c r="GJ650" s="67"/>
      <c r="GK650" s="67"/>
      <c r="GL650" s="67"/>
      <c r="GM650" s="67"/>
      <c r="GN650" s="67"/>
      <c r="GO650" s="67"/>
      <c r="GP650" s="67"/>
    </row>
    <row r="651" spans="5:198" s="66" customFormat="1">
      <c r="E651" s="67"/>
      <c r="G651" s="67"/>
      <c r="H651" s="67"/>
      <c r="I651" s="67"/>
      <c r="J651" s="67"/>
      <c r="K651" s="67"/>
      <c r="L651" s="67"/>
      <c r="M651" s="67"/>
      <c r="N651" s="67"/>
      <c r="O651" s="78"/>
      <c r="P651" s="78"/>
      <c r="S651" s="78"/>
      <c r="T651" s="78"/>
      <c r="U651" s="79"/>
      <c r="V651" s="65"/>
      <c r="Y651" s="78"/>
      <c r="Z651" s="78"/>
      <c r="AA651" s="78"/>
      <c r="AB651" s="78"/>
      <c r="AC651" s="78"/>
      <c r="AD651" s="78"/>
      <c r="AE651" s="78"/>
      <c r="AF651" s="78"/>
      <c r="AG651" s="79"/>
      <c r="AH651" s="65"/>
      <c r="AJ651" s="85"/>
      <c r="AK651" s="78"/>
      <c r="AL651" s="78"/>
      <c r="AM651" s="78"/>
      <c r="AN651" s="78"/>
      <c r="AO651" s="78"/>
      <c r="AP651" s="78"/>
      <c r="AQ651" s="79"/>
      <c r="AR651" s="65"/>
      <c r="AT651" s="85"/>
      <c r="AU651" s="78"/>
      <c r="AV651" s="78"/>
      <c r="AW651" s="78"/>
      <c r="AX651" s="78"/>
      <c r="AY651" s="78"/>
      <c r="AZ651" s="79"/>
      <c r="BA651" s="65"/>
      <c r="BC651" s="85"/>
      <c r="BD651" s="78"/>
      <c r="BE651" s="78"/>
      <c r="BF651" s="78"/>
      <c r="BG651" s="78"/>
      <c r="BH651" s="78"/>
      <c r="BI651" s="78"/>
      <c r="BJ651" s="79"/>
      <c r="BK651" s="65"/>
      <c r="CU651" s="67"/>
      <c r="EC651" s="67"/>
      <c r="FK651" s="67"/>
      <c r="FL651" s="67"/>
      <c r="FM651" s="67"/>
      <c r="FN651" s="67"/>
      <c r="FO651" s="67"/>
      <c r="FP651" s="67"/>
      <c r="FQ651" s="67"/>
      <c r="FR651" s="67"/>
      <c r="FS651" s="67"/>
      <c r="FT651" s="67"/>
      <c r="FU651" s="67"/>
      <c r="FV651" s="67"/>
      <c r="FW651" s="67"/>
      <c r="FX651" s="67"/>
      <c r="FY651" s="67"/>
      <c r="FZ651" s="67"/>
      <c r="GA651" s="67"/>
      <c r="GB651" s="67"/>
      <c r="GC651" s="67"/>
      <c r="GD651" s="67"/>
      <c r="GE651" s="67"/>
      <c r="GF651" s="67"/>
      <c r="GG651" s="67"/>
      <c r="GH651" s="67"/>
      <c r="GI651" s="67"/>
      <c r="GJ651" s="67"/>
      <c r="GK651" s="67"/>
      <c r="GL651" s="67"/>
      <c r="GM651" s="67"/>
      <c r="GN651" s="67"/>
      <c r="GO651" s="67"/>
      <c r="GP651" s="67"/>
    </row>
    <row r="652" spans="5:198" s="66" customFormat="1">
      <c r="E652" s="67"/>
      <c r="G652" s="67"/>
      <c r="H652" s="67"/>
      <c r="I652" s="67"/>
      <c r="J652" s="67"/>
      <c r="K652" s="67"/>
      <c r="L652" s="67"/>
      <c r="M652" s="67"/>
      <c r="N652" s="67"/>
      <c r="O652" s="78"/>
      <c r="P652" s="78"/>
      <c r="S652" s="78"/>
      <c r="T652" s="78"/>
      <c r="U652" s="79"/>
      <c r="V652" s="65"/>
      <c r="Y652" s="78"/>
      <c r="Z652" s="78"/>
      <c r="AA652" s="78"/>
      <c r="AB652" s="78"/>
      <c r="AC652" s="78"/>
      <c r="AD652" s="78"/>
      <c r="AE652" s="78"/>
      <c r="AF652" s="78"/>
      <c r="AG652" s="79"/>
      <c r="AH652" s="65"/>
      <c r="AJ652" s="85"/>
      <c r="AK652" s="78"/>
      <c r="AL652" s="78"/>
      <c r="AM652" s="78"/>
      <c r="AN652" s="78"/>
      <c r="AO652" s="78"/>
      <c r="AP652" s="78"/>
      <c r="AQ652" s="79"/>
      <c r="AR652" s="65"/>
      <c r="AT652" s="85"/>
      <c r="AU652" s="78"/>
      <c r="AV652" s="78"/>
      <c r="AW652" s="78"/>
      <c r="AX652" s="78"/>
      <c r="AY652" s="78"/>
      <c r="AZ652" s="79"/>
      <c r="BA652" s="65"/>
      <c r="BC652" s="85"/>
      <c r="BD652" s="78"/>
      <c r="BE652" s="78"/>
      <c r="BF652" s="78"/>
      <c r="BG652" s="78"/>
      <c r="BH652" s="78"/>
      <c r="BI652" s="78"/>
      <c r="BJ652" s="79"/>
      <c r="BK652" s="65"/>
      <c r="CU652" s="67"/>
      <c r="EC652" s="67"/>
      <c r="FK652" s="67"/>
      <c r="FL652" s="67"/>
      <c r="FM652" s="67"/>
      <c r="FN652" s="67"/>
      <c r="FO652" s="67"/>
      <c r="FP652" s="67"/>
      <c r="FQ652" s="67"/>
      <c r="FR652" s="67"/>
      <c r="FS652" s="67"/>
      <c r="FT652" s="67"/>
      <c r="FU652" s="67"/>
      <c r="FV652" s="67"/>
      <c r="FW652" s="67"/>
      <c r="FX652" s="67"/>
      <c r="FY652" s="67"/>
      <c r="FZ652" s="67"/>
      <c r="GA652" s="67"/>
      <c r="GB652" s="67"/>
      <c r="GC652" s="67"/>
      <c r="GD652" s="67"/>
      <c r="GE652" s="67"/>
      <c r="GF652" s="67"/>
      <c r="GG652" s="67"/>
      <c r="GH652" s="67"/>
      <c r="GI652" s="67"/>
      <c r="GJ652" s="67"/>
      <c r="GK652" s="67"/>
      <c r="GL652" s="67"/>
      <c r="GM652" s="67"/>
      <c r="GN652" s="67"/>
      <c r="GO652" s="67"/>
      <c r="GP652" s="67"/>
    </row>
    <row r="653" spans="5:198" s="66" customFormat="1">
      <c r="E653" s="67"/>
      <c r="G653" s="67"/>
      <c r="H653" s="67"/>
      <c r="I653" s="67"/>
      <c r="J653" s="67"/>
      <c r="K653" s="67"/>
      <c r="L653" s="67"/>
      <c r="M653" s="67"/>
      <c r="N653" s="67"/>
      <c r="O653" s="78"/>
      <c r="P653" s="78"/>
      <c r="S653" s="78"/>
      <c r="T653" s="78"/>
      <c r="U653" s="79"/>
      <c r="V653" s="65"/>
      <c r="Y653" s="78"/>
      <c r="Z653" s="78"/>
      <c r="AA653" s="78"/>
      <c r="AB653" s="78"/>
      <c r="AC653" s="78"/>
      <c r="AD653" s="78"/>
      <c r="AE653" s="78"/>
      <c r="AF653" s="78"/>
      <c r="AG653" s="79"/>
      <c r="AH653" s="65"/>
      <c r="AJ653" s="85"/>
      <c r="AK653" s="78"/>
      <c r="AL653" s="78"/>
      <c r="AM653" s="78"/>
      <c r="AN653" s="78"/>
      <c r="AO653" s="78"/>
      <c r="AP653" s="78"/>
      <c r="AQ653" s="79"/>
      <c r="AR653" s="65"/>
      <c r="AT653" s="85"/>
      <c r="AU653" s="78"/>
      <c r="AV653" s="78"/>
      <c r="AW653" s="78"/>
      <c r="AX653" s="78"/>
      <c r="AY653" s="78"/>
      <c r="AZ653" s="79"/>
      <c r="BA653" s="65"/>
      <c r="BC653" s="85"/>
      <c r="BD653" s="78"/>
      <c r="BE653" s="78"/>
      <c r="BF653" s="78"/>
      <c r="BG653" s="78"/>
      <c r="BH653" s="78"/>
      <c r="BI653" s="78"/>
      <c r="BJ653" s="79"/>
      <c r="BK653" s="65"/>
      <c r="CU653" s="67"/>
      <c r="EC653" s="67"/>
      <c r="FK653" s="67"/>
      <c r="FL653" s="67"/>
      <c r="FM653" s="67"/>
      <c r="FN653" s="67"/>
      <c r="FO653" s="67"/>
      <c r="FP653" s="67"/>
      <c r="FQ653" s="67"/>
      <c r="FR653" s="67"/>
      <c r="FS653" s="67"/>
      <c r="FT653" s="67"/>
      <c r="FU653" s="67"/>
      <c r="FV653" s="67"/>
      <c r="FW653" s="67"/>
      <c r="FX653" s="67"/>
      <c r="FY653" s="67"/>
      <c r="FZ653" s="67"/>
      <c r="GA653" s="67"/>
      <c r="GB653" s="67"/>
      <c r="GC653" s="67"/>
      <c r="GD653" s="67"/>
      <c r="GE653" s="67"/>
      <c r="GF653" s="67"/>
      <c r="GG653" s="67"/>
      <c r="GH653" s="67"/>
      <c r="GI653" s="67"/>
      <c r="GJ653" s="67"/>
      <c r="GK653" s="67"/>
      <c r="GL653" s="67"/>
      <c r="GM653" s="67"/>
      <c r="GN653" s="67"/>
      <c r="GO653" s="67"/>
      <c r="GP653" s="67"/>
    </row>
    <row r="654" spans="5:198" s="66" customFormat="1">
      <c r="E654" s="67"/>
      <c r="G654" s="67"/>
      <c r="H654" s="67"/>
      <c r="I654" s="67"/>
      <c r="J654" s="67"/>
      <c r="K654" s="67"/>
      <c r="L654" s="67"/>
      <c r="M654" s="67"/>
      <c r="N654" s="67"/>
      <c r="O654" s="78"/>
      <c r="P654" s="78"/>
      <c r="S654" s="78"/>
      <c r="T654" s="78"/>
      <c r="U654" s="79"/>
      <c r="V654" s="65"/>
      <c r="Y654" s="78"/>
      <c r="Z654" s="78"/>
      <c r="AA654" s="78"/>
      <c r="AB654" s="78"/>
      <c r="AC654" s="78"/>
      <c r="AD654" s="78"/>
      <c r="AE654" s="78"/>
      <c r="AF654" s="78"/>
      <c r="AG654" s="79"/>
      <c r="AH654" s="65"/>
      <c r="AJ654" s="85"/>
      <c r="AK654" s="78"/>
      <c r="AL654" s="78"/>
      <c r="AM654" s="78"/>
      <c r="AN654" s="78"/>
      <c r="AO654" s="78"/>
      <c r="AP654" s="78"/>
      <c r="AQ654" s="79"/>
      <c r="AR654" s="65"/>
      <c r="AT654" s="85"/>
      <c r="AU654" s="78"/>
      <c r="AV654" s="78"/>
      <c r="AW654" s="78"/>
      <c r="AX654" s="78"/>
      <c r="AY654" s="78"/>
      <c r="AZ654" s="79"/>
      <c r="BA654" s="65"/>
      <c r="BC654" s="85"/>
      <c r="BD654" s="78"/>
      <c r="BE654" s="78"/>
      <c r="BF654" s="78"/>
      <c r="BG654" s="78"/>
      <c r="BH654" s="78"/>
      <c r="BI654" s="78"/>
      <c r="BJ654" s="79"/>
      <c r="BK654" s="65"/>
      <c r="CU654" s="67"/>
      <c r="EC654" s="67"/>
      <c r="FK654" s="67"/>
      <c r="FL654" s="67"/>
      <c r="FM654" s="67"/>
      <c r="FN654" s="67"/>
      <c r="FO654" s="67"/>
      <c r="FP654" s="67"/>
      <c r="FQ654" s="67"/>
      <c r="FR654" s="67"/>
      <c r="FS654" s="67"/>
      <c r="FT654" s="67"/>
      <c r="FU654" s="67"/>
      <c r="FV654" s="67"/>
      <c r="FW654" s="67"/>
      <c r="FX654" s="67"/>
      <c r="FY654" s="67"/>
      <c r="FZ654" s="67"/>
      <c r="GA654" s="67"/>
      <c r="GB654" s="67"/>
      <c r="GC654" s="67"/>
      <c r="GD654" s="67"/>
      <c r="GE654" s="67"/>
      <c r="GF654" s="67"/>
      <c r="GG654" s="67"/>
      <c r="GH654" s="67"/>
      <c r="GI654" s="67"/>
      <c r="GJ654" s="67"/>
      <c r="GK654" s="67"/>
      <c r="GL654" s="67"/>
      <c r="GM654" s="67"/>
      <c r="GN654" s="67"/>
      <c r="GO654" s="67"/>
      <c r="GP654" s="67"/>
    </row>
    <row r="655" spans="5:198" s="66" customFormat="1">
      <c r="E655" s="67"/>
      <c r="G655" s="67"/>
      <c r="H655" s="67"/>
      <c r="I655" s="67"/>
      <c r="J655" s="67"/>
      <c r="K655" s="67"/>
      <c r="L655" s="67"/>
      <c r="M655" s="67"/>
      <c r="N655" s="67"/>
      <c r="O655" s="78"/>
      <c r="P655" s="78"/>
      <c r="S655" s="78"/>
      <c r="T655" s="78"/>
      <c r="U655" s="79"/>
      <c r="V655" s="65"/>
      <c r="Y655" s="78"/>
      <c r="Z655" s="78"/>
      <c r="AA655" s="78"/>
      <c r="AB655" s="78"/>
      <c r="AC655" s="78"/>
      <c r="AD655" s="78"/>
      <c r="AE655" s="78"/>
      <c r="AF655" s="78"/>
      <c r="AG655" s="79"/>
      <c r="AH655" s="65"/>
      <c r="AJ655" s="85"/>
      <c r="AK655" s="78"/>
      <c r="AL655" s="78"/>
      <c r="AM655" s="78"/>
      <c r="AN655" s="78"/>
      <c r="AO655" s="78"/>
      <c r="AP655" s="78"/>
      <c r="AQ655" s="79"/>
      <c r="AR655" s="65"/>
      <c r="AT655" s="85"/>
      <c r="AU655" s="78"/>
      <c r="AV655" s="78"/>
      <c r="AW655" s="78"/>
      <c r="AX655" s="78"/>
      <c r="AY655" s="78"/>
      <c r="AZ655" s="79"/>
      <c r="BA655" s="65"/>
      <c r="BC655" s="85"/>
      <c r="BD655" s="78"/>
      <c r="BE655" s="78"/>
      <c r="BF655" s="78"/>
      <c r="BG655" s="78"/>
      <c r="BH655" s="78"/>
      <c r="BI655" s="78"/>
      <c r="BJ655" s="79"/>
      <c r="BK655" s="65"/>
      <c r="CU655" s="67"/>
      <c r="EC655" s="67"/>
      <c r="FK655" s="67"/>
      <c r="FL655" s="67"/>
      <c r="FM655" s="67"/>
      <c r="FN655" s="67"/>
      <c r="FO655" s="67"/>
      <c r="FP655" s="67"/>
      <c r="FQ655" s="67"/>
      <c r="FR655" s="67"/>
      <c r="FS655" s="67"/>
      <c r="FT655" s="67"/>
      <c r="FU655" s="67"/>
      <c r="FV655" s="67"/>
      <c r="FW655" s="67"/>
      <c r="FX655" s="67"/>
      <c r="FY655" s="67"/>
      <c r="FZ655" s="67"/>
      <c r="GA655" s="67"/>
      <c r="GB655" s="67"/>
      <c r="GC655" s="67"/>
      <c r="GD655" s="67"/>
      <c r="GE655" s="67"/>
      <c r="GF655" s="67"/>
      <c r="GG655" s="67"/>
      <c r="GH655" s="67"/>
      <c r="GI655" s="67"/>
      <c r="GJ655" s="67"/>
      <c r="GK655" s="67"/>
      <c r="GL655" s="67"/>
      <c r="GM655" s="67"/>
      <c r="GN655" s="67"/>
      <c r="GO655" s="67"/>
      <c r="GP655" s="67"/>
    </row>
    <row r="656" spans="5:198" s="66" customFormat="1">
      <c r="E656" s="67"/>
      <c r="G656" s="67"/>
      <c r="H656" s="67"/>
      <c r="I656" s="67"/>
      <c r="J656" s="67"/>
      <c r="K656" s="67"/>
      <c r="L656" s="67"/>
      <c r="M656" s="67"/>
      <c r="N656" s="67"/>
      <c r="O656" s="78"/>
      <c r="P656" s="78"/>
      <c r="S656" s="78"/>
      <c r="T656" s="78"/>
      <c r="U656" s="79"/>
      <c r="V656" s="65"/>
      <c r="Y656" s="78"/>
      <c r="Z656" s="78"/>
      <c r="AA656" s="78"/>
      <c r="AB656" s="78"/>
      <c r="AC656" s="78"/>
      <c r="AD656" s="78"/>
      <c r="AE656" s="78"/>
      <c r="AF656" s="78"/>
      <c r="AG656" s="79"/>
      <c r="AH656" s="65"/>
      <c r="AJ656" s="85"/>
      <c r="AK656" s="78"/>
      <c r="AL656" s="78"/>
      <c r="AM656" s="78"/>
      <c r="AN656" s="78"/>
      <c r="AO656" s="78"/>
      <c r="AP656" s="78"/>
      <c r="AQ656" s="79"/>
      <c r="AR656" s="65"/>
      <c r="AT656" s="85"/>
      <c r="AU656" s="78"/>
      <c r="AV656" s="78"/>
      <c r="AW656" s="78"/>
      <c r="AX656" s="78"/>
      <c r="AY656" s="78"/>
      <c r="AZ656" s="79"/>
      <c r="BA656" s="65"/>
      <c r="BC656" s="85"/>
      <c r="BD656" s="78"/>
      <c r="BE656" s="78"/>
      <c r="BF656" s="78"/>
      <c r="BG656" s="78"/>
      <c r="BH656" s="78"/>
      <c r="BI656" s="78"/>
      <c r="BJ656" s="79"/>
      <c r="BK656" s="65"/>
      <c r="CU656" s="67"/>
      <c r="EC656" s="67"/>
      <c r="FK656" s="67"/>
      <c r="FL656" s="67"/>
      <c r="FM656" s="67"/>
      <c r="FN656" s="67"/>
      <c r="FO656" s="67"/>
      <c r="FP656" s="67"/>
      <c r="FQ656" s="67"/>
      <c r="FR656" s="67"/>
      <c r="FS656" s="67"/>
      <c r="FT656" s="67"/>
      <c r="FU656" s="67"/>
      <c r="FV656" s="67"/>
      <c r="FW656" s="67"/>
      <c r="FX656" s="67"/>
      <c r="FY656" s="67"/>
      <c r="FZ656" s="67"/>
      <c r="GA656" s="67"/>
      <c r="GB656" s="67"/>
      <c r="GC656" s="67"/>
      <c r="GD656" s="67"/>
      <c r="GE656" s="67"/>
      <c r="GF656" s="67"/>
      <c r="GG656" s="67"/>
      <c r="GH656" s="67"/>
      <c r="GI656" s="67"/>
      <c r="GJ656" s="67"/>
      <c r="GK656" s="67"/>
      <c r="GL656" s="67"/>
      <c r="GM656" s="67"/>
      <c r="GN656" s="67"/>
      <c r="GO656" s="67"/>
      <c r="GP656" s="67"/>
    </row>
    <row r="657" spans="5:198" s="66" customFormat="1">
      <c r="E657" s="67"/>
      <c r="G657" s="67"/>
      <c r="H657" s="67"/>
      <c r="I657" s="67"/>
      <c r="J657" s="67"/>
      <c r="K657" s="67"/>
      <c r="L657" s="67"/>
      <c r="M657" s="67"/>
      <c r="N657" s="67"/>
      <c r="O657" s="78"/>
      <c r="P657" s="78"/>
      <c r="S657" s="78"/>
      <c r="T657" s="78"/>
      <c r="U657" s="79"/>
      <c r="V657" s="65"/>
      <c r="Y657" s="78"/>
      <c r="Z657" s="78"/>
      <c r="AA657" s="78"/>
      <c r="AB657" s="78"/>
      <c r="AC657" s="78"/>
      <c r="AD657" s="78"/>
      <c r="AE657" s="78"/>
      <c r="AF657" s="78"/>
      <c r="AG657" s="79"/>
      <c r="AH657" s="65"/>
      <c r="AJ657" s="85"/>
      <c r="AK657" s="78"/>
      <c r="AL657" s="78"/>
      <c r="AM657" s="78"/>
      <c r="AN657" s="78"/>
      <c r="AO657" s="78"/>
      <c r="AP657" s="78"/>
      <c r="AQ657" s="79"/>
      <c r="AR657" s="65"/>
      <c r="AT657" s="85"/>
      <c r="AU657" s="78"/>
      <c r="AV657" s="78"/>
      <c r="AW657" s="78"/>
      <c r="AX657" s="78"/>
      <c r="AY657" s="78"/>
      <c r="AZ657" s="79"/>
      <c r="BA657" s="65"/>
      <c r="BC657" s="85"/>
      <c r="BD657" s="78"/>
      <c r="BE657" s="78"/>
      <c r="BF657" s="78"/>
      <c r="BG657" s="78"/>
      <c r="BH657" s="78"/>
      <c r="BI657" s="78"/>
      <c r="BJ657" s="79"/>
      <c r="BK657" s="65"/>
      <c r="CU657" s="67"/>
      <c r="EC657" s="67"/>
      <c r="FK657" s="67"/>
      <c r="FL657" s="67"/>
      <c r="FM657" s="67"/>
      <c r="FN657" s="67"/>
      <c r="FO657" s="67"/>
      <c r="FP657" s="67"/>
      <c r="FQ657" s="67"/>
      <c r="FR657" s="67"/>
      <c r="FS657" s="67"/>
      <c r="FT657" s="67"/>
      <c r="FU657" s="67"/>
      <c r="FV657" s="67"/>
      <c r="FW657" s="67"/>
      <c r="FX657" s="67"/>
      <c r="FY657" s="67"/>
      <c r="FZ657" s="67"/>
      <c r="GA657" s="67"/>
      <c r="GB657" s="67"/>
      <c r="GC657" s="67"/>
      <c r="GD657" s="67"/>
      <c r="GE657" s="67"/>
      <c r="GF657" s="67"/>
      <c r="GG657" s="67"/>
      <c r="GH657" s="67"/>
      <c r="GI657" s="67"/>
      <c r="GJ657" s="67"/>
      <c r="GK657" s="67"/>
      <c r="GL657" s="67"/>
      <c r="GM657" s="67"/>
      <c r="GN657" s="67"/>
      <c r="GO657" s="67"/>
      <c r="GP657" s="67"/>
    </row>
    <row r="658" spans="5:198" s="66" customFormat="1">
      <c r="E658" s="67"/>
      <c r="G658" s="67"/>
      <c r="H658" s="67"/>
      <c r="I658" s="67"/>
      <c r="J658" s="67"/>
      <c r="K658" s="67"/>
      <c r="L658" s="67"/>
      <c r="M658" s="67"/>
      <c r="N658" s="67"/>
      <c r="O658" s="78"/>
      <c r="P658" s="78"/>
      <c r="S658" s="78"/>
      <c r="T658" s="78"/>
      <c r="U658" s="79"/>
      <c r="V658" s="65"/>
      <c r="Y658" s="78"/>
      <c r="Z658" s="78"/>
      <c r="AA658" s="78"/>
      <c r="AB658" s="78"/>
      <c r="AC658" s="78"/>
      <c r="AD658" s="78"/>
      <c r="AE658" s="78"/>
      <c r="AF658" s="78"/>
      <c r="AG658" s="79"/>
      <c r="AH658" s="65"/>
      <c r="AJ658" s="85"/>
      <c r="AK658" s="78"/>
      <c r="AL658" s="78"/>
      <c r="AM658" s="78"/>
      <c r="AN658" s="78"/>
      <c r="AO658" s="78"/>
      <c r="AP658" s="78"/>
      <c r="AQ658" s="79"/>
      <c r="AR658" s="65"/>
      <c r="AT658" s="85"/>
      <c r="AU658" s="78"/>
      <c r="AV658" s="78"/>
      <c r="AW658" s="78"/>
      <c r="AX658" s="78"/>
      <c r="AY658" s="78"/>
      <c r="AZ658" s="79"/>
      <c r="BA658" s="65"/>
      <c r="BC658" s="85"/>
      <c r="BD658" s="78"/>
      <c r="BE658" s="78"/>
      <c r="BF658" s="78"/>
      <c r="BG658" s="78"/>
      <c r="BH658" s="78"/>
      <c r="BI658" s="78"/>
      <c r="BJ658" s="79"/>
      <c r="BK658" s="65"/>
      <c r="CU658" s="67"/>
      <c r="EC658" s="67"/>
      <c r="FK658" s="67"/>
      <c r="FL658" s="67"/>
      <c r="FM658" s="67"/>
      <c r="FN658" s="67"/>
      <c r="FO658" s="67"/>
      <c r="FP658" s="67"/>
      <c r="FQ658" s="67"/>
      <c r="FR658" s="67"/>
      <c r="FS658" s="67"/>
      <c r="FT658" s="67"/>
      <c r="FU658" s="67"/>
      <c r="FV658" s="67"/>
      <c r="FW658" s="67"/>
      <c r="FX658" s="67"/>
      <c r="FY658" s="67"/>
      <c r="FZ658" s="67"/>
      <c r="GA658" s="67"/>
      <c r="GB658" s="67"/>
      <c r="GC658" s="67"/>
      <c r="GD658" s="67"/>
      <c r="GE658" s="67"/>
      <c r="GF658" s="67"/>
      <c r="GG658" s="67"/>
      <c r="GH658" s="67"/>
      <c r="GI658" s="67"/>
      <c r="GJ658" s="67"/>
      <c r="GK658" s="67"/>
      <c r="GL658" s="67"/>
      <c r="GM658" s="67"/>
      <c r="GN658" s="67"/>
      <c r="GO658" s="67"/>
      <c r="GP658" s="67"/>
    </row>
    <row r="659" spans="5:198" s="66" customFormat="1">
      <c r="E659" s="67"/>
      <c r="G659" s="67"/>
      <c r="H659" s="67"/>
      <c r="I659" s="67"/>
      <c r="J659" s="67"/>
      <c r="K659" s="67"/>
      <c r="L659" s="67"/>
      <c r="M659" s="67"/>
      <c r="N659" s="67"/>
      <c r="O659" s="78"/>
      <c r="P659" s="78"/>
      <c r="S659" s="78"/>
      <c r="T659" s="78"/>
      <c r="U659" s="79"/>
      <c r="V659" s="65"/>
      <c r="Y659" s="78"/>
      <c r="Z659" s="78"/>
      <c r="AA659" s="78"/>
      <c r="AB659" s="78"/>
      <c r="AC659" s="78"/>
      <c r="AD659" s="78"/>
      <c r="AE659" s="78"/>
      <c r="AF659" s="78"/>
      <c r="AG659" s="79"/>
      <c r="AH659" s="65"/>
      <c r="AJ659" s="85"/>
      <c r="AK659" s="78"/>
      <c r="AL659" s="78"/>
      <c r="AM659" s="78"/>
      <c r="AN659" s="78"/>
      <c r="AO659" s="78"/>
      <c r="AP659" s="78"/>
      <c r="AQ659" s="79"/>
      <c r="AR659" s="65"/>
      <c r="AT659" s="85"/>
      <c r="AU659" s="78"/>
      <c r="AV659" s="78"/>
      <c r="AW659" s="78"/>
      <c r="AX659" s="78"/>
      <c r="AY659" s="78"/>
      <c r="AZ659" s="79"/>
      <c r="BA659" s="65"/>
      <c r="BC659" s="85"/>
      <c r="BD659" s="78"/>
      <c r="BE659" s="78"/>
      <c r="BF659" s="78"/>
      <c r="BG659" s="78"/>
      <c r="BH659" s="78"/>
      <c r="BI659" s="78"/>
      <c r="BJ659" s="79"/>
      <c r="BK659" s="65"/>
      <c r="CU659" s="67"/>
      <c r="EC659" s="67"/>
      <c r="FK659" s="67"/>
      <c r="FL659" s="67"/>
      <c r="FM659" s="67"/>
      <c r="FN659" s="67"/>
      <c r="FO659" s="67"/>
      <c r="FP659" s="67"/>
      <c r="FQ659" s="67"/>
      <c r="FR659" s="67"/>
      <c r="FS659" s="67"/>
      <c r="FT659" s="67"/>
      <c r="FU659" s="67"/>
      <c r="FV659" s="67"/>
      <c r="FW659" s="67"/>
      <c r="FX659" s="67"/>
      <c r="FY659" s="67"/>
      <c r="FZ659" s="67"/>
      <c r="GA659" s="67"/>
      <c r="GB659" s="67"/>
      <c r="GC659" s="67"/>
      <c r="GD659" s="67"/>
      <c r="GE659" s="67"/>
      <c r="GF659" s="67"/>
      <c r="GG659" s="67"/>
      <c r="GH659" s="67"/>
      <c r="GI659" s="67"/>
      <c r="GJ659" s="67"/>
      <c r="GK659" s="67"/>
      <c r="GL659" s="67"/>
      <c r="GM659" s="67"/>
      <c r="GN659" s="67"/>
      <c r="GO659" s="67"/>
      <c r="GP659" s="67"/>
    </row>
    <row r="660" spans="5:198" s="66" customFormat="1">
      <c r="E660" s="67"/>
      <c r="G660" s="67"/>
      <c r="H660" s="67"/>
      <c r="I660" s="67"/>
      <c r="J660" s="67"/>
      <c r="K660" s="67"/>
      <c r="L660" s="67"/>
      <c r="M660" s="67"/>
      <c r="N660" s="67"/>
      <c r="O660" s="78"/>
      <c r="P660" s="78"/>
      <c r="S660" s="78"/>
      <c r="T660" s="78"/>
      <c r="U660" s="79"/>
      <c r="V660" s="65"/>
      <c r="Y660" s="78"/>
      <c r="Z660" s="78"/>
      <c r="AA660" s="78"/>
      <c r="AB660" s="78"/>
      <c r="AC660" s="78"/>
      <c r="AD660" s="78"/>
      <c r="AE660" s="78"/>
      <c r="AF660" s="78"/>
      <c r="AG660" s="79"/>
      <c r="AH660" s="65"/>
      <c r="AJ660" s="85"/>
      <c r="AK660" s="78"/>
      <c r="AL660" s="78"/>
      <c r="AM660" s="78"/>
      <c r="AN660" s="78"/>
      <c r="AO660" s="78"/>
      <c r="AP660" s="78"/>
      <c r="AQ660" s="79"/>
      <c r="AR660" s="65"/>
      <c r="AT660" s="85"/>
      <c r="AU660" s="78"/>
      <c r="AV660" s="78"/>
      <c r="AW660" s="78"/>
      <c r="AX660" s="78"/>
      <c r="AY660" s="78"/>
      <c r="AZ660" s="79"/>
      <c r="BA660" s="65"/>
      <c r="BC660" s="85"/>
      <c r="BD660" s="78"/>
      <c r="BE660" s="78"/>
      <c r="BF660" s="78"/>
      <c r="BG660" s="78"/>
      <c r="BH660" s="78"/>
      <c r="BI660" s="78"/>
      <c r="BJ660" s="79"/>
      <c r="BK660" s="65"/>
      <c r="CU660" s="67"/>
      <c r="EC660" s="67"/>
      <c r="FK660" s="67"/>
      <c r="FL660" s="67"/>
      <c r="FM660" s="67"/>
      <c r="FN660" s="67"/>
      <c r="FO660" s="67"/>
      <c r="FP660" s="67"/>
      <c r="FQ660" s="67"/>
      <c r="FR660" s="67"/>
      <c r="FS660" s="67"/>
      <c r="FT660" s="67"/>
      <c r="FU660" s="67"/>
      <c r="FV660" s="67"/>
      <c r="FW660" s="67"/>
      <c r="FX660" s="67"/>
      <c r="FY660" s="67"/>
      <c r="FZ660" s="67"/>
      <c r="GA660" s="67"/>
      <c r="GB660" s="67"/>
      <c r="GC660" s="67"/>
      <c r="GD660" s="67"/>
      <c r="GE660" s="67"/>
      <c r="GF660" s="67"/>
      <c r="GG660" s="67"/>
      <c r="GH660" s="67"/>
      <c r="GI660" s="67"/>
      <c r="GJ660" s="67"/>
      <c r="GK660" s="67"/>
      <c r="GL660" s="67"/>
      <c r="GM660" s="67"/>
      <c r="GN660" s="67"/>
      <c r="GO660" s="67"/>
      <c r="GP660" s="67"/>
    </row>
    <row r="661" spans="5:198" s="66" customFormat="1">
      <c r="E661" s="67"/>
      <c r="G661" s="67"/>
      <c r="H661" s="67"/>
      <c r="I661" s="67"/>
      <c r="J661" s="67"/>
      <c r="K661" s="67"/>
      <c r="L661" s="67"/>
      <c r="M661" s="67"/>
      <c r="N661" s="67"/>
      <c r="O661" s="78"/>
      <c r="P661" s="78"/>
      <c r="S661" s="78"/>
      <c r="T661" s="78"/>
      <c r="U661" s="79"/>
      <c r="V661" s="65"/>
      <c r="Y661" s="78"/>
      <c r="Z661" s="78"/>
      <c r="AA661" s="78"/>
      <c r="AB661" s="78"/>
      <c r="AC661" s="78"/>
      <c r="AD661" s="78"/>
      <c r="AE661" s="78"/>
      <c r="AF661" s="78"/>
      <c r="AG661" s="79"/>
      <c r="AH661" s="65"/>
      <c r="AJ661" s="85"/>
      <c r="AK661" s="78"/>
      <c r="AL661" s="78"/>
      <c r="AM661" s="78"/>
      <c r="AN661" s="78"/>
      <c r="AO661" s="78"/>
      <c r="AP661" s="78"/>
      <c r="AQ661" s="79"/>
      <c r="AR661" s="65"/>
      <c r="AT661" s="85"/>
      <c r="AU661" s="78"/>
      <c r="AV661" s="78"/>
      <c r="AW661" s="78"/>
      <c r="AX661" s="78"/>
      <c r="AY661" s="78"/>
      <c r="AZ661" s="79"/>
      <c r="BA661" s="65"/>
      <c r="BC661" s="85"/>
      <c r="BD661" s="78"/>
      <c r="BE661" s="78"/>
      <c r="BF661" s="78"/>
      <c r="BG661" s="78"/>
      <c r="BH661" s="78"/>
      <c r="BI661" s="78"/>
      <c r="BJ661" s="79"/>
      <c r="BK661" s="65"/>
      <c r="CU661" s="67"/>
      <c r="EC661" s="67"/>
      <c r="FK661" s="67"/>
      <c r="FL661" s="67"/>
      <c r="FM661" s="67"/>
      <c r="FN661" s="67"/>
      <c r="FO661" s="67"/>
      <c r="FP661" s="67"/>
      <c r="FQ661" s="67"/>
      <c r="FR661" s="67"/>
      <c r="FS661" s="67"/>
      <c r="FT661" s="67"/>
      <c r="FU661" s="67"/>
      <c r="FV661" s="67"/>
      <c r="FW661" s="67"/>
      <c r="FX661" s="67"/>
      <c r="FY661" s="67"/>
      <c r="FZ661" s="67"/>
      <c r="GA661" s="67"/>
      <c r="GB661" s="67"/>
      <c r="GC661" s="67"/>
      <c r="GD661" s="67"/>
      <c r="GE661" s="67"/>
      <c r="GF661" s="67"/>
      <c r="GG661" s="67"/>
      <c r="GH661" s="67"/>
      <c r="GI661" s="67"/>
      <c r="GJ661" s="67"/>
      <c r="GK661" s="67"/>
      <c r="GL661" s="67"/>
      <c r="GM661" s="67"/>
      <c r="GN661" s="67"/>
      <c r="GO661" s="67"/>
      <c r="GP661" s="67"/>
    </row>
    <row r="662" spans="5:198" s="66" customFormat="1">
      <c r="E662" s="67"/>
      <c r="G662" s="67"/>
      <c r="H662" s="67"/>
      <c r="I662" s="67"/>
      <c r="J662" s="67"/>
      <c r="K662" s="67"/>
      <c r="L662" s="67"/>
      <c r="M662" s="67"/>
      <c r="N662" s="67"/>
      <c r="O662" s="78"/>
      <c r="P662" s="78"/>
      <c r="S662" s="78"/>
      <c r="T662" s="78"/>
      <c r="U662" s="79"/>
      <c r="V662" s="65"/>
      <c r="Y662" s="78"/>
      <c r="Z662" s="78"/>
      <c r="AA662" s="78"/>
      <c r="AB662" s="78"/>
      <c r="AC662" s="78"/>
      <c r="AD662" s="78"/>
      <c r="AE662" s="78"/>
      <c r="AF662" s="78"/>
      <c r="AG662" s="79"/>
      <c r="AH662" s="65"/>
      <c r="AJ662" s="85"/>
      <c r="AK662" s="78"/>
      <c r="AL662" s="78"/>
      <c r="AM662" s="78"/>
      <c r="AN662" s="78"/>
      <c r="AO662" s="78"/>
      <c r="AP662" s="78"/>
      <c r="AQ662" s="79"/>
      <c r="AR662" s="65"/>
      <c r="AT662" s="85"/>
      <c r="AU662" s="78"/>
      <c r="AV662" s="78"/>
      <c r="AW662" s="78"/>
      <c r="AX662" s="78"/>
      <c r="AY662" s="78"/>
      <c r="AZ662" s="79"/>
      <c r="BA662" s="65"/>
      <c r="BC662" s="85"/>
      <c r="BD662" s="78"/>
      <c r="BE662" s="78"/>
      <c r="BF662" s="78"/>
      <c r="BG662" s="78"/>
      <c r="BH662" s="78"/>
      <c r="BI662" s="78"/>
      <c r="BJ662" s="79"/>
      <c r="BK662" s="65"/>
      <c r="CU662" s="67"/>
      <c r="EC662" s="67"/>
      <c r="FK662" s="67"/>
      <c r="FL662" s="67"/>
      <c r="FM662" s="67"/>
      <c r="FN662" s="67"/>
      <c r="FO662" s="67"/>
      <c r="FP662" s="67"/>
      <c r="FQ662" s="67"/>
      <c r="FR662" s="67"/>
      <c r="FS662" s="67"/>
      <c r="FT662" s="67"/>
      <c r="FU662" s="67"/>
      <c r="FV662" s="67"/>
      <c r="FW662" s="67"/>
      <c r="FX662" s="67"/>
      <c r="FY662" s="67"/>
      <c r="FZ662" s="67"/>
      <c r="GA662" s="67"/>
      <c r="GB662" s="67"/>
      <c r="GC662" s="67"/>
      <c r="GD662" s="67"/>
      <c r="GE662" s="67"/>
      <c r="GF662" s="67"/>
      <c r="GG662" s="67"/>
      <c r="GH662" s="67"/>
      <c r="GI662" s="67"/>
      <c r="GJ662" s="67"/>
      <c r="GK662" s="67"/>
      <c r="GL662" s="67"/>
      <c r="GM662" s="67"/>
      <c r="GN662" s="67"/>
      <c r="GO662" s="67"/>
      <c r="GP662" s="67"/>
    </row>
    <row r="663" spans="5:198" s="66" customFormat="1">
      <c r="E663" s="67"/>
      <c r="G663" s="67"/>
      <c r="H663" s="67"/>
      <c r="I663" s="67"/>
      <c r="J663" s="67"/>
      <c r="K663" s="67"/>
      <c r="L663" s="67"/>
      <c r="M663" s="67"/>
      <c r="N663" s="67"/>
      <c r="O663" s="78"/>
      <c r="P663" s="78"/>
      <c r="S663" s="78"/>
      <c r="T663" s="78"/>
      <c r="U663" s="79"/>
      <c r="V663" s="65"/>
      <c r="Y663" s="78"/>
      <c r="Z663" s="78"/>
      <c r="AA663" s="78"/>
      <c r="AB663" s="78"/>
      <c r="AC663" s="78"/>
      <c r="AD663" s="78"/>
      <c r="AE663" s="78"/>
      <c r="AF663" s="78"/>
      <c r="AG663" s="79"/>
      <c r="AH663" s="65"/>
      <c r="AJ663" s="85"/>
      <c r="AK663" s="78"/>
      <c r="AL663" s="78"/>
      <c r="AM663" s="78"/>
      <c r="AN663" s="78"/>
      <c r="AO663" s="78"/>
      <c r="AP663" s="78"/>
      <c r="AQ663" s="79"/>
      <c r="AR663" s="65"/>
      <c r="AT663" s="85"/>
      <c r="AU663" s="78"/>
      <c r="AV663" s="78"/>
      <c r="AW663" s="78"/>
      <c r="AX663" s="78"/>
      <c r="AY663" s="78"/>
      <c r="AZ663" s="79"/>
      <c r="BA663" s="65"/>
      <c r="BC663" s="85"/>
      <c r="BD663" s="78"/>
      <c r="BE663" s="78"/>
      <c r="BF663" s="78"/>
      <c r="BG663" s="78"/>
      <c r="BH663" s="78"/>
      <c r="BI663" s="78"/>
      <c r="BJ663" s="79"/>
      <c r="BK663" s="65"/>
      <c r="CU663" s="67"/>
      <c r="EC663" s="67"/>
      <c r="FK663" s="67"/>
      <c r="FL663" s="67"/>
      <c r="FM663" s="67"/>
      <c r="FN663" s="67"/>
      <c r="FO663" s="67"/>
      <c r="FP663" s="67"/>
      <c r="FQ663" s="67"/>
      <c r="FR663" s="67"/>
      <c r="FS663" s="67"/>
      <c r="FT663" s="67"/>
      <c r="FU663" s="67"/>
      <c r="FV663" s="67"/>
      <c r="FW663" s="67"/>
      <c r="FX663" s="67"/>
      <c r="FY663" s="67"/>
      <c r="FZ663" s="67"/>
      <c r="GA663" s="67"/>
      <c r="GB663" s="67"/>
      <c r="GC663" s="67"/>
      <c r="GD663" s="67"/>
      <c r="GE663" s="67"/>
      <c r="GF663" s="67"/>
      <c r="GG663" s="67"/>
      <c r="GH663" s="67"/>
      <c r="GI663" s="67"/>
      <c r="GJ663" s="67"/>
      <c r="GK663" s="67"/>
      <c r="GL663" s="67"/>
      <c r="GM663" s="67"/>
      <c r="GN663" s="67"/>
      <c r="GO663" s="67"/>
      <c r="GP663" s="67"/>
    </row>
    <row r="664" spans="5:198" s="66" customFormat="1">
      <c r="E664" s="67"/>
      <c r="G664" s="67"/>
      <c r="H664" s="67"/>
      <c r="I664" s="67"/>
      <c r="J664" s="67"/>
      <c r="K664" s="67"/>
      <c r="L664" s="67"/>
      <c r="M664" s="67"/>
      <c r="N664" s="67"/>
      <c r="O664" s="78"/>
      <c r="P664" s="78"/>
      <c r="S664" s="78"/>
      <c r="T664" s="78"/>
      <c r="U664" s="79"/>
      <c r="V664" s="65"/>
      <c r="Y664" s="78"/>
      <c r="Z664" s="78"/>
      <c r="AA664" s="78"/>
      <c r="AB664" s="78"/>
      <c r="AC664" s="78"/>
      <c r="AD664" s="78"/>
      <c r="AE664" s="78"/>
      <c r="AF664" s="78"/>
      <c r="AG664" s="79"/>
      <c r="AH664" s="65"/>
      <c r="AJ664" s="85"/>
      <c r="AK664" s="78"/>
      <c r="AL664" s="78"/>
      <c r="AM664" s="78"/>
      <c r="AN664" s="78"/>
      <c r="AO664" s="78"/>
      <c r="AP664" s="78"/>
      <c r="AQ664" s="79"/>
      <c r="AR664" s="65"/>
      <c r="AT664" s="85"/>
      <c r="AU664" s="78"/>
      <c r="AV664" s="78"/>
      <c r="AW664" s="78"/>
      <c r="AX664" s="78"/>
      <c r="AY664" s="78"/>
      <c r="AZ664" s="79"/>
      <c r="BA664" s="65"/>
      <c r="BC664" s="85"/>
      <c r="BD664" s="78"/>
      <c r="BE664" s="78"/>
      <c r="BF664" s="78"/>
      <c r="BG664" s="78"/>
      <c r="BH664" s="78"/>
      <c r="BI664" s="78"/>
      <c r="BJ664" s="79"/>
      <c r="BK664" s="65"/>
      <c r="CU664" s="67"/>
      <c r="EC664" s="67"/>
      <c r="FK664" s="67"/>
      <c r="FL664" s="67"/>
      <c r="FM664" s="67"/>
      <c r="FN664" s="67"/>
      <c r="FO664" s="67"/>
      <c r="FP664" s="67"/>
      <c r="FQ664" s="67"/>
      <c r="FR664" s="67"/>
      <c r="FS664" s="67"/>
      <c r="FT664" s="67"/>
      <c r="FU664" s="67"/>
      <c r="FV664" s="67"/>
      <c r="FW664" s="67"/>
      <c r="FX664" s="67"/>
      <c r="FY664" s="67"/>
      <c r="FZ664" s="67"/>
      <c r="GA664" s="67"/>
      <c r="GB664" s="67"/>
      <c r="GC664" s="67"/>
      <c r="GD664" s="67"/>
      <c r="GE664" s="67"/>
      <c r="GF664" s="67"/>
      <c r="GG664" s="67"/>
      <c r="GH664" s="67"/>
      <c r="GI664" s="67"/>
      <c r="GJ664" s="67"/>
      <c r="GK664" s="67"/>
      <c r="GL664" s="67"/>
      <c r="GM664" s="67"/>
      <c r="GN664" s="67"/>
      <c r="GO664" s="67"/>
      <c r="GP664" s="67"/>
    </row>
    <row r="665" spans="5:198" s="66" customFormat="1">
      <c r="E665" s="67"/>
      <c r="G665" s="67"/>
      <c r="H665" s="67"/>
      <c r="I665" s="67"/>
      <c r="J665" s="67"/>
      <c r="K665" s="67"/>
      <c r="L665" s="67"/>
      <c r="M665" s="67"/>
      <c r="N665" s="67"/>
      <c r="O665" s="78"/>
      <c r="P665" s="78"/>
      <c r="S665" s="78"/>
      <c r="T665" s="78"/>
      <c r="U665" s="79"/>
      <c r="V665" s="65"/>
      <c r="Y665" s="78"/>
      <c r="Z665" s="78"/>
      <c r="AA665" s="78"/>
      <c r="AB665" s="78"/>
      <c r="AC665" s="78"/>
      <c r="AD665" s="78"/>
      <c r="AE665" s="78"/>
      <c r="AF665" s="78"/>
      <c r="AG665" s="79"/>
      <c r="AH665" s="65"/>
      <c r="AJ665" s="85"/>
      <c r="AK665" s="78"/>
      <c r="AL665" s="78"/>
      <c r="AM665" s="78"/>
      <c r="AN665" s="78"/>
      <c r="AO665" s="78"/>
      <c r="AP665" s="78"/>
      <c r="AQ665" s="79"/>
      <c r="AR665" s="65"/>
      <c r="AT665" s="85"/>
      <c r="AU665" s="78"/>
      <c r="AV665" s="78"/>
      <c r="AW665" s="78"/>
      <c r="AX665" s="78"/>
      <c r="AY665" s="78"/>
      <c r="AZ665" s="79"/>
      <c r="BA665" s="65"/>
      <c r="BC665" s="85"/>
      <c r="BD665" s="78"/>
      <c r="BE665" s="78"/>
      <c r="BF665" s="78"/>
      <c r="BG665" s="78"/>
      <c r="BH665" s="78"/>
      <c r="BI665" s="78"/>
      <c r="BJ665" s="79"/>
      <c r="BK665" s="65"/>
      <c r="CU665" s="67"/>
      <c r="EC665" s="67"/>
      <c r="FK665" s="67"/>
      <c r="FL665" s="67"/>
      <c r="FM665" s="67"/>
      <c r="FN665" s="67"/>
      <c r="FO665" s="67"/>
      <c r="FP665" s="67"/>
      <c r="FQ665" s="67"/>
      <c r="FR665" s="67"/>
      <c r="FS665" s="67"/>
      <c r="FT665" s="67"/>
      <c r="FU665" s="67"/>
      <c r="FV665" s="67"/>
      <c r="FW665" s="67"/>
      <c r="FX665" s="67"/>
      <c r="FY665" s="67"/>
      <c r="FZ665" s="67"/>
      <c r="GA665" s="67"/>
      <c r="GB665" s="67"/>
      <c r="GC665" s="67"/>
      <c r="GD665" s="67"/>
      <c r="GE665" s="67"/>
      <c r="GF665" s="67"/>
      <c r="GG665" s="67"/>
      <c r="GH665" s="67"/>
      <c r="GI665" s="67"/>
      <c r="GJ665" s="67"/>
      <c r="GK665" s="67"/>
      <c r="GL665" s="67"/>
      <c r="GM665" s="67"/>
      <c r="GN665" s="67"/>
      <c r="GO665" s="67"/>
      <c r="GP665" s="67"/>
    </row>
    <row r="666" spans="5:198" s="66" customFormat="1">
      <c r="E666" s="67"/>
      <c r="G666" s="67"/>
      <c r="H666" s="67"/>
      <c r="I666" s="67"/>
      <c r="J666" s="67"/>
      <c r="K666" s="67"/>
      <c r="L666" s="67"/>
      <c r="M666" s="67"/>
      <c r="N666" s="67"/>
      <c r="O666" s="78"/>
      <c r="P666" s="78"/>
      <c r="S666" s="78"/>
      <c r="T666" s="78"/>
      <c r="U666" s="79"/>
      <c r="V666" s="65"/>
      <c r="Y666" s="78"/>
      <c r="Z666" s="78"/>
      <c r="AA666" s="78"/>
      <c r="AB666" s="78"/>
      <c r="AC666" s="78"/>
      <c r="AD666" s="78"/>
      <c r="AE666" s="78"/>
      <c r="AF666" s="78"/>
      <c r="AG666" s="79"/>
      <c r="AH666" s="65"/>
      <c r="AJ666" s="85"/>
      <c r="AK666" s="78"/>
      <c r="AL666" s="78"/>
      <c r="AM666" s="78"/>
      <c r="AN666" s="78"/>
      <c r="AO666" s="78"/>
      <c r="AP666" s="78"/>
      <c r="AQ666" s="79"/>
      <c r="AR666" s="65"/>
      <c r="AT666" s="85"/>
      <c r="AU666" s="78"/>
      <c r="AV666" s="78"/>
      <c r="AW666" s="78"/>
      <c r="AX666" s="78"/>
      <c r="AY666" s="78"/>
      <c r="AZ666" s="79"/>
      <c r="BA666" s="65"/>
      <c r="BC666" s="85"/>
      <c r="BD666" s="78"/>
      <c r="BE666" s="78"/>
      <c r="BF666" s="78"/>
      <c r="BG666" s="78"/>
      <c r="BH666" s="78"/>
      <c r="BI666" s="78"/>
      <c r="BJ666" s="79"/>
      <c r="BK666" s="65"/>
      <c r="CU666" s="67"/>
      <c r="EC666" s="67"/>
      <c r="FK666" s="67"/>
      <c r="FL666" s="67"/>
      <c r="FM666" s="67"/>
      <c r="FN666" s="67"/>
      <c r="FO666" s="67"/>
      <c r="FP666" s="67"/>
      <c r="FQ666" s="67"/>
      <c r="FR666" s="67"/>
      <c r="FS666" s="67"/>
      <c r="FT666" s="67"/>
      <c r="FU666" s="67"/>
      <c r="FV666" s="67"/>
      <c r="FW666" s="67"/>
      <c r="FX666" s="67"/>
      <c r="FY666" s="67"/>
      <c r="FZ666" s="67"/>
      <c r="GA666" s="67"/>
      <c r="GB666" s="67"/>
      <c r="GC666" s="67"/>
      <c r="GD666" s="67"/>
      <c r="GE666" s="67"/>
      <c r="GF666" s="67"/>
      <c r="GG666" s="67"/>
      <c r="GH666" s="67"/>
      <c r="GI666" s="67"/>
      <c r="GJ666" s="67"/>
      <c r="GK666" s="67"/>
      <c r="GL666" s="67"/>
      <c r="GM666" s="67"/>
      <c r="GN666" s="67"/>
      <c r="GO666" s="67"/>
      <c r="GP666" s="67"/>
    </row>
    <row r="667" spans="5:198" s="66" customFormat="1">
      <c r="E667" s="67"/>
      <c r="G667" s="67"/>
      <c r="H667" s="67"/>
      <c r="I667" s="67"/>
      <c r="J667" s="67"/>
      <c r="K667" s="67"/>
      <c r="L667" s="67"/>
      <c r="M667" s="67"/>
      <c r="N667" s="67"/>
      <c r="O667" s="78"/>
      <c r="P667" s="78"/>
      <c r="S667" s="78"/>
      <c r="T667" s="78"/>
      <c r="U667" s="79"/>
      <c r="V667" s="65"/>
      <c r="Y667" s="78"/>
      <c r="Z667" s="78"/>
      <c r="AA667" s="78"/>
      <c r="AB667" s="78"/>
      <c r="AC667" s="78"/>
      <c r="AD667" s="78"/>
      <c r="AE667" s="78"/>
      <c r="AF667" s="78"/>
      <c r="AG667" s="79"/>
      <c r="AH667" s="65"/>
      <c r="AJ667" s="85"/>
      <c r="AK667" s="78"/>
      <c r="AL667" s="78"/>
      <c r="AM667" s="78"/>
      <c r="AN667" s="78"/>
      <c r="AO667" s="78"/>
      <c r="AP667" s="78"/>
      <c r="AQ667" s="79"/>
      <c r="AR667" s="65"/>
      <c r="AT667" s="85"/>
      <c r="AU667" s="78"/>
      <c r="AV667" s="78"/>
      <c r="AW667" s="78"/>
      <c r="AX667" s="78"/>
      <c r="AY667" s="78"/>
      <c r="AZ667" s="79"/>
      <c r="BA667" s="65"/>
      <c r="BC667" s="85"/>
      <c r="BD667" s="78"/>
      <c r="BE667" s="78"/>
      <c r="BF667" s="78"/>
      <c r="BG667" s="78"/>
      <c r="BH667" s="78"/>
      <c r="BI667" s="78"/>
      <c r="BJ667" s="79"/>
      <c r="BK667" s="65"/>
      <c r="CU667" s="67"/>
      <c r="EC667" s="67"/>
      <c r="FK667" s="67"/>
      <c r="FL667" s="67"/>
      <c r="FM667" s="67"/>
      <c r="FN667" s="67"/>
      <c r="FO667" s="67"/>
      <c r="FP667" s="67"/>
      <c r="FQ667" s="67"/>
      <c r="FR667" s="67"/>
      <c r="FS667" s="67"/>
      <c r="FT667" s="67"/>
      <c r="FU667" s="67"/>
      <c r="FV667" s="67"/>
      <c r="FW667" s="67"/>
      <c r="FX667" s="67"/>
      <c r="FY667" s="67"/>
      <c r="FZ667" s="67"/>
      <c r="GA667" s="67"/>
      <c r="GB667" s="67"/>
      <c r="GC667" s="67"/>
      <c r="GD667" s="67"/>
      <c r="GE667" s="67"/>
      <c r="GF667" s="67"/>
      <c r="GG667" s="67"/>
      <c r="GH667" s="67"/>
      <c r="GI667" s="67"/>
      <c r="GJ667" s="67"/>
      <c r="GK667" s="67"/>
      <c r="GL667" s="67"/>
      <c r="GM667" s="67"/>
      <c r="GN667" s="67"/>
      <c r="GO667" s="67"/>
      <c r="GP667" s="67"/>
    </row>
    <row r="668" spans="5:198" s="66" customFormat="1">
      <c r="E668" s="67"/>
      <c r="G668" s="67"/>
      <c r="H668" s="67"/>
      <c r="I668" s="67"/>
      <c r="J668" s="67"/>
      <c r="K668" s="67"/>
      <c r="L668" s="67"/>
      <c r="M668" s="67"/>
      <c r="N668" s="67"/>
      <c r="O668" s="78"/>
      <c r="P668" s="78"/>
      <c r="S668" s="78"/>
      <c r="T668" s="78"/>
      <c r="U668" s="79"/>
      <c r="V668" s="65"/>
      <c r="Y668" s="78"/>
      <c r="Z668" s="78"/>
      <c r="AA668" s="78"/>
      <c r="AB668" s="78"/>
      <c r="AC668" s="78"/>
      <c r="AD668" s="78"/>
      <c r="AE668" s="78"/>
      <c r="AF668" s="78"/>
      <c r="AG668" s="79"/>
      <c r="AH668" s="65"/>
      <c r="AJ668" s="85"/>
      <c r="AK668" s="78"/>
      <c r="AL668" s="78"/>
      <c r="AM668" s="78"/>
      <c r="AN668" s="78"/>
      <c r="AO668" s="78"/>
      <c r="AP668" s="78"/>
      <c r="AQ668" s="79"/>
      <c r="AR668" s="65"/>
      <c r="AT668" s="85"/>
      <c r="AU668" s="78"/>
      <c r="AV668" s="78"/>
      <c r="AW668" s="78"/>
      <c r="AX668" s="78"/>
      <c r="AY668" s="78"/>
      <c r="AZ668" s="79"/>
      <c r="BA668" s="65"/>
      <c r="BC668" s="85"/>
      <c r="BD668" s="78"/>
      <c r="BE668" s="78"/>
      <c r="BF668" s="78"/>
      <c r="BG668" s="78"/>
      <c r="BH668" s="78"/>
      <c r="BI668" s="78"/>
      <c r="BJ668" s="79"/>
      <c r="BK668" s="65"/>
      <c r="CU668" s="67"/>
      <c r="EC668" s="67"/>
      <c r="FK668" s="67"/>
      <c r="FL668" s="67"/>
      <c r="FM668" s="67"/>
      <c r="FN668" s="67"/>
      <c r="FO668" s="67"/>
      <c r="FP668" s="67"/>
      <c r="FQ668" s="67"/>
      <c r="FR668" s="67"/>
      <c r="FS668" s="67"/>
      <c r="FT668" s="67"/>
      <c r="FU668" s="67"/>
      <c r="FV668" s="67"/>
      <c r="FW668" s="67"/>
      <c r="FX668" s="67"/>
      <c r="FY668" s="67"/>
      <c r="FZ668" s="67"/>
      <c r="GA668" s="67"/>
      <c r="GB668" s="67"/>
      <c r="GC668" s="67"/>
      <c r="GD668" s="67"/>
      <c r="GE668" s="67"/>
      <c r="GF668" s="67"/>
      <c r="GG668" s="67"/>
      <c r="GH668" s="67"/>
      <c r="GI668" s="67"/>
      <c r="GJ668" s="67"/>
      <c r="GK668" s="67"/>
      <c r="GL668" s="67"/>
      <c r="GM668" s="67"/>
      <c r="GN668" s="67"/>
      <c r="GO668" s="67"/>
      <c r="GP668" s="67"/>
    </row>
    <row r="669" spans="5:198" s="66" customFormat="1">
      <c r="E669" s="67"/>
      <c r="G669" s="67"/>
      <c r="H669" s="67"/>
      <c r="I669" s="67"/>
      <c r="J669" s="67"/>
      <c r="K669" s="67"/>
      <c r="L669" s="67"/>
      <c r="M669" s="67"/>
      <c r="N669" s="67"/>
      <c r="O669" s="78"/>
      <c r="P669" s="78"/>
      <c r="S669" s="78"/>
      <c r="T669" s="78"/>
      <c r="U669" s="79"/>
      <c r="V669" s="65"/>
      <c r="Y669" s="78"/>
      <c r="Z669" s="78"/>
      <c r="AA669" s="78"/>
      <c r="AB669" s="78"/>
      <c r="AC669" s="78"/>
      <c r="AD669" s="78"/>
      <c r="AE669" s="78"/>
      <c r="AF669" s="78"/>
      <c r="AG669" s="79"/>
      <c r="AH669" s="65"/>
      <c r="AJ669" s="85"/>
      <c r="AK669" s="78"/>
      <c r="AL669" s="78"/>
      <c r="AM669" s="78"/>
      <c r="AN669" s="78"/>
      <c r="AO669" s="78"/>
      <c r="AP669" s="78"/>
      <c r="AQ669" s="79"/>
      <c r="AR669" s="65"/>
      <c r="AT669" s="85"/>
      <c r="AU669" s="78"/>
      <c r="AV669" s="78"/>
      <c r="AW669" s="78"/>
      <c r="AX669" s="78"/>
      <c r="AY669" s="78"/>
      <c r="AZ669" s="79"/>
      <c r="BA669" s="65"/>
      <c r="BC669" s="85"/>
      <c r="BD669" s="78"/>
      <c r="BE669" s="78"/>
      <c r="BF669" s="78"/>
      <c r="BG669" s="78"/>
      <c r="BH669" s="78"/>
      <c r="BI669" s="78"/>
      <c r="BJ669" s="79"/>
      <c r="BK669" s="65"/>
      <c r="CU669" s="67"/>
      <c r="EC669" s="67"/>
      <c r="FK669" s="67"/>
      <c r="FL669" s="67"/>
      <c r="FM669" s="67"/>
      <c r="FN669" s="67"/>
      <c r="FO669" s="67"/>
      <c r="FP669" s="67"/>
      <c r="FQ669" s="67"/>
      <c r="FR669" s="67"/>
      <c r="FS669" s="67"/>
      <c r="FT669" s="67"/>
      <c r="FU669" s="67"/>
      <c r="FV669" s="67"/>
      <c r="FW669" s="67"/>
      <c r="FX669" s="67"/>
      <c r="FY669" s="67"/>
      <c r="FZ669" s="67"/>
      <c r="GA669" s="67"/>
      <c r="GB669" s="67"/>
      <c r="GC669" s="67"/>
      <c r="GD669" s="67"/>
      <c r="GE669" s="67"/>
      <c r="GF669" s="67"/>
      <c r="GG669" s="67"/>
      <c r="GH669" s="67"/>
      <c r="GI669" s="67"/>
      <c r="GJ669" s="67"/>
      <c r="GK669" s="67"/>
      <c r="GL669" s="67"/>
      <c r="GM669" s="67"/>
      <c r="GN669" s="67"/>
      <c r="GO669" s="67"/>
      <c r="GP669" s="67"/>
    </row>
    <row r="670" spans="5:198" s="66" customFormat="1">
      <c r="E670" s="67"/>
      <c r="G670" s="67"/>
      <c r="H670" s="67"/>
      <c r="I670" s="67"/>
      <c r="J670" s="67"/>
      <c r="K670" s="67"/>
      <c r="L670" s="67"/>
      <c r="M670" s="67"/>
      <c r="N670" s="67"/>
      <c r="O670" s="78"/>
      <c r="P670" s="78"/>
      <c r="S670" s="78"/>
      <c r="T670" s="78"/>
      <c r="U670" s="79"/>
      <c r="V670" s="65"/>
      <c r="Y670" s="78"/>
      <c r="Z670" s="78"/>
      <c r="AA670" s="78"/>
      <c r="AB670" s="78"/>
      <c r="AC670" s="78"/>
      <c r="AD670" s="78"/>
      <c r="AE670" s="78"/>
      <c r="AF670" s="78"/>
      <c r="AG670" s="79"/>
      <c r="AH670" s="65"/>
      <c r="AJ670" s="85"/>
      <c r="AK670" s="78"/>
      <c r="AL670" s="78"/>
      <c r="AM670" s="78"/>
      <c r="AN670" s="78"/>
      <c r="AO670" s="78"/>
      <c r="AP670" s="78"/>
      <c r="AQ670" s="79"/>
      <c r="AR670" s="65"/>
      <c r="AT670" s="85"/>
      <c r="AU670" s="78"/>
      <c r="AV670" s="78"/>
      <c r="AW670" s="78"/>
      <c r="AX670" s="78"/>
      <c r="AY670" s="78"/>
      <c r="AZ670" s="79"/>
      <c r="BA670" s="65"/>
      <c r="BC670" s="85"/>
      <c r="BD670" s="78"/>
      <c r="BE670" s="78"/>
      <c r="BF670" s="78"/>
      <c r="BG670" s="78"/>
      <c r="BH670" s="78"/>
      <c r="BI670" s="78"/>
      <c r="BJ670" s="79"/>
      <c r="BK670" s="65"/>
      <c r="CU670" s="67"/>
      <c r="EC670" s="67"/>
      <c r="FK670" s="67"/>
      <c r="FL670" s="67"/>
      <c r="FM670" s="67"/>
      <c r="FN670" s="67"/>
      <c r="FO670" s="67"/>
      <c r="FP670" s="67"/>
      <c r="FQ670" s="67"/>
      <c r="FR670" s="67"/>
      <c r="FS670" s="67"/>
      <c r="FT670" s="67"/>
      <c r="FU670" s="67"/>
      <c r="FV670" s="67"/>
      <c r="FW670" s="67"/>
      <c r="FX670" s="67"/>
      <c r="FY670" s="67"/>
      <c r="FZ670" s="67"/>
      <c r="GA670" s="67"/>
      <c r="GB670" s="67"/>
      <c r="GC670" s="67"/>
      <c r="GD670" s="67"/>
      <c r="GE670" s="67"/>
      <c r="GF670" s="67"/>
      <c r="GG670" s="67"/>
      <c r="GH670" s="67"/>
      <c r="GI670" s="67"/>
      <c r="GJ670" s="67"/>
      <c r="GK670" s="67"/>
      <c r="GL670" s="67"/>
      <c r="GM670" s="67"/>
      <c r="GN670" s="67"/>
      <c r="GO670" s="67"/>
      <c r="GP670" s="67"/>
    </row>
    <row r="671" spans="5:198" s="66" customFormat="1">
      <c r="E671" s="67"/>
      <c r="G671" s="67"/>
      <c r="H671" s="67"/>
      <c r="I671" s="67"/>
      <c r="J671" s="67"/>
      <c r="K671" s="67"/>
      <c r="L671" s="67"/>
      <c r="M671" s="67"/>
      <c r="N671" s="67"/>
      <c r="O671" s="78"/>
      <c r="P671" s="78"/>
      <c r="S671" s="78"/>
      <c r="T671" s="78"/>
      <c r="U671" s="79"/>
      <c r="V671" s="65"/>
      <c r="Y671" s="78"/>
      <c r="Z671" s="78"/>
      <c r="AA671" s="78"/>
      <c r="AB671" s="78"/>
      <c r="AC671" s="78"/>
      <c r="AD671" s="78"/>
      <c r="AE671" s="78"/>
      <c r="AF671" s="78"/>
      <c r="AG671" s="79"/>
      <c r="AH671" s="65"/>
      <c r="AJ671" s="85"/>
      <c r="AK671" s="78"/>
      <c r="AL671" s="78"/>
      <c r="AM671" s="78"/>
      <c r="AN671" s="78"/>
      <c r="AO671" s="78"/>
      <c r="AP671" s="78"/>
      <c r="AQ671" s="79"/>
      <c r="AR671" s="65"/>
      <c r="AT671" s="85"/>
      <c r="AU671" s="78"/>
      <c r="AV671" s="78"/>
      <c r="AW671" s="78"/>
      <c r="AX671" s="78"/>
      <c r="AY671" s="78"/>
      <c r="AZ671" s="79"/>
      <c r="BA671" s="65"/>
      <c r="BC671" s="85"/>
      <c r="BD671" s="78"/>
      <c r="BE671" s="78"/>
      <c r="BF671" s="78"/>
      <c r="BG671" s="78"/>
      <c r="BH671" s="78"/>
      <c r="BI671" s="78"/>
      <c r="BJ671" s="79"/>
      <c r="BK671" s="65"/>
      <c r="CU671" s="67"/>
      <c r="EC671" s="67"/>
      <c r="FK671" s="67"/>
      <c r="FL671" s="67"/>
      <c r="FM671" s="67"/>
      <c r="FN671" s="67"/>
      <c r="FO671" s="67"/>
      <c r="FP671" s="67"/>
      <c r="FQ671" s="67"/>
      <c r="FR671" s="67"/>
      <c r="FS671" s="67"/>
      <c r="FT671" s="67"/>
      <c r="FU671" s="67"/>
      <c r="FV671" s="67"/>
      <c r="FW671" s="67"/>
      <c r="FX671" s="67"/>
      <c r="FY671" s="67"/>
      <c r="FZ671" s="67"/>
      <c r="GA671" s="67"/>
      <c r="GB671" s="67"/>
      <c r="GC671" s="67"/>
      <c r="GD671" s="67"/>
      <c r="GE671" s="67"/>
      <c r="GF671" s="67"/>
      <c r="GG671" s="67"/>
      <c r="GH671" s="67"/>
      <c r="GI671" s="67"/>
      <c r="GJ671" s="67"/>
      <c r="GK671" s="67"/>
      <c r="GL671" s="67"/>
      <c r="GM671" s="67"/>
      <c r="GN671" s="67"/>
      <c r="GO671" s="67"/>
      <c r="GP671" s="67"/>
    </row>
    <row r="683" spans="5:198" s="66" customFormat="1">
      <c r="E683" s="67"/>
      <c r="G683" s="67"/>
      <c r="H683" s="67"/>
      <c r="I683" s="67"/>
      <c r="J683" s="67"/>
      <c r="K683" s="67"/>
      <c r="L683" s="67"/>
      <c r="M683" s="67"/>
      <c r="N683" s="67"/>
      <c r="O683" s="78"/>
      <c r="P683" s="78"/>
      <c r="S683" s="78"/>
      <c r="T683" s="78"/>
      <c r="U683" s="79"/>
      <c r="V683" s="65"/>
      <c r="Y683" s="78"/>
      <c r="Z683" s="78"/>
      <c r="AA683" s="78"/>
      <c r="AB683" s="78"/>
      <c r="AC683" s="78"/>
      <c r="AD683" s="78"/>
      <c r="AE683" s="78"/>
      <c r="AF683" s="78"/>
      <c r="AG683" s="79"/>
      <c r="AH683" s="65"/>
      <c r="AJ683" s="85"/>
      <c r="AK683" s="78"/>
      <c r="AL683" s="78"/>
      <c r="AM683" s="78"/>
      <c r="AN683" s="78"/>
      <c r="AO683" s="78"/>
      <c r="AP683" s="78"/>
      <c r="AQ683" s="79"/>
      <c r="AR683" s="65"/>
      <c r="AT683" s="85"/>
      <c r="AU683" s="78"/>
      <c r="AV683" s="78"/>
      <c r="AW683" s="78"/>
      <c r="AX683" s="78"/>
      <c r="AY683" s="78"/>
      <c r="AZ683" s="79"/>
      <c r="BA683" s="65"/>
      <c r="BC683" s="85"/>
      <c r="BD683" s="78"/>
      <c r="BE683" s="78"/>
      <c r="BF683" s="78"/>
      <c r="BG683" s="78"/>
      <c r="BH683" s="78"/>
      <c r="BI683" s="78"/>
      <c r="BJ683" s="79"/>
      <c r="BK683" s="65"/>
      <c r="CU683" s="67"/>
      <c r="EC683" s="67"/>
      <c r="FK683" s="67"/>
      <c r="FL683" s="67"/>
      <c r="FM683" s="67"/>
      <c r="FN683" s="67"/>
      <c r="FO683" s="67"/>
      <c r="FP683" s="67"/>
      <c r="FQ683" s="67"/>
      <c r="FR683" s="67"/>
      <c r="FS683" s="67"/>
      <c r="FT683" s="67"/>
      <c r="FU683" s="67"/>
      <c r="FV683" s="67"/>
      <c r="FW683" s="67"/>
      <c r="FX683" s="67"/>
      <c r="FY683" s="67"/>
      <c r="FZ683" s="67"/>
      <c r="GA683" s="67"/>
      <c r="GB683" s="67"/>
      <c r="GC683" s="67"/>
      <c r="GD683" s="67"/>
      <c r="GE683" s="67"/>
      <c r="GF683" s="67"/>
      <c r="GG683" s="67"/>
      <c r="GH683" s="67"/>
      <c r="GI683" s="67"/>
      <c r="GJ683" s="67"/>
      <c r="GK683" s="67"/>
      <c r="GL683" s="67"/>
      <c r="GM683" s="67"/>
      <c r="GN683" s="67"/>
      <c r="GO683" s="67"/>
      <c r="GP683" s="67"/>
    </row>
    <row r="684" spans="5:198" s="66" customFormat="1">
      <c r="E684" s="67"/>
      <c r="G684" s="67"/>
      <c r="H684" s="67"/>
      <c r="I684" s="67"/>
      <c r="J684" s="67"/>
      <c r="K684" s="67"/>
      <c r="L684" s="67"/>
      <c r="M684" s="67"/>
      <c r="N684" s="67"/>
      <c r="O684" s="78"/>
      <c r="P684" s="78"/>
      <c r="S684" s="78"/>
      <c r="T684" s="78"/>
      <c r="U684" s="79"/>
      <c r="V684" s="65"/>
      <c r="Y684" s="78"/>
      <c r="Z684" s="78"/>
      <c r="AA684" s="78"/>
      <c r="AB684" s="78"/>
      <c r="AC684" s="78"/>
      <c r="AD684" s="78"/>
      <c r="AE684" s="78"/>
      <c r="AF684" s="78"/>
      <c r="AG684" s="79"/>
      <c r="AH684" s="65"/>
      <c r="AJ684" s="85"/>
      <c r="AK684" s="78"/>
      <c r="AL684" s="78"/>
      <c r="AM684" s="78"/>
      <c r="AN684" s="78"/>
      <c r="AO684" s="78"/>
      <c r="AP684" s="78"/>
      <c r="AQ684" s="79"/>
      <c r="AR684" s="65"/>
      <c r="AT684" s="85"/>
      <c r="AU684" s="78"/>
      <c r="AV684" s="78"/>
      <c r="AW684" s="78"/>
      <c r="AX684" s="78"/>
      <c r="AY684" s="78"/>
      <c r="AZ684" s="79"/>
      <c r="BA684" s="65"/>
      <c r="BC684" s="85"/>
      <c r="BD684" s="78"/>
      <c r="BE684" s="78"/>
      <c r="BF684" s="78"/>
      <c r="BG684" s="78"/>
      <c r="BH684" s="78"/>
      <c r="BI684" s="78"/>
      <c r="BJ684" s="79"/>
      <c r="BK684" s="65"/>
      <c r="CU684" s="67"/>
      <c r="EC684" s="67"/>
      <c r="FK684" s="67"/>
      <c r="FL684" s="67"/>
      <c r="FM684" s="67"/>
      <c r="FN684" s="67"/>
      <c r="FO684" s="67"/>
      <c r="FP684" s="67"/>
      <c r="FQ684" s="67"/>
      <c r="FR684" s="67"/>
      <c r="FS684" s="67"/>
      <c r="FT684" s="67"/>
      <c r="FU684" s="67"/>
      <c r="FV684" s="67"/>
      <c r="FW684" s="67"/>
      <c r="FX684" s="67"/>
      <c r="FY684" s="67"/>
      <c r="FZ684" s="67"/>
      <c r="GA684" s="67"/>
      <c r="GB684" s="67"/>
      <c r="GC684" s="67"/>
      <c r="GD684" s="67"/>
      <c r="GE684" s="67"/>
      <c r="GF684" s="67"/>
      <c r="GG684" s="67"/>
      <c r="GH684" s="67"/>
      <c r="GI684" s="67"/>
      <c r="GJ684" s="67"/>
      <c r="GK684" s="67"/>
      <c r="GL684" s="67"/>
      <c r="GM684" s="67"/>
      <c r="GN684" s="67"/>
      <c r="GO684" s="67"/>
      <c r="GP684" s="67"/>
    </row>
    <row r="685" spans="5:198" s="66" customFormat="1">
      <c r="E685" s="67"/>
      <c r="G685" s="67"/>
      <c r="H685" s="67"/>
      <c r="I685" s="67"/>
      <c r="J685" s="67"/>
      <c r="K685" s="67"/>
      <c r="L685" s="67"/>
      <c r="M685" s="67"/>
      <c r="N685" s="67"/>
      <c r="O685" s="78"/>
      <c r="P685" s="78"/>
      <c r="S685" s="78"/>
      <c r="T685" s="78"/>
      <c r="U685" s="79"/>
      <c r="V685" s="65"/>
      <c r="Y685" s="78"/>
      <c r="Z685" s="78"/>
      <c r="AA685" s="78"/>
      <c r="AB685" s="78"/>
      <c r="AC685" s="78"/>
      <c r="AD685" s="78"/>
      <c r="AE685" s="78"/>
      <c r="AF685" s="78"/>
      <c r="AG685" s="79"/>
      <c r="AH685" s="65"/>
      <c r="AJ685" s="85"/>
      <c r="AK685" s="78"/>
      <c r="AL685" s="78"/>
      <c r="AM685" s="78"/>
      <c r="AN685" s="78"/>
      <c r="AO685" s="78"/>
      <c r="AP685" s="78"/>
      <c r="AQ685" s="79"/>
      <c r="AR685" s="65"/>
      <c r="AT685" s="85"/>
      <c r="AU685" s="78"/>
      <c r="AV685" s="78"/>
      <c r="AW685" s="78"/>
      <c r="AX685" s="78"/>
      <c r="AY685" s="78"/>
      <c r="AZ685" s="79"/>
      <c r="BA685" s="65"/>
      <c r="BC685" s="85"/>
      <c r="BD685" s="78"/>
      <c r="BE685" s="78"/>
      <c r="BF685" s="78"/>
      <c r="BG685" s="78"/>
      <c r="BH685" s="78"/>
      <c r="BI685" s="78"/>
      <c r="BJ685" s="79"/>
      <c r="BK685" s="65"/>
      <c r="CU685" s="67"/>
      <c r="EC685" s="67"/>
      <c r="FK685" s="67"/>
      <c r="FL685" s="67"/>
      <c r="FM685" s="67"/>
      <c r="FN685" s="67"/>
      <c r="FO685" s="67"/>
      <c r="FP685" s="67"/>
      <c r="FQ685" s="67"/>
      <c r="FR685" s="67"/>
      <c r="FS685" s="67"/>
      <c r="FT685" s="67"/>
      <c r="FU685" s="67"/>
      <c r="FV685" s="67"/>
      <c r="FW685" s="67"/>
      <c r="FX685" s="67"/>
      <c r="FY685" s="67"/>
      <c r="FZ685" s="67"/>
      <c r="GA685" s="67"/>
      <c r="GB685" s="67"/>
      <c r="GC685" s="67"/>
      <c r="GD685" s="67"/>
      <c r="GE685" s="67"/>
      <c r="GF685" s="67"/>
      <c r="GG685" s="67"/>
      <c r="GH685" s="67"/>
      <c r="GI685" s="67"/>
      <c r="GJ685" s="67"/>
      <c r="GK685" s="67"/>
      <c r="GL685" s="67"/>
      <c r="GM685" s="67"/>
      <c r="GN685" s="67"/>
      <c r="GO685" s="67"/>
      <c r="GP685" s="67"/>
    </row>
    <row r="686" spans="5:198" s="66" customFormat="1">
      <c r="E686" s="67"/>
      <c r="G686" s="67"/>
      <c r="H686" s="67"/>
      <c r="I686" s="67"/>
      <c r="J686" s="67"/>
      <c r="K686" s="67"/>
      <c r="L686" s="67"/>
      <c r="M686" s="67"/>
      <c r="N686" s="67"/>
      <c r="O686" s="78"/>
      <c r="P686" s="78"/>
      <c r="S686" s="78"/>
      <c r="T686" s="78"/>
      <c r="U686" s="79"/>
      <c r="V686" s="65"/>
      <c r="Y686" s="78"/>
      <c r="Z686" s="78"/>
      <c r="AA686" s="78"/>
      <c r="AB686" s="78"/>
      <c r="AC686" s="78"/>
      <c r="AD686" s="78"/>
      <c r="AE686" s="78"/>
      <c r="AF686" s="78"/>
      <c r="AG686" s="79"/>
      <c r="AH686" s="65"/>
      <c r="AJ686" s="85"/>
      <c r="AK686" s="78"/>
      <c r="AL686" s="78"/>
      <c r="AM686" s="78"/>
      <c r="AN686" s="78"/>
      <c r="AO686" s="78"/>
      <c r="AP686" s="78"/>
      <c r="AQ686" s="79"/>
      <c r="AR686" s="65"/>
      <c r="AT686" s="85"/>
      <c r="AU686" s="78"/>
      <c r="AV686" s="78"/>
      <c r="AW686" s="78"/>
      <c r="AX686" s="78"/>
      <c r="AY686" s="78"/>
      <c r="AZ686" s="79"/>
      <c r="BA686" s="65"/>
      <c r="BC686" s="85"/>
      <c r="BD686" s="78"/>
      <c r="BE686" s="78"/>
      <c r="BF686" s="78"/>
      <c r="BG686" s="78"/>
      <c r="BH686" s="78"/>
      <c r="BI686" s="78"/>
      <c r="BJ686" s="79"/>
      <c r="BK686" s="65"/>
      <c r="CU686" s="67"/>
      <c r="EC686" s="67"/>
      <c r="FK686" s="67"/>
      <c r="FL686" s="67"/>
      <c r="FM686" s="67"/>
      <c r="FN686" s="67"/>
      <c r="FO686" s="67"/>
      <c r="FP686" s="67"/>
      <c r="FQ686" s="67"/>
      <c r="FR686" s="67"/>
      <c r="FS686" s="67"/>
      <c r="FT686" s="67"/>
      <c r="FU686" s="67"/>
      <c r="FV686" s="67"/>
      <c r="FW686" s="67"/>
      <c r="FX686" s="67"/>
      <c r="FY686" s="67"/>
      <c r="FZ686" s="67"/>
      <c r="GA686" s="67"/>
      <c r="GB686" s="67"/>
      <c r="GC686" s="67"/>
      <c r="GD686" s="67"/>
      <c r="GE686" s="67"/>
      <c r="GF686" s="67"/>
      <c r="GG686" s="67"/>
      <c r="GH686" s="67"/>
      <c r="GI686" s="67"/>
      <c r="GJ686" s="67"/>
      <c r="GK686" s="67"/>
      <c r="GL686" s="67"/>
      <c r="GM686" s="67"/>
      <c r="GN686" s="67"/>
      <c r="GO686" s="67"/>
      <c r="GP686" s="67"/>
    </row>
    <row r="687" spans="5:198" s="66" customFormat="1">
      <c r="E687" s="67"/>
      <c r="G687" s="67"/>
      <c r="H687" s="67"/>
      <c r="I687" s="67"/>
      <c r="J687" s="67"/>
      <c r="K687" s="67"/>
      <c r="L687" s="67"/>
      <c r="M687" s="67"/>
      <c r="N687" s="67"/>
      <c r="O687" s="78"/>
      <c r="P687" s="78"/>
      <c r="S687" s="78"/>
      <c r="T687" s="78"/>
      <c r="U687" s="79"/>
      <c r="V687" s="65"/>
      <c r="Y687" s="78"/>
      <c r="Z687" s="78"/>
      <c r="AA687" s="78"/>
      <c r="AB687" s="78"/>
      <c r="AC687" s="78"/>
      <c r="AD687" s="78"/>
      <c r="AE687" s="78"/>
      <c r="AF687" s="78"/>
      <c r="AG687" s="79"/>
      <c r="AH687" s="65"/>
      <c r="AJ687" s="85"/>
      <c r="AK687" s="78"/>
      <c r="AL687" s="78"/>
      <c r="AM687" s="78"/>
      <c r="AN687" s="78"/>
      <c r="AO687" s="78"/>
      <c r="AP687" s="78"/>
      <c r="AQ687" s="79"/>
      <c r="AR687" s="65"/>
      <c r="AT687" s="85"/>
      <c r="AU687" s="78"/>
      <c r="AV687" s="78"/>
      <c r="AW687" s="78"/>
      <c r="AX687" s="78"/>
      <c r="AY687" s="78"/>
      <c r="AZ687" s="79"/>
      <c r="BA687" s="65"/>
      <c r="BC687" s="85"/>
      <c r="BD687" s="78"/>
      <c r="BE687" s="78"/>
      <c r="BF687" s="78"/>
      <c r="BG687" s="78"/>
      <c r="BH687" s="78"/>
      <c r="BI687" s="78"/>
      <c r="BJ687" s="79"/>
      <c r="BK687" s="65"/>
      <c r="CU687" s="67"/>
      <c r="EC687" s="67"/>
      <c r="FK687" s="67"/>
      <c r="FL687" s="67"/>
      <c r="FM687" s="67"/>
      <c r="FN687" s="67"/>
      <c r="FO687" s="67"/>
      <c r="FP687" s="67"/>
      <c r="FQ687" s="67"/>
      <c r="FR687" s="67"/>
      <c r="FS687" s="67"/>
      <c r="FT687" s="67"/>
      <c r="FU687" s="67"/>
      <c r="FV687" s="67"/>
      <c r="FW687" s="67"/>
      <c r="FX687" s="67"/>
      <c r="FY687" s="67"/>
      <c r="FZ687" s="67"/>
      <c r="GA687" s="67"/>
      <c r="GB687" s="67"/>
      <c r="GC687" s="67"/>
      <c r="GD687" s="67"/>
      <c r="GE687" s="67"/>
      <c r="GF687" s="67"/>
      <c r="GG687" s="67"/>
      <c r="GH687" s="67"/>
      <c r="GI687" s="67"/>
      <c r="GJ687" s="67"/>
      <c r="GK687" s="67"/>
      <c r="GL687" s="67"/>
      <c r="GM687" s="67"/>
      <c r="GN687" s="67"/>
      <c r="GO687" s="67"/>
      <c r="GP687" s="67"/>
    </row>
    <row r="688" spans="5:198" s="66" customFormat="1">
      <c r="E688" s="67"/>
      <c r="G688" s="67"/>
      <c r="H688" s="67"/>
      <c r="I688" s="67"/>
      <c r="J688" s="67"/>
      <c r="K688" s="67"/>
      <c r="L688" s="67"/>
      <c r="M688" s="67"/>
      <c r="N688" s="67"/>
      <c r="O688" s="78"/>
      <c r="P688" s="78"/>
      <c r="S688" s="78"/>
      <c r="T688" s="78"/>
      <c r="U688" s="79"/>
      <c r="V688" s="65"/>
      <c r="Y688" s="78"/>
      <c r="Z688" s="78"/>
      <c r="AA688" s="78"/>
      <c r="AB688" s="78"/>
      <c r="AC688" s="78"/>
      <c r="AD688" s="78"/>
      <c r="AE688" s="78"/>
      <c r="AF688" s="78"/>
      <c r="AG688" s="79"/>
      <c r="AH688" s="65"/>
      <c r="AJ688" s="85"/>
      <c r="AK688" s="78"/>
      <c r="AL688" s="78"/>
      <c r="AM688" s="78"/>
      <c r="AN688" s="78"/>
      <c r="AO688" s="78"/>
      <c r="AP688" s="78"/>
      <c r="AQ688" s="79"/>
      <c r="AR688" s="65"/>
      <c r="AT688" s="85"/>
      <c r="AU688" s="78"/>
      <c r="AV688" s="78"/>
      <c r="AW688" s="78"/>
      <c r="AX688" s="78"/>
      <c r="AY688" s="78"/>
      <c r="AZ688" s="79"/>
      <c r="BA688" s="65"/>
      <c r="BC688" s="85"/>
      <c r="BD688" s="78"/>
      <c r="BE688" s="78"/>
      <c r="BF688" s="78"/>
      <c r="BG688" s="78"/>
      <c r="BH688" s="78"/>
      <c r="BI688" s="78"/>
      <c r="BJ688" s="79"/>
      <c r="BK688" s="65"/>
      <c r="CU688" s="67"/>
      <c r="EC688" s="67"/>
      <c r="FK688" s="67"/>
      <c r="FL688" s="67"/>
      <c r="FM688" s="67"/>
      <c r="FN688" s="67"/>
      <c r="FO688" s="67"/>
      <c r="FP688" s="67"/>
      <c r="FQ688" s="67"/>
      <c r="FR688" s="67"/>
      <c r="FS688" s="67"/>
      <c r="FT688" s="67"/>
      <c r="FU688" s="67"/>
      <c r="FV688" s="67"/>
      <c r="FW688" s="67"/>
      <c r="FX688" s="67"/>
      <c r="FY688" s="67"/>
      <c r="FZ688" s="67"/>
      <c r="GA688" s="67"/>
      <c r="GB688" s="67"/>
      <c r="GC688" s="67"/>
      <c r="GD688" s="67"/>
      <c r="GE688" s="67"/>
      <c r="GF688" s="67"/>
      <c r="GG688" s="67"/>
      <c r="GH688" s="67"/>
      <c r="GI688" s="67"/>
      <c r="GJ688" s="67"/>
      <c r="GK688" s="67"/>
      <c r="GL688" s="67"/>
      <c r="GM688" s="67"/>
      <c r="GN688" s="67"/>
      <c r="GO688" s="67"/>
      <c r="GP688" s="67"/>
    </row>
    <row r="689" spans="5:198" s="66" customFormat="1">
      <c r="E689" s="67"/>
      <c r="G689" s="67"/>
      <c r="H689" s="67"/>
      <c r="I689" s="67"/>
      <c r="J689" s="67"/>
      <c r="K689" s="67"/>
      <c r="L689" s="67"/>
      <c r="M689" s="67"/>
      <c r="N689" s="67"/>
      <c r="O689" s="78"/>
      <c r="P689" s="78"/>
      <c r="S689" s="78"/>
      <c r="T689" s="78"/>
      <c r="U689" s="79"/>
      <c r="V689" s="65"/>
      <c r="Y689" s="78"/>
      <c r="Z689" s="78"/>
      <c r="AA689" s="78"/>
      <c r="AB689" s="78"/>
      <c r="AC689" s="78"/>
      <c r="AD689" s="78"/>
      <c r="AE689" s="78"/>
      <c r="AF689" s="78"/>
      <c r="AG689" s="79"/>
      <c r="AH689" s="65"/>
      <c r="AJ689" s="85"/>
      <c r="AK689" s="78"/>
      <c r="AL689" s="78"/>
      <c r="AM689" s="78"/>
      <c r="AN689" s="78"/>
      <c r="AO689" s="78"/>
      <c r="AP689" s="78"/>
      <c r="AQ689" s="79"/>
      <c r="AR689" s="65"/>
      <c r="AT689" s="85"/>
      <c r="AU689" s="78"/>
      <c r="AV689" s="78"/>
      <c r="AW689" s="78"/>
      <c r="AX689" s="78"/>
      <c r="AY689" s="78"/>
      <c r="AZ689" s="79"/>
      <c r="BA689" s="65"/>
      <c r="BC689" s="85"/>
      <c r="BD689" s="78"/>
      <c r="BE689" s="78"/>
      <c r="BF689" s="78"/>
      <c r="BG689" s="78"/>
      <c r="BH689" s="78"/>
      <c r="BI689" s="78"/>
      <c r="BJ689" s="79"/>
      <c r="BK689" s="65"/>
      <c r="CU689" s="67"/>
      <c r="EC689" s="67"/>
      <c r="FK689" s="67"/>
      <c r="FL689" s="67"/>
      <c r="FM689" s="67"/>
      <c r="FN689" s="67"/>
      <c r="FO689" s="67"/>
      <c r="FP689" s="67"/>
      <c r="FQ689" s="67"/>
      <c r="FR689" s="67"/>
      <c r="FS689" s="67"/>
      <c r="FT689" s="67"/>
      <c r="FU689" s="67"/>
      <c r="FV689" s="67"/>
      <c r="FW689" s="67"/>
      <c r="FX689" s="67"/>
      <c r="FY689" s="67"/>
      <c r="FZ689" s="67"/>
      <c r="GA689" s="67"/>
      <c r="GB689" s="67"/>
      <c r="GC689" s="67"/>
      <c r="GD689" s="67"/>
      <c r="GE689" s="67"/>
      <c r="GF689" s="67"/>
      <c r="GG689" s="67"/>
      <c r="GH689" s="67"/>
      <c r="GI689" s="67"/>
      <c r="GJ689" s="67"/>
      <c r="GK689" s="67"/>
      <c r="GL689" s="67"/>
      <c r="GM689" s="67"/>
      <c r="GN689" s="67"/>
      <c r="GO689" s="67"/>
      <c r="GP689" s="67"/>
    </row>
    <row r="690" spans="5:198" s="66" customFormat="1">
      <c r="E690" s="67"/>
      <c r="G690" s="67"/>
      <c r="H690" s="67"/>
      <c r="I690" s="67"/>
      <c r="J690" s="67"/>
      <c r="K690" s="67"/>
      <c r="L690" s="67"/>
      <c r="M690" s="67"/>
      <c r="N690" s="67"/>
      <c r="O690" s="78"/>
      <c r="P690" s="78"/>
      <c r="S690" s="78"/>
      <c r="T690" s="78"/>
      <c r="U690" s="79"/>
      <c r="V690" s="65"/>
      <c r="Y690" s="78"/>
      <c r="Z690" s="78"/>
      <c r="AA690" s="78"/>
      <c r="AB690" s="78"/>
      <c r="AC690" s="78"/>
      <c r="AD690" s="78"/>
      <c r="AE690" s="78"/>
      <c r="AF690" s="78"/>
      <c r="AG690" s="79"/>
      <c r="AH690" s="65"/>
      <c r="AJ690" s="85"/>
      <c r="AK690" s="78"/>
      <c r="AL690" s="78"/>
      <c r="AM690" s="78"/>
      <c r="AN690" s="78"/>
      <c r="AO690" s="78"/>
      <c r="AP690" s="78"/>
      <c r="AQ690" s="79"/>
      <c r="AR690" s="65"/>
      <c r="AT690" s="85"/>
      <c r="AU690" s="78"/>
      <c r="AV690" s="78"/>
      <c r="AW690" s="78"/>
      <c r="AX690" s="78"/>
      <c r="AY690" s="78"/>
      <c r="AZ690" s="79"/>
      <c r="BA690" s="65"/>
      <c r="BC690" s="85"/>
      <c r="BD690" s="78"/>
      <c r="BE690" s="78"/>
      <c r="BF690" s="78"/>
      <c r="BG690" s="78"/>
      <c r="BH690" s="78"/>
      <c r="BI690" s="78"/>
      <c r="BJ690" s="79"/>
      <c r="BK690" s="65"/>
      <c r="CU690" s="67"/>
      <c r="EC690" s="67"/>
      <c r="FK690" s="67"/>
      <c r="FL690" s="67"/>
      <c r="FM690" s="67"/>
      <c r="FN690" s="67"/>
      <c r="FO690" s="67"/>
      <c r="FP690" s="67"/>
      <c r="FQ690" s="67"/>
      <c r="FR690" s="67"/>
      <c r="FS690" s="67"/>
      <c r="FT690" s="67"/>
      <c r="FU690" s="67"/>
      <c r="FV690" s="67"/>
      <c r="FW690" s="67"/>
      <c r="FX690" s="67"/>
      <c r="FY690" s="67"/>
      <c r="FZ690" s="67"/>
      <c r="GA690" s="67"/>
      <c r="GB690" s="67"/>
      <c r="GC690" s="67"/>
      <c r="GD690" s="67"/>
      <c r="GE690" s="67"/>
      <c r="GF690" s="67"/>
      <c r="GG690" s="67"/>
      <c r="GH690" s="67"/>
      <c r="GI690" s="67"/>
      <c r="GJ690" s="67"/>
      <c r="GK690" s="67"/>
      <c r="GL690" s="67"/>
      <c r="GM690" s="67"/>
      <c r="GN690" s="67"/>
      <c r="GO690" s="67"/>
      <c r="GP690" s="67"/>
    </row>
    <row r="691" spans="5:198" s="66" customFormat="1">
      <c r="E691" s="67"/>
      <c r="G691" s="67"/>
      <c r="H691" s="67"/>
      <c r="I691" s="67"/>
      <c r="J691" s="67"/>
      <c r="K691" s="67"/>
      <c r="L691" s="67"/>
      <c r="M691" s="67"/>
      <c r="N691" s="67"/>
      <c r="O691" s="78"/>
      <c r="P691" s="78"/>
      <c r="S691" s="78"/>
      <c r="T691" s="78"/>
      <c r="U691" s="79"/>
      <c r="V691" s="65"/>
      <c r="Y691" s="78"/>
      <c r="Z691" s="78"/>
      <c r="AA691" s="78"/>
      <c r="AB691" s="78"/>
      <c r="AC691" s="78"/>
      <c r="AD691" s="78"/>
      <c r="AE691" s="78"/>
      <c r="AF691" s="78"/>
      <c r="AG691" s="79"/>
      <c r="AH691" s="65"/>
      <c r="AJ691" s="85"/>
      <c r="AK691" s="78"/>
      <c r="AL691" s="78"/>
      <c r="AM691" s="78"/>
      <c r="AN691" s="78"/>
      <c r="AO691" s="78"/>
      <c r="AP691" s="78"/>
      <c r="AQ691" s="79"/>
      <c r="AR691" s="65"/>
      <c r="AT691" s="85"/>
      <c r="AU691" s="78"/>
      <c r="AV691" s="78"/>
      <c r="AW691" s="78"/>
      <c r="AX691" s="78"/>
      <c r="AY691" s="78"/>
      <c r="AZ691" s="79"/>
      <c r="BA691" s="65"/>
      <c r="BC691" s="85"/>
      <c r="BD691" s="78"/>
      <c r="BE691" s="78"/>
      <c r="BF691" s="78"/>
      <c r="BG691" s="78"/>
      <c r="BH691" s="78"/>
      <c r="BI691" s="78"/>
      <c r="BJ691" s="79"/>
      <c r="BK691" s="65"/>
      <c r="CU691" s="67"/>
      <c r="EC691" s="67"/>
      <c r="FK691" s="67"/>
      <c r="FL691" s="67"/>
      <c r="FM691" s="67"/>
      <c r="FN691" s="67"/>
      <c r="FO691" s="67"/>
      <c r="FP691" s="67"/>
      <c r="FQ691" s="67"/>
      <c r="FR691" s="67"/>
      <c r="FS691" s="67"/>
      <c r="FT691" s="67"/>
      <c r="FU691" s="67"/>
      <c r="FV691" s="67"/>
      <c r="FW691" s="67"/>
      <c r="FX691" s="67"/>
      <c r="FY691" s="67"/>
      <c r="FZ691" s="67"/>
      <c r="GA691" s="67"/>
      <c r="GB691" s="67"/>
      <c r="GC691" s="67"/>
      <c r="GD691" s="67"/>
      <c r="GE691" s="67"/>
      <c r="GF691" s="67"/>
      <c r="GG691" s="67"/>
      <c r="GH691" s="67"/>
      <c r="GI691" s="67"/>
      <c r="GJ691" s="67"/>
      <c r="GK691" s="67"/>
      <c r="GL691" s="67"/>
      <c r="GM691" s="67"/>
      <c r="GN691" s="67"/>
      <c r="GO691" s="67"/>
      <c r="GP691" s="67"/>
    </row>
    <row r="692" spans="5:198" s="66" customFormat="1">
      <c r="E692" s="67"/>
      <c r="G692" s="67"/>
      <c r="H692" s="67"/>
      <c r="I692" s="67"/>
      <c r="J692" s="67"/>
      <c r="K692" s="67"/>
      <c r="L692" s="67"/>
      <c r="M692" s="67"/>
      <c r="N692" s="67"/>
      <c r="O692" s="78"/>
      <c r="P692" s="78"/>
      <c r="S692" s="78"/>
      <c r="T692" s="78"/>
      <c r="U692" s="79"/>
      <c r="V692" s="65"/>
      <c r="Y692" s="78"/>
      <c r="Z692" s="78"/>
      <c r="AA692" s="78"/>
      <c r="AB692" s="78"/>
      <c r="AC692" s="78"/>
      <c r="AD692" s="78"/>
      <c r="AE692" s="78"/>
      <c r="AF692" s="78"/>
      <c r="AG692" s="79"/>
      <c r="AH692" s="65"/>
      <c r="AJ692" s="85"/>
      <c r="AK692" s="78"/>
      <c r="AL692" s="78"/>
      <c r="AM692" s="78"/>
      <c r="AN692" s="78"/>
      <c r="AO692" s="78"/>
      <c r="AP692" s="78"/>
      <c r="AQ692" s="79"/>
      <c r="AR692" s="65"/>
      <c r="AT692" s="85"/>
      <c r="AU692" s="78"/>
      <c r="AV692" s="78"/>
      <c r="AW692" s="78"/>
      <c r="AX692" s="78"/>
      <c r="AY692" s="78"/>
      <c r="AZ692" s="79"/>
      <c r="BA692" s="65"/>
      <c r="BC692" s="85"/>
      <c r="BD692" s="78"/>
      <c r="BE692" s="78"/>
      <c r="BF692" s="78"/>
      <c r="BG692" s="78"/>
      <c r="BH692" s="78"/>
      <c r="BI692" s="78"/>
      <c r="BJ692" s="79"/>
      <c r="BK692" s="65"/>
      <c r="CU692" s="67"/>
      <c r="EC692" s="67"/>
      <c r="FK692" s="67"/>
      <c r="FL692" s="67"/>
      <c r="FM692" s="67"/>
      <c r="FN692" s="67"/>
      <c r="FO692" s="67"/>
      <c r="FP692" s="67"/>
      <c r="FQ692" s="67"/>
      <c r="FR692" s="67"/>
      <c r="FS692" s="67"/>
      <c r="FT692" s="67"/>
      <c r="FU692" s="67"/>
      <c r="FV692" s="67"/>
      <c r="FW692" s="67"/>
      <c r="FX692" s="67"/>
      <c r="FY692" s="67"/>
      <c r="FZ692" s="67"/>
      <c r="GA692" s="67"/>
      <c r="GB692" s="67"/>
      <c r="GC692" s="67"/>
      <c r="GD692" s="67"/>
      <c r="GE692" s="67"/>
      <c r="GF692" s="67"/>
      <c r="GG692" s="67"/>
      <c r="GH692" s="67"/>
      <c r="GI692" s="67"/>
      <c r="GJ692" s="67"/>
      <c r="GK692" s="67"/>
      <c r="GL692" s="67"/>
      <c r="GM692" s="67"/>
      <c r="GN692" s="67"/>
      <c r="GO692" s="67"/>
      <c r="GP692" s="67"/>
    </row>
    <row r="693" spans="5:198" s="66" customFormat="1">
      <c r="E693" s="67"/>
      <c r="G693" s="67"/>
      <c r="H693" s="67"/>
      <c r="I693" s="67"/>
      <c r="J693" s="67"/>
      <c r="K693" s="67"/>
      <c r="L693" s="67"/>
      <c r="M693" s="67"/>
      <c r="N693" s="67"/>
      <c r="O693" s="78"/>
      <c r="P693" s="78"/>
      <c r="S693" s="78"/>
      <c r="T693" s="78"/>
      <c r="U693" s="79"/>
      <c r="V693" s="65"/>
      <c r="Y693" s="78"/>
      <c r="Z693" s="78"/>
      <c r="AA693" s="78"/>
      <c r="AB693" s="78"/>
      <c r="AC693" s="78"/>
      <c r="AD693" s="78"/>
      <c r="AE693" s="78"/>
      <c r="AF693" s="78"/>
      <c r="AG693" s="79"/>
      <c r="AH693" s="65"/>
      <c r="AJ693" s="85"/>
      <c r="AK693" s="78"/>
      <c r="AL693" s="78"/>
      <c r="AM693" s="78"/>
      <c r="AN693" s="78"/>
      <c r="AO693" s="78"/>
      <c r="AP693" s="78"/>
      <c r="AQ693" s="79"/>
      <c r="AR693" s="65"/>
      <c r="AT693" s="85"/>
      <c r="AU693" s="78"/>
      <c r="AV693" s="78"/>
      <c r="AW693" s="78"/>
      <c r="AX693" s="78"/>
      <c r="AY693" s="78"/>
      <c r="AZ693" s="79"/>
      <c r="BA693" s="65"/>
      <c r="BC693" s="85"/>
      <c r="BD693" s="78"/>
      <c r="BE693" s="78"/>
      <c r="BF693" s="78"/>
      <c r="BG693" s="78"/>
      <c r="BH693" s="78"/>
      <c r="BI693" s="78"/>
      <c r="BJ693" s="79"/>
      <c r="BK693" s="65"/>
      <c r="CU693" s="67"/>
      <c r="EC693" s="67"/>
      <c r="FK693" s="67"/>
      <c r="FL693" s="67"/>
      <c r="FM693" s="67"/>
      <c r="FN693" s="67"/>
      <c r="FO693" s="67"/>
      <c r="FP693" s="67"/>
      <c r="FQ693" s="67"/>
      <c r="FR693" s="67"/>
      <c r="FS693" s="67"/>
      <c r="FT693" s="67"/>
      <c r="FU693" s="67"/>
      <c r="FV693" s="67"/>
      <c r="FW693" s="67"/>
      <c r="FX693" s="67"/>
      <c r="FY693" s="67"/>
      <c r="FZ693" s="67"/>
      <c r="GA693" s="67"/>
      <c r="GB693" s="67"/>
      <c r="GC693" s="67"/>
      <c r="GD693" s="67"/>
      <c r="GE693" s="67"/>
      <c r="GF693" s="67"/>
      <c r="GG693" s="67"/>
      <c r="GH693" s="67"/>
      <c r="GI693" s="67"/>
      <c r="GJ693" s="67"/>
      <c r="GK693" s="67"/>
      <c r="GL693" s="67"/>
      <c r="GM693" s="67"/>
      <c r="GN693" s="67"/>
      <c r="GO693" s="67"/>
      <c r="GP693" s="67"/>
    </row>
    <row r="694" spans="5:198" s="66" customFormat="1">
      <c r="E694" s="67"/>
      <c r="G694" s="67"/>
      <c r="H694" s="67"/>
      <c r="I694" s="67"/>
      <c r="J694" s="67"/>
      <c r="K694" s="67"/>
      <c r="L694" s="67"/>
      <c r="M694" s="67"/>
      <c r="N694" s="67"/>
      <c r="O694" s="78"/>
      <c r="P694" s="78"/>
      <c r="S694" s="78"/>
      <c r="T694" s="78"/>
      <c r="U694" s="79"/>
      <c r="V694" s="65"/>
      <c r="Y694" s="78"/>
      <c r="Z694" s="78"/>
      <c r="AA694" s="78"/>
      <c r="AB694" s="78"/>
      <c r="AC694" s="78"/>
      <c r="AD694" s="78"/>
      <c r="AE694" s="78"/>
      <c r="AF694" s="78"/>
      <c r="AG694" s="79"/>
      <c r="AH694" s="65"/>
      <c r="AJ694" s="85"/>
      <c r="AK694" s="78"/>
      <c r="AL694" s="78"/>
      <c r="AM694" s="78"/>
      <c r="AN694" s="78"/>
      <c r="AO694" s="78"/>
      <c r="AP694" s="78"/>
      <c r="AQ694" s="79"/>
      <c r="AR694" s="65"/>
      <c r="AT694" s="85"/>
      <c r="AU694" s="78"/>
      <c r="AV694" s="78"/>
      <c r="AW694" s="78"/>
      <c r="AX694" s="78"/>
      <c r="AY694" s="78"/>
      <c r="AZ694" s="79"/>
      <c r="BA694" s="65"/>
      <c r="BC694" s="85"/>
      <c r="BD694" s="78"/>
      <c r="BE694" s="78"/>
      <c r="BF694" s="78"/>
      <c r="BG694" s="78"/>
      <c r="BH694" s="78"/>
      <c r="BI694" s="78"/>
      <c r="BJ694" s="79"/>
      <c r="BK694" s="65"/>
      <c r="CU694" s="67"/>
      <c r="EC694" s="67"/>
      <c r="FK694" s="67"/>
      <c r="FL694" s="67"/>
      <c r="FM694" s="67"/>
      <c r="FN694" s="67"/>
      <c r="FO694" s="67"/>
      <c r="FP694" s="67"/>
      <c r="FQ694" s="67"/>
      <c r="FR694" s="67"/>
      <c r="FS694" s="67"/>
      <c r="FT694" s="67"/>
      <c r="FU694" s="67"/>
      <c r="FV694" s="67"/>
      <c r="FW694" s="67"/>
      <c r="FX694" s="67"/>
      <c r="FY694" s="67"/>
      <c r="FZ694" s="67"/>
      <c r="GA694" s="67"/>
      <c r="GB694" s="67"/>
      <c r="GC694" s="67"/>
      <c r="GD694" s="67"/>
      <c r="GE694" s="67"/>
      <c r="GF694" s="67"/>
      <c r="GG694" s="67"/>
      <c r="GH694" s="67"/>
      <c r="GI694" s="67"/>
      <c r="GJ694" s="67"/>
      <c r="GK694" s="67"/>
      <c r="GL694" s="67"/>
      <c r="GM694" s="67"/>
      <c r="GN694" s="67"/>
      <c r="GO694" s="67"/>
      <c r="GP694" s="67"/>
    </row>
    <row r="695" spans="5:198" s="66" customFormat="1">
      <c r="E695" s="67"/>
      <c r="G695" s="67"/>
      <c r="H695" s="67"/>
      <c r="I695" s="67"/>
      <c r="J695" s="67"/>
      <c r="K695" s="67"/>
      <c r="L695" s="67"/>
      <c r="M695" s="67"/>
      <c r="N695" s="67"/>
      <c r="O695" s="78"/>
      <c r="P695" s="78"/>
      <c r="S695" s="78"/>
      <c r="T695" s="78"/>
      <c r="U695" s="79"/>
      <c r="V695" s="65"/>
      <c r="Y695" s="78"/>
      <c r="Z695" s="78"/>
      <c r="AA695" s="78"/>
      <c r="AB695" s="78"/>
      <c r="AC695" s="78"/>
      <c r="AD695" s="78"/>
      <c r="AE695" s="78"/>
      <c r="AF695" s="78"/>
      <c r="AG695" s="79"/>
      <c r="AH695" s="65"/>
      <c r="AJ695" s="85"/>
      <c r="AK695" s="78"/>
      <c r="AL695" s="78"/>
      <c r="AM695" s="78"/>
      <c r="AN695" s="78"/>
      <c r="AO695" s="78"/>
      <c r="AP695" s="78"/>
      <c r="AQ695" s="79"/>
      <c r="AR695" s="65"/>
      <c r="AT695" s="85"/>
      <c r="AU695" s="78"/>
      <c r="AV695" s="78"/>
      <c r="AW695" s="78"/>
      <c r="AX695" s="78"/>
      <c r="AY695" s="78"/>
      <c r="AZ695" s="79"/>
      <c r="BA695" s="65"/>
      <c r="BC695" s="85"/>
      <c r="BD695" s="78"/>
      <c r="BE695" s="78"/>
      <c r="BF695" s="78"/>
      <c r="BG695" s="78"/>
      <c r="BH695" s="78"/>
      <c r="BI695" s="78"/>
      <c r="BJ695" s="79"/>
      <c r="BK695" s="65"/>
      <c r="CU695" s="67"/>
      <c r="EC695" s="67"/>
      <c r="FK695" s="67"/>
      <c r="FL695" s="67"/>
      <c r="FM695" s="67"/>
      <c r="FN695" s="67"/>
      <c r="FO695" s="67"/>
      <c r="FP695" s="67"/>
      <c r="FQ695" s="67"/>
      <c r="FR695" s="67"/>
      <c r="FS695" s="67"/>
      <c r="FT695" s="67"/>
      <c r="FU695" s="67"/>
      <c r="FV695" s="67"/>
      <c r="FW695" s="67"/>
      <c r="FX695" s="67"/>
      <c r="FY695" s="67"/>
      <c r="FZ695" s="67"/>
      <c r="GA695" s="67"/>
      <c r="GB695" s="67"/>
      <c r="GC695" s="67"/>
      <c r="GD695" s="67"/>
      <c r="GE695" s="67"/>
      <c r="GF695" s="67"/>
      <c r="GG695" s="67"/>
      <c r="GH695" s="67"/>
      <c r="GI695" s="67"/>
      <c r="GJ695" s="67"/>
      <c r="GK695" s="67"/>
      <c r="GL695" s="67"/>
      <c r="GM695" s="67"/>
      <c r="GN695" s="67"/>
      <c r="GO695" s="67"/>
      <c r="GP695" s="67"/>
    </row>
    <row r="696" spans="5:198" s="66" customFormat="1">
      <c r="E696" s="67"/>
      <c r="G696" s="67"/>
      <c r="H696" s="67"/>
      <c r="I696" s="67"/>
      <c r="J696" s="67"/>
      <c r="K696" s="67"/>
      <c r="L696" s="67"/>
      <c r="M696" s="67"/>
      <c r="N696" s="67"/>
      <c r="O696" s="78"/>
      <c r="P696" s="78"/>
      <c r="S696" s="78"/>
      <c r="T696" s="78"/>
      <c r="U696" s="79"/>
      <c r="V696" s="65"/>
      <c r="Y696" s="78"/>
      <c r="Z696" s="78"/>
      <c r="AA696" s="78"/>
      <c r="AB696" s="78"/>
      <c r="AC696" s="78"/>
      <c r="AD696" s="78"/>
      <c r="AE696" s="78"/>
      <c r="AF696" s="78"/>
      <c r="AG696" s="79"/>
      <c r="AH696" s="65"/>
      <c r="AJ696" s="85"/>
      <c r="AK696" s="78"/>
      <c r="AL696" s="78"/>
      <c r="AM696" s="78"/>
      <c r="AN696" s="78"/>
      <c r="AO696" s="78"/>
      <c r="AP696" s="78"/>
      <c r="AQ696" s="79"/>
      <c r="AR696" s="65"/>
      <c r="AT696" s="85"/>
      <c r="AU696" s="78"/>
      <c r="AV696" s="78"/>
      <c r="AW696" s="78"/>
      <c r="AX696" s="78"/>
      <c r="AY696" s="78"/>
      <c r="AZ696" s="79"/>
      <c r="BA696" s="65"/>
      <c r="BC696" s="85"/>
      <c r="BD696" s="78"/>
      <c r="BE696" s="78"/>
      <c r="BF696" s="78"/>
      <c r="BG696" s="78"/>
      <c r="BH696" s="78"/>
      <c r="BI696" s="78"/>
      <c r="BJ696" s="79"/>
      <c r="BK696" s="65"/>
      <c r="CU696" s="67"/>
      <c r="EC696" s="67"/>
      <c r="FK696" s="67"/>
      <c r="FL696" s="67"/>
      <c r="FM696" s="67"/>
      <c r="FN696" s="67"/>
      <c r="FO696" s="67"/>
      <c r="FP696" s="67"/>
      <c r="FQ696" s="67"/>
      <c r="FR696" s="67"/>
      <c r="FS696" s="67"/>
      <c r="FT696" s="67"/>
      <c r="FU696" s="67"/>
      <c r="FV696" s="67"/>
      <c r="FW696" s="67"/>
      <c r="FX696" s="67"/>
      <c r="FY696" s="67"/>
      <c r="FZ696" s="67"/>
      <c r="GA696" s="67"/>
      <c r="GB696" s="67"/>
      <c r="GC696" s="67"/>
      <c r="GD696" s="67"/>
      <c r="GE696" s="67"/>
      <c r="GF696" s="67"/>
      <c r="GG696" s="67"/>
      <c r="GH696" s="67"/>
      <c r="GI696" s="67"/>
      <c r="GJ696" s="67"/>
      <c r="GK696" s="67"/>
      <c r="GL696" s="67"/>
      <c r="GM696" s="67"/>
      <c r="GN696" s="67"/>
      <c r="GO696" s="67"/>
      <c r="GP696" s="67"/>
    </row>
    <row r="697" spans="5:198" s="66" customFormat="1">
      <c r="E697" s="67"/>
      <c r="G697" s="67"/>
      <c r="H697" s="67"/>
      <c r="I697" s="67"/>
      <c r="J697" s="67"/>
      <c r="K697" s="67"/>
      <c r="L697" s="67"/>
      <c r="M697" s="67"/>
      <c r="N697" s="67"/>
      <c r="O697" s="78"/>
      <c r="P697" s="78"/>
      <c r="S697" s="78"/>
      <c r="T697" s="78"/>
      <c r="U697" s="79"/>
      <c r="V697" s="65"/>
      <c r="Y697" s="78"/>
      <c r="Z697" s="78"/>
      <c r="AA697" s="78"/>
      <c r="AB697" s="78"/>
      <c r="AC697" s="78"/>
      <c r="AD697" s="78"/>
      <c r="AE697" s="78"/>
      <c r="AF697" s="78"/>
      <c r="AG697" s="79"/>
      <c r="AH697" s="65"/>
      <c r="AJ697" s="85"/>
      <c r="AK697" s="78"/>
      <c r="AL697" s="78"/>
      <c r="AM697" s="78"/>
      <c r="AN697" s="78"/>
      <c r="AO697" s="78"/>
      <c r="AP697" s="78"/>
      <c r="AQ697" s="79"/>
      <c r="AR697" s="65"/>
      <c r="AT697" s="85"/>
      <c r="AU697" s="78"/>
      <c r="AV697" s="78"/>
      <c r="AW697" s="78"/>
      <c r="AX697" s="78"/>
      <c r="AY697" s="78"/>
      <c r="AZ697" s="79"/>
      <c r="BA697" s="65"/>
      <c r="BC697" s="85"/>
      <c r="BD697" s="78"/>
      <c r="BE697" s="78"/>
      <c r="BF697" s="78"/>
      <c r="BG697" s="78"/>
      <c r="BH697" s="78"/>
      <c r="BI697" s="78"/>
      <c r="BJ697" s="79"/>
      <c r="BK697" s="65"/>
      <c r="CU697" s="67"/>
      <c r="EC697" s="67"/>
      <c r="FK697" s="67"/>
      <c r="FL697" s="67"/>
      <c r="FM697" s="67"/>
      <c r="FN697" s="67"/>
      <c r="FO697" s="67"/>
      <c r="FP697" s="67"/>
      <c r="FQ697" s="67"/>
      <c r="FR697" s="67"/>
      <c r="FS697" s="67"/>
      <c r="FT697" s="67"/>
      <c r="FU697" s="67"/>
      <c r="FV697" s="67"/>
      <c r="FW697" s="67"/>
      <c r="FX697" s="67"/>
      <c r="FY697" s="67"/>
      <c r="FZ697" s="67"/>
      <c r="GA697" s="67"/>
      <c r="GB697" s="67"/>
      <c r="GC697" s="67"/>
      <c r="GD697" s="67"/>
      <c r="GE697" s="67"/>
      <c r="GF697" s="67"/>
      <c r="GG697" s="67"/>
      <c r="GH697" s="67"/>
      <c r="GI697" s="67"/>
      <c r="GJ697" s="67"/>
      <c r="GK697" s="67"/>
      <c r="GL697" s="67"/>
      <c r="GM697" s="67"/>
      <c r="GN697" s="67"/>
      <c r="GO697" s="67"/>
      <c r="GP697" s="67"/>
    </row>
    <row r="698" spans="5:198" s="66" customFormat="1">
      <c r="E698" s="67"/>
      <c r="G698" s="67"/>
      <c r="H698" s="67"/>
      <c r="I698" s="67"/>
      <c r="J698" s="67"/>
      <c r="K698" s="67"/>
      <c r="L698" s="67"/>
      <c r="M698" s="67"/>
      <c r="N698" s="67"/>
      <c r="O698" s="78"/>
      <c r="P698" s="78"/>
      <c r="S698" s="78"/>
      <c r="T698" s="78"/>
      <c r="U698" s="79"/>
      <c r="V698" s="65"/>
      <c r="Y698" s="78"/>
      <c r="Z698" s="78"/>
      <c r="AA698" s="78"/>
      <c r="AB698" s="78"/>
      <c r="AC698" s="78"/>
      <c r="AD698" s="78"/>
      <c r="AE698" s="78"/>
      <c r="AF698" s="78"/>
      <c r="AG698" s="79"/>
      <c r="AH698" s="65"/>
      <c r="AJ698" s="85"/>
      <c r="AK698" s="78"/>
      <c r="AL698" s="78"/>
      <c r="AM698" s="78"/>
      <c r="AN698" s="78"/>
      <c r="AO698" s="78"/>
      <c r="AP698" s="78"/>
      <c r="AQ698" s="79"/>
      <c r="AR698" s="65"/>
      <c r="AT698" s="85"/>
      <c r="AU698" s="78"/>
      <c r="AV698" s="78"/>
      <c r="AW698" s="78"/>
      <c r="AX698" s="78"/>
      <c r="AY698" s="78"/>
      <c r="AZ698" s="79"/>
      <c r="BA698" s="65"/>
      <c r="BC698" s="85"/>
      <c r="BD698" s="78"/>
      <c r="BE698" s="78"/>
      <c r="BF698" s="78"/>
      <c r="BG698" s="78"/>
      <c r="BH698" s="78"/>
      <c r="BI698" s="78"/>
      <c r="BJ698" s="79"/>
      <c r="BK698" s="65"/>
      <c r="CU698" s="67"/>
      <c r="EC698" s="67"/>
      <c r="FK698" s="67"/>
      <c r="FL698" s="67"/>
      <c r="FM698" s="67"/>
      <c r="FN698" s="67"/>
      <c r="FO698" s="67"/>
      <c r="FP698" s="67"/>
      <c r="FQ698" s="67"/>
      <c r="FR698" s="67"/>
      <c r="FS698" s="67"/>
      <c r="FT698" s="67"/>
      <c r="FU698" s="67"/>
      <c r="FV698" s="67"/>
      <c r="FW698" s="67"/>
      <c r="FX698" s="67"/>
      <c r="FY698" s="67"/>
      <c r="FZ698" s="67"/>
      <c r="GA698" s="67"/>
      <c r="GB698" s="67"/>
      <c r="GC698" s="67"/>
      <c r="GD698" s="67"/>
      <c r="GE698" s="67"/>
      <c r="GF698" s="67"/>
      <c r="GG698" s="67"/>
      <c r="GH698" s="67"/>
      <c r="GI698" s="67"/>
      <c r="GJ698" s="67"/>
      <c r="GK698" s="67"/>
      <c r="GL698" s="67"/>
      <c r="GM698" s="67"/>
      <c r="GN698" s="67"/>
      <c r="GO698" s="67"/>
      <c r="GP698" s="67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C778E2-E20A-4F59-ADB6-E9270AE1C688}">
          <x14:formula1>
            <xm:f>'RM Base'!$D$3:$D$371</xm:f>
          </x14:formula1>
          <xm:sqref>G4:G13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HE596"/>
  <sheetViews>
    <sheetView workbookViewId="0">
      <selection activeCell="H7" sqref="H7"/>
    </sheetView>
  </sheetViews>
  <sheetFormatPr defaultRowHeight="15"/>
  <cols>
    <col min="2" max="2" width="14.85546875" customWidth="1"/>
    <col min="3" max="3" width="18.7109375" bestFit="1" customWidth="1"/>
    <col min="4" max="4" width="28.7109375" bestFit="1" customWidth="1"/>
    <col min="6" max="6" width="7.42578125" bestFit="1" customWidth="1"/>
    <col min="7" max="7" width="9.42578125" customWidth="1"/>
    <col min="8" max="8" width="9" bestFit="1" customWidth="1"/>
    <col min="9" max="9" width="12.42578125" bestFit="1" customWidth="1"/>
    <col min="13" max="13" width="23" bestFit="1" customWidth="1"/>
  </cols>
  <sheetData>
    <row r="1" spans="1:213">
      <c r="A1" s="691">
        <v>1</v>
      </c>
    </row>
    <row r="2" spans="1:213" s="67" customFormat="1" ht="30.75" customHeight="1">
      <c r="B2" s="162" t="s">
        <v>31</v>
      </c>
      <c r="C2" s="152" t="s">
        <v>39</v>
      </c>
      <c r="D2" s="152" t="s">
        <v>82</v>
      </c>
      <c r="E2" s="163" t="s">
        <v>306</v>
      </c>
      <c r="F2" s="163" t="s">
        <v>84</v>
      </c>
      <c r="G2" s="163" t="s">
        <v>307</v>
      </c>
      <c r="H2" s="163" t="s">
        <v>308</v>
      </c>
      <c r="I2" s="162" t="s">
        <v>156</v>
      </c>
    </row>
    <row r="3" spans="1:213" s="67" customFormat="1">
      <c r="B3" s="154"/>
      <c r="C3" s="201" t="str">
        <f>_xlfn.IFNA(IF(VLOOKUP(B3,BOM!$D$1:$I$10000,6,0)="Inhouse","Process-Inhouse",IF(VLOOKUP(B3,BOM!$D$1:$I$10000,6,0)="BOF","Process-outsourced",IF(VLOOKUP(B3,BOM!$D$1:$I$10000,6,0)="BOSF","Process-outsourced"))),"")</f>
        <v/>
      </c>
      <c r="D3" s="201" t="str">
        <f>IF(B3="","","Forging Process")</f>
        <v/>
      </c>
      <c r="E3" s="92">
        <v>18</v>
      </c>
      <c r="F3" s="93" t="s">
        <v>311</v>
      </c>
      <c r="G3" s="26" t="e">
        <f>VLOOKUP(B3,Forging_Material!$D$1:$M$10000,10,0)</f>
        <v>#N/A</v>
      </c>
      <c r="H3" s="638" t="e">
        <f>E3*G3</f>
        <v>#N/A</v>
      </c>
      <c r="I3" s="4" t="s">
        <v>405</v>
      </c>
    </row>
    <row r="4" spans="1:213" s="67" customFormat="1">
      <c r="B4" s="201" t="str">
        <f>IF(B3="","",B3)</f>
        <v/>
      </c>
      <c r="C4" s="201" t="str">
        <f>_xlfn.IFNA(IF(VLOOKUP(B4,BOM!$D$1:$I$10000,6,0)="Inhouse","Process-Inhouse",IF(VLOOKUP(B4,BOM!$D$1:$I$10000,6,0)="BOF","Process-outsourced",IF(VLOOKUP(B4,BOM!$D$1:$I$10000,6,0)="BOSF","Process-outsourced"))),"")</f>
        <v/>
      </c>
      <c r="D4" s="201" t="str">
        <f>IF(B3="","","Shot blasting")</f>
        <v/>
      </c>
      <c r="E4" s="92">
        <v>3</v>
      </c>
      <c r="F4" s="93" t="s">
        <v>311</v>
      </c>
      <c r="G4" s="26" t="str">
        <f>VLOOKUP(B4,Forging_Material!$D$1:$L$10000,9,0)</f>
        <v/>
      </c>
      <c r="H4" s="638" t="e">
        <f>E4*G4</f>
        <v>#VALUE!</v>
      </c>
      <c r="I4" s="4" t="s">
        <v>406</v>
      </c>
    </row>
    <row r="5" spans="1:213" s="67" customFormat="1">
      <c r="B5" s="201" t="str">
        <f>B4</f>
        <v/>
      </c>
      <c r="C5" s="201" t="str">
        <f>_xlfn.IFNA(IF(VLOOKUP(B5,BOM!$D$1:$I$10000,6,0)="Inhouse","Process-Inhouse",IF(VLOOKUP(B5,BOM!$D$1:$I$10000,6,0)="BOF","Process-outsourced",IF(VLOOKUP(B5,BOM!$D$1:$I$10000,6,0)="BOSF","Process-outsourced"))),"")</f>
        <v/>
      </c>
      <c r="D5" s="201" t="str">
        <f>IF(B3="","","Machining-Soft")</f>
        <v/>
      </c>
      <c r="E5" s="164"/>
      <c r="F5" s="165"/>
      <c r="G5" s="166"/>
      <c r="H5" s="638">
        <f>SUMIFS(Machining_Process!$V$1:$V$9981,Machining_Process!$D$1:$D$9981,D5,Machining_Process!$B$1:$B$9981,B5)</f>
        <v>0</v>
      </c>
      <c r="I5" s="4"/>
    </row>
    <row r="6" spans="1:213" s="67" customFormat="1">
      <c r="B6" s="201" t="str">
        <f>B5</f>
        <v/>
      </c>
      <c r="C6" s="201" t="str">
        <f>_xlfn.IFNA(IF(VLOOKUP(B6,BOM!$D$1:$I$10000,6,0)="Inhouse","Process-Inhouse",IF(VLOOKUP(B6,BOM!$D$1:$I$10000,6,0)="BOF","Process-outsourced",IF(VLOOKUP(B6,BOM!$D$1:$I$10000,6,0)="BOSF","Process-outsourced"))),"")</f>
        <v/>
      </c>
      <c r="D6" s="201" t="str">
        <f>IF(B3="","","Induction hardening")</f>
        <v/>
      </c>
      <c r="E6" s="168">
        <v>180</v>
      </c>
      <c r="F6" s="164" t="s">
        <v>407</v>
      </c>
      <c r="G6" s="167"/>
      <c r="H6" s="638">
        <f>E6*G6</f>
        <v>0</v>
      </c>
      <c r="I6" s="4" t="s">
        <v>408</v>
      </c>
      <c r="N6" s="78"/>
      <c r="O6" s="66"/>
      <c r="P6" s="66"/>
      <c r="Q6" s="85"/>
      <c r="R6" s="78"/>
      <c r="S6" s="78"/>
      <c r="T6" s="78"/>
      <c r="U6" s="78"/>
      <c r="V6" s="78"/>
      <c r="W6" s="79"/>
      <c r="X6" s="65"/>
      <c r="Y6" s="66"/>
      <c r="Z6" s="66"/>
      <c r="AA6" s="78"/>
      <c r="AB6" s="78"/>
      <c r="AC6" s="78"/>
      <c r="AD6" s="78"/>
      <c r="AE6" s="78"/>
      <c r="AF6" s="78"/>
      <c r="AG6" s="78"/>
      <c r="AH6" s="78"/>
      <c r="AI6" s="79"/>
      <c r="AJ6" s="65"/>
      <c r="AK6" s="66"/>
      <c r="AL6" s="66"/>
      <c r="AM6" s="78"/>
      <c r="AN6" s="78"/>
      <c r="AO6" s="78"/>
      <c r="AP6" s="78"/>
      <c r="AQ6" s="78"/>
      <c r="AR6" s="78"/>
      <c r="AS6" s="78"/>
      <c r="AT6" s="78"/>
      <c r="AU6" s="79"/>
      <c r="AV6" s="65"/>
      <c r="AW6" s="66"/>
      <c r="AX6" s="85"/>
      <c r="AY6" s="78"/>
      <c r="AZ6" s="78"/>
      <c r="BA6" s="78"/>
      <c r="BB6" s="78"/>
      <c r="BC6" s="78"/>
      <c r="BD6" s="78"/>
      <c r="BE6" s="79"/>
      <c r="BF6" s="65"/>
      <c r="BG6" s="66"/>
      <c r="BH6" s="85"/>
      <c r="BI6" s="78"/>
      <c r="BJ6" s="78"/>
      <c r="BK6" s="78"/>
      <c r="BL6" s="78"/>
      <c r="BM6" s="78"/>
      <c r="BN6" s="79"/>
      <c r="BO6" s="65"/>
      <c r="BP6" s="66"/>
      <c r="BQ6" s="85"/>
      <c r="BR6" s="78"/>
      <c r="BS6" s="78"/>
      <c r="BT6" s="78"/>
      <c r="BU6" s="78"/>
      <c r="BV6" s="78"/>
      <c r="BW6" s="78"/>
      <c r="BX6" s="79"/>
      <c r="BY6" s="65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</row>
    <row r="7" spans="1:213" s="67" customFormat="1">
      <c r="B7" s="201" t="str">
        <f>B6</f>
        <v/>
      </c>
      <c r="C7" s="201" t="str">
        <f>_xlfn.IFNA(IF(VLOOKUP(B7,BOM!$D$1:$I$10000,6,0)="Inhouse","Process-Inhouse",IF(VLOOKUP(B7,BOM!$D$1:$I$10000,6,0)="BOF","Process-outsourced",IF(VLOOKUP(B7,BOM!$D$1:$I$10000,6,0)="BOSF","Process-outsourced"))),"")</f>
        <v/>
      </c>
      <c r="D7" s="201" t="str">
        <f>IF(B3="","","Machining-Hard")</f>
        <v/>
      </c>
      <c r="E7" s="4"/>
      <c r="F7" s="4"/>
      <c r="G7" s="4"/>
      <c r="H7" s="638">
        <f>SUMIFS(Machining_Process!$V$1:$V$9981,Machining_Process!$D$1:$D$9981,D7,Machining_Process!$B$1:$B$9981,B7)</f>
        <v>0</v>
      </c>
      <c r="I7" s="4"/>
      <c r="N7" s="78"/>
      <c r="O7" s="66"/>
      <c r="P7" s="66"/>
      <c r="Q7" s="85"/>
      <c r="R7" s="78"/>
      <c r="S7" s="78"/>
      <c r="T7" s="78"/>
      <c r="U7" s="78"/>
      <c r="V7" s="78"/>
      <c r="W7" s="79"/>
      <c r="X7" s="65"/>
      <c r="Y7" s="66"/>
      <c r="Z7" s="66"/>
      <c r="AA7" s="78"/>
      <c r="AB7" s="78"/>
      <c r="AC7" s="78"/>
      <c r="AD7" s="78"/>
      <c r="AE7" s="78"/>
      <c r="AF7" s="78"/>
      <c r="AG7" s="78"/>
      <c r="AH7" s="78"/>
      <c r="AI7" s="79"/>
      <c r="AJ7" s="65"/>
      <c r="AK7" s="66"/>
      <c r="AL7" s="66"/>
      <c r="AM7" s="78"/>
      <c r="AN7" s="78"/>
      <c r="AO7" s="78"/>
      <c r="AP7" s="78"/>
      <c r="AQ7" s="78"/>
      <c r="AR7" s="78"/>
      <c r="AS7" s="78"/>
      <c r="AT7" s="78"/>
      <c r="AU7" s="79"/>
      <c r="AV7" s="65"/>
      <c r="AW7" s="66"/>
      <c r="AX7" s="85"/>
      <c r="AY7" s="78"/>
      <c r="AZ7" s="78"/>
      <c r="BA7" s="78"/>
      <c r="BB7" s="78"/>
      <c r="BC7" s="78"/>
      <c r="BD7" s="78"/>
      <c r="BE7" s="79"/>
      <c r="BF7" s="65"/>
      <c r="BG7" s="66"/>
      <c r="BH7" s="85"/>
      <c r="BI7" s="78"/>
      <c r="BJ7" s="78"/>
      <c r="BK7" s="78"/>
      <c r="BL7" s="78"/>
      <c r="BM7" s="78"/>
      <c r="BN7" s="79"/>
      <c r="BO7" s="65"/>
      <c r="BP7" s="66"/>
      <c r="BQ7" s="85"/>
      <c r="BR7" s="78"/>
      <c r="BS7" s="78"/>
      <c r="BT7" s="78"/>
      <c r="BU7" s="78"/>
      <c r="BV7" s="78"/>
      <c r="BW7" s="78"/>
      <c r="BX7" s="79"/>
      <c r="BY7" s="65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6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</row>
    <row r="8" spans="1:213" s="66" customFormat="1">
      <c r="B8" s="201" t="str">
        <f>B7</f>
        <v/>
      </c>
      <c r="C8" s="201" t="s">
        <v>315</v>
      </c>
      <c r="D8" s="201" t="str">
        <f>IF(B3="","","Black paint for Cast&amp;Forged parts")</f>
        <v/>
      </c>
      <c r="E8" s="209" t="e">
        <f>VLOOKUP(D8,'Process Base'!D:F,3,0)</f>
        <v>#N/A</v>
      </c>
      <c r="F8" s="92" t="e">
        <f>VLOOKUP(D8,'Process Base'!D:H,4,0)</f>
        <v>#N/A</v>
      </c>
      <c r="G8" s="209">
        <f>VLOOKUP(B8,Forging_Material!$D$1:$J$10000,7,0)</f>
        <v>0</v>
      </c>
      <c r="H8" s="209" t="e">
        <f>G8*E8</f>
        <v>#N/A</v>
      </c>
      <c r="I8" s="4" t="s">
        <v>409</v>
      </c>
      <c r="J8" s="67"/>
      <c r="K8" s="67"/>
      <c r="L8" s="67"/>
      <c r="M8" s="67"/>
      <c r="N8" s="78"/>
      <c r="Q8" s="85"/>
      <c r="R8" s="78"/>
      <c r="S8" s="78"/>
      <c r="T8" s="78"/>
      <c r="U8" s="78"/>
      <c r="V8" s="78"/>
      <c r="W8" s="79"/>
      <c r="X8" s="65"/>
      <c r="AA8" s="78"/>
      <c r="AB8" s="78"/>
      <c r="AC8" s="78"/>
      <c r="AD8" s="78"/>
      <c r="AE8" s="78"/>
      <c r="AF8" s="78"/>
      <c r="AG8" s="78"/>
      <c r="AH8" s="78"/>
      <c r="AI8" s="79"/>
      <c r="AJ8" s="65"/>
      <c r="AM8" s="78"/>
      <c r="AN8" s="78"/>
      <c r="AO8" s="78"/>
      <c r="AP8" s="78"/>
      <c r="AQ8" s="78"/>
      <c r="AR8" s="78"/>
      <c r="AS8" s="78"/>
      <c r="AT8" s="78"/>
      <c r="AU8" s="79"/>
      <c r="AV8" s="65"/>
      <c r="AX8" s="85"/>
      <c r="AY8" s="78"/>
      <c r="AZ8" s="78"/>
      <c r="BA8" s="78"/>
      <c r="BB8" s="78"/>
      <c r="BC8" s="78"/>
      <c r="BD8" s="78"/>
      <c r="BE8" s="79"/>
      <c r="BF8" s="65"/>
      <c r="BH8" s="85"/>
      <c r="BI8" s="78"/>
      <c r="BJ8" s="78"/>
      <c r="BK8" s="78"/>
      <c r="BL8" s="78"/>
      <c r="BM8" s="78"/>
      <c r="BN8" s="79"/>
      <c r="BO8" s="65"/>
      <c r="BQ8" s="85"/>
      <c r="BR8" s="78"/>
      <c r="BS8" s="78"/>
      <c r="BT8" s="78"/>
      <c r="BU8" s="78"/>
      <c r="BV8" s="78"/>
      <c r="BW8" s="78"/>
      <c r="BX8" s="79"/>
      <c r="BY8" s="65"/>
      <c r="DI8" s="67"/>
      <c r="EQ8" s="67"/>
      <c r="FY8" s="67"/>
      <c r="FZ8" s="67"/>
      <c r="GA8" s="67"/>
      <c r="GB8" s="67"/>
      <c r="GC8" s="67"/>
      <c r="GD8" s="67"/>
      <c r="GE8" s="67"/>
      <c r="GF8" s="67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67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</row>
    <row r="9" spans="1:213" s="66" customFormat="1">
      <c r="D9" s="67"/>
      <c r="E9" s="67"/>
      <c r="F9" s="67"/>
      <c r="G9" s="67"/>
      <c r="H9" s="67"/>
      <c r="I9" s="67"/>
      <c r="J9" s="67"/>
      <c r="K9" s="67"/>
      <c r="L9" s="67"/>
      <c r="M9" s="67"/>
      <c r="N9" s="78"/>
      <c r="Q9" s="85"/>
      <c r="R9" s="78"/>
      <c r="S9" s="78"/>
      <c r="T9" s="78"/>
      <c r="U9" s="78"/>
      <c r="V9" s="78"/>
      <c r="W9" s="79"/>
      <c r="X9" s="65"/>
      <c r="AA9" s="78"/>
      <c r="AB9" s="78"/>
      <c r="AC9" s="78"/>
      <c r="AD9" s="78"/>
      <c r="AE9" s="78"/>
      <c r="AF9" s="78"/>
      <c r="AG9" s="78"/>
      <c r="AH9" s="78"/>
      <c r="AI9" s="79"/>
      <c r="AJ9" s="65"/>
      <c r="AM9" s="78"/>
      <c r="AN9" s="78"/>
      <c r="AO9" s="78"/>
      <c r="AP9" s="78"/>
      <c r="AQ9" s="78"/>
      <c r="AR9" s="78"/>
      <c r="AS9" s="78"/>
      <c r="AT9" s="78"/>
      <c r="AU9" s="79"/>
      <c r="AV9" s="65"/>
      <c r="AX9" s="85"/>
      <c r="AY9" s="78"/>
      <c r="AZ9" s="78"/>
      <c r="BA9" s="78"/>
      <c r="BB9" s="78"/>
      <c r="BC9" s="78"/>
      <c r="BD9" s="78"/>
      <c r="BE9" s="79"/>
      <c r="BF9" s="65"/>
      <c r="BH9" s="85"/>
      <c r="BI9" s="78"/>
      <c r="BJ9" s="78"/>
      <c r="BK9" s="78"/>
      <c r="BL9" s="78"/>
      <c r="BM9" s="78"/>
      <c r="BN9" s="79"/>
      <c r="BO9" s="65"/>
      <c r="BQ9" s="85"/>
      <c r="BR9" s="78"/>
      <c r="BS9" s="78"/>
      <c r="BT9" s="78"/>
      <c r="BU9" s="78"/>
      <c r="BV9" s="78"/>
      <c r="BW9" s="78"/>
      <c r="BX9" s="79"/>
      <c r="BY9" s="65"/>
      <c r="DI9" s="67"/>
      <c r="EQ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</row>
    <row r="10" spans="1:213" s="66" customFormat="1">
      <c r="D10" s="67"/>
      <c r="E10"/>
      <c r="F10"/>
      <c r="G10"/>
      <c r="H10"/>
      <c r="I10"/>
      <c r="J10"/>
      <c r="K10"/>
      <c r="L10"/>
      <c r="M10" s="67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 s="65"/>
      <c r="AM10" s="78"/>
      <c r="AN10" s="78"/>
      <c r="AO10" s="78"/>
      <c r="AP10" s="78"/>
      <c r="AQ10" s="78"/>
      <c r="AR10" s="78"/>
      <c r="AS10" s="78"/>
      <c r="AT10" s="78"/>
      <c r="AU10" s="79"/>
      <c r="AV10" s="65"/>
      <c r="AX10" s="161"/>
      <c r="AY10" s="78"/>
      <c r="AZ10" s="78"/>
      <c r="BA10" s="78"/>
      <c r="BB10" s="78"/>
      <c r="BC10" s="78"/>
      <c r="BD10" s="78"/>
      <c r="BE10" s="79"/>
      <c r="BF10" s="65"/>
      <c r="BH10" s="161"/>
      <c r="BI10" s="78"/>
      <c r="BJ10" s="78"/>
      <c r="BK10" s="78"/>
      <c r="BL10" s="78"/>
      <c r="BM10" s="78"/>
      <c r="BN10" s="79"/>
      <c r="BO10" s="65"/>
      <c r="BQ10" s="161"/>
      <c r="BR10" s="78"/>
      <c r="BS10" s="78"/>
      <c r="BT10" s="78"/>
      <c r="BU10" s="78"/>
      <c r="BV10" s="78"/>
      <c r="BW10" s="78"/>
      <c r="BX10" s="79"/>
      <c r="BY10" s="65"/>
      <c r="DI10" s="67"/>
      <c r="EQ10" s="67"/>
      <c r="FY10" s="67"/>
      <c r="FZ10" s="67"/>
      <c r="GA10" s="67"/>
      <c r="GB10" s="67"/>
      <c r="GC10" s="67"/>
      <c r="GD10" s="67"/>
      <c r="GE10" s="67"/>
      <c r="GF10" s="67"/>
      <c r="GG10" s="67"/>
      <c r="GH10" s="67"/>
      <c r="GI10" s="67"/>
      <c r="GJ10" s="67"/>
      <c r="GK10" s="67"/>
      <c r="GL10" s="67"/>
      <c r="GM10" s="67"/>
      <c r="GN10" s="67"/>
      <c r="GO10" s="67"/>
      <c r="GP10" s="67"/>
      <c r="GQ10" s="67"/>
      <c r="GR10" s="67"/>
      <c r="GS10" s="67"/>
      <c r="GT10" s="67"/>
      <c r="GU10" s="67"/>
      <c r="GV10" s="67"/>
      <c r="GW10" s="67"/>
      <c r="GX10" s="67"/>
      <c r="GY10" s="67"/>
      <c r="GZ10" s="67"/>
      <c r="HA10" s="67"/>
      <c r="HB10" s="67"/>
      <c r="HC10" s="67"/>
      <c r="HD10" s="67"/>
    </row>
    <row r="11" spans="1:213" s="66" customFormat="1"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78"/>
      <c r="Q11" s="161"/>
      <c r="R11" s="78"/>
      <c r="S11" s="78"/>
      <c r="T11" s="78"/>
      <c r="U11" s="78"/>
      <c r="V11" s="78"/>
      <c r="W11" s="79"/>
      <c r="X11" s="65"/>
      <c r="AA11" s="78"/>
      <c r="AB11" s="78"/>
      <c r="AC11" s="78"/>
      <c r="AD11" s="78"/>
      <c r="AE11" s="78"/>
      <c r="AF11" s="78"/>
      <c r="AG11" s="78"/>
      <c r="AH11" s="78"/>
      <c r="AI11" s="79"/>
      <c r="AJ11" s="65"/>
      <c r="AM11" s="78"/>
      <c r="AN11" s="78"/>
      <c r="AO11" s="78"/>
      <c r="AP11" s="78"/>
      <c r="AQ11" s="78"/>
      <c r="AR11" s="78"/>
      <c r="AS11" s="78"/>
      <c r="AT11" s="78"/>
      <c r="AU11" s="79"/>
      <c r="AV11" s="65"/>
      <c r="AX11" s="161"/>
      <c r="AY11" s="78"/>
      <c r="AZ11" s="78"/>
      <c r="BA11" s="78"/>
      <c r="BB11" s="78"/>
      <c r="BC11" s="78"/>
      <c r="BD11" s="78"/>
      <c r="BE11" s="79"/>
      <c r="BF11" s="65"/>
      <c r="BH11" s="161"/>
      <c r="BI11" s="78"/>
      <c r="BJ11" s="78"/>
      <c r="BK11" s="78"/>
      <c r="BL11" s="78"/>
      <c r="BM11" s="78"/>
      <c r="BN11" s="79"/>
      <c r="BO11" s="65"/>
      <c r="BQ11" s="161"/>
      <c r="BR11" s="78"/>
      <c r="BS11" s="78"/>
      <c r="BT11" s="78"/>
      <c r="BU11" s="78"/>
      <c r="BV11" s="78"/>
      <c r="BW11" s="78"/>
      <c r="BX11" s="79"/>
      <c r="BY11" s="65"/>
      <c r="DI11" s="67"/>
      <c r="EQ11" s="67"/>
      <c r="FY11" s="67"/>
      <c r="FZ11" s="67"/>
      <c r="GA11" s="67"/>
      <c r="GB11" s="67"/>
      <c r="GC11" s="67"/>
      <c r="GD11" s="67"/>
      <c r="GE11" s="67"/>
      <c r="GF11" s="67"/>
      <c r="GG11" s="67"/>
      <c r="GH11" s="67"/>
      <c r="GI11" s="67"/>
      <c r="GJ11" s="67"/>
      <c r="GK11" s="67"/>
      <c r="GL11" s="67"/>
      <c r="GM11" s="67"/>
      <c r="GN11" s="67"/>
      <c r="GO11" s="67"/>
      <c r="GP11" s="67"/>
      <c r="GQ11" s="67"/>
      <c r="GR11" s="67"/>
      <c r="GS11" s="67"/>
      <c r="GT11" s="67"/>
      <c r="GU11" s="67"/>
      <c r="GV11" s="67"/>
      <c r="GW11" s="67"/>
      <c r="GX11" s="67"/>
      <c r="GY11" s="67"/>
      <c r="GZ11" s="67"/>
      <c r="HA11" s="67"/>
      <c r="HB11" s="67"/>
      <c r="HC11" s="67"/>
      <c r="HD11" s="67"/>
    </row>
    <row r="12" spans="1:213" s="66" customFormat="1"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78"/>
      <c r="Q12" s="161"/>
      <c r="R12" s="78"/>
      <c r="S12" s="78"/>
      <c r="T12" s="78"/>
      <c r="U12" s="78"/>
      <c r="V12" s="78"/>
      <c r="W12" s="79"/>
      <c r="X12" s="65"/>
      <c r="AA12" s="78"/>
      <c r="AB12" s="78"/>
      <c r="AC12" s="78"/>
      <c r="AD12" s="78"/>
      <c r="AE12" s="78"/>
      <c r="AF12" s="78"/>
      <c r="AG12" s="78"/>
      <c r="AH12" s="78"/>
      <c r="AI12" s="79"/>
      <c r="AJ12" s="65"/>
      <c r="AM12" s="78"/>
      <c r="AN12" s="78"/>
      <c r="AO12" s="78"/>
      <c r="AP12" s="78"/>
      <c r="AQ12" s="78"/>
      <c r="AR12" s="78"/>
      <c r="AS12" s="78"/>
      <c r="AT12" s="78"/>
      <c r="AU12" s="79"/>
      <c r="AV12" s="65"/>
      <c r="AX12" s="161"/>
      <c r="AY12" s="78"/>
      <c r="AZ12" s="78"/>
      <c r="BA12" s="78"/>
      <c r="BB12" s="78"/>
      <c r="BC12" s="78"/>
      <c r="BD12" s="78"/>
      <c r="BE12" s="79"/>
      <c r="BF12" s="65"/>
      <c r="BH12" s="161"/>
      <c r="BI12" s="78"/>
      <c r="BJ12" s="78"/>
      <c r="BK12" s="78"/>
      <c r="BL12" s="78"/>
      <c r="BM12" s="78"/>
      <c r="BN12" s="79"/>
      <c r="BO12" s="65"/>
      <c r="BQ12" s="161"/>
      <c r="BR12" s="78"/>
      <c r="BS12" s="78"/>
      <c r="BT12" s="78"/>
      <c r="BU12" s="78"/>
      <c r="BV12" s="78"/>
      <c r="BW12" s="78"/>
      <c r="BX12" s="79"/>
      <c r="BY12" s="65"/>
      <c r="DI12" s="67"/>
      <c r="EQ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/>
      <c r="GZ12" s="67"/>
      <c r="HA12" s="67"/>
      <c r="HB12" s="67"/>
      <c r="HC12" s="67"/>
      <c r="HD12" s="67"/>
    </row>
    <row r="13" spans="1:213" s="66" customFormat="1"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78"/>
      <c r="Q13" s="161"/>
      <c r="R13" s="78"/>
      <c r="S13" s="78"/>
      <c r="T13" s="78"/>
      <c r="U13" s="78"/>
      <c r="V13" s="78"/>
      <c r="W13" s="79"/>
      <c r="X13" s="65"/>
      <c r="AA13" s="78"/>
      <c r="AB13" s="78"/>
      <c r="AC13" s="78"/>
      <c r="AD13" s="78"/>
      <c r="AE13" s="78"/>
      <c r="AF13" s="78"/>
      <c r="AG13" s="78"/>
      <c r="AH13" s="78"/>
      <c r="AI13" s="79"/>
      <c r="AJ13" s="65"/>
      <c r="AM13" s="78"/>
      <c r="AN13" s="78"/>
      <c r="AO13" s="78"/>
      <c r="AP13" s="78"/>
      <c r="AQ13" s="78"/>
      <c r="AR13" s="78"/>
      <c r="AS13" s="78"/>
      <c r="AT13" s="78"/>
      <c r="AU13" s="79"/>
      <c r="AV13" s="65"/>
      <c r="AX13" s="161"/>
      <c r="AY13" s="78"/>
      <c r="AZ13" s="78"/>
      <c r="BA13" s="78"/>
      <c r="BB13" s="78"/>
      <c r="BC13" s="78"/>
      <c r="BD13" s="78"/>
      <c r="BE13" s="79"/>
      <c r="BF13" s="65"/>
      <c r="BH13" s="161"/>
      <c r="BI13" s="78"/>
      <c r="BJ13" s="78"/>
      <c r="BK13" s="78"/>
      <c r="BL13" s="78"/>
      <c r="BM13" s="78"/>
      <c r="BN13" s="79"/>
      <c r="BO13" s="65"/>
      <c r="BQ13" s="161"/>
      <c r="BR13" s="78"/>
      <c r="BS13" s="78"/>
      <c r="BT13" s="78"/>
      <c r="BU13" s="78"/>
      <c r="BV13" s="78"/>
      <c r="BW13" s="78"/>
      <c r="BX13" s="79"/>
      <c r="BY13" s="65"/>
      <c r="DI13" s="67"/>
      <c r="EQ13" s="67"/>
      <c r="FY13" s="67"/>
      <c r="FZ13" s="67"/>
      <c r="GA13" s="67"/>
      <c r="GB13" s="67"/>
      <c r="GC13" s="67"/>
      <c r="GD13" s="67"/>
      <c r="GE13" s="67"/>
      <c r="GF13" s="67"/>
      <c r="GG13" s="67"/>
      <c r="GH13" s="67"/>
      <c r="GI13" s="67"/>
      <c r="GJ13" s="67"/>
      <c r="GK13" s="67"/>
      <c r="GL13" s="67"/>
      <c r="GM13" s="67"/>
      <c r="GN13" s="67"/>
      <c r="GO13" s="67"/>
      <c r="GP13" s="67"/>
      <c r="GQ13" s="67"/>
      <c r="GR13" s="67"/>
      <c r="GS13" s="67"/>
      <c r="GT13" s="67"/>
      <c r="GU13" s="67"/>
      <c r="GV13" s="67"/>
      <c r="GW13" s="67"/>
      <c r="GX13" s="67"/>
      <c r="GY13" s="67"/>
      <c r="GZ13" s="67"/>
      <c r="HA13" s="67"/>
      <c r="HB13" s="67"/>
      <c r="HC13" s="67"/>
      <c r="HD13" s="67"/>
    </row>
    <row r="14" spans="1:213" s="66" customFormat="1"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78"/>
      <c r="Q14" s="161"/>
      <c r="R14" s="78"/>
      <c r="S14" s="78"/>
      <c r="T14" s="78"/>
      <c r="U14" s="78"/>
      <c r="V14" s="78"/>
      <c r="W14" s="79"/>
      <c r="X14" s="65"/>
      <c r="AA14" s="78"/>
      <c r="AB14" s="78"/>
      <c r="AC14" s="78"/>
      <c r="AD14" s="78"/>
      <c r="AE14" s="78"/>
      <c r="AF14" s="78"/>
      <c r="AG14" s="78"/>
      <c r="AH14" s="78"/>
      <c r="AI14" s="79"/>
      <c r="AJ14" s="65"/>
      <c r="AM14" s="78"/>
      <c r="AN14" s="78"/>
      <c r="AO14" s="78"/>
      <c r="AP14" s="78"/>
      <c r="AQ14" s="78"/>
      <c r="AR14" s="78"/>
      <c r="AS14" s="78"/>
      <c r="AT14" s="78"/>
      <c r="AU14" s="79"/>
      <c r="AV14" s="65"/>
      <c r="AX14" s="161"/>
      <c r="AY14" s="78"/>
      <c r="AZ14" s="78"/>
      <c r="BA14" s="78"/>
      <c r="BB14" s="78"/>
      <c r="BC14" s="78"/>
      <c r="BD14" s="78"/>
      <c r="BE14" s="79"/>
      <c r="BF14" s="65"/>
      <c r="BH14" s="161"/>
      <c r="BI14" s="78"/>
      <c r="BJ14" s="78"/>
      <c r="BK14" s="78"/>
      <c r="BL14" s="78"/>
      <c r="BM14" s="78"/>
      <c r="BN14" s="79"/>
      <c r="BO14" s="65"/>
      <c r="BQ14" s="161"/>
      <c r="BR14" s="78"/>
      <c r="BS14" s="78"/>
      <c r="BT14" s="78"/>
      <c r="BU14" s="78"/>
      <c r="BV14" s="78"/>
      <c r="BW14" s="78"/>
      <c r="BX14" s="79"/>
      <c r="BY14" s="65"/>
      <c r="DI14" s="67"/>
      <c r="EQ14" s="67"/>
      <c r="FY14" s="67"/>
      <c r="FZ14" s="67"/>
      <c r="GA14" s="67"/>
      <c r="GB14" s="67"/>
      <c r="GC14" s="67"/>
      <c r="GD14" s="67"/>
      <c r="GE14" s="67"/>
      <c r="GF14" s="67"/>
      <c r="GG14" s="67"/>
      <c r="GH14" s="67"/>
      <c r="GI14" s="67"/>
      <c r="GJ14" s="67"/>
      <c r="GK14" s="67"/>
      <c r="GL14" s="67"/>
      <c r="GM14" s="67"/>
      <c r="GN14" s="67"/>
      <c r="GO14" s="67"/>
      <c r="GP14" s="67"/>
      <c r="GQ14" s="67"/>
      <c r="GR14" s="67"/>
      <c r="GS14" s="67"/>
      <c r="GT14" s="67"/>
      <c r="GU14" s="67"/>
      <c r="GV14" s="67"/>
      <c r="GW14" s="67"/>
      <c r="GX14" s="67"/>
      <c r="GY14" s="67"/>
      <c r="GZ14" s="67"/>
      <c r="HA14" s="67"/>
      <c r="HB14" s="67"/>
      <c r="HC14" s="67"/>
      <c r="HD14" s="67"/>
    </row>
    <row r="15" spans="1:213" s="66" customFormat="1">
      <c r="E15"/>
      <c r="F15" s="67"/>
      <c r="G15" s="67"/>
      <c r="H15" s="67"/>
      <c r="I15" s="67"/>
      <c r="J15" s="67"/>
      <c r="K15" s="67"/>
      <c r="L15" s="67"/>
      <c r="M15" s="67"/>
      <c r="N15" s="78"/>
      <c r="O15" s="78"/>
      <c r="R15" s="161"/>
      <c r="S15" s="78"/>
      <c r="T15" s="78"/>
      <c r="U15" s="78"/>
      <c r="V15" s="78"/>
      <c r="W15" s="78"/>
      <c r="X15" s="79"/>
      <c r="Y15" s="65"/>
      <c r="AB15" s="78"/>
      <c r="AC15" s="78"/>
      <c r="AD15" s="78"/>
      <c r="AE15" s="78"/>
      <c r="AF15" s="78"/>
      <c r="AG15" s="78"/>
      <c r="AH15" s="78"/>
      <c r="AI15" s="78"/>
      <c r="AJ15" s="79"/>
      <c r="AK15" s="65"/>
      <c r="AN15" s="78"/>
      <c r="AO15" s="78"/>
      <c r="AP15" s="78"/>
      <c r="AQ15" s="78"/>
      <c r="AR15" s="78"/>
      <c r="AS15" s="78"/>
      <c r="AT15" s="78"/>
      <c r="AU15" s="78"/>
      <c r="AV15" s="79"/>
      <c r="AW15" s="65"/>
      <c r="AY15" s="161"/>
      <c r="AZ15" s="78"/>
      <c r="BA15" s="78"/>
      <c r="BB15" s="78"/>
      <c r="BC15" s="78"/>
      <c r="BD15" s="78"/>
      <c r="BE15" s="78"/>
      <c r="BF15" s="79"/>
      <c r="BG15" s="65"/>
      <c r="BI15" s="161"/>
      <c r="BJ15" s="78"/>
      <c r="BK15" s="78"/>
      <c r="BL15" s="78"/>
      <c r="BM15" s="78"/>
      <c r="BN15" s="78"/>
      <c r="BO15" s="79"/>
      <c r="BP15" s="65"/>
      <c r="BR15" s="161"/>
      <c r="BS15" s="78"/>
      <c r="BT15" s="78"/>
      <c r="BU15" s="78"/>
      <c r="BV15" s="78"/>
      <c r="BW15" s="78"/>
      <c r="BX15" s="78"/>
      <c r="BY15" s="79"/>
      <c r="BZ15" s="65"/>
      <c r="DJ15" s="67"/>
      <c r="ER15" s="67"/>
      <c r="FZ15" s="67"/>
      <c r="GA15" s="67"/>
      <c r="GB15" s="67"/>
      <c r="GC15" s="67"/>
      <c r="GD15" s="67"/>
      <c r="GE15" s="67"/>
      <c r="GF15" s="67"/>
      <c r="GG15" s="67"/>
      <c r="GH15" s="67"/>
      <c r="GI15" s="67"/>
      <c r="GJ15" s="67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</row>
    <row r="16" spans="1:213" s="66" customFormat="1">
      <c r="E16"/>
      <c r="F16" s="67"/>
      <c r="G16" s="67"/>
      <c r="H16" s="67"/>
      <c r="I16" s="67"/>
      <c r="J16" s="67"/>
      <c r="K16" s="67"/>
      <c r="L16" s="67"/>
      <c r="M16" s="67"/>
      <c r="N16" s="78"/>
      <c r="O16" s="78"/>
      <c r="R16" s="161"/>
      <c r="S16" s="78"/>
      <c r="T16" s="78"/>
      <c r="U16" s="78"/>
      <c r="V16" s="78"/>
      <c r="W16" s="78"/>
      <c r="X16" s="79"/>
      <c r="Y16" s="65"/>
      <c r="AB16" s="78"/>
      <c r="AC16" s="78"/>
      <c r="AD16" s="78"/>
      <c r="AE16" s="78"/>
      <c r="AF16" s="78"/>
      <c r="AG16" s="78"/>
      <c r="AH16" s="78"/>
      <c r="AI16" s="78"/>
      <c r="AJ16" s="79"/>
      <c r="AK16" s="65"/>
      <c r="AN16" s="78"/>
      <c r="AO16" s="78"/>
      <c r="AP16" s="78"/>
      <c r="AQ16" s="78"/>
      <c r="AR16" s="78"/>
      <c r="AS16" s="78"/>
      <c r="AT16" s="78"/>
      <c r="AU16" s="78"/>
      <c r="AV16" s="79"/>
      <c r="AW16" s="65"/>
      <c r="AY16" s="161"/>
      <c r="AZ16" s="78"/>
      <c r="BA16" s="78"/>
      <c r="BB16" s="78"/>
      <c r="BC16" s="78"/>
      <c r="BD16" s="78"/>
      <c r="BE16" s="78"/>
      <c r="BF16" s="79"/>
      <c r="BG16" s="65"/>
      <c r="BI16" s="161"/>
      <c r="BJ16" s="78"/>
      <c r="BK16" s="78"/>
      <c r="BL16" s="78"/>
      <c r="BM16" s="78"/>
      <c r="BN16" s="78"/>
      <c r="BO16" s="79"/>
      <c r="BP16" s="65"/>
      <c r="BR16" s="161"/>
      <c r="BS16" s="78"/>
      <c r="BT16" s="78"/>
      <c r="BU16" s="78"/>
      <c r="BV16" s="78"/>
      <c r="BW16" s="78"/>
      <c r="BX16" s="78"/>
      <c r="BY16" s="79"/>
      <c r="BZ16" s="65"/>
      <c r="DJ16" s="67"/>
      <c r="ER16" s="67"/>
      <c r="FZ16" s="67"/>
      <c r="GA16" s="67"/>
      <c r="GB16" s="67"/>
      <c r="GC16" s="67"/>
      <c r="GD16" s="67"/>
      <c r="GE16" s="67"/>
      <c r="GF16" s="67"/>
      <c r="GG16" s="67"/>
      <c r="GH16" s="67"/>
      <c r="GI16" s="67"/>
      <c r="GJ16" s="67"/>
      <c r="GK16" s="67"/>
      <c r="GL16" s="67"/>
      <c r="GM16" s="67"/>
      <c r="GN16" s="67"/>
      <c r="GO16" s="67"/>
      <c r="GP16" s="67"/>
      <c r="GQ16" s="67"/>
      <c r="GR16" s="67"/>
      <c r="GS16" s="67"/>
      <c r="GT16" s="67"/>
      <c r="GU16" s="67"/>
      <c r="GV16" s="67"/>
      <c r="GW16" s="67"/>
      <c r="GX16" s="67"/>
      <c r="GY16" s="67"/>
      <c r="GZ16" s="67"/>
      <c r="HA16" s="67"/>
      <c r="HB16" s="67"/>
      <c r="HC16" s="67"/>
      <c r="HD16" s="67"/>
      <c r="HE16" s="67"/>
    </row>
    <row r="17" spans="5:213" s="66" customFormat="1">
      <c r="E17"/>
      <c r="F17" s="67"/>
      <c r="G17" s="67"/>
      <c r="H17" s="67"/>
      <c r="I17" s="67"/>
      <c r="J17" s="67"/>
      <c r="K17" s="67"/>
      <c r="L17" s="67"/>
      <c r="M17" s="67"/>
      <c r="N17" s="78"/>
      <c r="O17" s="78"/>
      <c r="R17" s="161"/>
      <c r="S17" s="78"/>
      <c r="T17" s="78"/>
      <c r="U17" s="78"/>
      <c r="V17" s="78"/>
      <c r="W17" s="78"/>
      <c r="X17" s="79"/>
      <c r="Y17" s="65"/>
      <c r="AB17" s="78"/>
      <c r="AC17" s="78"/>
      <c r="AD17" s="78"/>
      <c r="AE17" s="78"/>
      <c r="AF17" s="78"/>
      <c r="AG17" s="78"/>
      <c r="AH17" s="78"/>
      <c r="AI17" s="78"/>
      <c r="AJ17" s="79"/>
      <c r="AK17" s="65"/>
      <c r="AN17" s="78"/>
      <c r="AO17" s="78"/>
      <c r="AP17" s="78"/>
      <c r="AQ17" s="78"/>
      <c r="AR17" s="78"/>
      <c r="AS17" s="78"/>
      <c r="AT17" s="78"/>
      <c r="AU17" s="78"/>
      <c r="AV17" s="79"/>
      <c r="AW17" s="65"/>
      <c r="AY17" s="161"/>
      <c r="AZ17" s="78"/>
      <c r="BA17" s="78"/>
      <c r="BB17" s="78"/>
      <c r="BC17" s="78"/>
      <c r="BD17" s="78"/>
      <c r="BE17" s="78"/>
      <c r="BF17" s="79"/>
      <c r="BG17" s="65"/>
      <c r="BI17" s="161"/>
      <c r="BJ17" s="78"/>
      <c r="BK17" s="78"/>
      <c r="BL17" s="78"/>
      <c r="BM17" s="78"/>
      <c r="BN17" s="78"/>
      <c r="BO17" s="79"/>
      <c r="BP17" s="65"/>
      <c r="BR17" s="161"/>
      <c r="BS17" s="78"/>
      <c r="BT17" s="78"/>
      <c r="BU17" s="78"/>
      <c r="BV17" s="78"/>
      <c r="BW17" s="78"/>
      <c r="BX17" s="78"/>
      <c r="BY17" s="79"/>
      <c r="BZ17" s="65"/>
      <c r="DJ17" s="67"/>
      <c r="ER17" s="67"/>
      <c r="FZ17" s="67"/>
      <c r="GA17" s="67"/>
      <c r="GB17" s="67"/>
      <c r="GC17" s="67"/>
      <c r="GD17" s="67"/>
      <c r="GE17" s="67"/>
      <c r="GF17" s="67"/>
      <c r="GG17" s="67"/>
      <c r="GH17" s="67"/>
      <c r="GI17" s="67"/>
      <c r="GJ17" s="67"/>
      <c r="GK17" s="67"/>
      <c r="GL17" s="67"/>
      <c r="GM17" s="67"/>
      <c r="GN17" s="67"/>
      <c r="GO17" s="67"/>
      <c r="GP17" s="67"/>
      <c r="GQ17" s="67"/>
      <c r="GR17" s="67"/>
      <c r="GS17" s="67"/>
      <c r="GT17" s="67"/>
      <c r="GU17" s="67"/>
      <c r="GV17" s="67"/>
      <c r="GW17" s="67"/>
      <c r="GX17" s="67"/>
      <c r="GY17" s="67"/>
      <c r="GZ17" s="67"/>
      <c r="HA17" s="67"/>
      <c r="HB17" s="67"/>
      <c r="HC17" s="67"/>
      <c r="HD17" s="67"/>
      <c r="HE17" s="67"/>
    </row>
    <row r="18" spans="5:213" s="66" customFormat="1">
      <c r="E18"/>
      <c r="F18" s="67"/>
      <c r="G18" s="67"/>
      <c r="H18" s="67"/>
      <c r="I18" s="67"/>
      <c r="J18" s="67"/>
      <c r="K18" s="67"/>
      <c r="L18" s="67"/>
      <c r="M18" s="67"/>
      <c r="N18" s="78"/>
      <c r="O18" s="78"/>
      <c r="R18" s="161"/>
      <c r="S18" s="78"/>
      <c r="T18" s="78"/>
      <c r="U18" s="78"/>
      <c r="V18" s="78"/>
      <c r="W18" s="78"/>
      <c r="X18" s="79"/>
      <c r="Y18" s="65"/>
      <c r="AB18" s="78"/>
      <c r="AC18" s="78"/>
      <c r="AD18" s="78"/>
      <c r="AE18" s="78"/>
      <c r="AF18" s="78"/>
      <c r="AG18" s="78"/>
      <c r="AH18" s="78"/>
      <c r="AI18" s="78"/>
      <c r="AJ18" s="79"/>
      <c r="AK18" s="65"/>
      <c r="AN18" s="78"/>
      <c r="AO18" s="78"/>
      <c r="AP18" s="78"/>
      <c r="AQ18" s="78"/>
      <c r="AR18" s="78"/>
      <c r="AS18" s="78"/>
      <c r="AT18" s="78"/>
      <c r="AU18" s="78"/>
      <c r="AV18" s="79"/>
      <c r="AW18" s="65"/>
      <c r="AY18" s="161"/>
      <c r="AZ18" s="78"/>
      <c r="BA18" s="78"/>
      <c r="BB18" s="78"/>
      <c r="BC18" s="78"/>
      <c r="BD18" s="78"/>
      <c r="BE18" s="78"/>
      <c r="BF18" s="79"/>
      <c r="BG18" s="65"/>
      <c r="BI18" s="161"/>
      <c r="BJ18" s="78"/>
      <c r="BK18" s="78"/>
      <c r="BL18" s="78"/>
      <c r="BM18" s="78"/>
      <c r="BN18" s="78"/>
      <c r="BO18" s="79"/>
      <c r="BP18" s="65"/>
      <c r="BR18" s="161"/>
      <c r="BS18" s="78"/>
      <c r="BT18" s="78"/>
      <c r="BU18" s="78"/>
      <c r="BV18" s="78"/>
      <c r="BW18" s="78"/>
      <c r="BX18" s="78"/>
      <c r="BY18" s="79"/>
      <c r="BZ18" s="65"/>
      <c r="DJ18" s="67"/>
      <c r="ER18" s="67"/>
      <c r="FZ18" s="67"/>
      <c r="GA18" s="67"/>
      <c r="GB18" s="67"/>
      <c r="GC18" s="67"/>
      <c r="GD18" s="67"/>
      <c r="GE18" s="67"/>
      <c r="GF18" s="67"/>
      <c r="GG18" s="67"/>
      <c r="GH18" s="67"/>
      <c r="GI18" s="67"/>
      <c r="GJ18" s="67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</row>
    <row r="19" spans="5:213" s="66" customFormat="1">
      <c r="E19"/>
      <c r="F19" s="67"/>
      <c r="G19" s="67"/>
      <c r="H19" s="67"/>
      <c r="I19" s="67"/>
      <c r="J19" s="67"/>
      <c r="K19" s="67"/>
      <c r="L19" s="67"/>
      <c r="M19" s="67"/>
      <c r="N19" s="78"/>
      <c r="O19" s="78"/>
      <c r="R19" s="161"/>
      <c r="S19" s="78"/>
      <c r="T19" s="78"/>
      <c r="U19" s="78"/>
      <c r="V19" s="78"/>
      <c r="W19" s="78"/>
      <c r="X19" s="79"/>
      <c r="Y19" s="65"/>
      <c r="AB19" s="78"/>
      <c r="AC19" s="78"/>
      <c r="AD19" s="78"/>
      <c r="AE19" s="78"/>
      <c r="AF19" s="78"/>
      <c r="AG19" s="78"/>
      <c r="AH19" s="78"/>
      <c r="AI19" s="78"/>
      <c r="AJ19" s="79"/>
      <c r="AK19" s="65"/>
      <c r="AN19" s="78"/>
      <c r="AO19" s="78"/>
      <c r="AP19" s="78"/>
      <c r="AQ19" s="78"/>
      <c r="AR19" s="78"/>
      <c r="AS19" s="78"/>
      <c r="AT19" s="78"/>
      <c r="AU19" s="78"/>
      <c r="AV19" s="79"/>
      <c r="AW19" s="65"/>
      <c r="AY19" s="161"/>
      <c r="AZ19" s="78"/>
      <c r="BA19" s="78"/>
      <c r="BB19" s="78"/>
      <c r="BC19" s="78"/>
      <c r="BD19" s="78"/>
      <c r="BE19" s="78"/>
      <c r="BF19" s="79"/>
      <c r="BG19" s="65"/>
      <c r="BI19" s="161"/>
      <c r="BJ19" s="78"/>
      <c r="BK19" s="78"/>
      <c r="BL19" s="78"/>
      <c r="BM19" s="78"/>
      <c r="BN19" s="78"/>
      <c r="BO19" s="79"/>
      <c r="BP19" s="65"/>
      <c r="BR19" s="161"/>
      <c r="BS19" s="78"/>
      <c r="BT19" s="78"/>
      <c r="BU19" s="78"/>
      <c r="BV19" s="78"/>
      <c r="BW19" s="78"/>
      <c r="BX19" s="78"/>
      <c r="BY19" s="79"/>
      <c r="BZ19" s="65"/>
      <c r="DJ19" s="67"/>
      <c r="ER19" s="67"/>
      <c r="FZ19" s="67"/>
      <c r="GA19" s="67"/>
      <c r="GB19" s="67"/>
      <c r="GC19" s="67"/>
      <c r="GD19" s="67"/>
      <c r="GE19" s="67"/>
      <c r="GF19" s="67"/>
      <c r="GG19" s="67"/>
      <c r="GH19" s="67"/>
      <c r="GI19" s="67"/>
      <c r="GJ19" s="67"/>
      <c r="GK19" s="67"/>
      <c r="GL19" s="67"/>
      <c r="GM19" s="67"/>
      <c r="GN19" s="67"/>
      <c r="GO19" s="67"/>
      <c r="GP19" s="67"/>
      <c r="GQ19" s="67"/>
      <c r="GR19" s="67"/>
      <c r="GS19" s="67"/>
      <c r="GT19" s="67"/>
      <c r="GU19" s="67"/>
      <c r="GV19" s="67"/>
      <c r="GW19" s="67"/>
      <c r="GX19" s="67"/>
      <c r="GY19" s="67"/>
      <c r="GZ19" s="67"/>
      <c r="HA19" s="67"/>
      <c r="HB19" s="67"/>
      <c r="HC19" s="67"/>
      <c r="HD19" s="67"/>
      <c r="HE19" s="67"/>
    </row>
    <row r="20" spans="5:213" s="66" customFormat="1">
      <c r="E20"/>
      <c r="F20" s="67"/>
      <c r="G20" s="67"/>
      <c r="H20" s="67"/>
      <c r="I20" s="67"/>
      <c r="J20" s="67"/>
      <c r="K20" s="67"/>
      <c r="L20" s="67"/>
      <c r="M20" s="67"/>
      <c r="N20" s="78"/>
      <c r="O20" s="78"/>
      <c r="R20" s="161"/>
      <c r="S20" s="78"/>
      <c r="T20" s="78"/>
      <c r="U20" s="78"/>
      <c r="V20" s="78"/>
      <c r="W20" s="78"/>
      <c r="X20" s="79"/>
      <c r="Y20" s="65"/>
      <c r="AB20" s="78"/>
      <c r="AC20" s="78"/>
      <c r="AD20" s="78"/>
      <c r="AE20" s="78"/>
      <c r="AF20" s="78"/>
      <c r="AG20" s="78"/>
      <c r="AH20" s="78"/>
      <c r="AI20" s="78"/>
      <c r="AJ20" s="79"/>
      <c r="AK20" s="65"/>
      <c r="AN20" s="78"/>
      <c r="AO20" s="78"/>
      <c r="AP20" s="78"/>
      <c r="AQ20" s="78"/>
      <c r="AR20" s="78"/>
      <c r="AS20" s="78"/>
      <c r="AT20" s="78"/>
      <c r="AU20" s="78"/>
      <c r="AV20" s="79"/>
      <c r="AW20" s="65"/>
      <c r="AY20" s="161"/>
      <c r="AZ20" s="78"/>
      <c r="BA20" s="78"/>
      <c r="BB20" s="78"/>
      <c r="BC20" s="78"/>
      <c r="BD20" s="78"/>
      <c r="BE20" s="78"/>
      <c r="BF20" s="79"/>
      <c r="BG20" s="65"/>
      <c r="BI20" s="161"/>
      <c r="BJ20" s="78"/>
      <c r="BK20" s="78"/>
      <c r="BL20" s="78"/>
      <c r="BM20" s="78"/>
      <c r="BN20" s="78"/>
      <c r="BO20" s="79"/>
      <c r="BP20" s="65"/>
      <c r="BR20" s="161"/>
      <c r="BS20" s="78"/>
      <c r="BT20" s="78"/>
      <c r="BU20" s="78"/>
      <c r="BV20" s="78"/>
      <c r="BW20" s="78"/>
      <c r="BX20" s="78"/>
      <c r="BY20" s="79"/>
      <c r="BZ20" s="65"/>
      <c r="DJ20" s="67"/>
      <c r="ER20" s="67"/>
      <c r="FZ20" s="67"/>
      <c r="GA20" s="67"/>
      <c r="GB20" s="67"/>
      <c r="GC20" s="67"/>
      <c r="GD20" s="67"/>
      <c r="GE20" s="67"/>
      <c r="GF20" s="67"/>
      <c r="GG20" s="67"/>
      <c r="GH20" s="67"/>
      <c r="GI20" s="67"/>
      <c r="GJ20" s="67"/>
      <c r="GK20" s="67"/>
      <c r="GL20" s="67"/>
      <c r="GM20" s="67"/>
      <c r="GN20" s="67"/>
      <c r="GO20" s="67"/>
      <c r="GP20" s="67"/>
      <c r="GQ20" s="67"/>
      <c r="GR20" s="67"/>
      <c r="GS20" s="67"/>
      <c r="GT20" s="67"/>
      <c r="GU20" s="67"/>
      <c r="GV20" s="67"/>
      <c r="GW20" s="67"/>
      <c r="GX20" s="67"/>
      <c r="GY20" s="67"/>
      <c r="GZ20" s="67"/>
      <c r="HA20" s="67"/>
      <c r="HB20" s="67"/>
      <c r="HC20" s="67"/>
      <c r="HD20" s="67"/>
      <c r="HE20" s="67"/>
    </row>
    <row r="21" spans="5:213" s="66" customFormat="1">
      <c r="E21"/>
      <c r="F21" s="67"/>
      <c r="G21" s="67"/>
      <c r="H21" s="67"/>
      <c r="I21" s="67"/>
      <c r="J21" s="67"/>
      <c r="K21" s="67"/>
      <c r="L21" s="67"/>
      <c r="M21" s="67"/>
      <c r="N21" s="78"/>
      <c r="O21" s="78"/>
      <c r="R21" s="161"/>
      <c r="S21" s="78"/>
      <c r="T21" s="78"/>
      <c r="U21" s="78"/>
      <c r="V21" s="78"/>
      <c r="W21" s="78"/>
      <c r="X21" s="79"/>
      <c r="Y21" s="65"/>
      <c r="AB21" s="78"/>
      <c r="AC21" s="78"/>
      <c r="AD21" s="78"/>
      <c r="AE21" s="78"/>
      <c r="AF21" s="78"/>
      <c r="AG21" s="78"/>
      <c r="AH21" s="78"/>
      <c r="AI21" s="78"/>
      <c r="AJ21" s="79"/>
      <c r="AK21" s="65"/>
      <c r="AN21" s="78"/>
      <c r="AO21" s="78"/>
      <c r="AP21" s="78"/>
      <c r="AQ21" s="78"/>
      <c r="AR21" s="78"/>
      <c r="AS21" s="78"/>
      <c r="AT21" s="78"/>
      <c r="AU21" s="78"/>
      <c r="AV21" s="79"/>
      <c r="AW21" s="65"/>
      <c r="AY21" s="161"/>
      <c r="AZ21" s="78"/>
      <c r="BA21" s="78"/>
      <c r="BB21" s="78"/>
      <c r="BC21" s="78"/>
      <c r="BD21" s="78"/>
      <c r="BE21" s="78"/>
      <c r="BF21" s="79"/>
      <c r="BG21" s="65"/>
      <c r="BI21" s="161"/>
      <c r="BJ21" s="78"/>
      <c r="BK21" s="78"/>
      <c r="BL21" s="78"/>
      <c r="BM21" s="78"/>
      <c r="BN21" s="78"/>
      <c r="BO21" s="79"/>
      <c r="BP21" s="65"/>
      <c r="BR21" s="161"/>
      <c r="BS21" s="78"/>
      <c r="BT21" s="78"/>
      <c r="BU21" s="78"/>
      <c r="BV21" s="78"/>
      <c r="BW21" s="78"/>
      <c r="BX21" s="78"/>
      <c r="BY21" s="79"/>
      <c r="BZ21" s="65"/>
      <c r="DJ21" s="67"/>
      <c r="ER21" s="67"/>
      <c r="FZ21" s="67"/>
      <c r="GA21" s="67"/>
      <c r="GB21" s="67"/>
      <c r="GC21" s="67"/>
      <c r="GD21" s="67"/>
      <c r="GE21" s="67"/>
      <c r="GF21" s="67"/>
      <c r="GG21" s="67"/>
      <c r="GH21" s="67"/>
      <c r="GI21" s="67"/>
      <c r="GJ21" s="67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</row>
    <row r="22" spans="5:213" s="66" customFormat="1">
      <c r="E22"/>
      <c r="F22" s="67"/>
      <c r="G22" s="67"/>
      <c r="H22" s="67"/>
      <c r="I22" s="67"/>
      <c r="J22" s="67"/>
      <c r="K22" s="67"/>
      <c r="L22" s="67"/>
      <c r="M22" s="67"/>
      <c r="N22" s="78"/>
      <c r="O22" s="78"/>
      <c r="R22" s="161"/>
      <c r="S22" s="78"/>
      <c r="T22" s="78"/>
      <c r="U22" s="78"/>
      <c r="V22" s="78"/>
      <c r="W22" s="78"/>
      <c r="X22" s="79"/>
      <c r="Y22" s="65"/>
      <c r="AB22" s="78"/>
      <c r="AC22" s="78"/>
      <c r="AD22" s="78"/>
      <c r="AE22" s="78"/>
      <c r="AF22" s="78"/>
      <c r="AG22" s="78"/>
      <c r="AH22" s="78"/>
      <c r="AI22" s="78"/>
      <c r="AJ22" s="79"/>
      <c r="AK22" s="65"/>
      <c r="AN22" s="78"/>
      <c r="AO22" s="78"/>
      <c r="AP22" s="78"/>
      <c r="AQ22" s="78"/>
      <c r="AR22" s="78"/>
      <c r="AS22" s="78"/>
      <c r="AT22" s="78"/>
      <c r="AU22" s="78"/>
      <c r="AV22" s="79"/>
      <c r="AW22" s="65"/>
      <c r="AY22" s="161"/>
      <c r="AZ22" s="78"/>
      <c r="BA22" s="78"/>
      <c r="BB22" s="78"/>
      <c r="BC22" s="78"/>
      <c r="BD22" s="78"/>
      <c r="BE22" s="78"/>
      <c r="BF22" s="79"/>
      <c r="BG22" s="65"/>
      <c r="BI22" s="161"/>
      <c r="BJ22" s="78"/>
      <c r="BK22" s="78"/>
      <c r="BL22" s="78"/>
      <c r="BM22" s="78"/>
      <c r="BN22" s="78"/>
      <c r="BO22" s="79"/>
      <c r="BP22" s="65"/>
      <c r="BR22" s="161"/>
      <c r="BS22" s="78"/>
      <c r="BT22" s="78"/>
      <c r="BU22" s="78"/>
      <c r="BV22" s="78"/>
      <c r="BW22" s="78"/>
      <c r="BX22" s="78"/>
      <c r="BY22" s="79"/>
      <c r="BZ22" s="65"/>
      <c r="DJ22" s="67"/>
      <c r="ER22" s="67"/>
      <c r="FZ22" s="67"/>
      <c r="GA22" s="67"/>
      <c r="GB22" s="67"/>
      <c r="GC22" s="67"/>
      <c r="GD22" s="67"/>
      <c r="GE22" s="67"/>
      <c r="GF22" s="67"/>
      <c r="GG22" s="67"/>
      <c r="GH22" s="67"/>
      <c r="GI22" s="67"/>
      <c r="GJ22" s="67"/>
      <c r="GK22" s="67"/>
      <c r="GL22" s="67"/>
      <c r="GM22" s="67"/>
      <c r="GN22" s="67"/>
      <c r="GO22" s="67"/>
      <c r="GP22" s="67"/>
      <c r="GQ22" s="67"/>
      <c r="GR22" s="67"/>
      <c r="GS22" s="67"/>
      <c r="GT22" s="67"/>
      <c r="GU22" s="67"/>
      <c r="GV22" s="67"/>
      <c r="GW22" s="67"/>
      <c r="GX22" s="67"/>
      <c r="GY22" s="67"/>
      <c r="GZ22" s="67"/>
      <c r="HA22" s="67"/>
      <c r="HB22" s="67"/>
      <c r="HC22" s="67"/>
      <c r="HD22" s="67"/>
      <c r="HE22" s="67"/>
    </row>
    <row r="23" spans="5:213" s="66" customFormat="1">
      <c r="E23"/>
      <c r="F23" s="67"/>
      <c r="G23" s="67"/>
      <c r="H23" s="67"/>
      <c r="I23" s="67"/>
      <c r="J23" s="67"/>
      <c r="K23" s="67"/>
      <c r="L23" s="67"/>
      <c r="M23" s="67"/>
      <c r="N23" s="78"/>
      <c r="O23" s="78"/>
      <c r="R23" s="161"/>
      <c r="S23" s="78"/>
      <c r="T23" s="78"/>
      <c r="U23" s="78"/>
      <c r="V23" s="78"/>
      <c r="W23" s="78"/>
      <c r="X23" s="79"/>
      <c r="Y23" s="65"/>
      <c r="AB23" s="78"/>
      <c r="AC23" s="78"/>
      <c r="AD23" s="78"/>
      <c r="AE23" s="78"/>
      <c r="AF23" s="78"/>
      <c r="AG23" s="78"/>
      <c r="AH23" s="78"/>
      <c r="AI23" s="78"/>
      <c r="AJ23" s="79"/>
      <c r="AK23" s="65"/>
      <c r="AN23" s="78"/>
      <c r="AO23" s="78"/>
      <c r="AP23" s="78"/>
      <c r="AQ23" s="78"/>
      <c r="AR23" s="78"/>
      <c r="AS23" s="78"/>
      <c r="AT23" s="78"/>
      <c r="AU23" s="78"/>
      <c r="AV23" s="79"/>
      <c r="AW23" s="65"/>
      <c r="AY23" s="161"/>
      <c r="AZ23" s="78"/>
      <c r="BA23" s="78"/>
      <c r="BB23" s="78"/>
      <c r="BC23" s="78"/>
      <c r="BD23" s="78"/>
      <c r="BE23" s="78"/>
      <c r="BF23" s="79"/>
      <c r="BG23" s="65"/>
      <c r="BI23" s="161"/>
      <c r="BJ23" s="78"/>
      <c r="BK23" s="78"/>
      <c r="BL23" s="78"/>
      <c r="BM23" s="78"/>
      <c r="BN23" s="78"/>
      <c r="BO23" s="79"/>
      <c r="BP23" s="65"/>
      <c r="BR23" s="161"/>
      <c r="BS23" s="78"/>
      <c r="BT23" s="78"/>
      <c r="BU23" s="78"/>
      <c r="BV23" s="78"/>
      <c r="BW23" s="78"/>
      <c r="BX23" s="78"/>
      <c r="BY23" s="79"/>
      <c r="BZ23" s="65"/>
      <c r="DJ23" s="67"/>
      <c r="ER23" s="67"/>
      <c r="FZ23" s="67"/>
      <c r="GA23" s="67"/>
      <c r="GB23" s="67"/>
      <c r="GC23" s="67"/>
      <c r="GD23" s="67"/>
      <c r="GE23" s="67"/>
      <c r="GF23" s="67"/>
      <c r="GG23" s="67"/>
      <c r="GH23" s="67"/>
      <c r="GI23" s="67"/>
      <c r="GJ23" s="67"/>
      <c r="GK23" s="67"/>
      <c r="GL23" s="67"/>
      <c r="GM23" s="67"/>
      <c r="GN23" s="67"/>
      <c r="GO23" s="67"/>
      <c r="GP23" s="67"/>
      <c r="GQ23" s="67"/>
      <c r="GR23" s="67"/>
      <c r="GS23" s="67"/>
      <c r="GT23" s="67"/>
      <c r="GU23" s="67"/>
      <c r="GV23" s="67"/>
      <c r="GW23" s="67"/>
      <c r="GX23" s="67"/>
      <c r="GY23" s="67"/>
      <c r="GZ23" s="67"/>
      <c r="HA23" s="67"/>
      <c r="HB23" s="67"/>
      <c r="HC23" s="67"/>
      <c r="HD23" s="67"/>
      <c r="HE23" s="67"/>
    </row>
    <row r="24" spans="5:213" s="66" customFormat="1">
      <c r="E24"/>
      <c r="F24" s="67"/>
      <c r="G24" s="67"/>
      <c r="H24" s="67"/>
      <c r="I24" s="67"/>
      <c r="J24" s="67"/>
      <c r="K24" s="67"/>
      <c r="L24" s="67"/>
      <c r="M24" s="67"/>
      <c r="N24" s="78"/>
      <c r="O24" s="78"/>
      <c r="R24" s="161"/>
      <c r="S24" s="78"/>
      <c r="T24" s="78"/>
      <c r="U24" s="78"/>
      <c r="V24" s="78"/>
      <c r="W24" s="78"/>
      <c r="X24" s="79"/>
      <c r="Y24" s="65"/>
      <c r="AB24" s="78"/>
      <c r="AC24" s="78"/>
      <c r="AD24" s="78"/>
      <c r="AE24" s="78"/>
      <c r="AF24" s="78"/>
      <c r="AG24" s="78"/>
      <c r="AH24" s="78"/>
      <c r="AI24" s="78"/>
      <c r="AJ24" s="79"/>
      <c r="AK24" s="65"/>
      <c r="AN24" s="78"/>
      <c r="AO24" s="78"/>
      <c r="AP24" s="78"/>
      <c r="AQ24" s="78"/>
      <c r="AR24" s="78"/>
      <c r="AS24" s="78"/>
      <c r="AT24" s="78"/>
      <c r="AU24" s="78"/>
      <c r="AV24" s="79"/>
      <c r="AW24" s="65"/>
      <c r="AY24" s="161"/>
      <c r="AZ24" s="78"/>
      <c r="BA24" s="78"/>
      <c r="BB24" s="78"/>
      <c r="BC24" s="78"/>
      <c r="BD24" s="78"/>
      <c r="BE24" s="78"/>
      <c r="BF24" s="79"/>
      <c r="BG24" s="65"/>
      <c r="BI24" s="161"/>
      <c r="BJ24" s="78"/>
      <c r="BK24" s="78"/>
      <c r="BL24" s="78"/>
      <c r="BM24" s="78"/>
      <c r="BN24" s="78"/>
      <c r="BO24" s="79"/>
      <c r="BP24" s="65"/>
      <c r="BR24" s="161"/>
      <c r="BS24" s="78"/>
      <c r="BT24" s="78"/>
      <c r="BU24" s="78"/>
      <c r="BV24" s="78"/>
      <c r="BW24" s="78"/>
      <c r="BX24" s="78"/>
      <c r="BY24" s="79"/>
      <c r="BZ24" s="65"/>
      <c r="DJ24" s="67"/>
      <c r="ER24" s="67"/>
      <c r="FZ24" s="67"/>
      <c r="GA24" s="67"/>
      <c r="GB24" s="67"/>
      <c r="GC24" s="67"/>
      <c r="GD24" s="67"/>
      <c r="GE24" s="67"/>
      <c r="GF24" s="67"/>
      <c r="GG24" s="67"/>
      <c r="GH24" s="67"/>
      <c r="GI24" s="67"/>
      <c r="GJ24" s="67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</row>
    <row r="25" spans="5:213" s="66" customFormat="1">
      <c r="E25"/>
      <c r="F25" s="67"/>
      <c r="G25" s="67"/>
      <c r="H25" s="67"/>
      <c r="I25" s="67"/>
      <c r="J25" s="67"/>
      <c r="K25" s="67"/>
      <c r="L25" s="67"/>
      <c r="M25" s="67"/>
      <c r="N25" s="78"/>
      <c r="O25" s="78"/>
      <c r="R25" s="161"/>
      <c r="S25" s="78"/>
      <c r="T25" s="78"/>
      <c r="U25" s="78"/>
      <c r="V25" s="78"/>
      <c r="W25" s="78"/>
      <c r="X25" s="79"/>
      <c r="Y25" s="65"/>
      <c r="AB25" s="78"/>
      <c r="AC25" s="78"/>
      <c r="AD25" s="78"/>
      <c r="AE25" s="78"/>
      <c r="AF25" s="78"/>
      <c r="AG25" s="78"/>
      <c r="AH25" s="78"/>
      <c r="AI25" s="78"/>
      <c r="AJ25" s="79"/>
      <c r="AK25" s="65"/>
      <c r="AN25" s="78"/>
      <c r="AO25" s="78"/>
      <c r="AP25" s="78"/>
      <c r="AQ25" s="78"/>
      <c r="AR25" s="78"/>
      <c r="AS25" s="78"/>
      <c r="AT25" s="78"/>
      <c r="AU25" s="78"/>
      <c r="AV25" s="79"/>
      <c r="AW25" s="65"/>
      <c r="AY25" s="161"/>
      <c r="AZ25" s="78"/>
      <c r="BA25" s="78"/>
      <c r="BB25" s="78"/>
      <c r="BC25" s="78"/>
      <c r="BD25" s="78"/>
      <c r="BE25" s="78"/>
      <c r="BF25" s="79"/>
      <c r="BG25" s="65"/>
      <c r="BI25" s="161"/>
      <c r="BJ25" s="78"/>
      <c r="BK25" s="78"/>
      <c r="BL25" s="78"/>
      <c r="BM25" s="78"/>
      <c r="BN25" s="78"/>
      <c r="BO25" s="79"/>
      <c r="BP25" s="65"/>
      <c r="BR25" s="161"/>
      <c r="BS25" s="78"/>
      <c r="BT25" s="78"/>
      <c r="BU25" s="78"/>
      <c r="BV25" s="78"/>
      <c r="BW25" s="78"/>
      <c r="BX25" s="78"/>
      <c r="BY25" s="79"/>
      <c r="BZ25" s="65"/>
      <c r="DJ25" s="67"/>
      <c r="ER25" s="67"/>
      <c r="FZ25" s="67"/>
      <c r="GA25" s="67"/>
      <c r="GB25" s="67"/>
      <c r="GC25" s="67"/>
      <c r="GD25" s="67"/>
      <c r="GE25" s="67"/>
      <c r="GF25" s="67"/>
      <c r="GG25" s="67"/>
      <c r="GH25" s="67"/>
      <c r="GI25" s="67"/>
      <c r="GJ25" s="67"/>
      <c r="GK25" s="67"/>
      <c r="GL25" s="67"/>
      <c r="GM25" s="67"/>
      <c r="GN25" s="67"/>
      <c r="GO25" s="67"/>
      <c r="GP25" s="67"/>
      <c r="GQ25" s="67"/>
      <c r="GR25" s="67"/>
      <c r="GS25" s="67"/>
      <c r="GT25" s="67"/>
      <c r="GU25" s="67"/>
      <c r="GV25" s="67"/>
      <c r="GW25" s="67"/>
      <c r="GX25" s="67"/>
      <c r="GY25" s="67"/>
      <c r="GZ25" s="67"/>
      <c r="HA25" s="67"/>
      <c r="HB25" s="67"/>
      <c r="HC25" s="67"/>
      <c r="HD25" s="67"/>
      <c r="HE25" s="67"/>
    </row>
    <row r="26" spans="5:213" s="66" customFormat="1">
      <c r="E26"/>
      <c r="F26" s="67"/>
      <c r="G26" s="67"/>
      <c r="H26" s="67"/>
      <c r="I26" s="67"/>
      <c r="J26" s="67"/>
      <c r="K26" s="67"/>
      <c r="L26" s="67"/>
      <c r="M26" s="67"/>
      <c r="N26" s="78"/>
      <c r="O26" s="78"/>
      <c r="R26" s="161"/>
      <c r="S26" s="78"/>
      <c r="T26" s="78"/>
      <c r="U26" s="78"/>
      <c r="V26" s="78"/>
      <c r="W26" s="78"/>
      <c r="X26" s="79"/>
      <c r="Y26" s="65"/>
      <c r="AB26" s="78"/>
      <c r="AC26" s="78"/>
      <c r="AD26" s="78"/>
      <c r="AE26" s="78"/>
      <c r="AF26" s="78"/>
      <c r="AG26" s="78"/>
      <c r="AH26" s="78"/>
      <c r="AI26" s="78"/>
      <c r="AJ26" s="79"/>
      <c r="AK26" s="65"/>
      <c r="AN26" s="78"/>
      <c r="AO26" s="78"/>
      <c r="AP26" s="78"/>
      <c r="AQ26" s="78"/>
      <c r="AR26" s="78"/>
      <c r="AS26" s="78"/>
      <c r="AT26" s="78"/>
      <c r="AU26" s="78"/>
      <c r="AV26" s="79"/>
      <c r="AW26" s="65"/>
      <c r="AY26" s="161"/>
      <c r="AZ26" s="78"/>
      <c r="BA26" s="78"/>
      <c r="BB26" s="78"/>
      <c r="BC26" s="78"/>
      <c r="BD26" s="78"/>
      <c r="BE26" s="78"/>
      <c r="BF26" s="79"/>
      <c r="BG26" s="65"/>
      <c r="BI26" s="161"/>
      <c r="BJ26" s="78"/>
      <c r="BK26" s="78"/>
      <c r="BL26" s="78"/>
      <c r="BM26" s="78"/>
      <c r="BN26" s="78"/>
      <c r="BO26" s="79"/>
      <c r="BP26" s="65"/>
      <c r="BR26" s="161"/>
      <c r="BS26" s="78"/>
      <c r="BT26" s="78"/>
      <c r="BU26" s="78"/>
      <c r="BV26" s="78"/>
      <c r="BW26" s="78"/>
      <c r="BX26" s="78"/>
      <c r="BY26" s="79"/>
      <c r="BZ26" s="65"/>
      <c r="DJ26" s="67"/>
      <c r="ER26" s="67"/>
      <c r="FZ26" s="67"/>
      <c r="GA26" s="67"/>
      <c r="GB26" s="67"/>
      <c r="GC26" s="67"/>
      <c r="GD26" s="67"/>
      <c r="GE26" s="67"/>
      <c r="GF26" s="67"/>
      <c r="GG26" s="67"/>
      <c r="GH26" s="67"/>
      <c r="GI26" s="67"/>
      <c r="GJ26" s="67"/>
      <c r="GK26" s="67"/>
      <c r="GL26" s="67"/>
      <c r="GM26" s="67"/>
      <c r="GN26" s="67"/>
      <c r="GO26" s="67"/>
      <c r="GP26" s="67"/>
      <c r="GQ26" s="67"/>
      <c r="GR26" s="67"/>
      <c r="GS26" s="67"/>
      <c r="GT26" s="67"/>
      <c r="GU26" s="67"/>
      <c r="GV26" s="67"/>
      <c r="GW26" s="67"/>
      <c r="GX26" s="67"/>
      <c r="GY26" s="67"/>
      <c r="GZ26" s="67"/>
      <c r="HA26" s="67"/>
      <c r="HB26" s="67"/>
      <c r="HC26" s="67"/>
      <c r="HD26" s="67"/>
      <c r="HE26" s="67"/>
    </row>
    <row r="27" spans="5:213" s="66" customFormat="1">
      <c r="E27"/>
      <c r="F27" s="67"/>
      <c r="G27" s="67"/>
      <c r="H27" s="67"/>
      <c r="I27" s="67"/>
      <c r="J27" s="67"/>
      <c r="K27" s="67"/>
      <c r="L27" s="67"/>
      <c r="M27" s="67"/>
      <c r="N27" s="78"/>
      <c r="O27" s="78"/>
      <c r="R27" s="161"/>
      <c r="S27" s="78"/>
      <c r="T27" s="78"/>
      <c r="U27" s="78"/>
      <c r="V27" s="78"/>
      <c r="W27" s="78"/>
      <c r="X27" s="79"/>
      <c r="Y27" s="65"/>
      <c r="AB27" s="78"/>
      <c r="AC27" s="78"/>
      <c r="AD27" s="78"/>
      <c r="AE27" s="78"/>
      <c r="AF27" s="78"/>
      <c r="AG27" s="78"/>
      <c r="AH27" s="78"/>
      <c r="AI27" s="78"/>
      <c r="AJ27" s="79"/>
      <c r="AK27" s="65"/>
      <c r="AN27" s="78"/>
      <c r="AO27" s="78"/>
      <c r="AP27" s="78"/>
      <c r="AQ27" s="78"/>
      <c r="AR27" s="78"/>
      <c r="AS27" s="78"/>
      <c r="AT27" s="78"/>
      <c r="AU27" s="78"/>
      <c r="AV27" s="79"/>
      <c r="AW27" s="65"/>
      <c r="AY27" s="161"/>
      <c r="AZ27" s="78"/>
      <c r="BA27" s="78"/>
      <c r="BB27" s="78"/>
      <c r="BC27" s="78"/>
      <c r="BD27" s="78"/>
      <c r="BE27" s="78"/>
      <c r="BF27" s="79"/>
      <c r="BG27" s="65"/>
      <c r="BI27" s="161"/>
      <c r="BJ27" s="78"/>
      <c r="BK27" s="78"/>
      <c r="BL27" s="78"/>
      <c r="BM27" s="78"/>
      <c r="BN27" s="78"/>
      <c r="BO27" s="79"/>
      <c r="BP27" s="65"/>
      <c r="BR27" s="161"/>
      <c r="BS27" s="78"/>
      <c r="BT27" s="78"/>
      <c r="BU27" s="78"/>
      <c r="BV27" s="78"/>
      <c r="BW27" s="78"/>
      <c r="BX27" s="78"/>
      <c r="BY27" s="79"/>
      <c r="BZ27" s="65"/>
      <c r="DJ27" s="67"/>
      <c r="ER27" s="67"/>
      <c r="FZ27" s="67"/>
      <c r="GA27" s="67"/>
      <c r="GB27" s="67"/>
      <c r="GC27" s="67"/>
      <c r="GD27" s="67"/>
      <c r="GE27" s="67"/>
      <c r="GF27" s="67"/>
      <c r="GG27" s="67"/>
      <c r="GH27" s="67"/>
      <c r="GI27" s="67"/>
      <c r="GJ27" s="67"/>
      <c r="GK27" s="67"/>
      <c r="GL27" s="67"/>
      <c r="GM27" s="67"/>
      <c r="GN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Y27" s="67"/>
      <c r="GZ27" s="67"/>
      <c r="HA27" s="67"/>
      <c r="HB27" s="67"/>
      <c r="HC27" s="67"/>
      <c r="HD27" s="67"/>
      <c r="HE27" s="67"/>
    </row>
    <row r="28" spans="5:213" s="66" customFormat="1">
      <c r="E28"/>
      <c r="F28" s="67"/>
      <c r="G28" s="67"/>
      <c r="H28" s="67"/>
      <c r="I28" s="67"/>
      <c r="J28" s="67"/>
      <c r="K28" s="67"/>
      <c r="L28" s="67"/>
      <c r="M28" s="67"/>
      <c r="N28" s="78"/>
      <c r="O28" s="78"/>
      <c r="R28" s="161"/>
      <c r="S28" s="78"/>
      <c r="T28" s="78"/>
      <c r="U28" s="78"/>
      <c r="V28" s="78"/>
      <c r="W28" s="78"/>
      <c r="X28" s="79"/>
      <c r="Y28" s="65"/>
      <c r="AB28" s="78"/>
      <c r="AC28" s="78"/>
      <c r="AD28" s="78"/>
      <c r="AE28" s="78"/>
      <c r="AF28" s="78"/>
      <c r="AG28" s="78"/>
      <c r="AH28" s="78"/>
      <c r="AI28" s="78"/>
      <c r="AJ28" s="79"/>
      <c r="AK28" s="65"/>
      <c r="AN28" s="78"/>
      <c r="AO28" s="78"/>
      <c r="AP28" s="78"/>
      <c r="AQ28" s="78"/>
      <c r="AR28" s="78"/>
      <c r="AS28" s="78"/>
      <c r="AT28" s="78"/>
      <c r="AU28" s="78"/>
      <c r="AV28" s="79"/>
      <c r="AW28" s="65"/>
      <c r="AY28" s="161"/>
      <c r="AZ28" s="78"/>
      <c r="BA28" s="78"/>
      <c r="BB28" s="78"/>
      <c r="BC28" s="78"/>
      <c r="BD28" s="78"/>
      <c r="BE28" s="78"/>
      <c r="BF28" s="79"/>
      <c r="BG28" s="65"/>
      <c r="BI28" s="161"/>
      <c r="BJ28" s="78"/>
      <c r="BK28" s="78"/>
      <c r="BL28" s="78"/>
      <c r="BM28" s="78"/>
      <c r="BN28" s="78"/>
      <c r="BO28" s="79"/>
      <c r="BP28" s="65"/>
      <c r="BR28" s="161"/>
      <c r="BS28" s="78"/>
      <c r="BT28" s="78"/>
      <c r="BU28" s="78"/>
      <c r="BV28" s="78"/>
      <c r="BW28" s="78"/>
      <c r="BX28" s="78"/>
      <c r="BY28" s="79"/>
      <c r="BZ28" s="65"/>
      <c r="DJ28" s="67"/>
      <c r="ER28" s="67"/>
      <c r="FZ28" s="67"/>
      <c r="GA28" s="67"/>
      <c r="GB28" s="67"/>
      <c r="GC28" s="67"/>
      <c r="GD28" s="67"/>
      <c r="GE28" s="67"/>
      <c r="GF28" s="67"/>
      <c r="GG28" s="67"/>
      <c r="GH28" s="67"/>
      <c r="GI28" s="67"/>
      <c r="GJ28" s="67"/>
      <c r="GK28" s="67"/>
      <c r="GL28" s="67"/>
      <c r="GM28" s="67"/>
      <c r="GN28" s="67"/>
      <c r="GO28" s="67"/>
      <c r="GP28" s="67"/>
      <c r="GQ28" s="67"/>
      <c r="GR28" s="67"/>
      <c r="GS28" s="67"/>
      <c r="GT28" s="67"/>
      <c r="GU28" s="67"/>
      <c r="GV28" s="67"/>
      <c r="GW28" s="67"/>
      <c r="GX28" s="67"/>
      <c r="GY28" s="67"/>
      <c r="GZ28" s="67"/>
      <c r="HA28" s="67"/>
      <c r="HB28" s="67"/>
      <c r="HC28" s="67"/>
      <c r="HD28" s="67"/>
      <c r="HE28" s="67"/>
    </row>
    <row r="29" spans="5:213" s="66" customFormat="1">
      <c r="E29"/>
      <c r="F29" s="67"/>
      <c r="G29" s="67"/>
      <c r="H29" s="67"/>
      <c r="I29" s="67"/>
      <c r="J29" s="67"/>
      <c r="K29" s="67"/>
      <c r="L29" s="67"/>
      <c r="M29" s="67"/>
      <c r="N29" s="78"/>
      <c r="O29" s="78"/>
      <c r="R29" s="161"/>
      <c r="S29" s="78"/>
      <c r="T29" s="78"/>
      <c r="U29" s="78"/>
      <c r="V29" s="78"/>
      <c r="W29" s="78"/>
      <c r="X29" s="79"/>
      <c r="Y29" s="65"/>
      <c r="AB29" s="78"/>
      <c r="AC29" s="78"/>
      <c r="AD29" s="78"/>
      <c r="AE29" s="78"/>
      <c r="AF29" s="78"/>
      <c r="AG29" s="78"/>
      <c r="AH29" s="78"/>
      <c r="AI29" s="78"/>
      <c r="AJ29" s="79"/>
      <c r="AK29" s="65"/>
      <c r="AN29" s="78"/>
      <c r="AO29" s="78"/>
      <c r="AP29" s="78"/>
      <c r="AQ29" s="78"/>
      <c r="AR29" s="78"/>
      <c r="AS29" s="78"/>
      <c r="AT29" s="78"/>
      <c r="AU29" s="78"/>
      <c r="AV29" s="79"/>
      <c r="AW29" s="65"/>
      <c r="AY29" s="161"/>
      <c r="AZ29" s="78"/>
      <c r="BA29" s="78"/>
      <c r="BB29" s="78"/>
      <c r="BC29" s="78"/>
      <c r="BD29" s="78"/>
      <c r="BE29" s="78"/>
      <c r="BF29" s="79"/>
      <c r="BG29" s="65"/>
      <c r="BI29" s="161"/>
      <c r="BJ29" s="78"/>
      <c r="BK29" s="78"/>
      <c r="BL29" s="78"/>
      <c r="BM29" s="78"/>
      <c r="BN29" s="78"/>
      <c r="BO29" s="79"/>
      <c r="BP29" s="65"/>
      <c r="BR29" s="161"/>
      <c r="BS29" s="78"/>
      <c r="BT29" s="78"/>
      <c r="BU29" s="78"/>
      <c r="BV29" s="78"/>
      <c r="BW29" s="78"/>
      <c r="BX29" s="78"/>
      <c r="BY29" s="79"/>
      <c r="BZ29" s="65"/>
      <c r="DJ29" s="67"/>
      <c r="ER29" s="67"/>
      <c r="FZ29" s="67"/>
      <c r="GA29" s="67"/>
      <c r="GB29" s="67"/>
      <c r="GC29" s="67"/>
      <c r="GD29" s="67"/>
      <c r="GE29" s="67"/>
      <c r="GF29" s="67"/>
      <c r="GG29" s="67"/>
      <c r="GH29" s="67"/>
      <c r="GI29" s="67"/>
      <c r="GJ29" s="67"/>
      <c r="GK29" s="67"/>
      <c r="GL29" s="67"/>
      <c r="GM29" s="67"/>
      <c r="GN29" s="67"/>
      <c r="GO29" s="67"/>
      <c r="GP29" s="67"/>
      <c r="GQ29" s="67"/>
      <c r="GR29" s="67"/>
      <c r="GS29" s="67"/>
      <c r="GT29" s="67"/>
      <c r="GU29" s="67"/>
      <c r="GV29" s="67"/>
      <c r="GW29" s="67"/>
      <c r="GX29" s="67"/>
      <c r="GY29" s="67"/>
      <c r="GZ29" s="67"/>
      <c r="HA29" s="67"/>
      <c r="HB29" s="67"/>
      <c r="HC29" s="67"/>
      <c r="HD29" s="67"/>
      <c r="HE29" s="67"/>
    </row>
    <row r="30" spans="5:213" s="66" customFormat="1">
      <c r="E30"/>
      <c r="F30" s="67"/>
      <c r="G30" s="67"/>
      <c r="H30" s="67"/>
      <c r="I30" s="67"/>
      <c r="J30" s="67"/>
      <c r="K30" s="67"/>
      <c r="L30" s="67"/>
      <c r="M30" s="67"/>
      <c r="N30" s="78"/>
      <c r="O30" s="78"/>
      <c r="R30" s="161"/>
      <c r="S30" s="78"/>
      <c r="T30" s="78"/>
      <c r="U30" s="78"/>
      <c r="V30" s="78"/>
      <c r="W30" s="78"/>
      <c r="X30" s="79"/>
      <c r="Y30" s="65"/>
      <c r="AB30" s="78"/>
      <c r="AC30" s="78"/>
      <c r="AD30" s="78"/>
      <c r="AE30" s="78"/>
      <c r="AF30" s="78"/>
      <c r="AG30" s="78"/>
      <c r="AH30" s="78"/>
      <c r="AI30" s="78"/>
      <c r="AJ30" s="79"/>
      <c r="AK30" s="65"/>
      <c r="AN30" s="78"/>
      <c r="AO30" s="78"/>
      <c r="AP30" s="78"/>
      <c r="AQ30" s="78"/>
      <c r="AR30" s="78"/>
      <c r="AS30" s="78"/>
      <c r="AT30" s="78"/>
      <c r="AU30" s="78"/>
      <c r="AV30" s="79"/>
      <c r="AW30" s="65"/>
      <c r="AY30" s="161"/>
      <c r="AZ30" s="78"/>
      <c r="BA30" s="78"/>
      <c r="BB30" s="78"/>
      <c r="BC30" s="78"/>
      <c r="BD30" s="78"/>
      <c r="BE30" s="78"/>
      <c r="BF30" s="79"/>
      <c r="BG30" s="65"/>
      <c r="BI30" s="161"/>
      <c r="BJ30" s="78"/>
      <c r="BK30" s="78"/>
      <c r="BL30" s="78"/>
      <c r="BM30" s="78"/>
      <c r="BN30" s="78"/>
      <c r="BO30" s="79"/>
      <c r="BP30" s="65"/>
      <c r="BR30" s="161"/>
      <c r="BS30" s="78"/>
      <c r="BT30" s="78"/>
      <c r="BU30" s="78"/>
      <c r="BV30" s="78"/>
      <c r="BW30" s="78"/>
      <c r="BX30" s="78"/>
      <c r="BY30" s="79"/>
      <c r="BZ30" s="65"/>
      <c r="DJ30" s="67"/>
      <c r="ER30" s="67"/>
      <c r="FZ30" s="67"/>
      <c r="GA30" s="67"/>
      <c r="GB30" s="67"/>
      <c r="GC30" s="67"/>
      <c r="GD30" s="67"/>
      <c r="GE30" s="67"/>
      <c r="GF30" s="67"/>
      <c r="GG30" s="67"/>
      <c r="GH30" s="67"/>
      <c r="GI30" s="67"/>
      <c r="GJ30" s="67"/>
      <c r="GK30" s="67"/>
      <c r="GL30" s="67"/>
      <c r="GM30" s="67"/>
      <c r="GN30" s="67"/>
      <c r="GO30" s="67"/>
      <c r="GP30" s="67"/>
      <c r="GQ30" s="67"/>
      <c r="GR30" s="67"/>
      <c r="GS30" s="67"/>
      <c r="GT30" s="67"/>
      <c r="GU30" s="67"/>
      <c r="GV30" s="67"/>
      <c r="GW30" s="67"/>
      <c r="GX30" s="67"/>
      <c r="GY30" s="67"/>
      <c r="GZ30" s="67"/>
      <c r="HA30" s="67"/>
      <c r="HB30" s="67"/>
      <c r="HC30" s="67"/>
      <c r="HD30" s="67"/>
      <c r="HE30" s="67"/>
    </row>
    <row r="31" spans="5:213">
      <c r="M31" s="67"/>
    </row>
    <row r="32" spans="5:213">
      <c r="M32" s="67"/>
    </row>
    <row r="33" spans="13:13">
      <c r="M33" s="67"/>
    </row>
    <row r="34" spans="13:13">
      <c r="M34" s="67"/>
    </row>
    <row r="35" spans="13:13">
      <c r="M35" s="67"/>
    </row>
    <row r="36" spans="13:13">
      <c r="M36" s="67"/>
    </row>
    <row r="37" spans="13:13">
      <c r="M37" s="67"/>
    </row>
    <row r="38" spans="13:13">
      <c r="M38" s="67"/>
    </row>
    <row r="39" spans="13:13">
      <c r="M39" s="67"/>
    </row>
    <row r="40" spans="13:13">
      <c r="M40" s="67"/>
    </row>
    <row r="41" spans="13:13">
      <c r="M41" s="67"/>
    </row>
    <row r="42" spans="13:13">
      <c r="M42" s="67"/>
    </row>
    <row r="43" spans="13:13">
      <c r="M43" s="67"/>
    </row>
    <row r="44" spans="13:13">
      <c r="M44" s="67"/>
    </row>
    <row r="45" spans="13:13">
      <c r="M45" s="67"/>
    </row>
    <row r="46" spans="13:13">
      <c r="M46" s="67"/>
    </row>
    <row r="47" spans="13:13">
      <c r="M47" s="67"/>
    </row>
    <row r="48" spans="13:13">
      <c r="M48" s="67"/>
    </row>
    <row r="49" spans="13:13">
      <c r="M49" s="67"/>
    </row>
    <row r="50" spans="13:13">
      <c r="M50" s="67"/>
    </row>
    <row r="51" spans="13:13">
      <c r="M51" s="67"/>
    </row>
    <row r="52" spans="13:13">
      <c r="M52" s="67"/>
    </row>
    <row r="53" spans="13:13">
      <c r="M53" s="67"/>
    </row>
    <row r="54" spans="13:13">
      <c r="M54" s="67"/>
    </row>
    <row r="55" spans="13:13">
      <c r="M55" s="67"/>
    </row>
    <row r="56" spans="13:13">
      <c r="M56" s="67"/>
    </row>
    <row r="57" spans="13:13">
      <c r="M57" s="67"/>
    </row>
    <row r="58" spans="13:13">
      <c r="M58" s="67"/>
    </row>
    <row r="59" spans="13:13">
      <c r="M59" s="67"/>
    </row>
    <row r="60" spans="13:13">
      <c r="M60" s="67"/>
    </row>
    <row r="61" spans="13:13">
      <c r="M61" s="67"/>
    </row>
    <row r="62" spans="13:13">
      <c r="M62" s="67"/>
    </row>
    <row r="63" spans="13:13">
      <c r="M63" s="67"/>
    </row>
    <row r="64" spans="13:13">
      <c r="M64" s="67"/>
    </row>
    <row r="65" spans="13:13">
      <c r="M65" s="67"/>
    </row>
    <row r="66" spans="13:13">
      <c r="M66" s="67"/>
    </row>
    <row r="67" spans="13:13">
      <c r="M67" s="67"/>
    </row>
    <row r="68" spans="13:13">
      <c r="M68" s="67"/>
    </row>
    <row r="69" spans="13:13">
      <c r="M69" s="67"/>
    </row>
    <row r="70" spans="13:13">
      <c r="M70" s="67"/>
    </row>
    <row r="71" spans="13:13">
      <c r="M71" s="67"/>
    </row>
    <row r="72" spans="13:13">
      <c r="M72" s="67"/>
    </row>
    <row r="73" spans="13:13">
      <c r="M73" s="67"/>
    </row>
    <row r="74" spans="13:13">
      <c r="M74" s="67"/>
    </row>
    <row r="75" spans="13:13">
      <c r="M75" s="67"/>
    </row>
    <row r="76" spans="13:13">
      <c r="M76" s="67"/>
    </row>
    <row r="77" spans="13:13">
      <c r="M77" s="67"/>
    </row>
    <row r="78" spans="13:13">
      <c r="M78" s="67"/>
    </row>
    <row r="79" spans="13:13">
      <c r="M79" s="67"/>
    </row>
    <row r="80" spans="13:13">
      <c r="M80" s="67"/>
    </row>
    <row r="81" spans="13:13">
      <c r="M81" s="67"/>
    </row>
    <row r="82" spans="13:13">
      <c r="M82" s="67"/>
    </row>
    <row r="83" spans="13:13">
      <c r="M83" s="67"/>
    </row>
    <row r="84" spans="13:13">
      <c r="M84" s="67"/>
    </row>
    <row r="85" spans="13:13">
      <c r="M85" s="67"/>
    </row>
    <row r="86" spans="13:13">
      <c r="M86" s="67"/>
    </row>
    <row r="87" spans="13:13">
      <c r="M87" s="67"/>
    </row>
    <row r="88" spans="13:13">
      <c r="M88" s="67"/>
    </row>
    <row r="89" spans="13:13">
      <c r="M89" s="67"/>
    </row>
    <row r="90" spans="13:13">
      <c r="M90" s="67"/>
    </row>
    <row r="91" spans="13:13">
      <c r="M91" s="67"/>
    </row>
    <row r="92" spans="13:13">
      <c r="M92" s="67"/>
    </row>
    <row r="93" spans="13:13">
      <c r="M93" s="67"/>
    </row>
    <row r="94" spans="13:13">
      <c r="M94" s="67"/>
    </row>
    <row r="95" spans="13:13">
      <c r="M95" s="67"/>
    </row>
    <row r="96" spans="13:13">
      <c r="M96" s="67"/>
    </row>
    <row r="97" spans="13:13">
      <c r="M97" s="67"/>
    </row>
    <row r="98" spans="13:13">
      <c r="M98" s="67"/>
    </row>
    <row r="99" spans="13:13">
      <c r="M99" s="67"/>
    </row>
    <row r="100" spans="13:13">
      <c r="M100" s="67"/>
    </row>
    <row r="101" spans="13:13">
      <c r="M101" s="67"/>
    </row>
    <row r="102" spans="13:13">
      <c r="M102" s="67"/>
    </row>
    <row r="103" spans="13:13">
      <c r="M103" s="67"/>
    </row>
    <row r="104" spans="13:13">
      <c r="M104" s="67"/>
    </row>
    <row r="105" spans="13:13">
      <c r="M105" s="67"/>
    </row>
    <row r="106" spans="13:13">
      <c r="M106" s="67"/>
    </row>
    <row r="107" spans="13:13">
      <c r="M107" s="67"/>
    </row>
    <row r="108" spans="13:13">
      <c r="M108" s="67"/>
    </row>
    <row r="109" spans="13:13">
      <c r="M109" s="67"/>
    </row>
    <row r="110" spans="13:13">
      <c r="M110" s="67"/>
    </row>
    <row r="111" spans="13:13">
      <c r="M111" s="67"/>
    </row>
    <row r="112" spans="13:13">
      <c r="M112" s="67"/>
    </row>
    <row r="113" spans="13:13">
      <c r="M113" s="67"/>
    </row>
    <row r="114" spans="13:13">
      <c r="M114" s="67"/>
    </row>
    <row r="115" spans="13:13">
      <c r="M115" s="67"/>
    </row>
    <row r="116" spans="13:13">
      <c r="M116" s="67"/>
    </row>
    <row r="117" spans="13:13">
      <c r="M117" s="67"/>
    </row>
    <row r="118" spans="13:13">
      <c r="M118" s="67"/>
    </row>
    <row r="119" spans="13:13">
      <c r="M119" s="67"/>
    </row>
    <row r="120" spans="13:13">
      <c r="M120" s="67"/>
    </row>
    <row r="121" spans="13:13">
      <c r="M121" s="67"/>
    </row>
    <row r="122" spans="13:13">
      <c r="M122" s="67"/>
    </row>
    <row r="123" spans="13:13">
      <c r="M123" s="67"/>
    </row>
    <row r="124" spans="13:13">
      <c r="M124" s="67"/>
    </row>
    <row r="125" spans="13:13">
      <c r="M125" s="67"/>
    </row>
    <row r="126" spans="13:13">
      <c r="M126" s="67"/>
    </row>
    <row r="127" spans="13:13">
      <c r="M127" s="67"/>
    </row>
    <row r="128" spans="13:13">
      <c r="M128" s="67"/>
    </row>
    <row r="129" spans="13:13">
      <c r="M129" s="67"/>
    </row>
    <row r="130" spans="13:13">
      <c r="M130" s="67"/>
    </row>
    <row r="131" spans="13:13">
      <c r="M131" s="67"/>
    </row>
    <row r="132" spans="13:13">
      <c r="M132" s="67"/>
    </row>
    <row r="133" spans="13:13">
      <c r="M133" s="67"/>
    </row>
    <row r="134" spans="13:13">
      <c r="M134" s="67"/>
    </row>
    <row r="135" spans="13:13">
      <c r="M135" s="67"/>
    </row>
    <row r="136" spans="13:13">
      <c r="M136" s="67"/>
    </row>
    <row r="137" spans="13:13">
      <c r="M137" s="67"/>
    </row>
    <row r="138" spans="13:13">
      <c r="M138" s="67"/>
    </row>
    <row r="139" spans="13:13">
      <c r="M139" s="67"/>
    </row>
    <row r="140" spans="13:13">
      <c r="M140" s="67"/>
    </row>
    <row r="141" spans="13:13">
      <c r="M141" s="67"/>
    </row>
    <row r="142" spans="13:13">
      <c r="M142" s="67"/>
    </row>
    <row r="143" spans="13:13">
      <c r="M143" s="67"/>
    </row>
    <row r="144" spans="13:13">
      <c r="M144" s="67"/>
    </row>
    <row r="145" spans="13:13">
      <c r="M145" s="67"/>
    </row>
    <row r="146" spans="13:13">
      <c r="M146" s="67"/>
    </row>
    <row r="147" spans="13:13">
      <c r="M147" s="67"/>
    </row>
    <row r="148" spans="13:13">
      <c r="M148" s="67"/>
    </row>
    <row r="149" spans="13:13">
      <c r="M149" s="67"/>
    </row>
    <row r="150" spans="13:13">
      <c r="M150" s="67"/>
    </row>
    <row r="151" spans="13:13">
      <c r="M151" s="67"/>
    </row>
    <row r="152" spans="13:13">
      <c r="M152" s="67"/>
    </row>
    <row r="153" spans="13:13">
      <c r="M153" s="67"/>
    </row>
    <row r="154" spans="13:13">
      <c r="M154" s="67"/>
    </row>
    <row r="155" spans="13:13">
      <c r="M155" s="67"/>
    </row>
    <row r="156" spans="13:13">
      <c r="M156" s="67"/>
    </row>
    <row r="157" spans="13:13">
      <c r="M157" s="67"/>
    </row>
    <row r="158" spans="13:13">
      <c r="M158" s="67"/>
    </row>
    <row r="159" spans="13:13">
      <c r="M159" s="67"/>
    </row>
    <row r="160" spans="13:13">
      <c r="M160" s="67"/>
    </row>
    <row r="161" spans="13:13">
      <c r="M161" s="67"/>
    </row>
    <row r="162" spans="13:13">
      <c r="M162" s="67"/>
    </row>
    <row r="163" spans="13:13">
      <c r="M163" s="67"/>
    </row>
    <row r="164" spans="13:13">
      <c r="M164" s="67"/>
    </row>
    <row r="165" spans="13:13">
      <c r="M165" s="67"/>
    </row>
    <row r="166" spans="13:13">
      <c r="M166" s="67"/>
    </row>
    <row r="167" spans="13:13">
      <c r="M167" s="67"/>
    </row>
    <row r="168" spans="13:13">
      <c r="M168" s="67"/>
    </row>
    <row r="169" spans="13:13">
      <c r="M169" s="67"/>
    </row>
    <row r="170" spans="13:13">
      <c r="M170" s="67"/>
    </row>
    <row r="171" spans="13:13">
      <c r="M171" s="67"/>
    </row>
    <row r="172" spans="13:13">
      <c r="M172" s="67"/>
    </row>
    <row r="173" spans="13:13">
      <c r="M173" s="67"/>
    </row>
    <row r="174" spans="13:13">
      <c r="M174" s="67"/>
    </row>
    <row r="175" spans="13:13">
      <c r="M175" s="67"/>
    </row>
    <row r="176" spans="13:13">
      <c r="M176" s="67"/>
    </row>
    <row r="177" spans="13:13">
      <c r="M177" s="67"/>
    </row>
    <row r="178" spans="13:13">
      <c r="M178" s="67"/>
    </row>
    <row r="179" spans="13:13">
      <c r="M179" s="67"/>
    </row>
    <row r="180" spans="13:13">
      <c r="M180" s="67"/>
    </row>
    <row r="181" spans="13:13">
      <c r="M181" s="67"/>
    </row>
    <row r="182" spans="13:13">
      <c r="M182" s="67"/>
    </row>
    <row r="183" spans="13:13">
      <c r="M183" s="67"/>
    </row>
    <row r="184" spans="13:13">
      <c r="M184" s="67"/>
    </row>
    <row r="185" spans="13:13">
      <c r="M185" s="67"/>
    </row>
    <row r="186" spans="13:13">
      <c r="M186" s="67"/>
    </row>
    <row r="187" spans="13:13">
      <c r="M187" s="67"/>
    </row>
    <row r="188" spans="13:13">
      <c r="M188" s="67"/>
    </row>
    <row r="189" spans="13:13">
      <c r="M189" s="67"/>
    </row>
    <row r="190" spans="13:13">
      <c r="M190" s="67"/>
    </row>
    <row r="191" spans="13:13">
      <c r="M191" s="67"/>
    </row>
    <row r="192" spans="13:13">
      <c r="M192" s="67"/>
    </row>
    <row r="193" spans="13:13">
      <c r="M193" s="67"/>
    </row>
    <row r="194" spans="13:13">
      <c r="M194" s="67"/>
    </row>
    <row r="195" spans="13:13">
      <c r="M195" s="67"/>
    </row>
    <row r="196" spans="13:13">
      <c r="M196" s="67"/>
    </row>
    <row r="197" spans="13:13">
      <c r="M197" s="67"/>
    </row>
    <row r="198" spans="13:13">
      <c r="M198" s="67"/>
    </row>
    <row r="199" spans="13:13">
      <c r="M199" s="67"/>
    </row>
    <row r="200" spans="13:13">
      <c r="M200" s="67"/>
    </row>
    <row r="201" spans="13:13">
      <c r="M201" s="67"/>
    </row>
    <row r="202" spans="13:13">
      <c r="M202" s="67"/>
    </row>
    <row r="203" spans="13:13">
      <c r="M203" s="67"/>
    </row>
    <row r="204" spans="13:13">
      <c r="M204" s="67"/>
    </row>
    <row r="205" spans="13:13">
      <c r="M205" s="67"/>
    </row>
    <row r="206" spans="13:13">
      <c r="M206" s="67"/>
    </row>
    <row r="207" spans="13:13">
      <c r="M207" s="67"/>
    </row>
    <row r="208" spans="13:13">
      <c r="M208" s="67"/>
    </row>
    <row r="209" spans="13:13">
      <c r="M209" s="67"/>
    </row>
    <row r="210" spans="13:13">
      <c r="M210" s="67"/>
    </row>
    <row r="211" spans="13:13">
      <c r="M211" s="67"/>
    </row>
    <row r="212" spans="13:13">
      <c r="M212" s="67"/>
    </row>
    <row r="213" spans="13:13">
      <c r="M213" s="67"/>
    </row>
    <row r="214" spans="13:13">
      <c r="M214" s="67"/>
    </row>
    <row r="215" spans="13:13">
      <c r="M215" s="67"/>
    </row>
    <row r="216" spans="13:13">
      <c r="M216" s="67"/>
    </row>
    <row r="217" spans="13:13">
      <c r="M217" s="67"/>
    </row>
    <row r="218" spans="13:13">
      <c r="M218" s="67"/>
    </row>
    <row r="219" spans="13:13">
      <c r="M219" s="67"/>
    </row>
    <row r="220" spans="13:13">
      <c r="M220" s="67"/>
    </row>
    <row r="221" spans="13:13">
      <c r="M221" s="67"/>
    </row>
    <row r="222" spans="13:13">
      <c r="M222" s="67"/>
    </row>
    <row r="223" spans="13:13">
      <c r="M223" s="67"/>
    </row>
    <row r="224" spans="13:13">
      <c r="M224" s="67"/>
    </row>
    <row r="225" spans="13:13">
      <c r="M225" s="67"/>
    </row>
    <row r="226" spans="13:13">
      <c r="M226" s="67"/>
    </row>
    <row r="227" spans="13:13">
      <c r="M227" s="67"/>
    </row>
    <row r="228" spans="13:13">
      <c r="M228" s="67"/>
    </row>
    <row r="229" spans="13:13">
      <c r="M229" s="67"/>
    </row>
    <row r="230" spans="13:13">
      <c r="M230" s="67"/>
    </row>
    <row r="231" spans="13:13">
      <c r="M231" s="67"/>
    </row>
    <row r="232" spans="13:13">
      <c r="M232" s="67"/>
    </row>
    <row r="233" spans="13:13">
      <c r="M233" s="67"/>
    </row>
    <row r="234" spans="13:13">
      <c r="M234" s="67"/>
    </row>
    <row r="235" spans="13:13">
      <c r="M235" s="67"/>
    </row>
    <row r="236" spans="13:13">
      <c r="M236" s="67"/>
    </row>
    <row r="237" spans="13:13">
      <c r="M237" s="67"/>
    </row>
    <row r="238" spans="13:13">
      <c r="M238" s="67"/>
    </row>
    <row r="239" spans="13:13">
      <c r="M239" s="67"/>
    </row>
    <row r="240" spans="13:13">
      <c r="M240" s="67"/>
    </row>
    <row r="241" spans="13:13">
      <c r="M241" s="67"/>
    </row>
    <row r="242" spans="13:13">
      <c r="M242" s="67"/>
    </row>
    <row r="243" spans="13:13">
      <c r="M243" s="67"/>
    </row>
    <row r="244" spans="13:13">
      <c r="M244" s="67"/>
    </row>
    <row r="245" spans="13:13">
      <c r="M245" s="67"/>
    </row>
    <row r="246" spans="13:13">
      <c r="M246" s="67"/>
    </row>
    <row r="247" spans="13:13">
      <c r="M247" s="67"/>
    </row>
    <row r="248" spans="13:13">
      <c r="M248" s="67"/>
    </row>
    <row r="249" spans="13:13">
      <c r="M249" s="67"/>
    </row>
    <row r="250" spans="13:13">
      <c r="M250" s="67"/>
    </row>
    <row r="251" spans="13:13">
      <c r="M251" s="67"/>
    </row>
    <row r="252" spans="13:13">
      <c r="M252" s="67"/>
    </row>
    <row r="253" spans="13:13">
      <c r="M253" s="67"/>
    </row>
    <row r="254" spans="13:13">
      <c r="M254" s="67"/>
    </row>
    <row r="255" spans="13:13">
      <c r="M255" s="67"/>
    </row>
    <row r="256" spans="13:13">
      <c r="M256" s="67"/>
    </row>
    <row r="257" spans="13:13">
      <c r="M257" s="67"/>
    </row>
    <row r="258" spans="13:13">
      <c r="M258" s="67"/>
    </row>
    <row r="259" spans="13:13">
      <c r="M259" s="67"/>
    </row>
    <row r="260" spans="13:13">
      <c r="M260" s="67"/>
    </row>
    <row r="261" spans="13:13">
      <c r="M261" s="67"/>
    </row>
    <row r="262" spans="13:13">
      <c r="M262" s="67"/>
    </row>
    <row r="263" spans="13:13">
      <c r="M263" s="67"/>
    </row>
    <row r="264" spans="13:13">
      <c r="M264" s="67"/>
    </row>
    <row r="265" spans="13:13">
      <c r="M265" s="67"/>
    </row>
    <row r="266" spans="13:13">
      <c r="M266" s="67"/>
    </row>
    <row r="267" spans="13:13">
      <c r="M267" s="67"/>
    </row>
    <row r="268" spans="13:13">
      <c r="M268" s="67"/>
    </row>
    <row r="269" spans="13:13">
      <c r="M269" s="67"/>
    </row>
    <row r="270" spans="13:13">
      <c r="M270" s="67"/>
    </row>
    <row r="271" spans="13:13">
      <c r="M271" s="67"/>
    </row>
    <row r="272" spans="13:13">
      <c r="M272" s="67"/>
    </row>
    <row r="273" spans="13:13">
      <c r="M273" s="67"/>
    </row>
    <row r="274" spans="13:13">
      <c r="M274" s="67"/>
    </row>
    <row r="275" spans="13:13">
      <c r="M275" s="67"/>
    </row>
    <row r="276" spans="13:13">
      <c r="M276" s="67"/>
    </row>
    <row r="277" spans="13:13">
      <c r="M277" s="67"/>
    </row>
    <row r="278" spans="13:13">
      <c r="M278" s="67"/>
    </row>
    <row r="279" spans="13:13">
      <c r="M279" s="67"/>
    </row>
    <row r="280" spans="13:13">
      <c r="M280" s="67"/>
    </row>
    <row r="281" spans="13:13">
      <c r="M281" s="67"/>
    </row>
    <row r="282" spans="13:13">
      <c r="M282" s="67"/>
    </row>
    <row r="283" spans="13:13">
      <c r="M283" s="67"/>
    </row>
    <row r="284" spans="13:13">
      <c r="M284" s="67"/>
    </row>
    <row r="285" spans="13:13">
      <c r="M285" s="67"/>
    </row>
    <row r="286" spans="13:13">
      <c r="M286" s="67"/>
    </row>
    <row r="287" spans="13:13">
      <c r="M287" s="67"/>
    </row>
    <row r="288" spans="13:13">
      <c r="M288" s="67"/>
    </row>
    <row r="289" spans="13:13">
      <c r="M289" s="67"/>
    </row>
    <row r="290" spans="13:13">
      <c r="M290" s="67"/>
    </row>
    <row r="291" spans="13:13">
      <c r="M291" s="67"/>
    </row>
    <row r="292" spans="13:13">
      <c r="M292" s="67"/>
    </row>
    <row r="293" spans="13:13">
      <c r="M293" s="67"/>
    </row>
    <row r="294" spans="13:13">
      <c r="M294" s="67"/>
    </row>
    <row r="295" spans="13:13">
      <c r="M295" s="67"/>
    </row>
    <row r="296" spans="13:13">
      <c r="M296" s="67"/>
    </row>
    <row r="297" spans="13:13">
      <c r="M297" s="67"/>
    </row>
    <row r="298" spans="13:13">
      <c r="M298" s="67"/>
    </row>
    <row r="299" spans="13:13">
      <c r="M299" s="67"/>
    </row>
    <row r="300" spans="13:13">
      <c r="M300" s="67"/>
    </row>
    <row r="301" spans="13:13">
      <c r="M301" s="67"/>
    </row>
    <row r="302" spans="13:13">
      <c r="M302" s="67"/>
    </row>
    <row r="303" spans="13:13">
      <c r="M303" s="67"/>
    </row>
    <row r="304" spans="13:13">
      <c r="M304" s="67"/>
    </row>
    <row r="305" spans="13:13">
      <c r="M305" s="67"/>
    </row>
    <row r="306" spans="13:13">
      <c r="M306" s="67"/>
    </row>
    <row r="307" spans="13:13">
      <c r="M307" s="67"/>
    </row>
    <row r="308" spans="13:13">
      <c r="M308" s="67"/>
    </row>
    <row r="309" spans="13:13">
      <c r="M309" s="67"/>
    </row>
    <row r="310" spans="13:13">
      <c r="M310" s="67"/>
    </row>
    <row r="311" spans="13:13">
      <c r="M311" s="67"/>
    </row>
    <row r="312" spans="13:13">
      <c r="M312" s="67"/>
    </row>
    <row r="313" spans="13:13">
      <c r="M313" s="67"/>
    </row>
    <row r="314" spans="13:13">
      <c r="M314" s="67"/>
    </row>
    <row r="315" spans="13:13">
      <c r="M315" s="67"/>
    </row>
    <row r="316" spans="13:13">
      <c r="M316" s="67"/>
    </row>
    <row r="317" spans="13:13">
      <c r="M317" s="67"/>
    </row>
    <row r="318" spans="13:13">
      <c r="M318" s="67"/>
    </row>
    <row r="319" spans="13:13">
      <c r="M319" s="67"/>
    </row>
    <row r="320" spans="13:13">
      <c r="M320" s="67"/>
    </row>
    <row r="321" spans="13:13">
      <c r="M321" s="67"/>
    </row>
    <row r="322" spans="13:13">
      <c r="M322" s="67"/>
    </row>
    <row r="323" spans="13:13">
      <c r="M323" s="67"/>
    </row>
    <row r="324" spans="13:13">
      <c r="M324" s="67"/>
    </row>
    <row r="325" spans="13:13">
      <c r="M325" s="67"/>
    </row>
    <row r="326" spans="13:13">
      <c r="M326" s="67"/>
    </row>
    <row r="327" spans="13:13">
      <c r="M327" s="67"/>
    </row>
    <row r="328" spans="13:13">
      <c r="M328" s="67"/>
    </row>
    <row r="329" spans="13:13">
      <c r="M329" s="67"/>
    </row>
    <row r="330" spans="13:13">
      <c r="M330" s="67"/>
    </row>
    <row r="331" spans="13:13">
      <c r="M331" s="67"/>
    </row>
    <row r="332" spans="13:13">
      <c r="M332" s="67"/>
    </row>
    <row r="333" spans="13:13">
      <c r="M333" s="67"/>
    </row>
    <row r="334" spans="13:13">
      <c r="M334" s="67"/>
    </row>
    <row r="335" spans="13:13">
      <c r="M335" s="67"/>
    </row>
    <row r="336" spans="13:13">
      <c r="M336" s="67"/>
    </row>
    <row r="337" spans="13:13">
      <c r="M337" s="67"/>
    </row>
    <row r="338" spans="13:13">
      <c r="M338" s="67"/>
    </row>
    <row r="339" spans="13:13">
      <c r="M339" s="67"/>
    </row>
    <row r="340" spans="13:13">
      <c r="M340" s="67"/>
    </row>
    <row r="341" spans="13:13">
      <c r="M341" s="67"/>
    </row>
    <row r="342" spans="13:13">
      <c r="M342" s="67"/>
    </row>
    <row r="343" spans="13:13">
      <c r="M343" s="67"/>
    </row>
    <row r="344" spans="13:13">
      <c r="M344" s="67"/>
    </row>
    <row r="345" spans="13:13">
      <c r="M345" s="67"/>
    </row>
    <row r="346" spans="13:13">
      <c r="M346" s="67"/>
    </row>
    <row r="347" spans="13:13">
      <c r="M347" s="67"/>
    </row>
    <row r="348" spans="13:13">
      <c r="M348" s="67"/>
    </row>
    <row r="349" spans="13:13">
      <c r="M349" s="67"/>
    </row>
    <row r="350" spans="13:13">
      <c r="M350" s="67"/>
    </row>
    <row r="351" spans="13:13">
      <c r="M351" s="67"/>
    </row>
    <row r="352" spans="13:13">
      <c r="M352" s="67"/>
    </row>
    <row r="353" spans="13:13">
      <c r="M353" s="67"/>
    </row>
    <row r="354" spans="13:13">
      <c r="M354" s="67"/>
    </row>
    <row r="355" spans="13:13">
      <c r="M355" s="67"/>
    </row>
    <row r="356" spans="13:13">
      <c r="M356" s="67"/>
    </row>
    <row r="357" spans="13:13">
      <c r="M357" s="67"/>
    </row>
    <row r="358" spans="13:13">
      <c r="M358" s="67"/>
    </row>
    <row r="359" spans="13:13">
      <c r="M359" s="67"/>
    </row>
    <row r="360" spans="13:13">
      <c r="M360" s="67"/>
    </row>
    <row r="361" spans="13:13">
      <c r="M361" s="67"/>
    </row>
    <row r="362" spans="13:13">
      <c r="M362" s="67"/>
    </row>
    <row r="363" spans="13:13">
      <c r="M363" s="67"/>
    </row>
    <row r="364" spans="13:13">
      <c r="M364" s="67"/>
    </row>
    <row r="365" spans="13:13">
      <c r="M365" s="67"/>
    </row>
    <row r="366" spans="13:13">
      <c r="M366" s="67"/>
    </row>
    <row r="367" spans="13:13">
      <c r="M367" s="67"/>
    </row>
    <row r="368" spans="13:13">
      <c r="M368" s="67"/>
    </row>
    <row r="369" spans="13:13">
      <c r="M369" s="67"/>
    </row>
    <row r="370" spans="13:13">
      <c r="M370" s="67"/>
    </row>
    <row r="371" spans="13:13">
      <c r="M371" s="67"/>
    </row>
    <row r="372" spans="13:13">
      <c r="M372" s="67"/>
    </row>
    <row r="373" spans="13:13">
      <c r="M373" s="67"/>
    </row>
    <row r="374" spans="13:13">
      <c r="M374" s="67"/>
    </row>
    <row r="375" spans="13:13">
      <c r="M375" s="67"/>
    </row>
    <row r="376" spans="13:13">
      <c r="M376" s="67"/>
    </row>
    <row r="377" spans="13:13">
      <c r="M377" s="67"/>
    </row>
    <row r="378" spans="13:13">
      <c r="M378" s="67"/>
    </row>
    <row r="379" spans="13:13">
      <c r="M379" s="67"/>
    </row>
    <row r="380" spans="13:13">
      <c r="M380" s="67"/>
    </row>
    <row r="381" spans="13:13">
      <c r="M381" s="67"/>
    </row>
    <row r="382" spans="13:13">
      <c r="M382" s="67"/>
    </row>
    <row r="383" spans="13:13">
      <c r="M383" s="67"/>
    </row>
    <row r="384" spans="13:13">
      <c r="M384" s="67"/>
    </row>
    <row r="385" spans="13:13">
      <c r="M385" s="67"/>
    </row>
    <row r="386" spans="13:13">
      <c r="M386" s="67"/>
    </row>
    <row r="387" spans="13:13">
      <c r="M387" s="67"/>
    </row>
    <row r="388" spans="13:13">
      <c r="M388" s="67"/>
    </row>
    <row r="389" spans="13:13">
      <c r="M389" s="67"/>
    </row>
    <row r="390" spans="13:13">
      <c r="M390" s="67"/>
    </row>
    <row r="391" spans="13:13">
      <c r="M391" s="67"/>
    </row>
    <row r="392" spans="13:13">
      <c r="M392" s="67"/>
    </row>
    <row r="393" spans="13:13">
      <c r="M393" s="67"/>
    </row>
    <row r="394" spans="13:13">
      <c r="M394" s="67"/>
    </row>
    <row r="395" spans="13:13">
      <c r="M395" s="67"/>
    </row>
    <row r="396" spans="13:13">
      <c r="M396" s="67"/>
    </row>
    <row r="397" spans="13:13">
      <c r="M397" s="67"/>
    </row>
    <row r="398" spans="13:13">
      <c r="M398" s="67"/>
    </row>
    <row r="399" spans="13:13">
      <c r="M399" s="67"/>
    </row>
    <row r="400" spans="13:13">
      <c r="M400" s="67"/>
    </row>
    <row r="401" spans="13:13">
      <c r="M401" s="67"/>
    </row>
    <row r="402" spans="13:13">
      <c r="M402" s="67"/>
    </row>
    <row r="403" spans="13:13">
      <c r="M403" s="67"/>
    </row>
    <row r="404" spans="13:13">
      <c r="M404" s="67"/>
    </row>
    <row r="405" spans="13:13">
      <c r="M405" s="67"/>
    </row>
    <row r="406" spans="13:13">
      <c r="M406" s="67"/>
    </row>
    <row r="407" spans="13:13">
      <c r="M407" s="67"/>
    </row>
    <row r="408" spans="13:13">
      <c r="M408" s="67"/>
    </row>
    <row r="409" spans="13:13">
      <c r="M409" s="67"/>
    </row>
    <row r="410" spans="13:13">
      <c r="M410" s="67"/>
    </row>
    <row r="411" spans="13:13">
      <c r="M411" s="67"/>
    </row>
    <row r="412" spans="13:13">
      <c r="M412" s="67"/>
    </row>
    <row r="413" spans="13:13">
      <c r="M413" s="67"/>
    </row>
    <row r="414" spans="13:13">
      <c r="M414" s="67"/>
    </row>
    <row r="415" spans="13:13">
      <c r="M415" s="67"/>
    </row>
    <row r="416" spans="13:13">
      <c r="M416" s="67"/>
    </row>
    <row r="417" spans="13:13">
      <c r="M417" s="67"/>
    </row>
    <row r="418" spans="13:13">
      <c r="M418" s="67"/>
    </row>
    <row r="419" spans="13:13">
      <c r="M419" s="67"/>
    </row>
    <row r="420" spans="13:13">
      <c r="M420" s="67"/>
    </row>
    <row r="421" spans="13:13">
      <c r="M421" s="67"/>
    </row>
    <row r="422" spans="13:13">
      <c r="M422" s="67"/>
    </row>
    <row r="423" spans="13:13">
      <c r="M423" s="67"/>
    </row>
    <row r="424" spans="13:13">
      <c r="M424" s="67"/>
    </row>
    <row r="425" spans="13:13">
      <c r="M425" s="67"/>
    </row>
    <row r="426" spans="13:13">
      <c r="M426" s="67"/>
    </row>
    <row r="427" spans="13:13">
      <c r="M427" s="67"/>
    </row>
    <row r="428" spans="13:13">
      <c r="M428" s="67"/>
    </row>
    <row r="429" spans="13:13">
      <c r="M429" s="67"/>
    </row>
    <row r="430" spans="13:13">
      <c r="M430" s="67"/>
    </row>
    <row r="431" spans="13:13">
      <c r="M431" s="67"/>
    </row>
    <row r="432" spans="13:13">
      <c r="M432" s="67"/>
    </row>
    <row r="433" spans="13:13">
      <c r="M433" s="67"/>
    </row>
    <row r="434" spans="13:13">
      <c r="M434" s="67"/>
    </row>
    <row r="435" spans="13:13">
      <c r="M435" s="67"/>
    </row>
    <row r="436" spans="13:13">
      <c r="M436" s="67"/>
    </row>
    <row r="437" spans="13:13">
      <c r="M437" s="67"/>
    </row>
    <row r="438" spans="13:13">
      <c r="M438" s="67"/>
    </row>
    <row r="439" spans="13:13">
      <c r="M439" s="67"/>
    </row>
    <row r="440" spans="13:13">
      <c r="M440" s="67"/>
    </row>
    <row r="441" spans="13:13">
      <c r="M441" s="67"/>
    </row>
    <row r="442" spans="13:13">
      <c r="M442" s="67"/>
    </row>
    <row r="443" spans="13:13">
      <c r="M443" s="67"/>
    </row>
    <row r="444" spans="13:13">
      <c r="M444" s="67"/>
    </row>
    <row r="445" spans="13:13">
      <c r="M445" s="67"/>
    </row>
    <row r="446" spans="13:13">
      <c r="M446" s="67"/>
    </row>
    <row r="447" spans="13:13">
      <c r="M447" s="67"/>
    </row>
    <row r="448" spans="13:13">
      <c r="M448" s="67"/>
    </row>
    <row r="449" spans="13:13">
      <c r="M449" s="67"/>
    </row>
    <row r="450" spans="13:13">
      <c r="M450" s="67"/>
    </row>
    <row r="451" spans="13:13">
      <c r="M451" s="67"/>
    </row>
    <row r="452" spans="13:13">
      <c r="M452" s="67"/>
    </row>
    <row r="453" spans="13:13">
      <c r="M453" s="67"/>
    </row>
    <row r="454" spans="13:13">
      <c r="M454" s="67"/>
    </row>
    <row r="455" spans="13:13">
      <c r="M455" s="67"/>
    </row>
    <row r="456" spans="13:13">
      <c r="M456" s="67"/>
    </row>
    <row r="457" spans="13:13">
      <c r="M457" s="67"/>
    </row>
    <row r="458" spans="13:13">
      <c r="M458" s="67"/>
    </row>
    <row r="459" spans="13:13">
      <c r="M459" s="67"/>
    </row>
    <row r="460" spans="13:13">
      <c r="M460" s="67"/>
    </row>
    <row r="461" spans="13:13">
      <c r="M461" s="67"/>
    </row>
    <row r="462" spans="13:13">
      <c r="M462" s="67"/>
    </row>
    <row r="463" spans="13:13">
      <c r="M463" s="67"/>
    </row>
    <row r="464" spans="13:13">
      <c r="M464" s="67"/>
    </row>
    <row r="465" spans="13:13">
      <c r="M465" s="67"/>
    </row>
    <row r="466" spans="13:13">
      <c r="M466" s="67"/>
    </row>
    <row r="467" spans="13:13">
      <c r="M467" s="67"/>
    </row>
    <row r="468" spans="13:13">
      <c r="M468" s="67"/>
    </row>
    <row r="469" spans="13:13">
      <c r="M469" s="67"/>
    </row>
    <row r="470" spans="13:13">
      <c r="M470" s="67"/>
    </row>
    <row r="471" spans="13:13">
      <c r="M471" s="67"/>
    </row>
    <row r="472" spans="13:13">
      <c r="M472" s="67"/>
    </row>
    <row r="473" spans="13:13">
      <c r="M473" s="67"/>
    </row>
    <row r="474" spans="13:13">
      <c r="M474" s="67"/>
    </row>
    <row r="475" spans="13:13">
      <c r="M475" s="67"/>
    </row>
    <row r="476" spans="13:13">
      <c r="M476" s="67"/>
    </row>
    <row r="477" spans="13:13">
      <c r="M477" s="67"/>
    </row>
    <row r="478" spans="13:13">
      <c r="M478" s="67"/>
    </row>
    <row r="479" spans="13:13">
      <c r="M479" s="67"/>
    </row>
    <row r="480" spans="13:13">
      <c r="M480" s="67"/>
    </row>
    <row r="481" spans="13:13">
      <c r="M481" s="67"/>
    </row>
    <row r="482" spans="13:13">
      <c r="M482" s="67"/>
    </row>
    <row r="483" spans="13:13">
      <c r="M483" s="67"/>
    </row>
    <row r="484" spans="13:13">
      <c r="M484" s="67"/>
    </row>
    <row r="485" spans="13:13">
      <c r="M485" s="67"/>
    </row>
    <row r="486" spans="13:13">
      <c r="M486" s="67"/>
    </row>
    <row r="487" spans="13:13">
      <c r="M487" s="67"/>
    </row>
    <row r="488" spans="13:13">
      <c r="M488" s="67"/>
    </row>
    <row r="489" spans="13:13">
      <c r="M489" s="67"/>
    </row>
    <row r="490" spans="13:13">
      <c r="M490" s="67"/>
    </row>
    <row r="491" spans="13:13">
      <c r="M491" s="67"/>
    </row>
    <row r="492" spans="13:13">
      <c r="M492" s="67"/>
    </row>
    <row r="493" spans="13:13">
      <c r="M493" s="67"/>
    </row>
    <row r="494" spans="13:13">
      <c r="M494" s="67"/>
    </row>
    <row r="495" spans="13:13">
      <c r="M495" s="67"/>
    </row>
    <row r="496" spans="13:13">
      <c r="M496" s="67"/>
    </row>
    <row r="497" spans="13:13">
      <c r="M497" s="67"/>
    </row>
    <row r="498" spans="13:13">
      <c r="M498" s="67"/>
    </row>
    <row r="499" spans="13:13">
      <c r="M499" s="67"/>
    </row>
    <row r="500" spans="13:13">
      <c r="M500" s="67"/>
    </row>
    <row r="501" spans="13:13">
      <c r="M501" s="67"/>
    </row>
    <row r="502" spans="13:13">
      <c r="M502" s="67"/>
    </row>
    <row r="503" spans="13:13">
      <c r="M503" s="67"/>
    </row>
    <row r="504" spans="13:13">
      <c r="M504" s="67"/>
    </row>
    <row r="505" spans="13:13">
      <c r="M505" s="67"/>
    </row>
    <row r="506" spans="13:13">
      <c r="M506" s="67"/>
    </row>
    <row r="507" spans="13:13">
      <c r="M507" s="67"/>
    </row>
    <row r="508" spans="13:13">
      <c r="M508" s="67"/>
    </row>
    <row r="509" spans="13:13">
      <c r="M509" s="67"/>
    </row>
    <row r="510" spans="13:13">
      <c r="M510" s="67"/>
    </row>
    <row r="511" spans="13:13">
      <c r="M511" s="67"/>
    </row>
    <row r="512" spans="13:13">
      <c r="M512" s="67"/>
    </row>
    <row r="513" spans="13:13">
      <c r="M513" s="67"/>
    </row>
    <row r="514" spans="13:13">
      <c r="M514" s="67"/>
    </row>
    <row r="515" spans="13:13">
      <c r="M515" s="67"/>
    </row>
    <row r="516" spans="13:13">
      <c r="M516" s="67"/>
    </row>
    <row r="517" spans="13:13">
      <c r="M517" s="67"/>
    </row>
    <row r="518" spans="13:13">
      <c r="M518" s="67"/>
    </row>
    <row r="519" spans="13:13">
      <c r="M519" s="67"/>
    </row>
    <row r="520" spans="13:13">
      <c r="M520" s="67"/>
    </row>
    <row r="521" spans="13:13">
      <c r="M521" s="67"/>
    </row>
    <row r="522" spans="13:13">
      <c r="M522" s="67"/>
    </row>
    <row r="523" spans="13:13">
      <c r="M523" s="67"/>
    </row>
    <row r="524" spans="13:13">
      <c r="M524" s="67"/>
    </row>
    <row r="525" spans="13:13">
      <c r="M525" s="67"/>
    </row>
    <row r="526" spans="13:13">
      <c r="M526" s="67"/>
    </row>
    <row r="527" spans="13:13">
      <c r="M527" s="67"/>
    </row>
    <row r="528" spans="13:13">
      <c r="M528" s="67"/>
    </row>
    <row r="529" spans="13:13">
      <c r="M529" s="67"/>
    </row>
    <row r="530" spans="13:13">
      <c r="M530" s="67"/>
    </row>
    <row r="531" spans="13:13">
      <c r="M531" s="67"/>
    </row>
    <row r="532" spans="13:13">
      <c r="M532" s="67"/>
    </row>
    <row r="533" spans="13:13">
      <c r="M533" s="67"/>
    </row>
    <row r="534" spans="13:13">
      <c r="M534" s="67"/>
    </row>
    <row r="535" spans="13:13">
      <c r="M535" s="67"/>
    </row>
    <row r="536" spans="13:13">
      <c r="M536" s="67"/>
    </row>
    <row r="537" spans="13:13">
      <c r="M537" s="67"/>
    </row>
    <row r="538" spans="13:13">
      <c r="M538" s="67"/>
    </row>
    <row r="539" spans="13:13">
      <c r="M539" s="67"/>
    </row>
    <row r="540" spans="13:13">
      <c r="M540" s="67"/>
    </row>
    <row r="541" spans="13:13">
      <c r="M541" s="67"/>
    </row>
    <row r="542" spans="13:13">
      <c r="M542" s="67"/>
    </row>
    <row r="543" spans="13:13">
      <c r="M543" s="67"/>
    </row>
    <row r="544" spans="13:13">
      <c r="M544" s="67"/>
    </row>
    <row r="545" spans="13:13">
      <c r="M545" s="67"/>
    </row>
    <row r="546" spans="13:13">
      <c r="M546" s="67"/>
    </row>
    <row r="547" spans="13:13">
      <c r="M547" s="67"/>
    </row>
    <row r="548" spans="13:13">
      <c r="M548" s="67"/>
    </row>
    <row r="549" spans="13:13">
      <c r="M549" s="67"/>
    </row>
    <row r="550" spans="13:13">
      <c r="M550" s="67"/>
    </row>
    <row r="551" spans="13:13">
      <c r="M551" s="67"/>
    </row>
    <row r="552" spans="13:13">
      <c r="M552" s="67"/>
    </row>
    <row r="553" spans="13:13">
      <c r="M553" s="67"/>
    </row>
    <row r="554" spans="13:13">
      <c r="M554" s="67"/>
    </row>
    <row r="555" spans="13:13">
      <c r="M555" s="67"/>
    </row>
    <row r="556" spans="13:13">
      <c r="M556" s="67"/>
    </row>
    <row r="557" spans="13:13">
      <c r="M557" s="67"/>
    </row>
    <row r="558" spans="13:13">
      <c r="M558" s="67"/>
    </row>
    <row r="559" spans="13:13">
      <c r="M559" s="67"/>
    </row>
    <row r="560" spans="13:13">
      <c r="M560" s="67"/>
    </row>
    <row r="561" spans="13:13">
      <c r="M561" s="67"/>
    </row>
    <row r="562" spans="13:13">
      <c r="M562" s="67"/>
    </row>
    <row r="563" spans="13:13">
      <c r="M563" s="67"/>
    </row>
    <row r="564" spans="13:13">
      <c r="M564" s="67"/>
    </row>
    <row r="565" spans="13:13">
      <c r="M565" s="67"/>
    </row>
    <row r="566" spans="13:13">
      <c r="M566" s="67"/>
    </row>
    <row r="567" spans="13:13">
      <c r="M567" s="67"/>
    </row>
    <row r="568" spans="13:13">
      <c r="M568" s="67"/>
    </row>
    <row r="569" spans="13:13">
      <c r="M569" s="67"/>
    </row>
    <row r="570" spans="13:13">
      <c r="M570" s="67"/>
    </row>
    <row r="571" spans="13:13">
      <c r="M571" s="67"/>
    </row>
    <row r="572" spans="13:13">
      <c r="M572" s="67"/>
    </row>
    <row r="573" spans="13:13">
      <c r="M573" s="67"/>
    </row>
    <row r="574" spans="13:13">
      <c r="M574" s="67"/>
    </row>
    <row r="575" spans="13:13">
      <c r="M575" s="67"/>
    </row>
    <row r="576" spans="13:13">
      <c r="M576" s="67"/>
    </row>
    <row r="577" spans="13:13">
      <c r="M577" s="67"/>
    </row>
    <row r="578" spans="13:13">
      <c r="M578" s="67"/>
    </row>
    <row r="579" spans="13:13">
      <c r="M579" s="67"/>
    </row>
    <row r="580" spans="13:13">
      <c r="M580" s="67"/>
    </row>
    <row r="581" spans="13:13">
      <c r="M581" s="67"/>
    </row>
    <row r="582" spans="13:13">
      <c r="M582" s="67"/>
    </row>
    <row r="583" spans="13:13">
      <c r="M583" s="67"/>
    </row>
    <row r="584" spans="13:13">
      <c r="M584" s="67"/>
    </row>
    <row r="585" spans="13:13">
      <c r="M585" s="67"/>
    </row>
    <row r="586" spans="13:13">
      <c r="M586" s="67"/>
    </row>
    <row r="587" spans="13:13">
      <c r="M587" s="67"/>
    </row>
    <row r="588" spans="13:13">
      <c r="M588" s="67"/>
    </row>
    <row r="589" spans="13:13">
      <c r="M589" s="67"/>
    </row>
    <row r="590" spans="13:13">
      <c r="M590" s="67"/>
    </row>
    <row r="591" spans="13:13">
      <c r="M591" s="67"/>
    </row>
    <row r="592" spans="13:13">
      <c r="M592" s="67"/>
    </row>
    <row r="593" spans="13:13">
      <c r="M593" s="67"/>
    </row>
    <row r="594" spans="13:13">
      <c r="M594" s="67"/>
    </row>
    <row r="595" spans="13:13">
      <c r="M595" s="67"/>
    </row>
    <row r="596" spans="13:13">
      <c r="M596" s="67"/>
    </row>
  </sheetData>
  <dataValidations count="1">
    <dataValidation type="list" allowBlank="1" showInputMessage="1" showErrorMessage="1" sqref="C8" xr:uid="{00000000-0002-0000-0F00-000000000000}">
      <formula1>"Process-outsourced,Process-Inhouse,Surface Protection"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45"/>
  <sheetViews>
    <sheetView tabSelected="1" topLeftCell="B7" zoomScale="90" zoomScaleNormal="90" workbookViewId="0">
      <selection activeCell="J33" sqref="J33"/>
    </sheetView>
  </sheetViews>
  <sheetFormatPr defaultRowHeight="15"/>
  <cols>
    <col min="1" max="1" width="27.5703125" bestFit="1" customWidth="1"/>
    <col min="2" max="2" width="14.5703125" customWidth="1"/>
    <col min="3" max="3" width="15.7109375" customWidth="1"/>
    <col min="4" max="4" width="27.42578125" customWidth="1"/>
    <col min="5" max="5" width="27.140625" bestFit="1" customWidth="1"/>
    <col min="6" max="6" width="16.85546875" customWidth="1"/>
    <col min="8" max="8" width="12.42578125" bestFit="1" customWidth="1"/>
    <col min="257" max="257" width="31.7109375" bestFit="1" customWidth="1"/>
    <col min="258" max="258" width="26.7109375" bestFit="1" customWidth="1"/>
    <col min="259" max="259" width="34.140625" customWidth="1"/>
    <col min="260" max="260" width="14.42578125" bestFit="1" customWidth="1"/>
    <col min="261" max="261" width="27.140625" bestFit="1" customWidth="1"/>
    <col min="262" max="262" width="13.140625" bestFit="1" customWidth="1"/>
    <col min="513" max="513" width="31.7109375" bestFit="1" customWidth="1"/>
    <col min="514" max="514" width="26.7109375" bestFit="1" customWidth="1"/>
    <col min="515" max="515" width="34.140625" customWidth="1"/>
    <col min="516" max="516" width="14.42578125" bestFit="1" customWidth="1"/>
    <col min="517" max="517" width="27.140625" bestFit="1" customWidth="1"/>
    <col min="518" max="518" width="13.140625" bestFit="1" customWidth="1"/>
    <col min="769" max="769" width="31.7109375" bestFit="1" customWidth="1"/>
    <col min="770" max="770" width="26.7109375" bestFit="1" customWidth="1"/>
    <col min="771" max="771" width="34.140625" customWidth="1"/>
    <col min="772" max="772" width="14.42578125" bestFit="1" customWidth="1"/>
    <col min="773" max="773" width="27.140625" bestFit="1" customWidth="1"/>
    <col min="774" max="774" width="13.140625" bestFit="1" customWidth="1"/>
    <col min="1025" max="1025" width="31.7109375" bestFit="1" customWidth="1"/>
    <col min="1026" max="1026" width="26.7109375" bestFit="1" customWidth="1"/>
    <col min="1027" max="1027" width="34.140625" customWidth="1"/>
    <col min="1028" max="1028" width="14.42578125" bestFit="1" customWidth="1"/>
    <col min="1029" max="1029" width="27.140625" bestFit="1" customWidth="1"/>
    <col min="1030" max="1030" width="13.140625" bestFit="1" customWidth="1"/>
    <col min="1281" max="1281" width="31.7109375" bestFit="1" customWidth="1"/>
    <col min="1282" max="1282" width="26.7109375" bestFit="1" customWidth="1"/>
    <col min="1283" max="1283" width="34.140625" customWidth="1"/>
    <col min="1284" max="1284" width="14.42578125" bestFit="1" customWidth="1"/>
    <col min="1285" max="1285" width="27.140625" bestFit="1" customWidth="1"/>
    <col min="1286" max="1286" width="13.140625" bestFit="1" customWidth="1"/>
    <col min="1537" max="1537" width="31.7109375" bestFit="1" customWidth="1"/>
    <col min="1538" max="1538" width="26.7109375" bestFit="1" customWidth="1"/>
    <col min="1539" max="1539" width="34.140625" customWidth="1"/>
    <col min="1540" max="1540" width="14.42578125" bestFit="1" customWidth="1"/>
    <col min="1541" max="1541" width="27.140625" bestFit="1" customWidth="1"/>
    <col min="1542" max="1542" width="13.140625" bestFit="1" customWidth="1"/>
    <col min="1793" max="1793" width="31.7109375" bestFit="1" customWidth="1"/>
    <col min="1794" max="1794" width="26.7109375" bestFit="1" customWidth="1"/>
    <col min="1795" max="1795" width="34.140625" customWidth="1"/>
    <col min="1796" max="1796" width="14.42578125" bestFit="1" customWidth="1"/>
    <col min="1797" max="1797" width="27.140625" bestFit="1" customWidth="1"/>
    <col min="1798" max="1798" width="13.140625" bestFit="1" customWidth="1"/>
    <col min="2049" max="2049" width="31.7109375" bestFit="1" customWidth="1"/>
    <col min="2050" max="2050" width="26.7109375" bestFit="1" customWidth="1"/>
    <col min="2051" max="2051" width="34.140625" customWidth="1"/>
    <col min="2052" max="2052" width="14.42578125" bestFit="1" customWidth="1"/>
    <col min="2053" max="2053" width="27.140625" bestFit="1" customWidth="1"/>
    <col min="2054" max="2054" width="13.140625" bestFit="1" customWidth="1"/>
    <col min="2305" max="2305" width="31.7109375" bestFit="1" customWidth="1"/>
    <col min="2306" max="2306" width="26.7109375" bestFit="1" customWidth="1"/>
    <col min="2307" max="2307" width="34.140625" customWidth="1"/>
    <col min="2308" max="2308" width="14.42578125" bestFit="1" customWidth="1"/>
    <col min="2309" max="2309" width="27.140625" bestFit="1" customWidth="1"/>
    <col min="2310" max="2310" width="13.140625" bestFit="1" customWidth="1"/>
    <col min="2561" max="2561" width="31.7109375" bestFit="1" customWidth="1"/>
    <col min="2562" max="2562" width="26.7109375" bestFit="1" customWidth="1"/>
    <col min="2563" max="2563" width="34.140625" customWidth="1"/>
    <col min="2564" max="2564" width="14.42578125" bestFit="1" customWidth="1"/>
    <col min="2565" max="2565" width="27.140625" bestFit="1" customWidth="1"/>
    <col min="2566" max="2566" width="13.140625" bestFit="1" customWidth="1"/>
    <col min="2817" max="2817" width="31.7109375" bestFit="1" customWidth="1"/>
    <col min="2818" max="2818" width="26.7109375" bestFit="1" customWidth="1"/>
    <col min="2819" max="2819" width="34.140625" customWidth="1"/>
    <col min="2820" max="2820" width="14.42578125" bestFit="1" customWidth="1"/>
    <col min="2821" max="2821" width="27.140625" bestFit="1" customWidth="1"/>
    <col min="2822" max="2822" width="13.140625" bestFit="1" customWidth="1"/>
    <col min="3073" max="3073" width="31.7109375" bestFit="1" customWidth="1"/>
    <col min="3074" max="3074" width="26.7109375" bestFit="1" customWidth="1"/>
    <col min="3075" max="3075" width="34.140625" customWidth="1"/>
    <col min="3076" max="3076" width="14.42578125" bestFit="1" customWidth="1"/>
    <col min="3077" max="3077" width="27.140625" bestFit="1" customWidth="1"/>
    <col min="3078" max="3078" width="13.140625" bestFit="1" customWidth="1"/>
    <col min="3329" max="3329" width="31.7109375" bestFit="1" customWidth="1"/>
    <col min="3330" max="3330" width="26.7109375" bestFit="1" customWidth="1"/>
    <col min="3331" max="3331" width="34.140625" customWidth="1"/>
    <col min="3332" max="3332" width="14.42578125" bestFit="1" customWidth="1"/>
    <col min="3333" max="3333" width="27.140625" bestFit="1" customWidth="1"/>
    <col min="3334" max="3334" width="13.140625" bestFit="1" customWidth="1"/>
    <col min="3585" max="3585" width="31.7109375" bestFit="1" customWidth="1"/>
    <col min="3586" max="3586" width="26.7109375" bestFit="1" customWidth="1"/>
    <col min="3587" max="3587" width="34.140625" customWidth="1"/>
    <col min="3588" max="3588" width="14.42578125" bestFit="1" customWidth="1"/>
    <col min="3589" max="3589" width="27.140625" bestFit="1" customWidth="1"/>
    <col min="3590" max="3590" width="13.140625" bestFit="1" customWidth="1"/>
    <col min="3841" max="3841" width="31.7109375" bestFit="1" customWidth="1"/>
    <col min="3842" max="3842" width="26.7109375" bestFit="1" customWidth="1"/>
    <col min="3843" max="3843" width="34.140625" customWidth="1"/>
    <col min="3844" max="3844" width="14.42578125" bestFit="1" customWidth="1"/>
    <col min="3845" max="3845" width="27.140625" bestFit="1" customWidth="1"/>
    <col min="3846" max="3846" width="13.140625" bestFit="1" customWidth="1"/>
    <col min="4097" max="4097" width="31.7109375" bestFit="1" customWidth="1"/>
    <col min="4098" max="4098" width="26.7109375" bestFit="1" customWidth="1"/>
    <col min="4099" max="4099" width="34.140625" customWidth="1"/>
    <col min="4100" max="4100" width="14.42578125" bestFit="1" customWidth="1"/>
    <col min="4101" max="4101" width="27.140625" bestFit="1" customWidth="1"/>
    <col min="4102" max="4102" width="13.140625" bestFit="1" customWidth="1"/>
    <col min="4353" max="4353" width="31.7109375" bestFit="1" customWidth="1"/>
    <col min="4354" max="4354" width="26.7109375" bestFit="1" customWidth="1"/>
    <col min="4355" max="4355" width="34.140625" customWidth="1"/>
    <col min="4356" max="4356" width="14.42578125" bestFit="1" customWidth="1"/>
    <col min="4357" max="4357" width="27.140625" bestFit="1" customWidth="1"/>
    <col min="4358" max="4358" width="13.140625" bestFit="1" customWidth="1"/>
    <col min="4609" max="4609" width="31.7109375" bestFit="1" customWidth="1"/>
    <col min="4610" max="4610" width="26.7109375" bestFit="1" customWidth="1"/>
    <col min="4611" max="4611" width="34.140625" customWidth="1"/>
    <col min="4612" max="4612" width="14.42578125" bestFit="1" customWidth="1"/>
    <col min="4613" max="4613" width="27.140625" bestFit="1" customWidth="1"/>
    <col min="4614" max="4614" width="13.140625" bestFit="1" customWidth="1"/>
    <col min="4865" max="4865" width="31.7109375" bestFit="1" customWidth="1"/>
    <col min="4866" max="4866" width="26.7109375" bestFit="1" customWidth="1"/>
    <col min="4867" max="4867" width="34.140625" customWidth="1"/>
    <col min="4868" max="4868" width="14.42578125" bestFit="1" customWidth="1"/>
    <col min="4869" max="4869" width="27.140625" bestFit="1" customWidth="1"/>
    <col min="4870" max="4870" width="13.140625" bestFit="1" customWidth="1"/>
    <col min="5121" max="5121" width="31.7109375" bestFit="1" customWidth="1"/>
    <col min="5122" max="5122" width="26.7109375" bestFit="1" customWidth="1"/>
    <col min="5123" max="5123" width="34.140625" customWidth="1"/>
    <col min="5124" max="5124" width="14.42578125" bestFit="1" customWidth="1"/>
    <col min="5125" max="5125" width="27.140625" bestFit="1" customWidth="1"/>
    <col min="5126" max="5126" width="13.140625" bestFit="1" customWidth="1"/>
    <col min="5377" max="5377" width="31.7109375" bestFit="1" customWidth="1"/>
    <col min="5378" max="5378" width="26.7109375" bestFit="1" customWidth="1"/>
    <col min="5379" max="5379" width="34.140625" customWidth="1"/>
    <col min="5380" max="5380" width="14.42578125" bestFit="1" customWidth="1"/>
    <col min="5381" max="5381" width="27.140625" bestFit="1" customWidth="1"/>
    <col min="5382" max="5382" width="13.140625" bestFit="1" customWidth="1"/>
    <col min="5633" max="5633" width="31.7109375" bestFit="1" customWidth="1"/>
    <col min="5634" max="5634" width="26.7109375" bestFit="1" customWidth="1"/>
    <col min="5635" max="5635" width="34.140625" customWidth="1"/>
    <col min="5636" max="5636" width="14.42578125" bestFit="1" customWidth="1"/>
    <col min="5637" max="5637" width="27.140625" bestFit="1" customWidth="1"/>
    <col min="5638" max="5638" width="13.140625" bestFit="1" customWidth="1"/>
    <col min="5889" max="5889" width="31.7109375" bestFit="1" customWidth="1"/>
    <col min="5890" max="5890" width="26.7109375" bestFit="1" customWidth="1"/>
    <col min="5891" max="5891" width="34.140625" customWidth="1"/>
    <col min="5892" max="5892" width="14.42578125" bestFit="1" customWidth="1"/>
    <col min="5893" max="5893" width="27.140625" bestFit="1" customWidth="1"/>
    <col min="5894" max="5894" width="13.140625" bestFit="1" customWidth="1"/>
    <col min="6145" max="6145" width="31.7109375" bestFit="1" customWidth="1"/>
    <col min="6146" max="6146" width="26.7109375" bestFit="1" customWidth="1"/>
    <col min="6147" max="6147" width="34.140625" customWidth="1"/>
    <col min="6148" max="6148" width="14.42578125" bestFit="1" customWidth="1"/>
    <col min="6149" max="6149" width="27.140625" bestFit="1" customWidth="1"/>
    <col min="6150" max="6150" width="13.140625" bestFit="1" customWidth="1"/>
    <col min="6401" max="6401" width="31.7109375" bestFit="1" customWidth="1"/>
    <col min="6402" max="6402" width="26.7109375" bestFit="1" customWidth="1"/>
    <col min="6403" max="6403" width="34.140625" customWidth="1"/>
    <col min="6404" max="6404" width="14.42578125" bestFit="1" customWidth="1"/>
    <col min="6405" max="6405" width="27.140625" bestFit="1" customWidth="1"/>
    <col min="6406" max="6406" width="13.140625" bestFit="1" customWidth="1"/>
    <col min="6657" max="6657" width="31.7109375" bestFit="1" customWidth="1"/>
    <col min="6658" max="6658" width="26.7109375" bestFit="1" customWidth="1"/>
    <col min="6659" max="6659" width="34.140625" customWidth="1"/>
    <col min="6660" max="6660" width="14.42578125" bestFit="1" customWidth="1"/>
    <col min="6661" max="6661" width="27.140625" bestFit="1" customWidth="1"/>
    <col min="6662" max="6662" width="13.140625" bestFit="1" customWidth="1"/>
    <col min="6913" max="6913" width="31.7109375" bestFit="1" customWidth="1"/>
    <col min="6914" max="6914" width="26.7109375" bestFit="1" customWidth="1"/>
    <col min="6915" max="6915" width="34.140625" customWidth="1"/>
    <col min="6916" max="6916" width="14.42578125" bestFit="1" customWidth="1"/>
    <col min="6917" max="6917" width="27.140625" bestFit="1" customWidth="1"/>
    <col min="6918" max="6918" width="13.140625" bestFit="1" customWidth="1"/>
    <col min="7169" max="7169" width="31.7109375" bestFit="1" customWidth="1"/>
    <col min="7170" max="7170" width="26.7109375" bestFit="1" customWidth="1"/>
    <col min="7171" max="7171" width="34.140625" customWidth="1"/>
    <col min="7172" max="7172" width="14.42578125" bestFit="1" customWidth="1"/>
    <col min="7173" max="7173" width="27.140625" bestFit="1" customWidth="1"/>
    <col min="7174" max="7174" width="13.140625" bestFit="1" customWidth="1"/>
    <col min="7425" max="7425" width="31.7109375" bestFit="1" customWidth="1"/>
    <col min="7426" max="7426" width="26.7109375" bestFit="1" customWidth="1"/>
    <col min="7427" max="7427" width="34.140625" customWidth="1"/>
    <col min="7428" max="7428" width="14.42578125" bestFit="1" customWidth="1"/>
    <col min="7429" max="7429" width="27.140625" bestFit="1" customWidth="1"/>
    <col min="7430" max="7430" width="13.140625" bestFit="1" customWidth="1"/>
    <col min="7681" max="7681" width="31.7109375" bestFit="1" customWidth="1"/>
    <col min="7682" max="7682" width="26.7109375" bestFit="1" customWidth="1"/>
    <col min="7683" max="7683" width="34.140625" customWidth="1"/>
    <col min="7684" max="7684" width="14.42578125" bestFit="1" customWidth="1"/>
    <col min="7685" max="7685" width="27.140625" bestFit="1" customWidth="1"/>
    <col min="7686" max="7686" width="13.140625" bestFit="1" customWidth="1"/>
    <col min="7937" max="7937" width="31.7109375" bestFit="1" customWidth="1"/>
    <col min="7938" max="7938" width="26.7109375" bestFit="1" customWidth="1"/>
    <col min="7939" max="7939" width="34.140625" customWidth="1"/>
    <col min="7940" max="7940" width="14.42578125" bestFit="1" customWidth="1"/>
    <col min="7941" max="7941" width="27.140625" bestFit="1" customWidth="1"/>
    <col min="7942" max="7942" width="13.140625" bestFit="1" customWidth="1"/>
    <col min="8193" max="8193" width="31.7109375" bestFit="1" customWidth="1"/>
    <col min="8194" max="8194" width="26.7109375" bestFit="1" customWidth="1"/>
    <col min="8195" max="8195" width="34.140625" customWidth="1"/>
    <col min="8196" max="8196" width="14.42578125" bestFit="1" customWidth="1"/>
    <col min="8197" max="8197" width="27.140625" bestFit="1" customWidth="1"/>
    <col min="8198" max="8198" width="13.140625" bestFit="1" customWidth="1"/>
    <col min="8449" max="8449" width="31.7109375" bestFit="1" customWidth="1"/>
    <col min="8450" max="8450" width="26.7109375" bestFit="1" customWidth="1"/>
    <col min="8451" max="8451" width="34.140625" customWidth="1"/>
    <col min="8452" max="8452" width="14.42578125" bestFit="1" customWidth="1"/>
    <col min="8453" max="8453" width="27.140625" bestFit="1" customWidth="1"/>
    <col min="8454" max="8454" width="13.140625" bestFit="1" customWidth="1"/>
    <col min="8705" max="8705" width="31.7109375" bestFit="1" customWidth="1"/>
    <col min="8706" max="8706" width="26.7109375" bestFit="1" customWidth="1"/>
    <col min="8707" max="8707" width="34.140625" customWidth="1"/>
    <col min="8708" max="8708" width="14.42578125" bestFit="1" customWidth="1"/>
    <col min="8709" max="8709" width="27.140625" bestFit="1" customWidth="1"/>
    <col min="8710" max="8710" width="13.140625" bestFit="1" customWidth="1"/>
    <col min="8961" max="8961" width="31.7109375" bestFit="1" customWidth="1"/>
    <col min="8962" max="8962" width="26.7109375" bestFit="1" customWidth="1"/>
    <col min="8963" max="8963" width="34.140625" customWidth="1"/>
    <col min="8964" max="8964" width="14.42578125" bestFit="1" customWidth="1"/>
    <col min="8965" max="8965" width="27.140625" bestFit="1" customWidth="1"/>
    <col min="8966" max="8966" width="13.140625" bestFit="1" customWidth="1"/>
    <col min="9217" max="9217" width="31.7109375" bestFit="1" customWidth="1"/>
    <col min="9218" max="9218" width="26.7109375" bestFit="1" customWidth="1"/>
    <col min="9219" max="9219" width="34.140625" customWidth="1"/>
    <col min="9220" max="9220" width="14.42578125" bestFit="1" customWidth="1"/>
    <col min="9221" max="9221" width="27.140625" bestFit="1" customWidth="1"/>
    <col min="9222" max="9222" width="13.140625" bestFit="1" customWidth="1"/>
    <col min="9473" max="9473" width="31.7109375" bestFit="1" customWidth="1"/>
    <col min="9474" max="9474" width="26.7109375" bestFit="1" customWidth="1"/>
    <col min="9475" max="9475" width="34.140625" customWidth="1"/>
    <col min="9476" max="9476" width="14.42578125" bestFit="1" customWidth="1"/>
    <col min="9477" max="9477" width="27.140625" bestFit="1" customWidth="1"/>
    <col min="9478" max="9478" width="13.140625" bestFit="1" customWidth="1"/>
    <col min="9729" max="9729" width="31.7109375" bestFit="1" customWidth="1"/>
    <col min="9730" max="9730" width="26.7109375" bestFit="1" customWidth="1"/>
    <col min="9731" max="9731" width="34.140625" customWidth="1"/>
    <col min="9732" max="9732" width="14.42578125" bestFit="1" customWidth="1"/>
    <col min="9733" max="9733" width="27.140625" bestFit="1" customWidth="1"/>
    <col min="9734" max="9734" width="13.140625" bestFit="1" customWidth="1"/>
    <col min="9985" max="9985" width="31.7109375" bestFit="1" customWidth="1"/>
    <col min="9986" max="9986" width="26.7109375" bestFit="1" customWidth="1"/>
    <col min="9987" max="9987" width="34.140625" customWidth="1"/>
    <col min="9988" max="9988" width="14.42578125" bestFit="1" customWidth="1"/>
    <col min="9989" max="9989" width="27.140625" bestFit="1" customWidth="1"/>
    <col min="9990" max="9990" width="13.140625" bestFit="1" customWidth="1"/>
    <col min="10241" max="10241" width="31.7109375" bestFit="1" customWidth="1"/>
    <col min="10242" max="10242" width="26.7109375" bestFit="1" customWidth="1"/>
    <col min="10243" max="10243" width="34.140625" customWidth="1"/>
    <col min="10244" max="10244" width="14.42578125" bestFit="1" customWidth="1"/>
    <col min="10245" max="10245" width="27.140625" bestFit="1" customWidth="1"/>
    <col min="10246" max="10246" width="13.140625" bestFit="1" customWidth="1"/>
    <col min="10497" max="10497" width="31.7109375" bestFit="1" customWidth="1"/>
    <col min="10498" max="10498" width="26.7109375" bestFit="1" customWidth="1"/>
    <col min="10499" max="10499" width="34.140625" customWidth="1"/>
    <col min="10500" max="10500" width="14.42578125" bestFit="1" customWidth="1"/>
    <col min="10501" max="10501" width="27.140625" bestFit="1" customWidth="1"/>
    <col min="10502" max="10502" width="13.140625" bestFit="1" customWidth="1"/>
    <col min="10753" max="10753" width="31.7109375" bestFit="1" customWidth="1"/>
    <col min="10754" max="10754" width="26.7109375" bestFit="1" customWidth="1"/>
    <col min="10755" max="10755" width="34.140625" customWidth="1"/>
    <col min="10756" max="10756" width="14.42578125" bestFit="1" customWidth="1"/>
    <col min="10757" max="10757" width="27.140625" bestFit="1" customWidth="1"/>
    <col min="10758" max="10758" width="13.140625" bestFit="1" customWidth="1"/>
    <col min="11009" max="11009" width="31.7109375" bestFit="1" customWidth="1"/>
    <col min="11010" max="11010" width="26.7109375" bestFit="1" customWidth="1"/>
    <col min="11011" max="11011" width="34.140625" customWidth="1"/>
    <col min="11012" max="11012" width="14.42578125" bestFit="1" customWidth="1"/>
    <col min="11013" max="11013" width="27.140625" bestFit="1" customWidth="1"/>
    <col min="11014" max="11014" width="13.140625" bestFit="1" customWidth="1"/>
    <col min="11265" max="11265" width="31.7109375" bestFit="1" customWidth="1"/>
    <col min="11266" max="11266" width="26.7109375" bestFit="1" customWidth="1"/>
    <col min="11267" max="11267" width="34.140625" customWidth="1"/>
    <col min="11268" max="11268" width="14.42578125" bestFit="1" customWidth="1"/>
    <col min="11269" max="11269" width="27.140625" bestFit="1" customWidth="1"/>
    <col min="11270" max="11270" width="13.140625" bestFit="1" customWidth="1"/>
    <col min="11521" max="11521" width="31.7109375" bestFit="1" customWidth="1"/>
    <col min="11522" max="11522" width="26.7109375" bestFit="1" customWidth="1"/>
    <col min="11523" max="11523" width="34.140625" customWidth="1"/>
    <col min="11524" max="11524" width="14.42578125" bestFit="1" customWidth="1"/>
    <col min="11525" max="11525" width="27.140625" bestFit="1" customWidth="1"/>
    <col min="11526" max="11526" width="13.140625" bestFit="1" customWidth="1"/>
    <col min="11777" max="11777" width="31.7109375" bestFit="1" customWidth="1"/>
    <col min="11778" max="11778" width="26.7109375" bestFit="1" customWidth="1"/>
    <col min="11779" max="11779" width="34.140625" customWidth="1"/>
    <col min="11780" max="11780" width="14.42578125" bestFit="1" customWidth="1"/>
    <col min="11781" max="11781" width="27.140625" bestFit="1" customWidth="1"/>
    <col min="11782" max="11782" width="13.140625" bestFit="1" customWidth="1"/>
    <col min="12033" max="12033" width="31.7109375" bestFit="1" customWidth="1"/>
    <col min="12034" max="12034" width="26.7109375" bestFit="1" customWidth="1"/>
    <col min="12035" max="12035" width="34.140625" customWidth="1"/>
    <col min="12036" max="12036" width="14.42578125" bestFit="1" customWidth="1"/>
    <col min="12037" max="12037" width="27.140625" bestFit="1" customWidth="1"/>
    <col min="12038" max="12038" width="13.140625" bestFit="1" customWidth="1"/>
    <col min="12289" max="12289" width="31.7109375" bestFit="1" customWidth="1"/>
    <col min="12290" max="12290" width="26.7109375" bestFit="1" customWidth="1"/>
    <col min="12291" max="12291" width="34.140625" customWidth="1"/>
    <col min="12292" max="12292" width="14.42578125" bestFit="1" customWidth="1"/>
    <col min="12293" max="12293" width="27.140625" bestFit="1" customWidth="1"/>
    <col min="12294" max="12294" width="13.140625" bestFit="1" customWidth="1"/>
    <col min="12545" max="12545" width="31.7109375" bestFit="1" customWidth="1"/>
    <col min="12546" max="12546" width="26.7109375" bestFit="1" customWidth="1"/>
    <col min="12547" max="12547" width="34.140625" customWidth="1"/>
    <col min="12548" max="12548" width="14.42578125" bestFit="1" customWidth="1"/>
    <col min="12549" max="12549" width="27.140625" bestFit="1" customWidth="1"/>
    <col min="12550" max="12550" width="13.140625" bestFit="1" customWidth="1"/>
    <col min="12801" max="12801" width="31.7109375" bestFit="1" customWidth="1"/>
    <col min="12802" max="12802" width="26.7109375" bestFit="1" customWidth="1"/>
    <col min="12803" max="12803" width="34.140625" customWidth="1"/>
    <col min="12804" max="12804" width="14.42578125" bestFit="1" customWidth="1"/>
    <col min="12805" max="12805" width="27.140625" bestFit="1" customWidth="1"/>
    <col min="12806" max="12806" width="13.140625" bestFit="1" customWidth="1"/>
    <col min="13057" max="13057" width="31.7109375" bestFit="1" customWidth="1"/>
    <col min="13058" max="13058" width="26.7109375" bestFit="1" customWidth="1"/>
    <col min="13059" max="13059" width="34.140625" customWidth="1"/>
    <col min="13060" max="13060" width="14.42578125" bestFit="1" customWidth="1"/>
    <col min="13061" max="13061" width="27.140625" bestFit="1" customWidth="1"/>
    <col min="13062" max="13062" width="13.140625" bestFit="1" customWidth="1"/>
    <col min="13313" max="13313" width="31.7109375" bestFit="1" customWidth="1"/>
    <col min="13314" max="13314" width="26.7109375" bestFit="1" customWidth="1"/>
    <col min="13315" max="13315" width="34.140625" customWidth="1"/>
    <col min="13316" max="13316" width="14.42578125" bestFit="1" customWidth="1"/>
    <col min="13317" max="13317" width="27.140625" bestFit="1" customWidth="1"/>
    <col min="13318" max="13318" width="13.140625" bestFit="1" customWidth="1"/>
    <col min="13569" max="13569" width="31.7109375" bestFit="1" customWidth="1"/>
    <col min="13570" max="13570" width="26.7109375" bestFit="1" customWidth="1"/>
    <col min="13571" max="13571" width="34.140625" customWidth="1"/>
    <col min="13572" max="13572" width="14.42578125" bestFit="1" customWidth="1"/>
    <col min="13573" max="13573" width="27.140625" bestFit="1" customWidth="1"/>
    <col min="13574" max="13574" width="13.140625" bestFit="1" customWidth="1"/>
    <col min="13825" max="13825" width="31.7109375" bestFit="1" customWidth="1"/>
    <col min="13826" max="13826" width="26.7109375" bestFit="1" customWidth="1"/>
    <col min="13827" max="13827" width="34.140625" customWidth="1"/>
    <col min="13828" max="13828" width="14.42578125" bestFit="1" customWidth="1"/>
    <col min="13829" max="13829" width="27.140625" bestFit="1" customWidth="1"/>
    <col min="13830" max="13830" width="13.140625" bestFit="1" customWidth="1"/>
    <col min="14081" max="14081" width="31.7109375" bestFit="1" customWidth="1"/>
    <col min="14082" max="14082" width="26.7109375" bestFit="1" customWidth="1"/>
    <col min="14083" max="14083" width="34.140625" customWidth="1"/>
    <col min="14084" max="14084" width="14.42578125" bestFit="1" customWidth="1"/>
    <col min="14085" max="14085" width="27.140625" bestFit="1" customWidth="1"/>
    <col min="14086" max="14086" width="13.140625" bestFit="1" customWidth="1"/>
    <col min="14337" max="14337" width="31.7109375" bestFit="1" customWidth="1"/>
    <col min="14338" max="14338" width="26.7109375" bestFit="1" customWidth="1"/>
    <col min="14339" max="14339" width="34.140625" customWidth="1"/>
    <col min="14340" max="14340" width="14.42578125" bestFit="1" customWidth="1"/>
    <col min="14341" max="14341" width="27.140625" bestFit="1" customWidth="1"/>
    <col min="14342" max="14342" width="13.140625" bestFit="1" customWidth="1"/>
    <col min="14593" max="14593" width="31.7109375" bestFit="1" customWidth="1"/>
    <col min="14594" max="14594" width="26.7109375" bestFit="1" customWidth="1"/>
    <col min="14595" max="14595" width="34.140625" customWidth="1"/>
    <col min="14596" max="14596" width="14.42578125" bestFit="1" customWidth="1"/>
    <col min="14597" max="14597" width="27.140625" bestFit="1" customWidth="1"/>
    <col min="14598" max="14598" width="13.140625" bestFit="1" customWidth="1"/>
    <col min="14849" max="14849" width="31.7109375" bestFit="1" customWidth="1"/>
    <col min="14850" max="14850" width="26.7109375" bestFit="1" customWidth="1"/>
    <col min="14851" max="14851" width="34.140625" customWidth="1"/>
    <col min="14852" max="14852" width="14.42578125" bestFit="1" customWidth="1"/>
    <col min="14853" max="14853" width="27.140625" bestFit="1" customWidth="1"/>
    <col min="14854" max="14854" width="13.140625" bestFit="1" customWidth="1"/>
    <col min="15105" max="15105" width="31.7109375" bestFit="1" customWidth="1"/>
    <col min="15106" max="15106" width="26.7109375" bestFit="1" customWidth="1"/>
    <col min="15107" max="15107" width="34.140625" customWidth="1"/>
    <col min="15108" max="15108" width="14.42578125" bestFit="1" customWidth="1"/>
    <col min="15109" max="15109" width="27.140625" bestFit="1" customWidth="1"/>
    <col min="15110" max="15110" width="13.140625" bestFit="1" customWidth="1"/>
    <col min="15361" max="15361" width="31.7109375" bestFit="1" customWidth="1"/>
    <col min="15362" max="15362" width="26.7109375" bestFit="1" customWidth="1"/>
    <col min="15363" max="15363" width="34.140625" customWidth="1"/>
    <col min="15364" max="15364" width="14.42578125" bestFit="1" customWidth="1"/>
    <col min="15365" max="15365" width="27.140625" bestFit="1" customWidth="1"/>
    <col min="15366" max="15366" width="13.140625" bestFit="1" customWidth="1"/>
    <col min="15617" max="15617" width="31.7109375" bestFit="1" customWidth="1"/>
    <col min="15618" max="15618" width="26.7109375" bestFit="1" customWidth="1"/>
    <col min="15619" max="15619" width="34.140625" customWidth="1"/>
    <col min="15620" max="15620" width="14.42578125" bestFit="1" customWidth="1"/>
    <col min="15621" max="15621" width="27.140625" bestFit="1" customWidth="1"/>
    <col min="15622" max="15622" width="13.140625" bestFit="1" customWidth="1"/>
    <col min="15873" max="15873" width="31.7109375" bestFit="1" customWidth="1"/>
    <col min="15874" max="15874" width="26.7109375" bestFit="1" customWidth="1"/>
    <col min="15875" max="15875" width="34.140625" customWidth="1"/>
    <col min="15876" max="15876" width="14.42578125" bestFit="1" customWidth="1"/>
    <col min="15877" max="15877" width="27.140625" bestFit="1" customWidth="1"/>
    <col min="15878" max="15878" width="13.140625" bestFit="1" customWidth="1"/>
    <col min="16129" max="16129" width="31.7109375" bestFit="1" customWidth="1"/>
    <col min="16130" max="16130" width="26.7109375" bestFit="1" customWidth="1"/>
    <col min="16131" max="16131" width="34.140625" customWidth="1"/>
    <col min="16132" max="16132" width="14.42578125" bestFit="1" customWidth="1"/>
    <col min="16133" max="16133" width="27.140625" bestFit="1" customWidth="1"/>
    <col min="16134" max="16134" width="13.140625" bestFit="1" customWidth="1"/>
  </cols>
  <sheetData>
    <row r="1" spans="1:10">
      <c r="A1" s="824" t="s">
        <v>410</v>
      </c>
      <c r="B1" s="824"/>
      <c r="C1" s="824"/>
      <c r="D1" s="824"/>
      <c r="E1" s="824"/>
      <c r="F1" s="824"/>
      <c r="H1" s="489"/>
      <c r="I1" s="489"/>
      <c r="J1" s="489"/>
    </row>
    <row r="2" spans="1:10">
      <c r="A2" s="795" t="s">
        <v>411</v>
      </c>
      <c r="B2" s="795"/>
      <c r="C2" s="795"/>
      <c r="D2" s="795"/>
      <c r="E2" s="795"/>
      <c r="F2" s="795"/>
    </row>
    <row r="3" spans="1:10" s="67" customFormat="1" ht="45">
      <c r="A3" s="645" t="s">
        <v>412</v>
      </c>
      <c r="B3" s="5" t="s">
        <v>413</v>
      </c>
      <c r="C3" s="645" t="s">
        <v>414</v>
      </c>
      <c r="D3" s="5" t="s">
        <v>415</v>
      </c>
      <c r="E3" s="645" t="s">
        <v>416</v>
      </c>
      <c r="F3" s="5" t="s">
        <v>98</v>
      </c>
    </row>
    <row r="4" spans="1:10">
      <c r="A4" s="1" t="s">
        <v>417</v>
      </c>
      <c r="B4" s="1">
        <v>10</v>
      </c>
      <c r="C4" s="1" t="s">
        <v>418</v>
      </c>
      <c r="D4" s="1"/>
      <c r="E4" s="1"/>
      <c r="F4" s="1"/>
    </row>
    <row r="5" spans="1:10">
      <c r="A5" s="808" t="s">
        <v>419</v>
      </c>
      <c r="B5" s="809"/>
      <c r="C5" s="809"/>
      <c r="D5" s="809"/>
      <c r="E5" s="809"/>
      <c r="F5" s="810"/>
    </row>
    <row r="6" spans="1:10">
      <c r="A6" s="1" t="s">
        <v>420</v>
      </c>
      <c r="B6" s="1">
        <v>10</v>
      </c>
      <c r="C6" s="1" t="s">
        <v>421</v>
      </c>
      <c r="D6" s="736">
        <v>0.12</v>
      </c>
      <c r="E6" s="1" t="s">
        <v>422</v>
      </c>
      <c r="F6" s="736">
        <v>0.85</v>
      </c>
    </row>
    <row r="7" spans="1:10">
      <c r="A7" s="1" t="s">
        <v>423</v>
      </c>
      <c r="B7" s="736">
        <v>0.8</v>
      </c>
      <c r="C7" s="1" t="s">
        <v>424</v>
      </c>
      <c r="D7" s="1">
        <v>150</v>
      </c>
      <c r="E7" s="1" t="s">
        <v>425</v>
      </c>
      <c r="F7" s="1"/>
    </row>
    <row r="8" spans="1:10">
      <c r="A8" s="1" t="s">
        <v>426</v>
      </c>
      <c r="B8" s="1">
        <v>120</v>
      </c>
      <c r="C8" s="1" t="s">
        <v>427</v>
      </c>
      <c r="D8" s="1">
        <v>100</v>
      </c>
      <c r="E8" s="1" t="s">
        <v>428</v>
      </c>
      <c r="F8" s="1">
        <v>75</v>
      </c>
    </row>
    <row r="9" spans="1:10">
      <c r="A9" s="808" t="s">
        <v>429</v>
      </c>
      <c r="B9" s="809"/>
      <c r="C9" s="809"/>
      <c r="D9" s="809"/>
      <c r="E9" s="809"/>
      <c r="F9" s="810"/>
    </row>
    <row r="10" spans="1:10">
      <c r="A10" s="733" t="s">
        <v>430</v>
      </c>
      <c r="B10" s="733" t="s">
        <v>339</v>
      </c>
      <c r="C10" s="808" t="s">
        <v>45</v>
      </c>
      <c r="D10" s="809"/>
      <c r="E10" s="809"/>
      <c r="F10" s="810"/>
    </row>
    <row r="11" spans="1:10">
      <c r="A11" s="1" t="s">
        <v>431</v>
      </c>
      <c r="B11" s="737">
        <f>'[21]Import calculator'!H28</f>
        <v>910271.74598354299</v>
      </c>
      <c r="C11" s="808"/>
      <c r="D11" s="809"/>
      <c r="E11" s="809"/>
      <c r="F11" s="810"/>
    </row>
    <row r="12" spans="1:10">
      <c r="A12" s="1" t="s">
        <v>432</v>
      </c>
      <c r="B12" s="737">
        <f>B11*5%</f>
        <v>45513.587299177154</v>
      </c>
      <c r="C12" s="808"/>
      <c r="D12" s="809"/>
      <c r="E12" s="809"/>
      <c r="F12" s="810"/>
    </row>
    <row r="13" spans="1:10">
      <c r="A13" s="738" t="s">
        <v>433</v>
      </c>
      <c r="B13" s="739">
        <v>100000</v>
      </c>
      <c r="C13" s="808"/>
      <c r="D13" s="809"/>
      <c r="E13" s="809"/>
      <c r="F13" s="810"/>
    </row>
    <row r="14" spans="1:10">
      <c r="A14" s="734" t="s">
        <v>24</v>
      </c>
      <c r="B14" s="740">
        <f>SUM(B11:B12)</f>
        <v>955785.33328272018</v>
      </c>
      <c r="C14" s="741"/>
      <c r="D14" s="741"/>
      <c r="E14" s="741"/>
      <c r="F14" s="742"/>
    </row>
    <row r="15" spans="1:10">
      <c r="A15" s="808" t="s">
        <v>434</v>
      </c>
      <c r="B15" s="809"/>
      <c r="C15" s="809"/>
      <c r="D15" s="809"/>
      <c r="E15" s="809"/>
      <c r="F15" s="810"/>
    </row>
    <row r="16" spans="1:10">
      <c r="A16" s="10" t="s">
        <v>435</v>
      </c>
      <c r="B16" s="743">
        <f>B11*5%</f>
        <v>45513.587299177154</v>
      </c>
      <c r="C16" s="796"/>
      <c r="D16" s="796"/>
      <c r="E16" s="796"/>
      <c r="F16" s="796"/>
    </row>
    <row r="17" spans="1:6">
      <c r="A17" s="808" t="s">
        <v>436</v>
      </c>
      <c r="B17" s="809"/>
      <c r="C17" s="809"/>
      <c r="D17" s="809"/>
      <c r="E17" s="809"/>
      <c r="F17" s="744">
        <f>SUM(E19:E21)</f>
        <v>0</v>
      </c>
    </row>
    <row r="18" spans="1:6">
      <c r="A18" s="1" t="s">
        <v>437</v>
      </c>
      <c r="B18" s="1" t="s">
        <v>438</v>
      </c>
      <c r="C18" s="1" t="s">
        <v>84</v>
      </c>
      <c r="D18" s="1" t="s">
        <v>439</v>
      </c>
      <c r="E18" s="1" t="s">
        <v>440</v>
      </c>
      <c r="F18" s="1"/>
    </row>
    <row r="19" spans="1:6">
      <c r="A19" s="1" t="s">
        <v>441</v>
      </c>
      <c r="B19" s="1">
        <v>120</v>
      </c>
      <c r="C19" s="1" t="s">
        <v>442</v>
      </c>
      <c r="D19" s="1">
        <v>0</v>
      </c>
      <c r="E19" s="1">
        <f>D19*B19</f>
        <v>0</v>
      </c>
      <c r="F19" s="1"/>
    </row>
    <row r="20" spans="1:6">
      <c r="A20" s="1" t="s">
        <v>443</v>
      </c>
      <c r="B20" s="1">
        <v>70</v>
      </c>
      <c r="C20" s="1" t="s">
        <v>442</v>
      </c>
      <c r="D20" s="1">
        <v>0</v>
      </c>
      <c r="E20" s="1">
        <f>D20*B20</f>
        <v>0</v>
      </c>
      <c r="F20" s="1"/>
    </row>
    <row r="21" spans="1:6">
      <c r="A21" s="1" t="s">
        <v>444</v>
      </c>
      <c r="B21" s="1">
        <v>40</v>
      </c>
      <c r="C21" s="1" t="s">
        <v>445</v>
      </c>
      <c r="D21" s="1">
        <v>0</v>
      </c>
      <c r="E21" s="1">
        <f>D21*B21</f>
        <v>0</v>
      </c>
      <c r="F21" s="1"/>
    </row>
    <row r="22" spans="1:6">
      <c r="A22" s="808" t="s">
        <v>446</v>
      </c>
      <c r="B22" s="809"/>
      <c r="C22" s="809"/>
      <c r="D22" s="809"/>
      <c r="E22" s="809"/>
      <c r="F22" s="744">
        <f>SUM(E24:E25)</f>
        <v>0</v>
      </c>
    </row>
    <row r="23" spans="1:6">
      <c r="A23" s="1" t="s">
        <v>437</v>
      </c>
      <c r="B23" s="1" t="s">
        <v>438</v>
      </c>
      <c r="C23" s="1" t="s">
        <v>84</v>
      </c>
      <c r="D23" s="1" t="s">
        <v>439</v>
      </c>
      <c r="E23" s="1" t="s">
        <v>447</v>
      </c>
      <c r="F23" s="1"/>
    </row>
    <row r="24" spans="1:6">
      <c r="A24" s="1" t="s">
        <v>448</v>
      </c>
      <c r="B24" s="1">
        <v>400000</v>
      </c>
      <c r="C24" s="1" t="s">
        <v>449</v>
      </c>
      <c r="D24" s="1">
        <v>0</v>
      </c>
      <c r="E24" s="1">
        <f>D24*B24</f>
        <v>0</v>
      </c>
      <c r="F24" s="1"/>
    </row>
    <row r="25" spans="1:6">
      <c r="A25" s="1" t="s">
        <v>450</v>
      </c>
      <c r="B25" s="1">
        <v>20000</v>
      </c>
      <c r="C25" s="1" t="s">
        <v>449</v>
      </c>
      <c r="D25" s="1">
        <v>0</v>
      </c>
      <c r="E25" s="1"/>
      <c r="F25" s="1"/>
    </row>
    <row r="26" spans="1:6">
      <c r="A26" s="1"/>
      <c r="B26" s="1"/>
      <c r="C26" s="1"/>
      <c r="D26" s="1"/>
      <c r="E26" s="1"/>
      <c r="F26" s="1"/>
    </row>
    <row r="27" spans="1:6">
      <c r="A27" s="795" t="s">
        <v>451</v>
      </c>
      <c r="B27" s="795"/>
      <c r="C27" s="795"/>
      <c r="D27" s="795"/>
      <c r="E27" s="795"/>
      <c r="F27" s="795"/>
    </row>
    <row r="28" spans="1:6">
      <c r="A28" s="1" t="s">
        <v>452</v>
      </c>
      <c r="B28" s="1" t="s">
        <v>453</v>
      </c>
      <c r="C28" s="1" t="s">
        <v>84</v>
      </c>
      <c r="D28" s="822" t="s">
        <v>454</v>
      </c>
      <c r="E28" s="823"/>
      <c r="F28" s="1" t="s">
        <v>455</v>
      </c>
    </row>
    <row r="29" spans="1:6">
      <c r="A29" s="1" t="s">
        <v>456</v>
      </c>
      <c r="B29" s="1">
        <v>3</v>
      </c>
      <c r="C29" s="1" t="s">
        <v>457</v>
      </c>
      <c r="D29" s="822">
        <v>11</v>
      </c>
      <c r="E29" s="823"/>
      <c r="F29" s="1">
        <f>D29*B29</f>
        <v>33</v>
      </c>
    </row>
    <row r="30" spans="1:6">
      <c r="A30" s="1" t="s">
        <v>458</v>
      </c>
      <c r="B30" s="1">
        <v>54</v>
      </c>
      <c r="C30" s="1" t="s">
        <v>442</v>
      </c>
      <c r="D30" s="822">
        <v>0</v>
      </c>
      <c r="E30" s="823"/>
      <c r="F30" s="1">
        <f>D30*B30</f>
        <v>0</v>
      </c>
    </row>
    <row r="31" spans="1:6">
      <c r="A31" s="1" t="s">
        <v>459</v>
      </c>
      <c r="B31" s="1">
        <v>27</v>
      </c>
      <c r="C31" s="1" t="s">
        <v>442</v>
      </c>
      <c r="D31" s="822">
        <v>0</v>
      </c>
      <c r="E31" s="823"/>
      <c r="F31" s="1">
        <f>D31*B31</f>
        <v>0</v>
      </c>
    </row>
    <row r="32" spans="1:6">
      <c r="A32" s="808" t="s">
        <v>460</v>
      </c>
      <c r="B32" s="809"/>
      <c r="C32" s="809"/>
      <c r="D32" s="809"/>
      <c r="E32" s="809"/>
      <c r="F32" s="810"/>
    </row>
    <row r="33" spans="1:13">
      <c r="A33" s="1" t="s">
        <v>461</v>
      </c>
      <c r="B33" s="1" t="s">
        <v>99</v>
      </c>
      <c r="C33" s="1" t="s">
        <v>462</v>
      </c>
      <c r="D33" s="1" t="s">
        <v>463</v>
      </c>
      <c r="E33" s="811" t="s">
        <v>460</v>
      </c>
      <c r="F33" s="813"/>
    </row>
    <row r="34" spans="1:13">
      <c r="A34" s="1" t="s">
        <v>464</v>
      </c>
      <c r="B34" s="1">
        <v>1</v>
      </c>
      <c r="C34" s="1">
        <v>0</v>
      </c>
      <c r="D34" s="1">
        <v>1</v>
      </c>
      <c r="E34" s="816">
        <f>(B34*B8)+(C34*D8)+(D34*F8)/B7</f>
        <v>213.75</v>
      </c>
      <c r="F34" s="817"/>
    </row>
    <row r="35" spans="1:13">
      <c r="A35" s="808" t="s">
        <v>465</v>
      </c>
      <c r="B35" s="809"/>
      <c r="C35" s="809"/>
      <c r="D35" s="809"/>
      <c r="E35" s="809"/>
      <c r="F35" s="810"/>
    </row>
    <row r="36" spans="1:13">
      <c r="A36" s="1" t="s">
        <v>466</v>
      </c>
      <c r="B36" s="1">
        <v>2</v>
      </c>
      <c r="C36" s="745" t="s">
        <v>467</v>
      </c>
      <c r="D36" s="1">
        <v>8</v>
      </c>
      <c r="E36" s="745" t="s">
        <v>468</v>
      </c>
      <c r="F36" s="744">
        <f>365-52-12-6</f>
        <v>295</v>
      </c>
    </row>
    <row r="37" spans="1:13">
      <c r="A37" s="1" t="s">
        <v>469</v>
      </c>
      <c r="B37" s="744">
        <f>B36*D36*F36*F6</f>
        <v>4012</v>
      </c>
      <c r="C37" s="1" t="s">
        <v>470</v>
      </c>
      <c r="D37" s="744">
        <f>((B11+B12)/B6)+(B11*D6)+(B16)+(D7*B4*12)</f>
        <v>268324.73014547431</v>
      </c>
      <c r="E37" s="1" t="s">
        <v>471</v>
      </c>
      <c r="F37" s="744">
        <f>(E34*B37)+((F29+F30+F31)*B37)</f>
        <v>989961</v>
      </c>
    </row>
    <row r="38" spans="1:13">
      <c r="A38" s="808" t="s">
        <v>472</v>
      </c>
      <c r="B38" s="809"/>
      <c r="C38" s="809"/>
      <c r="D38" s="809"/>
      <c r="E38" s="809"/>
      <c r="F38" s="810"/>
    </row>
    <row r="39" spans="1:13">
      <c r="A39" s="1" t="s">
        <v>473</v>
      </c>
      <c r="B39" s="746">
        <f>(D37+F37)/B37</f>
        <v>313.63054091362773</v>
      </c>
      <c r="C39" s="1" t="s">
        <v>474</v>
      </c>
      <c r="D39" s="743">
        <f>B39/60</f>
        <v>5.2271756818937956</v>
      </c>
      <c r="E39" s="1" t="s">
        <v>475</v>
      </c>
      <c r="F39" s="743">
        <f>B39*8</f>
        <v>2509.0443273090218</v>
      </c>
      <c r="H39" t="s">
        <v>476</v>
      </c>
      <c r="I39">
        <v>10</v>
      </c>
      <c r="J39" t="s">
        <v>477</v>
      </c>
    </row>
    <row r="40" spans="1:13">
      <c r="A40" s="1" t="s">
        <v>478</v>
      </c>
      <c r="B40" s="818">
        <f>I43</f>
        <v>21</v>
      </c>
      <c r="C40" s="812"/>
      <c r="D40" s="812"/>
      <c r="E40" s="812"/>
      <c r="F40" s="813"/>
      <c r="H40" t="s">
        <v>479</v>
      </c>
      <c r="I40">
        <v>5</v>
      </c>
      <c r="J40" t="s">
        <v>477</v>
      </c>
    </row>
    <row r="41" spans="1:13">
      <c r="A41" s="1" t="s">
        <v>480</v>
      </c>
      <c r="B41" s="819">
        <f>D39/60*B40</f>
        <v>1.8295114886628285</v>
      </c>
      <c r="C41" s="820"/>
      <c r="D41" s="820"/>
      <c r="E41" s="820"/>
      <c r="F41" s="821"/>
      <c r="G41" s="489"/>
      <c r="H41" t="s">
        <v>481</v>
      </c>
      <c r="I41">
        <v>1</v>
      </c>
      <c r="J41" t="s">
        <v>477</v>
      </c>
      <c r="K41" t="s">
        <v>482</v>
      </c>
      <c r="L41" s="170"/>
      <c r="M41" s="170"/>
    </row>
    <row r="42" spans="1:13">
      <c r="A42" s="808" t="s">
        <v>483</v>
      </c>
      <c r="B42" s="809"/>
      <c r="C42" s="809"/>
      <c r="D42" s="809"/>
      <c r="E42" s="809"/>
      <c r="F42" s="810"/>
      <c r="G42" s="170"/>
      <c r="H42" s="170" t="s">
        <v>484</v>
      </c>
      <c r="I42" s="170">
        <v>5</v>
      </c>
      <c r="J42" s="170" t="s">
        <v>477</v>
      </c>
      <c r="K42" s="170"/>
    </row>
    <row r="43" spans="1:13">
      <c r="A43" s="1" t="s">
        <v>485</v>
      </c>
      <c r="B43" s="811">
        <v>45</v>
      </c>
      <c r="C43" s="812"/>
      <c r="D43" s="812"/>
      <c r="E43" s="812"/>
      <c r="F43" s="813"/>
      <c r="G43" s="170"/>
      <c r="H43" s="170"/>
      <c r="I43" s="170">
        <f>SUM(I39:I42)</f>
        <v>21</v>
      </c>
    </row>
    <row r="44" spans="1:13">
      <c r="A44" s="1" t="s">
        <v>461</v>
      </c>
      <c r="B44" s="1" t="s">
        <v>99</v>
      </c>
      <c r="C44" s="1" t="s">
        <v>462</v>
      </c>
      <c r="D44" s="1" t="s">
        <v>463</v>
      </c>
      <c r="E44" s="811" t="s">
        <v>486</v>
      </c>
      <c r="F44" s="813"/>
      <c r="H44" s="170"/>
      <c r="I44" s="170"/>
      <c r="J44" s="11"/>
      <c r="K44" s="170"/>
    </row>
    <row r="45" spans="1:13">
      <c r="A45" s="1" t="s">
        <v>464</v>
      </c>
      <c r="B45" s="1">
        <v>2</v>
      </c>
      <c r="C45" s="1">
        <v>0</v>
      </c>
      <c r="D45" s="1">
        <v>0</v>
      </c>
      <c r="E45" s="814">
        <f>(B43*D39)+(B45*B8)+(D45*F8)+(C45*D8)</f>
        <v>475.22290568522078</v>
      </c>
      <c r="F45" s="815"/>
    </row>
  </sheetData>
  <mergeCells count="28">
    <mergeCell ref="C11:F11"/>
    <mergeCell ref="A1:F1"/>
    <mergeCell ref="A2:F2"/>
    <mergeCell ref="A5:F5"/>
    <mergeCell ref="A9:F9"/>
    <mergeCell ref="C10:F10"/>
    <mergeCell ref="A32:F32"/>
    <mergeCell ref="C12:F12"/>
    <mergeCell ref="C13:F13"/>
    <mergeCell ref="A15:F15"/>
    <mergeCell ref="C16:F16"/>
    <mergeCell ref="A17:E17"/>
    <mergeCell ref="A22:E22"/>
    <mergeCell ref="A27:F27"/>
    <mergeCell ref="D28:E28"/>
    <mergeCell ref="D29:E29"/>
    <mergeCell ref="D30:E30"/>
    <mergeCell ref="D31:E31"/>
    <mergeCell ref="A42:F42"/>
    <mergeCell ref="B43:F43"/>
    <mergeCell ref="E44:F44"/>
    <mergeCell ref="E45:F45"/>
    <mergeCell ref="E33:F33"/>
    <mergeCell ref="E34:F34"/>
    <mergeCell ref="A35:F35"/>
    <mergeCell ref="A38:F38"/>
    <mergeCell ref="B40:F40"/>
    <mergeCell ref="B41:F41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/>
  <dimension ref="A1:X17"/>
  <sheetViews>
    <sheetView showGridLines="0" topLeftCell="D1" zoomScaleNormal="100" workbookViewId="0">
      <pane ySplit="4" topLeftCell="A5" activePane="bottomLeft" state="frozen"/>
      <selection activeCell="A3" sqref="A3"/>
      <selection pane="bottomLeft" activeCell="O5" sqref="O5"/>
    </sheetView>
  </sheetViews>
  <sheetFormatPr defaultColWidth="5.28515625" defaultRowHeight="15"/>
  <cols>
    <col min="1" max="1" width="5.85546875" customWidth="1"/>
    <col min="2" max="2" width="6.5703125" customWidth="1"/>
    <col min="3" max="3" width="15.28515625" bestFit="1" customWidth="1"/>
    <col min="4" max="4" width="7.85546875" customWidth="1"/>
    <col min="5" max="5" width="14.5703125" customWidth="1"/>
    <col min="6" max="6" width="19.5703125" customWidth="1"/>
    <col min="7" max="7" width="8.5703125" bestFit="1" customWidth="1"/>
    <col min="8" max="8" width="9.28515625" customWidth="1"/>
    <col min="9" max="9" width="15.140625" customWidth="1"/>
    <col min="10" max="10" width="16.85546875" customWidth="1"/>
    <col min="11" max="11" width="11.140625" bestFit="1" customWidth="1"/>
    <col min="12" max="12" width="9.5703125" customWidth="1"/>
    <col min="13" max="13" width="8" customWidth="1"/>
    <col min="14" max="14" width="15.140625" customWidth="1"/>
    <col min="15" max="15" width="20.28515625" bestFit="1" customWidth="1"/>
    <col min="16" max="16" width="20.28515625" customWidth="1"/>
    <col min="17" max="17" width="10.28515625" bestFit="1" customWidth="1"/>
    <col min="18" max="18" width="12.5703125" customWidth="1"/>
    <col min="19" max="19" width="10.7109375" customWidth="1"/>
    <col min="20" max="20" width="8.28515625" bestFit="1" customWidth="1"/>
    <col min="21" max="21" width="10.5703125" customWidth="1"/>
    <col min="22" max="22" width="12" bestFit="1" customWidth="1"/>
    <col min="23" max="23" width="8.42578125" bestFit="1" customWidth="1"/>
    <col min="24" max="24" width="9.42578125" customWidth="1"/>
  </cols>
  <sheetData>
    <row r="1" spans="1:24" hidden="1">
      <c r="A1" s="691">
        <v>1</v>
      </c>
    </row>
    <row r="2" spans="1:24" hidden="1"/>
    <row r="3" spans="1:24" ht="21.75" thickBot="1">
      <c r="C3" s="358" t="s">
        <v>487</v>
      </c>
      <c r="D3" s="358"/>
    </row>
    <row r="4" spans="1:24" s="70" customFormat="1" ht="33.75" customHeight="1" thickBot="1">
      <c r="A4"/>
      <c r="B4"/>
      <c r="C4" s="359" t="s">
        <v>29</v>
      </c>
      <c r="D4" s="587" t="s">
        <v>30</v>
      </c>
      <c r="E4" s="360" t="s">
        <v>207</v>
      </c>
      <c r="F4" s="360" t="s">
        <v>89</v>
      </c>
      <c r="G4" s="360" t="s">
        <v>209</v>
      </c>
      <c r="H4" s="360" t="s">
        <v>488</v>
      </c>
      <c r="I4" s="360" t="s">
        <v>489</v>
      </c>
      <c r="J4" s="360" t="s">
        <v>490</v>
      </c>
      <c r="K4" s="360" t="s">
        <v>491</v>
      </c>
      <c r="L4" s="360" t="s">
        <v>213</v>
      </c>
      <c r="M4" s="360" t="s">
        <v>281</v>
      </c>
      <c r="N4" s="360" t="s">
        <v>492</v>
      </c>
      <c r="O4" s="360" t="s">
        <v>493</v>
      </c>
      <c r="P4" s="360" t="s">
        <v>494</v>
      </c>
      <c r="Q4" s="360" t="s">
        <v>495</v>
      </c>
      <c r="R4" s="360" t="s">
        <v>496</v>
      </c>
      <c r="S4" s="360" t="s">
        <v>497</v>
      </c>
      <c r="T4" s="360" t="s">
        <v>14</v>
      </c>
      <c r="U4" s="360" t="s">
        <v>15</v>
      </c>
      <c r="V4" s="360" t="s">
        <v>18</v>
      </c>
      <c r="W4" s="360" t="s">
        <v>24</v>
      </c>
      <c r="X4" s="361" t="s">
        <v>45</v>
      </c>
    </row>
    <row r="5" spans="1:24" ht="30">
      <c r="C5" s="241" t="str">
        <f>_xlfn.IFNA(VLOOKUP(E5,Group!$AM$1:$AO$10000,3,0),"")</f>
        <v>MB512123</v>
      </c>
      <c r="D5" s="71">
        <f>_xlfn.IFNA(VLOOKUP(E5,Group!$AM$1:$AO$10000,2,0),"")</f>
        <v>2</v>
      </c>
      <c r="E5" s="681" t="str">
        <f>Group!X2</f>
        <v>FV516568</v>
      </c>
      <c r="F5" s="689" t="str">
        <f>_xlfn.IFNA(VLOOKUP(E5,BOM!$D$1:$F$10000,3,0),"")</f>
        <v>REINFORCEMENT-INTERIOR TRIM -</v>
      </c>
      <c r="G5" s="681" t="str">
        <f>_xlfn.IFNA(IF(OR(VLOOKUP(E5,BOM!$D$1:$I$1000,6,0)="Inhouse",VLOOKUP(E5,BOM!$D$1:$J$1000,7,0)="CSC"),"RM","BOP"),"")</f>
        <v>RM</v>
      </c>
      <c r="H5" s="681">
        <f>_xlfn.IFNA(VLOOKUP(E5,BOM!$D$1:$G$10000,4,0),"")</f>
        <v>1</v>
      </c>
      <c r="I5" s="682" t="s">
        <v>498</v>
      </c>
      <c r="J5" s="682">
        <f>IFERROR(VLOOKUP(I5,IM_Raw_Material!$Q$1:$R$10000,2,0),"")</f>
        <v>125</v>
      </c>
      <c r="K5" s="683">
        <v>927</v>
      </c>
      <c r="L5" s="682">
        <v>1784</v>
      </c>
      <c r="M5" s="682">
        <v>247</v>
      </c>
      <c r="N5" s="682">
        <v>2.7</v>
      </c>
      <c r="O5" s="690">
        <f>L5*M5*1.2</f>
        <v>528777.6</v>
      </c>
      <c r="P5" s="690">
        <v>129</v>
      </c>
      <c r="Q5" s="684">
        <v>0.1</v>
      </c>
      <c r="R5" s="685">
        <f>IFERROR(K5/(1-Q5),"")</f>
        <v>1030</v>
      </c>
      <c r="S5" s="686">
        <f>IF(G5="BOP",J5*H5,IFERROR(R5*J5/1000*H5,""))</f>
        <v>128.75</v>
      </c>
      <c r="T5" s="686">
        <f>IF(G5="RM",(K5/1000)*J5,J5)</f>
        <v>115.875</v>
      </c>
      <c r="U5" s="686">
        <f>IF(T5&lt;&gt;"",IF(G5="RM",S5-T5,0),"")</f>
        <v>12.875</v>
      </c>
      <c r="V5" s="686">
        <f>IF(U5="","",SUMIFS(IM_Process!$A$1:$A$10000,IM_Process!$B$1:$B$10000,IM_Material!E5))</f>
        <v>45.248322547323198</v>
      </c>
      <c r="W5" s="686">
        <f>IFERROR(V5+S5,"")</f>
        <v>173.9983225473232</v>
      </c>
      <c r="X5" s="687"/>
    </row>
    <row r="6" spans="1:24" ht="30">
      <c r="C6" s="241" t="str">
        <f>_xlfn.IFNA(VLOOKUP(E6,Group!$AM$1:$AO$10000,3,0),"")</f>
        <v>MB512123</v>
      </c>
      <c r="D6" s="71">
        <f>_xlfn.IFNA(VLOOKUP(E6,Group!$AM$1:$AO$10000,2,0),"")</f>
        <v>2</v>
      </c>
      <c r="E6" s="681" t="str">
        <f>Group!X3</f>
        <v>FC450368</v>
      </c>
      <c r="F6" s="689" t="str">
        <f>_xlfn.IFNA(VLOOKUP(E6,BOM!$D$1:$F$10000,3,0),"")</f>
        <v>COVER-INSTRUMENT PANEL IP Carrier</v>
      </c>
      <c r="G6" s="681" t="str">
        <f>_xlfn.IFNA(IF(OR(VLOOKUP(E6,BOM!$D$1:$I$1000,6,0)="Inhouse",VLOOKUP(E6,BOM!$D$1:$J$1000,7,0)="CSC"),"RM","BOP"),"")</f>
        <v>RM</v>
      </c>
      <c r="H6" s="681">
        <f>_xlfn.IFNA(VLOOKUP(E6,BOM!$D$1:$G$10000,4,0),"")</f>
        <v>1</v>
      </c>
      <c r="I6" s="682" t="s">
        <v>498</v>
      </c>
      <c r="J6" s="682">
        <f>IFERROR(VLOOKUP(I6,IM_Raw_Material!$Q$1:$R$10000,2,0),"")</f>
        <v>125</v>
      </c>
      <c r="K6" s="683">
        <v>3200</v>
      </c>
      <c r="L6" s="682">
        <v>1810</v>
      </c>
      <c r="M6" s="682">
        <v>390</v>
      </c>
      <c r="N6" s="682">
        <v>3</v>
      </c>
      <c r="O6" s="690">
        <f>L6*M6*1.2</f>
        <v>847080</v>
      </c>
      <c r="P6" s="690">
        <v>221</v>
      </c>
      <c r="Q6" s="684">
        <v>0.1</v>
      </c>
      <c r="R6" s="685">
        <f t="shared" ref="R6:R14" si="0">IFERROR(K6/(1-Q6),"")</f>
        <v>3555.5555555555557</v>
      </c>
      <c r="S6" s="686">
        <f t="shared" ref="S6:S14" si="1">IF(G6="BOP",J6*H6,IFERROR(R6*J6/1000*H6,""))</f>
        <v>444.44444444444446</v>
      </c>
      <c r="T6" s="686">
        <f t="shared" ref="T6:T14" si="2">IF(G6="RM",(K6/1000)*J6,J6)</f>
        <v>400</v>
      </c>
      <c r="U6" s="686">
        <f t="shared" ref="U6:U14" si="3">IF(T6&lt;&gt;"",IF(G6="RM",S6-T6,0),"")</f>
        <v>44.444444444444457</v>
      </c>
      <c r="V6" s="686">
        <f>IF(U6="","",SUMIFS(IM_Process!$A$1:$A$10000,IM_Process!$B$1:$B$10000,IM_Material!E6))</f>
        <v>92.142940509327588</v>
      </c>
      <c r="W6" s="686">
        <f t="shared" ref="W6:W14" si="4">IFERROR(V6+S6,"")</f>
        <v>536.58738495377202</v>
      </c>
      <c r="X6" s="687"/>
    </row>
    <row r="7" spans="1:24">
      <c r="C7" s="241" t="str">
        <f>_xlfn.IFNA(VLOOKUP(E7,Group!$AM$1:$AO$10000,3,0),"")</f>
        <v>MB512123</v>
      </c>
      <c r="D7" s="71">
        <f>_xlfn.IFNA(VLOOKUP(E7,Group!$AM$1:$AO$10000,2,0),"")</f>
        <v>0</v>
      </c>
      <c r="E7" s="681">
        <f>Group!X4</f>
        <v>0</v>
      </c>
      <c r="F7" s="689" t="str">
        <f>_xlfn.IFNA(VLOOKUP(E7,BOM!$D$1:$F$10000,3,0),"")</f>
        <v/>
      </c>
      <c r="G7" s="681" t="str">
        <f>_xlfn.IFNA(IF(OR(VLOOKUP(E7,BOM!$D$1:$I$1000,6,0)="Inhouse",VLOOKUP(E7,BOM!$D$1:$J$1000,7,0)="CSC"),"RM","BOP"),"")</f>
        <v/>
      </c>
      <c r="H7" s="681" t="str">
        <f>_xlfn.IFNA(VLOOKUP(E7,BOM!$D$1:$G$10000,4,0),"")</f>
        <v/>
      </c>
      <c r="I7" s="682"/>
      <c r="J7" s="682" t="str">
        <f>IFERROR(VLOOKUP(I7,IM_Raw_Material!$Q$1:$R$10000,2,0),"")</f>
        <v/>
      </c>
      <c r="K7" s="683"/>
      <c r="L7" s="682"/>
      <c r="M7" s="682"/>
      <c r="N7" s="682"/>
      <c r="O7" s="690"/>
      <c r="P7" s="690"/>
      <c r="Q7" s="684" t="str">
        <f>IFERROR(((VLOOKUP(E7,IM_Process!B:AH,13,0)+(VLOOKUP(E7,IM_TC!B:AF,30,0)*5%)/VLOOKUP(E7,IM_Process!B:K,9,0))/VLOOKUP(E7,IM_Process!B:K,9,0))/K7,"")</f>
        <v/>
      </c>
      <c r="R7" s="685" t="str">
        <f t="shared" si="0"/>
        <v/>
      </c>
      <c r="S7" s="686" t="str">
        <f t="shared" si="1"/>
        <v/>
      </c>
      <c r="T7" s="686" t="str">
        <f t="shared" si="2"/>
        <v/>
      </c>
      <c r="U7" s="686" t="str">
        <f t="shared" si="3"/>
        <v/>
      </c>
      <c r="V7" s="686" t="str">
        <f>IF(U7="","",SUMIFS(IM_Process!$A$1:$A$10000,IM_Process!$B$1:$B$10000,IM_Material!E7))</f>
        <v/>
      </c>
      <c r="W7" s="686" t="str">
        <f t="shared" si="4"/>
        <v/>
      </c>
      <c r="X7" s="687"/>
    </row>
    <row r="8" spans="1:24">
      <c r="C8" s="241" t="str">
        <f>_xlfn.IFNA(VLOOKUP(E8,Group!$AM$1:$AO$10000,3,0),"")</f>
        <v>MB512123</v>
      </c>
      <c r="D8" s="71">
        <f>_xlfn.IFNA(VLOOKUP(E8,Group!$AM$1:$AO$10000,2,0),"")</f>
        <v>0</v>
      </c>
      <c r="E8" s="681">
        <f>Group!X5</f>
        <v>0</v>
      </c>
      <c r="F8" s="689" t="str">
        <f>_xlfn.IFNA(VLOOKUP(E8,BOM!$D$1:$F$10000,3,0),"")</f>
        <v/>
      </c>
      <c r="G8" s="681" t="str">
        <f>_xlfn.IFNA(IF(OR(VLOOKUP(E8,BOM!$D$1:$I$1000,6,0)="Inhouse",VLOOKUP(E8,BOM!$D$1:$J$1000,7,0)="CSC"),"RM","BOP"),"")</f>
        <v/>
      </c>
      <c r="H8" s="681" t="str">
        <f>_xlfn.IFNA(VLOOKUP(E8,BOM!$D$1:$G$10000,4,0),"")</f>
        <v/>
      </c>
      <c r="I8" s="682"/>
      <c r="J8" s="682" t="str">
        <f>IFERROR(VLOOKUP(I8,IM_Raw_Material!$Q$1:$R$10000,2,0),"")</f>
        <v/>
      </c>
      <c r="K8" s="683"/>
      <c r="L8" s="682"/>
      <c r="M8" s="682"/>
      <c r="N8" s="682"/>
      <c r="O8" s="690"/>
      <c r="P8" s="690"/>
      <c r="Q8" s="684" t="str">
        <f>IFERROR(((VLOOKUP(E8,IM_Process!B:AH,13,0)+(VLOOKUP(E8,IM_TC!B:AF,30,0)*5%)/VLOOKUP(E8,IM_Process!B:K,9,0))/VLOOKUP(E8,IM_Process!B:K,9,0))/K8,"")</f>
        <v/>
      </c>
      <c r="R8" s="685" t="str">
        <f t="shared" si="0"/>
        <v/>
      </c>
      <c r="S8" s="686" t="str">
        <f t="shared" si="1"/>
        <v/>
      </c>
      <c r="T8" s="686" t="str">
        <f t="shared" si="2"/>
        <v/>
      </c>
      <c r="U8" s="686" t="str">
        <f t="shared" si="3"/>
        <v/>
      </c>
      <c r="V8" s="686" t="str">
        <f>IF(U8="","",SUMIFS(IM_Process!$A$1:$A$10000,IM_Process!$B$1:$B$10000,IM_Material!E8))</f>
        <v/>
      </c>
      <c r="W8" s="686" t="str">
        <f t="shared" si="4"/>
        <v/>
      </c>
      <c r="X8" s="687"/>
    </row>
    <row r="9" spans="1:24">
      <c r="C9" s="241" t="str">
        <f>_xlfn.IFNA(VLOOKUP(E9,Group!$AM$1:$AO$10000,3,0),"")</f>
        <v>MB512123</v>
      </c>
      <c r="D9" s="71">
        <f>_xlfn.IFNA(VLOOKUP(E9,Group!$AM$1:$AO$10000,2,0),"")</f>
        <v>0</v>
      </c>
      <c r="E9" s="681">
        <f>Group!X6</f>
        <v>0</v>
      </c>
      <c r="F9" s="689" t="str">
        <f>_xlfn.IFNA(VLOOKUP(E9,BOM!$D$1:$F$10000,3,0),"")</f>
        <v/>
      </c>
      <c r="G9" s="681" t="str">
        <f>_xlfn.IFNA(IF(OR(VLOOKUP(E9,BOM!$D$1:$I$1000,6,0)="Inhouse",VLOOKUP(E9,BOM!$D$1:$J$1000,7,0)="CSC"),"RM","BOP"),"")</f>
        <v/>
      </c>
      <c r="H9" s="681" t="str">
        <f>_xlfn.IFNA(VLOOKUP(E9,BOM!$D$1:$G$10000,4,0),"")</f>
        <v/>
      </c>
      <c r="I9" s="682"/>
      <c r="J9" s="682" t="str">
        <f>IFERROR(VLOOKUP(I9,IM_Raw_Material!$Q$1:$R$10000,2,0),"")</f>
        <v/>
      </c>
      <c r="K9" s="683"/>
      <c r="L9" s="682"/>
      <c r="M9" s="682"/>
      <c r="N9" s="682"/>
      <c r="O9" s="690"/>
      <c r="P9" s="690"/>
      <c r="Q9" s="684" t="str">
        <f>IFERROR(((VLOOKUP(E9,IM_Process!B:AH,13,0)+(VLOOKUP(E9,IM_TC!B:AF,30,0)*5%)/VLOOKUP(E9,IM_Process!B:K,9,0))/VLOOKUP(E9,IM_Process!B:K,9,0))/K9,"")</f>
        <v/>
      </c>
      <c r="R9" s="685" t="str">
        <f t="shared" si="0"/>
        <v/>
      </c>
      <c r="S9" s="686" t="str">
        <f t="shared" si="1"/>
        <v/>
      </c>
      <c r="T9" s="686" t="str">
        <f t="shared" si="2"/>
        <v/>
      </c>
      <c r="U9" s="686" t="str">
        <f t="shared" si="3"/>
        <v/>
      </c>
      <c r="V9" s="686" t="str">
        <f>IF(U9="","",SUMIFS(IM_Process!$A$1:$A$10000,IM_Process!$B$1:$B$10000,IM_Material!E9))</f>
        <v/>
      </c>
      <c r="W9" s="686" t="str">
        <f t="shared" si="4"/>
        <v/>
      </c>
      <c r="X9" s="687"/>
    </row>
    <row r="10" spans="1:24">
      <c r="C10" s="241" t="str">
        <f>_xlfn.IFNA(VLOOKUP(E10,Group!$AM$1:$AO$10000,3,0),"")</f>
        <v>MB512123</v>
      </c>
      <c r="D10" s="71">
        <f>_xlfn.IFNA(VLOOKUP(E10,Group!$AM$1:$AO$10000,2,0),"")</f>
        <v>0</v>
      </c>
      <c r="E10" s="681">
        <f>Group!X7</f>
        <v>0</v>
      </c>
      <c r="F10" s="689" t="str">
        <f>_xlfn.IFNA(VLOOKUP(E10,BOM!$D$1:$F$10000,3,0),"")</f>
        <v/>
      </c>
      <c r="G10" s="681" t="str">
        <f>_xlfn.IFNA(IF(OR(VLOOKUP(E10,BOM!$D$1:$I$1000,6,0)="Inhouse",VLOOKUP(E10,BOM!$D$1:$J$1000,7,0)="CSC"),"RM","BOP"),"")</f>
        <v/>
      </c>
      <c r="H10" s="681" t="str">
        <f>_xlfn.IFNA(VLOOKUP(E10,BOM!$D$1:$G$10000,4,0),"")</f>
        <v/>
      </c>
      <c r="I10" s="682"/>
      <c r="J10" s="682" t="str">
        <f>IFERROR(VLOOKUP(I10,IM_Raw_Material!$Q$1:$R$10000,2,0),"")</f>
        <v/>
      </c>
      <c r="K10" s="683"/>
      <c r="L10" s="682"/>
      <c r="M10" s="682"/>
      <c r="N10" s="682"/>
      <c r="O10" s="690"/>
      <c r="P10" s="690"/>
      <c r="Q10" s="684" t="str">
        <f>IFERROR(((VLOOKUP(E10,IM_Process!B:AH,13,0)+(VLOOKUP(E10,IM_TC!B:AF,30,0)*5%)/VLOOKUP(E10,IM_Process!B:K,9,0))/VLOOKUP(E10,IM_Process!B:K,9,0))/K10,"")</f>
        <v/>
      </c>
      <c r="R10" s="685" t="str">
        <f t="shared" si="0"/>
        <v/>
      </c>
      <c r="S10" s="686" t="str">
        <f t="shared" si="1"/>
        <v/>
      </c>
      <c r="T10" s="686" t="str">
        <f t="shared" si="2"/>
        <v/>
      </c>
      <c r="U10" s="686" t="str">
        <f t="shared" si="3"/>
        <v/>
      </c>
      <c r="V10" s="686" t="str">
        <f>IF(U10="","",SUMIFS(IM_Process!$A$1:$A$10000,IM_Process!$B$1:$B$10000,IM_Material!E10))</f>
        <v/>
      </c>
      <c r="W10" s="686" t="str">
        <f t="shared" si="4"/>
        <v/>
      </c>
      <c r="X10" s="687"/>
    </row>
    <row r="11" spans="1:24">
      <c r="C11" s="241" t="str">
        <f>_xlfn.IFNA(VLOOKUP(E11,Group!$AM$1:$AO$10000,3,0),"")</f>
        <v>MB512123</v>
      </c>
      <c r="D11" s="71">
        <f>_xlfn.IFNA(VLOOKUP(E11,Group!$AM$1:$AO$10000,2,0),"")</f>
        <v>0</v>
      </c>
      <c r="E11" s="681">
        <f>Group!X8</f>
        <v>0</v>
      </c>
      <c r="F11" s="689" t="str">
        <f>_xlfn.IFNA(VLOOKUP(E11,BOM!$D$1:$F$10000,3,0),"")</f>
        <v/>
      </c>
      <c r="G11" s="681" t="str">
        <f>_xlfn.IFNA(IF(OR(VLOOKUP(E11,BOM!$D$1:$I$1000,6,0)="Inhouse",VLOOKUP(E11,BOM!$D$1:$J$1000,7,0)="CSC"),"RM","BOP"),"")</f>
        <v/>
      </c>
      <c r="H11" s="681" t="str">
        <f>_xlfn.IFNA(VLOOKUP(E11,BOM!$D$1:$G$10000,4,0),"")</f>
        <v/>
      </c>
      <c r="I11" s="682"/>
      <c r="J11" s="682" t="str">
        <f>IFERROR(VLOOKUP(I11,IM_Raw_Material!$Q$1:$R$10000,2,0),"")</f>
        <v/>
      </c>
      <c r="K11" s="683"/>
      <c r="L11" s="682"/>
      <c r="M11" s="682"/>
      <c r="N11" s="682"/>
      <c r="O11" s="690"/>
      <c r="P11" s="690"/>
      <c r="Q11" s="684" t="str">
        <f>IFERROR(((VLOOKUP(E11,IM_Process!B:AH,13,0)+(VLOOKUP(E11,IM_TC!B:AF,30,0)*5%)/VLOOKUP(E11,IM_Process!B:K,9,0))/VLOOKUP(E11,IM_Process!B:K,9,0))/K11,"")</f>
        <v/>
      </c>
      <c r="R11" s="685" t="str">
        <f t="shared" si="0"/>
        <v/>
      </c>
      <c r="S11" s="686" t="str">
        <f t="shared" si="1"/>
        <v/>
      </c>
      <c r="T11" s="686" t="str">
        <f t="shared" si="2"/>
        <v/>
      </c>
      <c r="U11" s="686" t="str">
        <f t="shared" si="3"/>
        <v/>
      </c>
      <c r="V11" s="686" t="str">
        <f>IF(U11="","",SUMIFS(IM_Process!$A$1:$A$10000,IM_Process!$B$1:$B$10000,IM_Material!E11))</f>
        <v/>
      </c>
      <c r="W11" s="686" t="str">
        <f t="shared" si="4"/>
        <v/>
      </c>
      <c r="X11" s="687"/>
    </row>
    <row r="12" spans="1:24">
      <c r="C12" s="241" t="str">
        <f>_xlfn.IFNA(VLOOKUP(E12,Group!$AM$1:$AO$10000,3,0),"")</f>
        <v>MB512123</v>
      </c>
      <c r="D12" s="71">
        <f>_xlfn.IFNA(VLOOKUP(E12,Group!$AM$1:$AO$10000,2,0),"")</f>
        <v>0</v>
      </c>
      <c r="E12" s="681">
        <f>Group!X9</f>
        <v>0</v>
      </c>
      <c r="F12" s="689" t="str">
        <f>_xlfn.IFNA(VLOOKUP(E12,BOM!$D$1:$F$10000,3,0),"")</f>
        <v/>
      </c>
      <c r="G12" s="681" t="str">
        <f>_xlfn.IFNA(IF(OR(VLOOKUP(E12,BOM!$D$1:$I$1000,6,0)="Inhouse",VLOOKUP(E12,BOM!$D$1:$J$1000,7,0)="CSC"),"RM","BOP"),"")</f>
        <v/>
      </c>
      <c r="H12" s="681" t="str">
        <f>_xlfn.IFNA(VLOOKUP(E12,BOM!$D$1:$G$10000,4,0),"")</f>
        <v/>
      </c>
      <c r="I12" s="682"/>
      <c r="J12" s="682" t="str">
        <f>IFERROR(VLOOKUP(I12,IM_Raw_Material!$Q$1:$R$10000,2,0),"")</f>
        <v/>
      </c>
      <c r="K12" s="688"/>
      <c r="L12" s="682"/>
      <c r="M12" s="682"/>
      <c r="N12" s="682"/>
      <c r="O12" s="690"/>
      <c r="P12" s="690"/>
      <c r="Q12" s="684" t="str">
        <f>IFERROR(((VLOOKUP(E12,IM_Process!B:AH,13,0)+(VLOOKUP(E12,IM_TC!B:AF,30,0)*5%)/VLOOKUP(E12,IM_Process!B:K,9,0))/VLOOKUP(E12,IM_Process!B:K,9,0))/K12,"")</f>
        <v/>
      </c>
      <c r="R12" s="685" t="str">
        <f t="shared" si="0"/>
        <v/>
      </c>
      <c r="S12" s="686" t="str">
        <f t="shared" si="1"/>
        <v/>
      </c>
      <c r="T12" s="686" t="str">
        <f t="shared" si="2"/>
        <v/>
      </c>
      <c r="U12" s="686" t="str">
        <f t="shared" si="3"/>
        <v/>
      </c>
      <c r="V12" s="686" t="str">
        <f>IF(U12="","",SUMIFS(IM_Process!$A$1:$A$10000,IM_Process!$B$1:$B$10000,IM_Material!E12))</f>
        <v/>
      </c>
      <c r="W12" s="686" t="str">
        <f t="shared" si="4"/>
        <v/>
      </c>
      <c r="X12" s="687"/>
    </row>
    <row r="13" spans="1:24">
      <c r="C13" s="241" t="str">
        <f>_xlfn.IFNA(VLOOKUP(E13,Group!$AM$1:$AO$10000,3,0),"")</f>
        <v>MB512123</v>
      </c>
      <c r="D13" s="71">
        <f>_xlfn.IFNA(VLOOKUP(E13,Group!$AM$1:$AO$10000,2,0),"")</f>
        <v>0</v>
      </c>
      <c r="E13" s="681">
        <f>Group!X10</f>
        <v>0</v>
      </c>
      <c r="F13" s="689" t="str">
        <f>_xlfn.IFNA(VLOOKUP(E13,BOM!$D$1:$F$10000,3,0),"")</f>
        <v/>
      </c>
      <c r="G13" s="681" t="str">
        <f>_xlfn.IFNA(IF(OR(VLOOKUP(E13,BOM!$D$1:$I$1000,6,0)="Inhouse",VLOOKUP(E13,BOM!$D$1:$J$1000,7,0)="CSC"),"RM","BOP"),"")</f>
        <v/>
      </c>
      <c r="H13" s="681" t="str">
        <f>_xlfn.IFNA(VLOOKUP(E13,BOM!$D$1:$G$10000,4,0),"")</f>
        <v/>
      </c>
      <c r="I13" s="682"/>
      <c r="J13" s="682" t="str">
        <f>IFERROR(VLOOKUP(I13,IM_Raw_Material!$Q$1:$R$10000,2,0),"")</f>
        <v/>
      </c>
      <c r="K13" s="688"/>
      <c r="L13" s="682"/>
      <c r="M13" s="682"/>
      <c r="N13" s="682"/>
      <c r="O13" s="690"/>
      <c r="P13" s="690"/>
      <c r="Q13" s="684" t="str">
        <f>IFERROR(((VLOOKUP(E13,IM_Process!B:AH,13,0)+(VLOOKUP(E13,IM_TC!B:AF,30,0)*5%)/VLOOKUP(E13,IM_Process!B:K,9,0))/VLOOKUP(E13,IM_Process!B:K,9,0))/K13,"")</f>
        <v/>
      </c>
      <c r="R13" s="685" t="str">
        <f t="shared" si="0"/>
        <v/>
      </c>
      <c r="S13" s="686" t="str">
        <f t="shared" si="1"/>
        <v/>
      </c>
      <c r="T13" s="686" t="str">
        <f t="shared" si="2"/>
        <v/>
      </c>
      <c r="U13" s="686" t="str">
        <f t="shared" si="3"/>
        <v/>
      </c>
      <c r="V13" s="686" t="str">
        <f>IF(U13="","",SUMIFS(IM_Process!$A$1:$A$10000,IM_Process!$B$1:$B$10000,IM_Material!E13))</f>
        <v/>
      </c>
      <c r="W13" s="686" t="str">
        <f t="shared" si="4"/>
        <v/>
      </c>
      <c r="X13" s="687"/>
    </row>
    <row r="14" spans="1:24">
      <c r="C14" s="241" t="str">
        <f>_xlfn.IFNA(VLOOKUP(E14,Group!$AM$1:$AO$10000,3,0),"")</f>
        <v>MB512123</v>
      </c>
      <c r="D14" s="71">
        <f>_xlfn.IFNA(VLOOKUP(E14,Group!$AM$1:$AO$10000,2,0),"")</f>
        <v>0</v>
      </c>
      <c r="E14" s="681">
        <f>Group!X11</f>
        <v>0</v>
      </c>
      <c r="F14" s="689" t="str">
        <f>_xlfn.IFNA(VLOOKUP(E14,BOM!$D$1:$F$10000,3,0),"")</f>
        <v/>
      </c>
      <c r="G14" s="681" t="str">
        <f>_xlfn.IFNA(IF(OR(VLOOKUP(E14,BOM!$D$1:$I$1000,6,0)="Inhouse",VLOOKUP(E14,BOM!$D$1:$J$1000,7,0)="CSC"),"RM","BOP"),"")</f>
        <v/>
      </c>
      <c r="H14" s="681" t="str">
        <f>_xlfn.IFNA(VLOOKUP(E14,BOM!$D$1:$G$10000,4,0),"")</f>
        <v/>
      </c>
      <c r="I14" s="682"/>
      <c r="J14" s="682" t="str">
        <f>IFERROR(VLOOKUP(I14,IM_Raw_Material!$Q$1:$R$10000,2,0),"")</f>
        <v/>
      </c>
      <c r="K14" s="683"/>
      <c r="L14" s="682"/>
      <c r="M14" s="682"/>
      <c r="N14" s="682"/>
      <c r="O14" s="690"/>
      <c r="P14" s="690"/>
      <c r="Q14" s="684" t="str">
        <f>IFERROR(((VLOOKUP(E14,IM_Process!B:AH,13,0)+(VLOOKUP(E14,IM_TC!B:AF,30,0)*5%)/VLOOKUP(E14,IM_Process!B:K,9,0))/VLOOKUP(E14,IM_Process!B:K,9,0))/K14,"")</f>
        <v/>
      </c>
      <c r="R14" s="685" t="str">
        <f t="shared" si="0"/>
        <v/>
      </c>
      <c r="S14" s="686" t="str">
        <f t="shared" si="1"/>
        <v/>
      </c>
      <c r="T14" s="686" t="str">
        <f t="shared" si="2"/>
        <v/>
      </c>
      <c r="U14" s="686" t="str">
        <f t="shared" si="3"/>
        <v/>
      </c>
      <c r="V14" s="686" t="str">
        <f>IF(U14="","",SUMIFS(IM_Process!$A$1:$A$10000,IM_Process!$B$1:$B$10000,IM_Material!E14))</f>
        <v/>
      </c>
      <c r="W14" s="686" t="str">
        <f t="shared" si="4"/>
        <v/>
      </c>
      <c r="X14" s="687"/>
    </row>
    <row r="15" spans="1:24">
      <c r="C15" s="241" t="str">
        <f>_xlfn.IFNA(VLOOKUP(E15,Group!$AM$1:$AO$10000,3,0),"")</f>
        <v>MB512123</v>
      </c>
      <c r="D15" s="71">
        <f>_xlfn.IFNA(VLOOKUP(E15,Group!$AM$1:$AO$10000,2,0),"")</f>
        <v>0</v>
      </c>
      <c r="E15" s="681">
        <f>Group!X12</f>
        <v>0</v>
      </c>
      <c r="F15" s="689" t="str">
        <f>_xlfn.IFNA(VLOOKUP(E15,BOM!$D$1:$F$10000,3,0),"")</f>
        <v/>
      </c>
      <c r="G15" s="681" t="str">
        <f>_xlfn.IFNA(IF(OR(VLOOKUP(E15,BOM!$D$1:$I$1000,6,0)="Inhouse",VLOOKUP(E15,BOM!$D$1:$J$1000,7,0)="CSC"),"RM","BOP"),"")</f>
        <v/>
      </c>
      <c r="H15" s="681" t="str">
        <f>_xlfn.IFNA(VLOOKUP(E15,BOM!$D$1:$G$10000,4,0),"")</f>
        <v/>
      </c>
      <c r="I15" s="682"/>
      <c r="J15" s="682" t="str">
        <f>IFERROR(VLOOKUP(I15,IM_Raw_Material!$Q$1:$R$10000,2,0),"")</f>
        <v/>
      </c>
      <c r="K15" s="683"/>
      <c r="L15" s="682"/>
      <c r="M15" s="682"/>
      <c r="N15" s="682"/>
      <c r="O15" s="690"/>
      <c r="P15" s="690"/>
      <c r="Q15" s="684" t="str">
        <f>IFERROR(((VLOOKUP(E15,IM_Process!B:AH,13,0)+(VLOOKUP(E15,IM_TC!B:AF,30,0)*5%)/VLOOKUP(E15,IM_Process!B:K,9,0))/VLOOKUP(E15,IM_Process!B:K,9,0))/K15,"")</f>
        <v/>
      </c>
      <c r="R15" s="685" t="str">
        <f t="shared" ref="R15:R17" si="5">IFERROR(K15/(1-Q15),"")</f>
        <v/>
      </c>
      <c r="S15" s="686" t="str">
        <f t="shared" ref="S15:S17" si="6">IF(G15="BOP",J15*H15,IFERROR(R15*J15/1000*H15,""))</f>
        <v/>
      </c>
      <c r="T15" s="686" t="str">
        <f t="shared" ref="T15:T17" si="7">IF(G15="RM",(K15/1000)*J15,J15)</f>
        <v/>
      </c>
      <c r="U15" s="686" t="str">
        <f t="shared" ref="U15:U17" si="8">IF(T15&lt;&gt;"",IF(G15="RM",S15-T15,0),"")</f>
        <v/>
      </c>
      <c r="V15" s="686" t="str">
        <f>IF(U15="","",SUMIFS(IM_Process!$A$1:$A$10000,IM_Process!$B$1:$B$10000,IM_Material!E15))</f>
        <v/>
      </c>
      <c r="W15" s="686" t="str">
        <f t="shared" ref="W15:W17" si="9">IFERROR(V15+S15,"")</f>
        <v/>
      </c>
      <c r="X15" s="687"/>
    </row>
    <row r="16" spans="1:24">
      <c r="C16" s="241" t="str">
        <f>_xlfn.IFNA(VLOOKUP(E16,Group!$AM$1:$AO$10000,3,0),"")</f>
        <v>MB512123</v>
      </c>
      <c r="D16" s="71">
        <f>_xlfn.IFNA(VLOOKUP(E16,Group!$AM$1:$AO$10000,2,0),"")</f>
        <v>0</v>
      </c>
      <c r="E16" s="681">
        <f>Group!X13</f>
        <v>0</v>
      </c>
      <c r="F16" s="689" t="str">
        <f>_xlfn.IFNA(VLOOKUP(E16,BOM!$D$1:$F$10000,3,0),"")</f>
        <v/>
      </c>
      <c r="G16" s="681" t="str">
        <f>_xlfn.IFNA(IF(OR(VLOOKUP(E16,BOM!$D$1:$I$1000,6,0)="Inhouse",VLOOKUP(E16,BOM!$D$1:$J$1000,7,0)="CSC"),"RM","BOP"),"")</f>
        <v/>
      </c>
      <c r="H16" s="681" t="str">
        <f>_xlfn.IFNA(VLOOKUP(E16,BOM!$D$1:$G$10000,4,0),"")</f>
        <v/>
      </c>
      <c r="I16" s="682"/>
      <c r="J16" s="682" t="str">
        <f>IFERROR(VLOOKUP(I16,IM_Raw_Material!$Q$1:$R$10000,2,0),"")</f>
        <v/>
      </c>
      <c r="K16" s="683"/>
      <c r="L16" s="682"/>
      <c r="M16" s="682"/>
      <c r="N16" s="682"/>
      <c r="O16" s="690"/>
      <c r="P16" s="690"/>
      <c r="Q16" s="684" t="str">
        <f>IFERROR(((VLOOKUP(E16,IM_Process!B:AH,13,0)+(VLOOKUP(E16,IM_TC!B:AF,30,0)*5%)/VLOOKUP(E16,IM_Process!B:K,9,0))/VLOOKUP(E16,IM_Process!B:K,9,0))/K16,"")</f>
        <v/>
      </c>
      <c r="R16" s="685" t="str">
        <f t="shared" si="5"/>
        <v/>
      </c>
      <c r="S16" s="686" t="str">
        <f t="shared" si="6"/>
        <v/>
      </c>
      <c r="T16" s="686" t="str">
        <f t="shared" si="7"/>
        <v/>
      </c>
      <c r="U16" s="686" t="str">
        <f t="shared" si="8"/>
        <v/>
      </c>
      <c r="V16" s="686" t="str">
        <f>IF(U16="","",SUMIFS(IM_Process!$A$1:$A$10000,IM_Process!$B$1:$B$10000,IM_Material!E16))</f>
        <v/>
      </c>
      <c r="W16" s="686" t="str">
        <f t="shared" si="9"/>
        <v/>
      </c>
      <c r="X16" s="687"/>
    </row>
    <row r="17" spans="3:24">
      <c r="C17" s="241" t="str">
        <f>_xlfn.IFNA(VLOOKUP(E17,Group!$AM$1:$AO$10000,3,0),"")</f>
        <v>MB512123</v>
      </c>
      <c r="D17" s="71">
        <f>_xlfn.IFNA(VLOOKUP(E17,Group!$AM$1:$AO$10000,2,0),"")</f>
        <v>0</v>
      </c>
      <c r="E17" s="681">
        <f>Group!X14</f>
        <v>0</v>
      </c>
      <c r="F17" s="689" t="str">
        <f>_xlfn.IFNA(VLOOKUP(E17,BOM!$D$1:$F$10000,3,0),"")</f>
        <v/>
      </c>
      <c r="G17" s="681" t="str">
        <f>_xlfn.IFNA(IF(OR(VLOOKUP(E17,BOM!$D$1:$I$1000,6,0)="Inhouse",VLOOKUP(E17,BOM!$D$1:$J$1000,7,0)="CSC"),"RM","BOP"),"")</f>
        <v/>
      </c>
      <c r="H17" s="681" t="str">
        <f>_xlfn.IFNA(VLOOKUP(E17,BOM!$D$1:$G$10000,4,0),"")</f>
        <v/>
      </c>
      <c r="I17" s="682"/>
      <c r="J17" s="682" t="str">
        <f>IFERROR(VLOOKUP(I17,IM_Raw_Material!$Q$1:$R$10000,2,0),"")</f>
        <v/>
      </c>
      <c r="K17" s="683"/>
      <c r="L17" s="682"/>
      <c r="M17" s="682"/>
      <c r="N17" s="682"/>
      <c r="O17" s="690"/>
      <c r="P17" s="690"/>
      <c r="Q17" s="684" t="str">
        <f>IFERROR(((VLOOKUP(E17,IM_Process!B:AH,13,0)+(VLOOKUP(E17,IM_TC!B:AF,30,0)*5%)/VLOOKUP(E17,IM_Process!B:K,9,0))/VLOOKUP(E17,IM_Process!B:K,9,0))/K17,"")</f>
        <v/>
      </c>
      <c r="R17" s="685" t="str">
        <f t="shared" si="5"/>
        <v/>
      </c>
      <c r="S17" s="686" t="str">
        <f t="shared" si="6"/>
        <v/>
      </c>
      <c r="T17" s="686" t="str">
        <f t="shared" si="7"/>
        <v/>
      </c>
      <c r="U17" s="686" t="str">
        <f t="shared" si="8"/>
        <v/>
      </c>
      <c r="V17" s="686" t="str">
        <f>IF(U17="","",SUMIFS(IM_Process!$A$1:$A$10000,IM_Process!$B$1:$B$10000,IM_Material!E17))</f>
        <v/>
      </c>
      <c r="W17" s="686" t="str">
        <f t="shared" si="9"/>
        <v/>
      </c>
      <c r="X17" s="687"/>
    </row>
  </sheetData>
  <conditionalFormatting sqref="I5:I17 K5:P17">
    <cfRule type="expression" dxfId="46" priority="8">
      <formula>OR($G5="",$G5="BOP")</formula>
    </cfRule>
  </conditionalFormatting>
  <conditionalFormatting sqref="J5:J17">
    <cfRule type="expression" dxfId="45" priority="7">
      <formula>OR($G5="",$G5="RM")</formula>
    </cfRule>
  </conditionalFormatting>
  <conditionalFormatting sqref="Q5:Q27">
    <cfRule type="cellIs" dxfId="44" priority="1" stopIfTrue="1" operator="greaterThan">
      <formula>1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0000000}">
          <x14:formula1>
            <xm:f>IM_Raw_Material!$Q$3:$Q$51</xm:f>
          </x14:formula1>
          <xm:sqref>I5:I17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CS22"/>
  <sheetViews>
    <sheetView showGridLines="0" topLeftCell="C1" zoomScale="85" zoomScaleNormal="85" workbookViewId="0">
      <selection activeCell="Q13" sqref="Q13"/>
    </sheetView>
  </sheetViews>
  <sheetFormatPr defaultRowHeight="15"/>
  <cols>
    <col min="1" max="1" width="9.42578125" customWidth="1"/>
    <col min="2" max="2" width="12.140625" bestFit="1" customWidth="1"/>
    <col min="3" max="3" width="16.42578125" bestFit="1" customWidth="1"/>
    <col min="4" max="4" width="36.28515625" bestFit="1" customWidth="1"/>
    <col min="5" max="5" width="13.5703125" bestFit="1" customWidth="1"/>
    <col min="6" max="6" width="7" bestFit="1" customWidth="1"/>
    <col min="7" max="7" width="6.5703125" bestFit="1" customWidth="1"/>
    <col min="8" max="8" width="15" bestFit="1" customWidth="1"/>
    <col min="9" max="9" width="18.28515625" hidden="1" customWidth="1"/>
    <col min="10" max="10" width="6.42578125" bestFit="1" customWidth="1"/>
    <col min="11" max="11" width="18.7109375" bestFit="1" customWidth="1"/>
    <col min="12" max="13" width="6.85546875" bestFit="1" customWidth="1"/>
    <col min="14" max="14" width="11.7109375" bestFit="1" customWidth="1"/>
    <col min="15" max="15" width="8.5703125" bestFit="1" customWidth="1"/>
    <col min="16" max="16" width="31.5703125" bestFit="1" customWidth="1"/>
    <col min="17" max="17" width="6.5703125" bestFit="1" customWidth="1"/>
    <col min="18" max="18" width="6" bestFit="1" customWidth="1"/>
    <col min="19" max="19" width="9.140625" bestFit="1" customWidth="1"/>
    <col min="20" max="20" width="10.140625" bestFit="1" customWidth="1"/>
    <col min="21" max="21" width="6.7109375" bestFit="1" customWidth="1"/>
    <col min="22" max="22" width="6" bestFit="1" customWidth="1"/>
    <col min="23" max="23" width="6.42578125" bestFit="1" customWidth="1"/>
    <col min="24" max="24" width="3.7109375" bestFit="1" customWidth="1"/>
    <col min="25" max="25" width="26.5703125" bestFit="1" customWidth="1"/>
    <col min="26" max="26" width="10.5703125" bestFit="1" customWidth="1"/>
    <col min="27" max="27" width="6" bestFit="1" customWidth="1"/>
    <col min="28" max="28" width="6.42578125" bestFit="1" customWidth="1"/>
    <col min="29" max="29" width="9" bestFit="1" customWidth="1"/>
    <col min="30" max="30" width="3.5703125" bestFit="1" customWidth="1"/>
    <col min="31" max="31" width="26.5703125" bestFit="1" customWidth="1"/>
    <col min="32" max="32" width="8.85546875" customWidth="1"/>
    <col min="33" max="33" width="9.7109375" customWidth="1"/>
    <col min="34" max="34" width="7.85546875" customWidth="1"/>
    <col min="35" max="35" width="10.42578125" bestFit="1" customWidth="1"/>
    <col min="36" max="36" width="7" customWidth="1"/>
    <col min="37" max="37" width="9.5703125" customWidth="1"/>
    <col min="38" max="38" width="7.42578125" customWidth="1"/>
    <col min="39" max="39" width="4.5703125" customWidth="1"/>
    <col min="40" max="40" width="12.28515625" customWidth="1"/>
    <col min="41" max="41" width="4.140625" customWidth="1"/>
    <col min="42" max="42" width="22.140625" bestFit="1" customWidth="1"/>
    <col min="44" max="44" width="14" customWidth="1"/>
    <col min="48" max="48" width="9.5703125" bestFit="1" customWidth="1"/>
    <col min="59" max="59" width="15.7109375" bestFit="1" customWidth="1"/>
    <col min="61" max="61" width="18.7109375" bestFit="1" customWidth="1"/>
    <col min="62" max="62" width="25.5703125" bestFit="1" customWidth="1"/>
    <col min="80" max="80" width="16.7109375" bestFit="1" customWidth="1"/>
  </cols>
  <sheetData>
    <row r="1" spans="1:97" ht="15.75" thickBot="1">
      <c r="A1" s="691">
        <v>1</v>
      </c>
    </row>
    <row r="2" spans="1:97" ht="21.75" thickBot="1">
      <c r="D2" s="826" t="s">
        <v>499</v>
      </c>
      <c r="E2" s="827"/>
    </row>
    <row r="3" spans="1:97" ht="15.75">
      <c r="D3" s="650" t="s">
        <v>500</v>
      </c>
      <c r="E3" s="368">
        <v>20</v>
      </c>
    </row>
    <row r="4" spans="1:97" ht="15.75">
      <c r="D4" s="651" t="s">
        <v>501</v>
      </c>
      <c r="E4" s="369">
        <v>10</v>
      </c>
    </row>
    <row r="5" spans="1:97" ht="15.75">
      <c r="D5" s="651" t="s">
        <v>502</v>
      </c>
      <c r="E5" s="369">
        <v>50</v>
      </c>
    </row>
    <row r="6" spans="1:97" ht="16.5" thickBot="1">
      <c r="D6" s="652" t="s">
        <v>503</v>
      </c>
      <c r="E6" s="370">
        <f>5*2</f>
        <v>10</v>
      </c>
    </row>
    <row r="8" spans="1:97" ht="46.5">
      <c r="A8" s="589" t="s">
        <v>504</v>
      </c>
      <c r="B8" s="589"/>
      <c r="C8" s="589"/>
      <c r="D8" s="589"/>
      <c r="E8" s="589"/>
      <c r="F8" s="589"/>
      <c r="G8" s="589"/>
    </row>
    <row r="9" spans="1:97" ht="15.75" thickBot="1"/>
    <row r="10" spans="1:97" ht="15.75" thickBot="1">
      <c r="I10" s="371"/>
      <c r="K10" s="828" t="s">
        <v>505</v>
      </c>
      <c r="L10" s="829"/>
      <c r="M10" s="829"/>
      <c r="N10" s="829"/>
      <c r="O10" s="829"/>
      <c r="P10" s="829"/>
      <c r="Q10" s="829"/>
      <c r="R10" s="829"/>
      <c r="S10" s="829"/>
      <c r="T10" s="829"/>
      <c r="U10" s="829"/>
      <c r="V10" s="829"/>
      <c r="W10" s="829"/>
      <c r="X10" s="829"/>
      <c r="Y10" s="829"/>
      <c r="Z10" s="829"/>
      <c r="AA10" s="829"/>
      <c r="AB10" s="829"/>
      <c r="AC10" s="829"/>
      <c r="AD10" s="829"/>
      <c r="AE10" s="829"/>
      <c r="AF10" s="829"/>
      <c r="AG10" s="829"/>
      <c r="AH10" s="830"/>
      <c r="AI10" s="372"/>
      <c r="AJ10" s="372"/>
      <c r="AK10" s="372"/>
      <c r="AL10" s="372"/>
      <c r="AP10" s="831" t="s">
        <v>506</v>
      </c>
      <c r="AQ10" s="832"/>
      <c r="AR10" s="832"/>
      <c r="AS10" s="832"/>
      <c r="AT10" s="832"/>
      <c r="AU10" s="832"/>
      <c r="AV10" s="832"/>
      <c r="AW10" s="832"/>
      <c r="AX10" s="832"/>
      <c r="AY10" s="832"/>
      <c r="AZ10" s="832"/>
      <c r="BA10" s="832"/>
      <c r="BB10" s="832"/>
      <c r="BC10" s="832"/>
      <c r="BD10" s="832"/>
      <c r="BE10" s="832"/>
      <c r="BF10" s="832"/>
      <c r="BG10" s="833"/>
      <c r="BI10" s="825" t="s">
        <v>507</v>
      </c>
      <c r="BJ10" s="825"/>
      <c r="BK10" s="825"/>
      <c r="BL10" s="825"/>
      <c r="BM10" s="825"/>
      <c r="BN10" s="825"/>
      <c r="BO10" s="825"/>
      <c r="BP10" s="825"/>
      <c r="BQ10" s="825"/>
      <c r="BR10" s="825"/>
      <c r="BS10" s="825"/>
      <c r="BT10" s="825"/>
      <c r="BU10" s="825"/>
      <c r="BV10" s="825"/>
      <c r="BW10" s="825"/>
      <c r="BX10" s="825"/>
      <c r="BY10" s="825"/>
      <c r="BZ10" s="825"/>
      <c r="CB10" s="825" t="s">
        <v>508</v>
      </c>
      <c r="CC10" s="825"/>
      <c r="CD10" s="825"/>
      <c r="CE10" s="825"/>
      <c r="CF10" s="825"/>
      <c r="CG10" s="825"/>
      <c r="CH10" s="825"/>
      <c r="CI10" s="825"/>
      <c r="CJ10" s="825"/>
      <c r="CK10" s="825"/>
      <c r="CL10" s="825"/>
      <c r="CM10" s="825"/>
      <c r="CN10" s="825"/>
      <c r="CO10" s="825"/>
      <c r="CP10" s="825"/>
      <c r="CQ10" s="825"/>
      <c r="CR10" s="825"/>
      <c r="CS10" s="825"/>
    </row>
    <row r="11" spans="1:97" ht="15.75" thickBot="1">
      <c r="I11" s="371"/>
      <c r="K11" s="834" t="s">
        <v>509</v>
      </c>
      <c r="L11" s="835"/>
      <c r="M11" s="835"/>
      <c r="N11" s="835"/>
      <c r="O11" s="835"/>
      <c r="P11" s="835"/>
      <c r="Q11" s="835"/>
      <c r="R11" s="835"/>
      <c r="S11" s="835"/>
      <c r="T11" s="835"/>
      <c r="U11" s="835"/>
      <c r="V11" s="835"/>
      <c r="W11" s="835"/>
      <c r="X11" s="836" t="s">
        <v>344</v>
      </c>
      <c r="Y11" s="837"/>
      <c r="Z11" s="837"/>
      <c r="AA11" s="837"/>
      <c r="AB11" s="838"/>
      <c r="AC11" s="835" t="s">
        <v>345</v>
      </c>
      <c r="AD11" s="835"/>
      <c r="AE11" s="835"/>
      <c r="AF11" s="835"/>
      <c r="AG11" s="835"/>
      <c r="AH11" s="588"/>
      <c r="AI11" s="103"/>
      <c r="AJ11" s="103"/>
      <c r="AK11" s="103"/>
      <c r="AL11" s="103"/>
      <c r="AP11" s="808" t="s">
        <v>509</v>
      </c>
      <c r="AQ11" s="809"/>
      <c r="AR11" s="809"/>
      <c r="AS11" s="809"/>
      <c r="AT11" s="809"/>
      <c r="AU11" s="809"/>
      <c r="AV11" s="810"/>
      <c r="AW11" s="808" t="s">
        <v>344</v>
      </c>
      <c r="AX11" s="809"/>
      <c r="AY11" s="809"/>
      <c r="AZ11" s="809"/>
      <c r="BA11" s="810"/>
      <c r="BB11" s="808" t="s">
        <v>345</v>
      </c>
      <c r="BC11" s="809"/>
      <c r="BD11" s="809"/>
      <c r="BE11" s="809"/>
      <c r="BF11" s="810"/>
      <c r="BG11" s="10"/>
      <c r="BI11" s="795" t="s">
        <v>509</v>
      </c>
      <c r="BJ11" s="795"/>
      <c r="BK11" s="795"/>
      <c r="BL11" s="795"/>
      <c r="BM11" s="795"/>
      <c r="BN11" s="795"/>
      <c r="BO11" s="795"/>
      <c r="BP11" s="795" t="s">
        <v>344</v>
      </c>
      <c r="BQ11" s="795"/>
      <c r="BR11" s="795"/>
      <c r="BS11" s="795"/>
      <c r="BT11" s="795"/>
      <c r="BU11" s="795" t="s">
        <v>345</v>
      </c>
      <c r="BV11" s="795"/>
      <c r="BW11" s="795"/>
      <c r="BX11" s="795"/>
      <c r="BY11" s="795"/>
      <c r="BZ11" s="10"/>
      <c r="CB11" s="795" t="s">
        <v>509</v>
      </c>
      <c r="CC11" s="795"/>
      <c r="CD11" s="795"/>
      <c r="CE11" s="795"/>
      <c r="CF11" s="795"/>
      <c r="CG11" s="795"/>
      <c r="CH11" s="795"/>
      <c r="CI11" s="795" t="s">
        <v>344</v>
      </c>
      <c r="CJ11" s="795"/>
      <c r="CK11" s="795"/>
      <c r="CL11" s="795"/>
      <c r="CM11" s="795"/>
      <c r="CN11" s="795" t="s">
        <v>345</v>
      </c>
      <c r="CO11" s="795"/>
      <c r="CP11" s="795"/>
      <c r="CQ11" s="795"/>
      <c r="CR11" s="795"/>
      <c r="CS11" s="10"/>
    </row>
    <row r="12" spans="1:97" s="373" customFormat="1" ht="40.5" customHeight="1" thickBot="1">
      <c r="A12" s="359" t="s">
        <v>510</v>
      </c>
      <c r="B12" s="360" t="s">
        <v>31</v>
      </c>
      <c r="C12" s="360" t="s">
        <v>35</v>
      </c>
      <c r="D12" s="360" t="s">
        <v>89</v>
      </c>
      <c r="E12" s="360" t="s">
        <v>34</v>
      </c>
      <c r="F12" s="360" t="s">
        <v>213</v>
      </c>
      <c r="G12" s="360" t="s">
        <v>281</v>
      </c>
      <c r="H12" s="360" t="s">
        <v>492</v>
      </c>
      <c r="I12" s="374" t="s">
        <v>511</v>
      </c>
      <c r="J12" s="360" t="s">
        <v>512</v>
      </c>
      <c r="K12" s="375" t="s">
        <v>82</v>
      </c>
      <c r="L12" s="375" t="s">
        <v>513</v>
      </c>
      <c r="M12" s="375" t="s">
        <v>514</v>
      </c>
      <c r="N12" s="375" t="s">
        <v>515</v>
      </c>
      <c r="O12" s="360" t="s">
        <v>516</v>
      </c>
      <c r="P12" s="375" t="s">
        <v>267</v>
      </c>
      <c r="Q12" s="375" t="s">
        <v>517</v>
      </c>
      <c r="R12" s="375" t="s">
        <v>518</v>
      </c>
      <c r="S12" s="375" t="s">
        <v>86</v>
      </c>
      <c r="T12" s="375" t="s">
        <v>346</v>
      </c>
      <c r="U12" s="375" t="s">
        <v>91</v>
      </c>
      <c r="V12" s="375" t="s">
        <v>347</v>
      </c>
      <c r="W12" s="376" t="s">
        <v>519</v>
      </c>
      <c r="X12" s="377" t="s">
        <v>351</v>
      </c>
      <c r="Y12" s="375" t="s">
        <v>352</v>
      </c>
      <c r="Z12" s="375" t="s">
        <v>353</v>
      </c>
      <c r="AA12" s="375" t="s">
        <v>354</v>
      </c>
      <c r="AB12" s="376" t="s">
        <v>355</v>
      </c>
      <c r="AC12" s="375" t="s">
        <v>357</v>
      </c>
      <c r="AD12" s="375" t="s">
        <v>351</v>
      </c>
      <c r="AE12" s="375" t="s">
        <v>358</v>
      </c>
      <c r="AF12" s="375" t="s">
        <v>353</v>
      </c>
      <c r="AG12" s="376" t="s">
        <v>345</v>
      </c>
      <c r="AH12" s="376" t="s">
        <v>520</v>
      </c>
      <c r="AI12" s="360" t="s">
        <v>521</v>
      </c>
      <c r="AJ12" s="360" t="s">
        <v>522</v>
      </c>
      <c r="AK12" s="360" t="s">
        <v>523</v>
      </c>
      <c r="AL12" s="378" t="s">
        <v>524</v>
      </c>
      <c r="AM12"/>
      <c r="AN12" s="379" t="s">
        <v>525</v>
      </c>
      <c r="AP12" s="380" t="s">
        <v>82</v>
      </c>
      <c r="AQ12" s="380" t="s">
        <v>267</v>
      </c>
      <c r="AR12" s="380" t="s">
        <v>86</v>
      </c>
      <c r="AS12" s="380" t="s">
        <v>346</v>
      </c>
      <c r="AT12" s="380" t="s">
        <v>91</v>
      </c>
      <c r="AU12" s="380" t="s">
        <v>347</v>
      </c>
      <c r="AV12" s="381" t="s">
        <v>519</v>
      </c>
      <c r="AW12" s="382" t="s">
        <v>351</v>
      </c>
      <c r="AX12" s="380" t="s">
        <v>352</v>
      </c>
      <c r="AY12" s="380" t="s">
        <v>353</v>
      </c>
      <c r="AZ12" s="380" t="s">
        <v>354</v>
      </c>
      <c r="BA12" s="381" t="s">
        <v>355</v>
      </c>
      <c r="BB12" s="380" t="s">
        <v>357</v>
      </c>
      <c r="BC12" s="380" t="s">
        <v>351</v>
      </c>
      <c r="BD12" s="380" t="s">
        <v>358</v>
      </c>
      <c r="BE12" s="380" t="s">
        <v>353</v>
      </c>
      <c r="BF12" s="381" t="s">
        <v>345</v>
      </c>
      <c r="BG12" s="381" t="s">
        <v>520</v>
      </c>
      <c r="BI12" s="380" t="s">
        <v>82</v>
      </c>
      <c r="BJ12" s="380" t="s">
        <v>267</v>
      </c>
      <c r="BK12" s="380" t="s">
        <v>86</v>
      </c>
      <c r="BL12" s="380" t="s">
        <v>346</v>
      </c>
      <c r="BM12" s="380" t="s">
        <v>91</v>
      </c>
      <c r="BN12" s="380" t="s">
        <v>347</v>
      </c>
      <c r="BO12" s="381" t="s">
        <v>519</v>
      </c>
      <c r="BP12" s="382" t="s">
        <v>351</v>
      </c>
      <c r="BQ12" s="380" t="s">
        <v>352</v>
      </c>
      <c r="BR12" s="380" t="s">
        <v>353</v>
      </c>
      <c r="BS12" s="380" t="s">
        <v>354</v>
      </c>
      <c r="BT12" s="381" t="s">
        <v>355</v>
      </c>
      <c r="BU12" s="380" t="s">
        <v>357</v>
      </c>
      <c r="BV12" s="380" t="s">
        <v>351</v>
      </c>
      <c r="BW12" s="380" t="s">
        <v>358</v>
      </c>
      <c r="BX12" s="380" t="s">
        <v>353</v>
      </c>
      <c r="BY12" s="381" t="s">
        <v>345</v>
      </c>
      <c r="BZ12" s="381" t="s">
        <v>520</v>
      </c>
      <c r="CB12" s="380" t="s">
        <v>82</v>
      </c>
      <c r="CC12" s="380" t="s">
        <v>267</v>
      </c>
      <c r="CD12" s="380" t="s">
        <v>86</v>
      </c>
      <c r="CE12" s="380" t="s">
        <v>346</v>
      </c>
      <c r="CF12" s="380" t="s">
        <v>91</v>
      </c>
      <c r="CG12" s="380" t="s">
        <v>347</v>
      </c>
      <c r="CH12" s="381" t="s">
        <v>519</v>
      </c>
      <c r="CI12" s="382" t="s">
        <v>351</v>
      </c>
      <c r="CJ12" s="380" t="s">
        <v>352</v>
      </c>
      <c r="CK12" s="380" t="s">
        <v>353</v>
      </c>
      <c r="CL12" s="380" t="s">
        <v>354</v>
      </c>
      <c r="CM12" s="381" t="s">
        <v>355</v>
      </c>
      <c r="CN12" s="380" t="s">
        <v>357</v>
      </c>
      <c r="CO12" s="380" t="s">
        <v>351</v>
      </c>
      <c r="CP12" s="380" t="s">
        <v>358</v>
      </c>
      <c r="CQ12" s="380" t="s">
        <v>353</v>
      </c>
      <c r="CR12" s="381" t="s">
        <v>345</v>
      </c>
      <c r="CS12" s="381" t="s">
        <v>520</v>
      </c>
    </row>
    <row r="13" spans="1:97" s="102" customFormat="1">
      <c r="A13" s="544">
        <f>AL13</f>
        <v>45.248322547323198</v>
      </c>
      <c r="B13" s="362" t="str">
        <f>Group!X2</f>
        <v>FV516568</v>
      </c>
      <c r="C13" s="383" t="str">
        <f>_xlfn.IFNA(IF(VLOOKUP(B13,BOM!$D$1:$I$10000,6,0)="Inhouse","Process-Inhouse",IF(VLOOKUP(B13,BOM!$D$1:$I$10000,6,0)="BOF","Process-outsourced",IF(VLOOKUP(B13,BOM!$D$1:$I$10000,6,0)="BOSF","Process-Inhouse"))),"")</f>
        <v>Process-Inhouse</v>
      </c>
      <c r="D13" s="362" t="str">
        <f>IFERROR(VLOOKUP($B13,IM_Material!$E$1:$F$10000,2,0),"")</f>
        <v>REINFORCEMENT-INTERIOR TRIM -</v>
      </c>
      <c r="E13" s="362">
        <f>VLOOKUP(B13,IM_Material!$E$1:$H$10000,4,0)</f>
        <v>1</v>
      </c>
      <c r="F13" s="362">
        <f>IF(E13="","",VLOOKUP(B13,IM_Material!E:L,8,0))</f>
        <v>1784</v>
      </c>
      <c r="G13" s="362">
        <f>IF(F13="","",VLOOKUP(B13,IM_Material!E:M,9,0))</f>
        <v>247</v>
      </c>
      <c r="H13" s="362">
        <f>IF(F13="","",VLOOKUP(B13,IM_Material!E:N,10,0))</f>
        <v>2.7</v>
      </c>
      <c r="I13" s="384">
        <f>M13</f>
        <v>4</v>
      </c>
      <c r="J13" s="362">
        <f>IFERROR(IF(F13&lt;&gt;"",IF(IF(IF((INT((Q13-$E$3-M13)/((G13+$E$4)))*2)*(INT(R13/INT(F13*2+$E$6+M13/2+$E$4)))&gt;((INT((R13-$E$3-M13)/((G13+$E$4)))*2)*(INT(Q13/INT(F13*2+$E$6+M13/2+$E$4)))),(INT((Q13-$E$3-M13)/((G13+$E$4)))*2)*(INT(R13/INT(F13*2+$E$6+M13/2+$E$4))),(INT((R13-$E$3-M13)/((G13+$E$4)))*2)*(INT(Q13/INT(F13*2+$E$6+M13/2+$E$4))))&gt;IF((INT((Q13-$E$3-M13)/((F13+$E$4)))*2)*(INT(R13/INT(G13*2+$E$6+M13/2+$E$4)))&gt;(INT((R13-$E$3-M13)/((F13+$E$4)))*2)*(INT(Q13/INT(G13*2+$E$6+M13/2+$E$4))),(INT((Q13-$E$3-M13)/((F13+$E$4)))*2)*(INT(R13/INT(G13*2+$E$6+M13/2+$E$4))),(INT((R13-$E$3-M13)/((F13+$E$4)))*2)*(INT(Q13/INT(G13*2+$E$6+M13/2+$E$4)))),IF((INT((Q13-$E$3-M13)/((G13+$E$4)))*2)*(INT(R13/INT(F13*2+$E$6+M13/2+$E$4)))&gt;((INT((R13-$E$3-M13)/((G13+$E$4)))*2)*(INT(Q13/INT(F13*2+$E$6+M13/2+$E$4)))),(INT((Q13-$E$3-M13)/((G13+$E$4)))*2)*(INT(R13/INT(F13*2+$E$6+M13/2+$E$4))),(INT((R13-$E$3-M13)/((G13+$E$4)))*2)*(INT(Q13/INT(F13*2+$E$6+M13/2+$E$4)))),IF((INT((Q13-$E$3-M13)/((F13+$E$4)))*2)*(INT(R13/INT(G13*2+$E$6+M13/2+$E$4)))&gt;(INT((R13-$E$3-M13)/((F13+$E$4)))*2)*(INT(Q13/INT(G13*2+$E$6+M13/2+$E$4))),(INT((Q13-$E$3-M13)/((F13+$E$4)))*2)*(INT(R13/INT(G13*2+$E$6+M13/2+$E$4))),(INT((R13-$E$3-M13)/((F13+$E$4)))*2)*(INT(Q13/INT(G13*2+$E$6+M13/2+$E$4)))))=0,INT(IF(F13&gt;G13,(Q13-$E$3)/(F13+$E$4)*(R13-$E$3)/(G13+$E$4),(Q13-$E$3)/(G13+$E$4)*(R13-$E$3)/(F13+$E$4))),IF(IF((INT((Q13-$E$3-M13)/((G13+$E$4)))*2)*(INT(R13/INT(F13*2+$E$6+M13/2+$E$4)))&gt;((INT((R13-$E$3-M13)/((G13+$E$4)))*2)*(INT(Q13/INT(F13*2+$E$6+M13/2+$E$4)))),(INT((Q13-$E$3-M13)/((G13+$E$4)))*2)*(INT(R13/INT(F13*2+$E$6+M13/2+$E$4))),(INT((R13-$E$3-M13)/((G13+$E$4)))*2)*(INT(Q13/INT(F13*2+$E$6+M13/2+$E$4))))&gt;IF((INT((Q13-$E$3-M13)/((F13+$E$4)))*2)*(INT(R13/INT(G13*2+$E$6+M13/2+$E$4)))&gt;(INT((R13-$E$3-M13)/((F13+$E$4)))*2)*(INT(Q13/INT(G13*2+$E$6+M13/2+$E$4))),(INT((Q13-$E$3-M13)/((F13+$E$4)))*2)*(INT(R13/INT(G13*2+$E$6+M13/2+$E$4))),(INT((R13-$E$3-M13)/((F13+$E$4)))*2)*(INT(Q13/INT(G13*2+$E$6+M13/2+$E$4)))),IF((INT((Q13-$E$3-M13)/((G13+$E$4)))*2)*(INT(R13/INT(F13*2+$E$6+M13/2+$E$4)))&gt;((INT((R13-$E$3-M13)/((G13+$E$4)))*2)*(INT(Q13/INT(F13*2+$E$6+M13/2+$E$4)))),(INT((Q13-$E$3-M13)/((G13+$E$4)))*2)*(INT(R13/INT(F13*2+$E$6+M13/2+$E$4))),(INT((R13-$E$3-M13)/((G13+$E$4)))*2)*(INT(Q13/INT(F13*2+$E$6+M13/2+$E$4)))),IF((INT((Q13-$E$3-M13)/((F13+$E$4)))*2)*(INT(R13/INT(G13*2+$E$6+M13/2+$E$4)))&gt;(INT((R13-$E$3-M13)/((F13+$E$4)))*2)*(INT(Q13/INT(G13*2+$E$6+M13/2+$E$4))),(INT((Q13-$E$3-M13)/((F13+$E$4)))*2)*(INT(R13/INT(G13*2+$E$6+M13/2+$E$4))),(INT((R13-$E$3-M13)/((F13+$E$4)))*2)*(INT(Q13/INT(G13*2+$E$6+M13/2+$E$4)))))),""),"")</f>
        <v>5</v>
      </c>
      <c r="K13" s="385" t="str">
        <f>IF(J13&lt;&gt;"","Injection Molding","")</f>
        <v>Injection Molding</v>
      </c>
      <c r="L13" s="386">
        <f>IFERROR(IF(IF(J13&lt;&gt;"",IF((INT((Q13-$E$3-M13)/((G13+$E$4)))*2)*(INT(R13/INT(F13*2+$E$6+M13/2+$E$4)))&gt;((INT((R13-$E$3-M13)/((G13+$E$4)))*2)*(INT(Q13/INT(F13*2+$E$6+M13/2+$E$4))))*INT(R13/INT(F13*2+$E$6+M13/2+$E$4)),(INT(F13*2+$E$6+M13/2+$E$4)),(INT(F13*2+$E$6+M13/2+$E$4)*INT(Q13/INT(F13*2+$E$6+M13/2+$E$4)))),"")=0,30,IF(J13&lt;&gt;"",IF((INT((Q13-$E$3-M13)/((G13+$E$4)))*2)*(INT(R13/INT(F13*2+$E$6+M13/2+$E$4)))&gt;((INT((R13-$E$3-M13)/((G13+$E$4)))*2)*(INT(Q13/INT(F13*2+$E$6+M13/2+$E$4))))*INT(R13/INT(F13*2+$E$6+M13/2+$E$4)),(INT(F13*2+$E$6+M13/2+$E$4)),(INT(F13*2+$E$6+M13/2+$E$4)*INT(Q13/INT(F13*2+$E$6+M13/2+$E$4)))),"")),"")</f>
        <v>30</v>
      </c>
      <c r="M13" s="387">
        <f>IF(F13&lt;&gt;"",IF(H13&lt;=2,3,IF(H13&lt;=4,4,IF(H13&lt;=6,8,10))),"")</f>
        <v>4</v>
      </c>
      <c r="N13" s="388">
        <f>IFERROR((L13*M13^2*3.14/4)*VLOOKUP(B13,IM_TC!B:W,22,0)+J13*$E$6*3.14/4*VLOOKUP(B13,IM_TC!B:W,22,0)+(IF((IF((INT((Q13-$E$3-M13)/((G13+$E$4)))*2)*(INT(R13/INT(F13*2+$E$6+M13/2+$E$4)))&gt;((INT((R13-$E$3-M13)/((G13+$E$4)))*2)*(INT(Q13/INT(F13*2+$E$6+M13/2+$E$4)))),(INT((Q13-$E$3-M13)/((G13+$E$4)))*2)*(INT(R13/INT(F13*2+$E$6+M13/2+$E$4))),(INT((R13-$E$3-M13)/((G13+$E$4)))*2)*(INT(Q13/INT(F13*2+$E$6+M13/2+$E$4)))))=0,+INT((IF(F13&gt;G13,((IF(Q13&gt;R13,Q13,R13)-40)/(F13+$E$4))*((IF(Q13&gt;R13,R13,Q13)-40)/(F13+$E$4))*F13,((IF(Q13&gt;R13,Q13,R13)-40)/(G13+$E$4))*((IF(Q13&gt;R13,R13,Q13)-40)/(G13+$E$4))*G13))),IF((INT((Q13-$E$3-M13)/((G13+$E$4)))*2)*(INT(R13/INT(F13*2+$E$6+M13/2+$E$4)))&gt;((INT((R13-$E$3-M13)/((G13+$E$4)))*2)*(INT(Q13/INT(F13*2+$E$6+M13/2+$E$4)))),(INT((Q13-$E$3-M13))),(INT((R13-$E$3-M13))))))*(M13/2)^2*3.14/4*VLOOKUP(B13,IM_TC!B:W,22,0),"")</f>
        <v>5.533307999999999</v>
      </c>
      <c r="O13" s="389">
        <f>VLOOKUP(B13,IM_TC!B:S,18,0)</f>
        <v>3441.2292921599997</v>
      </c>
      <c r="P13" s="390" t="str">
        <f>IFERROR(IF(O13&lt;VLOOKUP(IM_Process!Q13,DATA_SHEET!AI:AK,3,0),VLOOKUP(Q13,DATA_SHEET!AI:AL,4,0),IF(O13&lt;&gt;0,IF(O13="","",IF(O13&lt;=110,"Injection Molding Machine 110 T",IF(O13&lt;=150,"Injection Molding Machine 150 T",IF(O13&lt;=180,"Injection Molding Machine 180 T",IF(O13&lt;=250,"Injection Molding Machine 250 T",IF(O13&lt;=320,"Injection Molding Machine 320 T",IF(O13&lt;=400,"Injection Molding Machine 400 T",IF(O13&lt;=480,"Injection Molding Machine 480 T",IF(O13&lt;=550,"Injection Molding Machine 550 T",IF(O13&lt;=650,"Injection Molding Machine 650 T",IF(O13&lt;=850,"Injection Molding Machine 850 T",IF(O13&lt;=1050,"Injection Molding Machine 1050 T",IF(O13&lt;=1450,"Injection Molding Machine 1450 T",IF(O13&lt;=1750,"Injection Molding Machine 1750 T",IF(O13&lt;=2200,"Injection Molding Machine 2200 T",IF(O13&lt;=2750,"Injection Molding Machine 2750 T",IF(O13&lt;=3500,"Injection Molding Machine 3500 T",IF(O13&lt;=4000,"Injection Molding Machine 4000 T","")))))))))))))))))),"")),"")</f>
        <v>Injection Molding Machine 3500 T</v>
      </c>
      <c r="Q13" s="747">
        <v>1750</v>
      </c>
      <c r="R13" s="747">
        <v>1450</v>
      </c>
      <c r="S13" s="362">
        <f>IFERROR(IF(J13&lt;&gt;0,J13,""),"")</f>
        <v>5</v>
      </c>
      <c r="T13" s="364">
        <f>IFERROR(VLOOKUP(B13,IM_TC!B:AK,36,0),"")</f>
        <v>71.969956348439069</v>
      </c>
      <c r="U13" s="364">
        <f>IFERROR(VLOOKUP(P13,IM_Machinery!$D:$E,2,0),"")</f>
        <v>10415.8125</v>
      </c>
      <c r="V13" s="392">
        <f>IFERROR(U13/60,"")</f>
        <v>173.59687500000001</v>
      </c>
      <c r="W13" s="365">
        <f>IFERROR((V13*T13/S13/60*E13),"")</f>
        <v>41.645865053251448</v>
      </c>
      <c r="X13" s="362">
        <v>1</v>
      </c>
      <c r="Y13" s="383" t="s">
        <v>526</v>
      </c>
      <c r="Z13" s="362">
        <f>VLOOKUP(Y13,IM_Machinery!$F$3:$G$5,2,0)</f>
        <v>120</v>
      </c>
      <c r="AA13" s="393">
        <f>IM_Machinery!$M$7</f>
        <v>0.8</v>
      </c>
      <c r="AB13" s="365">
        <f>IFERROR(((X13*Z13*T13/3600/AA13/S13)*$E13),"")</f>
        <v>0.59974963623699218</v>
      </c>
      <c r="AC13" s="362">
        <v>3600</v>
      </c>
      <c r="AD13" s="362">
        <v>1</v>
      </c>
      <c r="AE13" s="383" t="s">
        <v>526</v>
      </c>
      <c r="AF13" s="362">
        <f>VLOOKUP(AE13,IM_Machinery!$F$3:$G$5,2,0)</f>
        <v>120</v>
      </c>
      <c r="AG13" s="365">
        <f>IFERROR((((V13*AC13/60+AF13*AD13*AC13/3600)/AN13)*$E13),"")</f>
        <v>2.1071624999999998</v>
      </c>
      <c r="AH13" s="364">
        <f>IFERROR((W13+AB13+AG13),"")</f>
        <v>44.352777189488442</v>
      </c>
      <c r="AI13" s="365">
        <f>IFERROR(W13+AV13+BO13+CH13,"")</f>
        <v>41.822987444561988</v>
      </c>
      <c r="AJ13" s="365">
        <f>IFERROR(AB13+BA13+BT13+CM13,"")</f>
        <v>1.2872517195703255</v>
      </c>
      <c r="AK13" s="365">
        <f>IFERROR(AG13+BF13+BY13+CR13,"")</f>
        <v>2.138083383190883</v>
      </c>
      <c r="AL13" s="394">
        <f>IFERROR(AI13+AJ13+AK13,"0")</f>
        <v>45.248322547323198</v>
      </c>
      <c r="AM13"/>
      <c r="AN13" s="366">
        <f>J13*1000</f>
        <v>5000</v>
      </c>
      <c r="AO13" s="395"/>
      <c r="AP13" s="396" t="s">
        <v>527</v>
      </c>
      <c r="AQ13" s="397" t="s">
        <v>528</v>
      </c>
      <c r="AR13" s="366">
        <f>IFERROR((2*10^6*90%)/VLOOKUP($B13,IM_Material!E:R,13,0),"")</f>
        <v>18000000</v>
      </c>
      <c r="AS13" s="211">
        <v>900</v>
      </c>
      <c r="AT13" s="366">
        <f>VLOOKUP($AQ13,IM_Machinery!$D:$E,2,0)</f>
        <v>145.50769230769231</v>
      </c>
      <c r="AU13" s="398">
        <f>AT13/60</f>
        <v>2.425128205128205</v>
      </c>
      <c r="AV13" s="367">
        <f>IFERROR((AU13*AS13/AR13/60*$E13),"")</f>
        <v>2.0209401709401712E-6</v>
      </c>
      <c r="AW13" s="211">
        <v>1</v>
      </c>
      <c r="AX13" s="211" t="s">
        <v>526</v>
      </c>
      <c r="AY13" s="211">
        <f>VLOOKUP(AX13,IM_Machinery!$F$3:$G$5,2,0)</f>
        <v>120</v>
      </c>
      <c r="AZ13" s="399">
        <f>IM_Machinery!$M$7</f>
        <v>0.8</v>
      </c>
      <c r="BA13" s="367">
        <f>IFERROR(((AW13*AY13*AS13/3600/AZ13/AR13)*$E13),"")</f>
        <v>2.0833333333333334E-6</v>
      </c>
      <c r="BB13" s="211">
        <f>60*20</f>
        <v>1200</v>
      </c>
      <c r="BC13" s="211">
        <v>1</v>
      </c>
      <c r="BD13" s="211" t="s">
        <v>526</v>
      </c>
      <c r="BE13" s="211">
        <f>VLOOKUP(BD13,IM_Machinery!$F$3:$G$5,2,0)</f>
        <v>120</v>
      </c>
      <c r="BF13" s="367">
        <f>IFERROR((((AU13*BB13/60+BE13*BC13*BB13/3600)/AN13)*$E13),"")</f>
        <v>1.7700512820512819E-2</v>
      </c>
      <c r="BG13" s="367">
        <f>IFERROR(AV13+BA13+BF13,"")</f>
        <v>1.7704617094017092E-2</v>
      </c>
      <c r="BI13" s="396" t="s">
        <v>529</v>
      </c>
      <c r="BJ13" s="397" t="s">
        <v>530</v>
      </c>
      <c r="BK13" s="211">
        <f>INT(10000/VLOOKUP(B13,IM_TC!B:AE,30,0))*J13</f>
        <v>10</v>
      </c>
      <c r="BL13" s="211">
        <v>15</v>
      </c>
      <c r="BM13" s="366">
        <f>VLOOKUP(BJ13,IM_Machinery!$D:$E,2,0)</f>
        <v>38.644444444444446</v>
      </c>
      <c r="BN13" s="211">
        <f>BM13/60</f>
        <v>0.64407407407407413</v>
      </c>
      <c r="BO13" s="367">
        <f>IFERROR((BN13*BL13/BK13/60*$E13),"")</f>
        <v>1.6101851851851853E-2</v>
      </c>
      <c r="BP13" s="211">
        <v>1</v>
      </c>
      <c r="BQ13" s="211" t="s">
        <v>526</v>
      </c>
      <c r="BR13" s="211">
        <f>VLOOKUP(BQ13,IM_Machinery!$F$3:$G$5,2,0)</f>
        <v>120</v>
      </c>
      <c r="BS13" s="399">
        <f>IM_Machinery!$M$7</f>
        <v>0.8</v>
      </c>
      <c r="BT13" s="367">
        <f>IFERROR(((BP13*BR13*BL13/3600/BS13/BK13)*$E13),"")</f>
        <v>6.25E-2</v>
      </c>
      <c r="BU13" s="211">
        <f>60*15</f>
        <v>900</v>
      </c>
      <c r="BV13" s="211">
        <v>1</v>
      </c>
      <c r="BW13" s="211" t="s">
        <v>526</v>
      </c>
      <c r="BX13" s="211">
        <f>VLOOKUP(BW13,IM_Machinery!$F$3:$G$5,2,0)</f>
        <v>120</v>
      </c>
      <c r="BY13" s="367">
        <f>IFERROR((((BN13*BU13/60+BX13*BV13*BU13/3600)/AN13)*$E13),"")</f>
        <v>7.9322222222222225E-3</v>
      </c>
      <c r="BZ13" s="367">
        <f>IFERROR(BO13+BT13+BY13,"")</f>
        <v>8.6534074074074069E-2</v>
      </c>
      <c r="CB13" s="396" t="s">
        <v>529</v>
      </c>
      <c r="CC13" s="397" t="s">
        <v>530</v>
      </c>
      <c r="CD13" s="211">
        <v>1</v>
      </c>
      <c r="CE13" s="211">
        <v>15</v>
      </c>
      <c r="CF13" s="366">
        <f>VLOOKUP(CC13,IM_Machinery!$D:$E,2,0)</f>
        <v>38.644444444444446</v>
      </c>
      <c r="CG13" s="211">
        <f>CF13/60</f>
        <v>0.64407407407407413</v>
      </c>
      <c r="CH13" s="367">
        <f>IFERROR((CG13*CE13/CD13/60*$E13),"")</f>
        <v>0.16101851851851853</v>
      </c>
      <c r="CI13" s="211">
        <v>1</v>
      </c>
      <c r="CJ13" s="211" t="s">
        <v>526</v>
      </c>
      <c r="CK13" s="211">
        <f>VLOOKUP(CJ13,IM_Machinery!$F$3:$G$5,2,0)</f>
        <v>120</v>
      </c>
      <c r="CL13" s="399">
        <f>IM_Machinery!$M$7</f>
        <v>0.8</v>
      </c>
      <c r="CM13" s="367">
        <f>IFERROR(((CI13*CK13*CE13/3600/CL13/CD13)*$E13),"")</f>
        <v>0.625</v>
      </c>
      <c r="CN13" s="211">
        <f>60*10</f>
        <v>600</v>
      </c>
      <c r="CO13" s="211">
        <v>1</v>
      </c>
      <c r="CP13" s="211" t="s">
        <v>526</v>
      </c>
      <c r="CQ13" s="211">
        <f>VLOOKUP(CP13,IM_Machinery!$F$3:$G$5,2,0)</f>
        <v>120</v>
      </c>
      <c r="CR13" s="367">
        <f>IFERROR((((CG13*CN13/60+CQ13*CO13*CN13/3600)/AN13)*$E13),"")</f>
        <v>5.2881481481481477E-3</v>
      </c>
      <c r="CS13" s="367">
        <f>IFERROR(CH13+CM13+CR13,"")</f>
        <v>0.79130666666666671</v>
      </c>
    </row>
    <row r="14" spans="1:97" s="102" customFormat="1">
      <c r="A14" s="544">
        <f t="shared" ref="A14:A22" si="0">AL14</f>
        <v>92.142940509327588</v>
      </c>
      <c r="B14" s="362" t="str">
        <f>Group!X3</f>
        <v>FC450368</v>
      </c>
      <c r="C14" s="383" t="str">
        <f>_xlfn.IFNA(IF(VLOOKUP(B14,BOM!$D$1:$I$10000,6,0)="Inhouse","Process-Inhouse",IF(VLOOKUP(B14,BOM!$D$1:$I$10000,6,0)="BOF","Process-outsourced",IF(VLOOKUP(B14,BOM!$D$1:$I$10000,6,0)="BOSF","Process-Inhouse"))),"")</f>
        <v>Process-Inhouse</v>
      </c>
      <c r="D14" s="362" t="str">
        <f>IFERROR(VLOOKUP($B14,IM_Material!$E$1:$F$10000,2,0),"")</f>
        <v>COVER-INSTRUMENT PANEL IP Carrier</v>
      </c>
      <c r="E14" s="362">
        <f>VLOOKUP(B14,IM_Material!$E$1:$H$10000,4,0)</f>
        <v>1</v>
      </c>
      <c r="F14" s="362">
        <f>IF(E14="","",VLOOKUP(B14,IM_Material!E:L,8,0))</f>
        <v>1810</v>
      </c>
      <c r="G14" s="362">
        <f>IF(F14="","",VLOOKUP(B14,IM_Material!E:M,9,0))</f>
        <v>390</v>
      </c>
      <c r="H14" s="362">
        <f>IF(F14="","",VLOOKUP(B14,IM_Material!E:N,10,0))</f>
        <v>3</v>
      </c>
      <c r="I14" s="384">
        <f t="shared" ref="I14:I22" si="1">M14</f>
        <v>4</v>
      </c>
      <c r="J14" s="362">
        <f t="shared" ref="J14:J22" si="2">IFERROR(IF(F14&lt;&gt;"",IF(IF(IF((INT((Q14-$E$3-M14)/((G14+$E$4)))*2)*(INT(R14/INT(F14*2+$E$6+M14/2+$E$4)))&gt;((INT((R14-$E$3-M14)/((G14+$E$4)))*2)*(INT(Q14/INT(F14*2+$E$6+M14/2+$E$4)))),(INT((Q14-$E$3-M14)/((G14+$E$4)))*2)*(INT(R14/INT(F14*2+$E$6+M14/2+$E$4))),(INT((R14-$E$3-M14)/((G14+$E$4)))*2)*(INT(Q14/INT(F14*2+$E$6+M14/2+$E$4))))&gt;IF((INT((Q14-$E$3-M14)/((F14+$E$4)))*2)*(INT(R14/INT(G14*2+$E$6+M14/2+$E$4)))&gt;(INT((R14-$E$3-M14)/((F14+$E$4)))*2)*(INT(Q14/INT(G14*2+$E$6+M14/2+$E$4))),(INT((Q14-$E$3-M14)/((F14+$E$4)))*2)*(INT(R14/INT(G14*2+$E$6+M14/2+$E$4))),(INT((R14-$E$3-M14)/((F14+$E$4)))*2)*(INT(Q14/INT(G14*2+$E$6+M14/2+$E$4)))),IF((INT((Q14-$E$3-M14)/((G14+$E$4)))*2)*(INT(R14/INT(F14*2+$E$6+M14/2+$E$4)))&gt;((INT((R14-$E$3-M14)/((G14+$E$4)))*2)*(INT(Q14/INT(F14*2+$E$6+M14/2+$E$4)))),(INT((Q14-$E$3-M14)/((G14+$E$4)))*2)*(INT(R14/INT(F14*2+$E$6+M14/2+$E$4))),(INT((R14-$E$3-M14)/((G14+$E$4)))*2)*(INT(Q14/INT(F14*2+$E$6+M14/2+$E$4)))),IF((INT((Q14-$E$3-M14)/((F14+$E$4)))*2)*(INT(R14/INT(G14*2+$E$6+M14/2+$E$4)))&gt;(INT((R14-$E$3-M14)/((F14+$E$4)))*2)*(INT(Q14/INT(G14*2+$E$6+M14/2+$E$4))),(INT((Q14-$E$3-M14)/((F14+$E$4)))*2)*(INT(R14/INT(G14*2+$E$6+M14/2+$E$4))),(INT((R14-$E$3-M14)/((F14+$E$4)))*2)*(INT(Q14/INT(G14*2+$E$6+M14/2+$E$4)))))=0,INT(IF(F14&gt;G14,(Q14-$E$3)/(F14+$E$4)*(R14-$E$3)/(G14+$E$4),(Q14-$E$3)/(G14+$E$4)*(R14-$E$3)/(F14+$E$4))),IF(IF((INT((Q14-$E$3-M14)/((G14+$E$4)))*2)*(INT(R14/INT(F14*2+$E$6+M14/2+$E$4)))&gt;((INT((R14-$E$3-M14)/((G14+$E$4)))*2)*(INT(Q14/INT(F14*2+$E$6+M14/2+$E$4)))),(INT((Q14-$E$3-M14)/((G14+$E$4)))*2)*(INT(R14/INT(F14*2+$E$6+M14/2+$E$4))),(INT((R14-$E$3-M14)/((G14+$E$4)))*2)*(INT(Q14/INT(F14*2+$E$6+M14/2+$E$4))))&gt;IF((INT((Q14-$E$3-M14)/((F14+$E$4)))*2)*(INT(R14/INT(G14*2+$E$6+M14/2+$E$4)))&gt;(INT((R14-$E$3-M14)/((F14+$E$4)))*2)*(INT(Q14/INT(G14*2+$E$6+M14/2+$E$4))),(INT((Q14-$E$3-M14)/((F14+$E$4)))*2)*(INT(R14/INT(G14*2+$E$6+M14/2+$E$4))),(INT((R14-$E$3-M14)/((F14+$E$4)))*2)*(INT(Q14/INT(G14*2+$E$6+M14/2+$E$4)))),IF((INT((Q14-$E$3-M14)/((G14+$E$4)))*2)*(INT(R14/INT(F14*2+$E$6+M14/2+$E$4)))&gt;((INT((R14-$E$3-M14)/((G14+$E$4)))*2)*(INT(Q14/INT(F14*2+$E$6+M14/2+$E$4)))),(INT((Q14-$E$3-M14)/((G14+$E$4)))*2)*(INT(R14/INT(F14*2+$E$6+M14/2+$E$4))),(INT((R14-$E$3-M14)/((G14+$E$4)))*2)*(INT(Q14/INT(F14*2+$E$6+M14/2+$E$4)))),IF((INT((Q14-$E$3-M14)/((F14+$E$4)))*2)*(INT(R14/INT(G14*2+$E$6+M14/2+$E$4)))&gt;(INT((R14-$E$3-M14)/((F14+$E$4)))*2)*(INT(Q14/INT(G14*2+$E$6+M14/2+$E$4))),(INT((Q14-$E$3-M14)/((F14+$E$4)))*2)*(INT(R14/INT(G14*2+$E$6+M14/2+$E$4))),(INT((R14-$E$3-M14)/((F14+$E$4)))*2)*(INT(Q14/INT(G14*2+$E$6+M14/2+$E$4)))))),""),"")</f>
        <v>2</v>
      </c>
      <c r="K14" s="385" t="str">
        <f t="shared" ref="K14:K22" si="3">IF(J14&lt;&gt;"","Injection Molding","")</f>
        <v>Injection Molding</v>
      </c>
      <c r="L14" s="386">
        <f t="shared" ref="L14:L22" si="4">IFERROR(IF(IF(J14&lt;&gt;"",IF((INT((Q14-$E$3-M14)/((G14+$E$4)))*2)*(INT(R14/INT(F14*2+$E$6+M14/2+$E$4)))&gt;((INT((R14-$E$3-M14)/((G14+$E$4)))*2)*(INT(Q14/INT(F14*2+$E$6+M14/2+$E$4))))*INT(R14/INT(F14*2+$E$6+M14/2+$E$4)),(INT(F14*2+$E$6+M14/2+$E$4)),(INT(F14*2+$E$6+M14/2+$E$4)*INT(Q14/INT(F14*2+$E$6+M14/2+$E$4)))),"")=0,30,IF(J14&lt;&gt;"",IF((INT((Q14-$E$3-M14)/((G14+$E$4)))*2)*(INT(R14/INT(F14*2+$E$6+M14/2+$E$4)))&gt;((INT((R14-$E$3-M14)/((G14+$E$4)))*2)*(INT(Q14/INT(F14*2+$E$6+M14/2+$E$4))))*INT(R14/INT(F14*2+$E$6+M14/2+$E$4)),(INT(F14*2+$E$6+M14/2+$E$4)),(INT(F14*2+$E$6+M14/2+$E$4)*INT(Q14/INT(F14*2+$E$6+M14/2+$E$4)))),"")),"")</f>
        <v>30</v>
      </c>
      <c r="M14" s="387">
        <f t="shared" ref="M14:M22" si="5">IF(F14&lt;&gt;"",IF(H14&lt;=2,3,IF(H14&lt;=4,4,IF(H14&lt;=6,8,10))),"")</f>
        <v>4</v>
      </c>
      <c r="N14" s="388">
        <f>IFERROR((L14*M14^2*3.14/4)*VLOOKUP(B14,IM_TC!B:W,22,0)+J14*$E$6*3.14/4*VLOOKUP(B14,IM_TC!B:W,22,0)+(IF((IF((INT((Q14-$E$3-M14)/((G14+$E$4)))*2)*(INT(R14/INT(F14*2+$E$6+M14/2+$E$4)))&gt;((INT((R14-$E$3-M14)/((G14+$E$4)))*2)*(INT(Q14/INT(F14*2+$E$6+M14/2+$E$4)))),(INT((Q14-$E$3-M14)/((G14+$E$4)))*2)*(INT(R14/INT(F14*2+$E$6+M14/2+$E$4))),(INT((R14-$E$3-M14)/((G14+$E$4)))*2)*(INT(Q14/INT(F14*2+$E$6+M14/2+$E$4)))))=0,+INT((IF(F14&gt;G14,((IF(Q14&gt;R14,Q14,R14)-40)/(F14+$E$4))*((IF(Q14&gt;R14,R14,Q14)-40)/(F14+$E$4))*F14,((IF(Q14&gt;R14,Q14,R14)-40)/(G14+$E$4))*((IF(Q14&gt;R14,R14,Q14)-40)/(G14+$E$4))*G14))),IF((INT((Q14-$E$3-M14)/((G14+$E$4)))*2)*(INT(R14/INT(F14*2+$E$6+M14/2+$E$4)))&gt;((INT((R14-$E$3-M14)/((G14+$E$4)))*2)*(INT(Q14/INT(F14*2+$E$6+M14/2+$E$4)))),(INT((Q14-$E$3-M14))),(INT((R14-$E$3-M14))))))*(M14/2)^2*3.14/4*VLOOKUP(B14,IM_TC!B:W,22,0),"")</f>
        <v>6.4055999999999997</v>
      </c>
      <c r="O14" s="389">
        <f>VLOOKUP(B14,IM_TC!B:S,18,0)</f>
        <v>2471.2768080000001</v>
      </c>
      <c r="P14" s="390" t="str">
        <f>IFERROR(IF(O14&lt;VLOOKUP(IM_Process!Q14,DATA_SHEET!AI:AK,3,0),VLOOKUP(Q14,DATA_SHEET!AI:AL,4,0),IF(O14&lt;&gt;0,IF(O14="","",IF(O14&lt;=110,"Injection Molding Machine 110 T",IF(O14&lt;=150,"Injection Molding Machine 150 T",IF(O14&lt;=180,"Injection Molding Machine 180 T",IF(O14&lt;=250,"Injection Molding Machine 250 T",IF(O14&lt;=320,"Injection Molding Machine 320 T",IF(O14&lt;=400,"Injection Molding Machine 400 T",IF(O14&lt;=480,"Injection Molding Machine 480 T",IF(O14&lt;=550,"Injection Molding Machine 550 T",IF(O14&lt;=650,"Injection Molding Machine 650 T",IF(O14&lt;=850,"Injection Molding Machine 850 T",IF(O14&lt;=1050,"Injection Molding Machine 1050 T",IF(O14&lt;=1450,"Injection Molding Machine 1450 T",IF(O14&lt;=1750,"Injection Molding Machine 1750 T",IF(O14&lt;=2200,"Injection Molding Machine 2200 T",IF(O14&lt;=2750,"Injection Molding Machine 2750 T",IF(O14&lt;=3500,"Injection Molding Machine 3500 T",IF(O14&lt;=4000,"Injection Molding Machine 4000 T","")))))))))))))))))),"")),"")</f>
        <v>Injection Molding Machine 2750 T</v>
      </c>
      <c r="Q14" s="391">
        <f t="shared" ref="Q14:Q22" si="6">IFERROR(IF(AND(F14&lt;&gt;0,G14&lt;&gt;0),IF(F14&gt;G14,IF(INT(235/F14)=0,IF(INT(260/F14)=0,IF(INT(360/F14)=0,IF(INT(410/F14)=0,IF(INT(460/F14)=0,IF(INT(520/F14)=0,IF(INT(580/F14)=0,IF(INT(680/F14)=0,IF(INT(750/F14)=0,IF(INT(810/F14)=0,IF(INT(910/F14)=0,IF(INT(1050/F14)=0,IF(INT(1160/F14)=0,IF(INT(1360/F14)=0,IF(INT(1550/F14)=0,IF(INT(1750/F14)=0,IF(INT(1950/F14)=0,IF(INT(2150/F14)=0,IF(INT(2370/F14)=0,"",2370),2150),1950),1750),1550),1360),1160),1050),910),810),750),680),580),520),460),410),360),260),235),IF(INT(235/G14)=0,IF(INT(260/G14)=0,IF(INT(360/G14)=0,IF(INT(410/G14)=0,IF(INT(460/G14)=0,IF(INT(520/G14)=0,IF(INT(580/G14)=0,IF(INT(680/G14)=0,IF(INT(750/G14)=0,IF(INT(810/G14)=0,IF(INT(910/G14)=0,IF(INT(1050/G14)=0,IF(INT(1160/G14)=0,IF(INT(1360/G14)=0,IF(INT(1550/G14)=0,IF(INT(1750/G14)=0,IF(INT(1950/G14)=0,IF(INT(2150/G14)=0,IF(INT(2370/G14)=0,"",2370),2150),1950),1750),1550),1360),1160),1050),910),810),750),680),580),520),460),410),360),260),235)),""),"")</f>
        <v>1950</v>
      </c>
      <c r="R14" s="391">
        <f>IF(Q14&lt;&gt;"",VLOOKUP(Q14,DATA_SHEET!AI:AJ,2,0),"")</f>
        <v>1550</v>
      </c>
      <c r="S14" s="362">
        <f t="shared" ref="S14:S22" si="7">IFERROR(IF(J14&lt;&gt;0,J14,""),"")</f>
        <v>2</v>
      </c>
      <c r="T14" s="364">
        <f>IFERROR(VLOOKUP(B14,IM_TC!B:AK,36,0),"")</f>
        <v>82.669731846019246</v>
      </c>
      <c r="U14" s="364">
        <f>IFERROR(VLOOKUP(P14,IM_Machinery!$D:$E,2,0),"")</f>
        <v>7436.5723958333338</v>
      </c>
      <c r="V14" s="392">
        <f t="shared" ref="V14:V22" si="8">IFERROR(U14/60,"")</f>
        <v>123.9428732638889</v>
      </c>
      <c r="W14" s="365">
        <f t="shared" ref="W14:W22" si="9">IFERROR((V14*T14/S14/60*E14),"")</f>
        <v>85.386034141257042</v>
      </c>
      <c r="X14" s="362">
        <v>1</v>
      </c>
      <c r="Y14" s="383" t="s">
        <v>526</v>
      </c>
      <c r="Z14" s="362">
        <f>VLOOKUP(Y14,IM_Machinery!$F$3:$G$5,2,0)</f>
        <v>120</v>
      </c>
      <c r="AA14" s="393">
        <f>IM_Machinery!$M$7</f>
        <v>0.8</v>
      </c>
      <c r="AB14" s="365">
        <f t="shared" ref="AB14:AB22" si="10">IFERROR(((X14*Z14*T14/3600/AA14/S14)*$E14),"")</f>
        <v>1.722286080125401</v>
      </c>
      <c r="AC14" s="362">
        <v>3600</v>
      </c>
      <c r="AD14" s="362">
        <v>1</v>
      </c>
      <c r="AE14" s="383" t="s">
        <v>526</v>
      </c>
      <c r="AF14" s="362">
        <f>VLOOKUP(AE14,IM_Machinery!$F$3:$G$5,2,0)</f>
        <v>120</v>
      </c>
      <c r="AG14" s="365">
        <f t="shared" ref="AG14:AG22" si="11">IFERROR((((V14*AC14/60+AF14*AD14*AC14/3600)/AN14)*$E14),"")</f>
        <v>3.7782861979166675</v>
      </c>
      <c r="AH14" s="364">
        <f t="shared" ref="AH14:AH22" si="12">IFERROR((W14+AB14+AG14),"")</f>
        <v>90.886606419299113</v>
      </c>
      <c r="AI14" s="365">
        <f t="shared" ref="AI14:AI22" si="13">IFERROR(W14+AV14+BO14+CH14,"")</f>
        <v>85.627563939974991</v>
      </c>
      <c r="AJ14" s="365">
        <f t="shared" ref="AJ14:AJ22" si="14">IFERROR(AB14+BA14+BT14+CM14,"")</f>
        <v>2.6597881634587344</v>
      </c>
      <c r="AK14" s="365">
        <f t="shared" ref="AK14:AK22" si="15">IFERROR(AG14+BF14+BY14+CR14,"")</f>
        <v>3.8555884058938754</v>
      </c>
      <c r="AL14" s="394">
        <f t="shared" ref="AL14:AL22" si="16">IFERROR(AI14+AJ14+AK14,"0")</f>
        <v>92.142940509327588</v>
      </c>
      <c r="AM14"/>
      <c r="AN14" s="366">
        <f t="shared" ref="AN14:AN22" si="17">J14*1000</f>
        <v>2000</v>
      </c>
      <c r="AO14" s="395"/>
      <c r="AP14" s="396" t="s">
        <v>527</v>
      </c>
      <c r="AQ14" s="397" t="s">
        <v>528</v>
      </c>
      <c r="AR14" s="366">
        <f>IFERROR((2*10^6*90%)/VLOOKUP($B14,IM_Material!E:R,13,0),"")</f>
        <v>18000000</v>
      </c>
      <c r="AS14" s="211">
        <v>900</v>
      </c>
      <c r="AT14" s="366">
        <f>VLOOKUP($AQ14,IM_Machinery!$D:$E,2,0)</f>
        <v>145.50769230769231</v>
      </c>
      <c r="AU14" s="398">
        <f t="shared" ref="AU14:AU22" si="18">AT14/60</f>
        <v>2.425128205128205</v>
      </c>
      <c r="AV14" s="367">
        <f t="shared" ref="AV14:AV22" si="19">IFERROR((AU14*AS14/AR14/60*$E14),"")</f>
        <v>2.0209401709401712E-6</v>
      </c>
      <c r="AW14" s="211">
        <v>1</v>
      </c>
      <c r="AX14" s="211" t="s">
        <v>526</v>
      </c>
      <c r="AY14" s="211">
        <f>VLOOKUP(AX14,IM_Machinery!$F$3:$G$5,2,0)</f>
        <v>120</v>
      </c>
      <c r="AZ14" s="399">
        <f>IM_Machinery!$M$7</f>
        <v>0.8</v>
      </c>
      <c r="BA14" s="367">
        <f t="shared" ref="BA14:BA22" si="20">IFERROR(((AW14*AY14*AS14/3600/AZ14/AR14)*$E14),"")</f>
        <v>2.0833333333333334E-6</v>
      </c>
      <c r="BB14" s="211">
        <f t="shared" ref="BB14:BB22" si="21">60*20</f>
        <v>1200</v>
      </c>
      <c r="BC14" s="211">
        <v>1</v>
      </c>
      <c r="BD14" s="211" t="s">
        <v>526</v>
      </c>
      <c r="BE14" s="211">
        <f>VLOOKUP(BD14,IM_Machinery!$F$3:$G$5,2,0)</f>
        <v>120</v>
      </c>
      <c r="BF14" s="367">
        <f t="shared" ref="BF14:BF22" si="22">IFERROR((((AU14*BB14/60+BE14*BC14*BB14/3600)/AN14)*$E14),"")</f>
        <v>4.4251282051282044E-2</v>
      </c>
      <c r="BG14" s="367">
        <f t="shared" ref="BG14:BG22" si="23">IFERROR(AV14+BA14+BF14,"")</f>
        <v>4.4255386324786317E-2</v>
      </c>
      <c r="BI14" s="396" t="s">
        <v>529</v>
      </c>
      <c r="BJ14" s="397" t="s">
        <v>530</v>
      </c>
      <c r="BK14" s="211">
        <f>INT(10000/VLOOKUP(B14,IM_TC!B:AE,30,0))*J14</f>
        <v>2</v>
      </c>
      <c r="BL14" s="211">
        <v>15</v>
      </c>
      <c r="BM14" s="366">
        <f>VLOOKUP(BJ14,IM_Machinery!$D:$E,2,0)</f>
        <v>38.644444444444446</v>
      </c>
      <c r="BN14" s="211">
        <f t="shared" ref="BN14:BN22" si="24">BM14/60</f>
        <v>0.64407407407407413</v>
      </c>
      <c r="BO14" s="367">
        <f t="shared" ref="BO14:BO22" si="25">IFERROR((BN14*BL14/BK14/60*$E14),"")</f>
        <v>8.0509259259259267E-2</v>
      </c>
      <c r="BP14" s="211">
        <v>1</v>
      </c>
      <c r="BQ14" s="211" t="s">
        <v>526</v>
      </c>
      <c r="BR14" s="211">
        <f>VLOOKUP(BQ14,IM_Machinery!$F$3:$G$5,2,0)</f>
        <v>120</v>
      </c>
      <c r="BS14" s="399">
        <f>IM_Machinery!$M$7</f>
        <v>0.8</v>
      </c>
      <c r="BT14" s="367">
        <f t="shared" ref="BT14:BT22" si="26">IFERROR(((BP14*BR14*BL14/3600/BS14/BK14)*$E14),"")</f>
        <v>0.3125</v>
      </c>
      <c r="BU14" s="211">
        <f t="shared" ref="BU14:BU22" si="27">60*15</f>
        <v>900</v>
      </c>
      <c r="BV14" s="211">
        <v>1</v>
      </c>
      <c r="BW14" s="211" t="s">
        <v>526</v>
      </c>
      <c r="BX14" s="211">
        <f>VLOOKUP(BW14,IM_Machinery!$F$3:$G$5,2,0)</f>
        <v>120</v>
      </c>
      <c r="BY14" s="367">
        <f t="shared" ref="BY14:BY22" si="28">IFERROR((((BN14*BU14/60+BX14*BV14*BU14/3600)/AN14)*$E14),"")</f>
        <v>1.9830555555555556E-2</v>
      </c>
      <c r="BZ14" s="367">
        <f t="shared" ref="BZ14:BZ22" si="29">IFERROR(BO14+BT14+BY14,"")</f>
        <v>0.41283981481481485</v>
      </c>
      <c r="CB14" s="396" t="s">
        <v>529</v>
      </c>
      <c r="CC14" s="397" t="s">
        <v>530</v>
      </c>
      <c r="CD14" s="211">
        <v>1</v>
      </c>
      <c r="CE14" s="211">
        <v>15</v>
      </c>
      <c r="CF14" s="366">
        <f>VLOOKUP(CC14,IM_Machinery!$D:$E,2,0)</f>
        <v>38.644444444444446</v>
      </c>
      <c r="CG14" s="211">
        <f t="shared" ref="CG14:CG22" si="30">CF14/60</f>
        <v>0.64407407407407413</v>
      </c>
      <c r="CH14" s="367">
        <f t="shared" ref="CH14:CH22" si="31">IFERROR((CG14*CE14/CD14/60*$E14),"")</f>
        <v>0.16101851851851853</v>
      </c>
      <c r="CI14" s="211">
        <v>1</v>
      </c>
      <c r="CJ14" s="211" t="s">
        <v>526</v>
      </c>
      <c r="CK14" s="211">
        <f>VLOOKUP(CJ14,IM_Machinery!$F$3:$G$5,2,0)</f>
        <v>120</v>
      </c>
      <c r="CL14" s="399">
        <f>IM_Machinery!$M$7</f>
        <v>0.8</v>
      </c>
      <c r="CM14" s="367">
        <f t="shared" ref="CM14:CM22" si="32">IFERROR(((CI14*CK14*CE14/3600/CL14/CD14)*$E14),"")</f>
        <v>0.625</v>
      </c>
      <c r="CN14" s="211">
        <f t="shared" ref="CN14:CN22" si="33">60*10</f>
        <v>600</v>
      </c>
      <c r="CO14" s="211">
        <v>1</v>
      </c>
      <c r="CP14" s="211" t="s">
        <v>526</v>
      </c>
      <c r="CQ14" s="211">
        <f>VLOOKUP(CP14,IM_Machinery!$F$3:$G$5,2,0)</f>
        <v>120</v>
      </c>
      <c r="CR14" s="367">
        <f t="shared" ref="CR14:CR22" si="34">IFERROR((((CG14*CN14/60+CQ14*CO14*CN14/3600)/AN14)*$E14),"")</f>
        <v>1.322037037037037E-2</v>
      </c>
      <c r="CS14" s="367">
        <f t="shared" ref="CS14:CS22" si="35">IFERROR(CH14+CM14+CR14,"")</f>
        <v>0.79923888888888894</v>
      </c>
    </row>
    <row r="15" spans="1:97" s="102" customFormat="1">
      <c r="A15" s="544" t="str">
        <f t="shared" si="0"/>
        <v>0</v>
      </c>
      <c r="B15" s="362">
        <f>Group!X4</f>
        <v>0</v>
      </c>
      <c r="C15" s="383" t="str">
        <f>_xlfn.IFNA(IF(VLOOKUP(B15,BOM!$D$1:$I$10000,6,0)="Inhouse","Process-Inhouse",IF(VLOOKUP(B15,BOM!$D$1:$I$10000,6,0)="BOF","Process-outsourced",IF(VLOOKUP(B15,BOM!$D$1:$I$10000,6,0)="BOSF","Process-Inhouse"))),"")</f>
        <v/>
      </c>
      <c r="D15" s="362" t="str">
        <f>IFERROR(VLOOKUP($B15,IM_Material!$E$1:$F$10000,2,0),"")</f>
        <v/>
      </c>
      <c r="E15" s="362" t="str">
        <f>VLOOKUP(B15,IM_Material!$E$1:$H$10000,4,0)</f>
        <v/>
      </c>
      <c r="F15" s="362" t="str">
        <f>IF(E15="","",VLOOKUP(B15,IM_Material!E:L,8,0))</f>
        <v/>
      </c>
      <c r="G15" s="362" t="str">
        <f>IF(F15="","",VLOOKUP(B15,IM_Material!E:M,9,0))</f>
        <v/>
      </c>
      <c r="H15" s="362" t="str">
        <f>IF(F15="","",VLOOKUP(B15,IM_Material!E:N,10,0))</f>
        <v/>
      </c>
      <c r="I15" s="384" t="str">
        <f t="shared" si="1"/>
        <v/>
      </c>
      <c r="J15" s="362" t="str">
        <f t="shared" si="2"/>
        <v/>
      </c>
      <c r="K15" s="385" t="str">
        <f t="shared" si="3"/>
        <v/>
      </c>
      <c r="L15" s="386" t="str">
        <f t="shared" si="4"/>
        <v/>
      </c>
      <c r="M15" s="387" t="str">
        <f t="shared" si="5"/>
        <v/>
      </c>
      <c r="N15" s="388" t="str">
        <f>IFERROR((L15*M15^2*3.14/4)*VLOOKUP(B15,IM_TC!B:W,22,0)+J15*$E$6*3.14/4*VLOOKUP(B15,IM_TC!B:W,22,0)+(IF((IF((INT((Q15-$E$3-M15)/((G15+$E$4)))*2)*(INT(R15/INT(F15*2+$E$6+M15/2+$E$4)))&gt;((INT((R15-$E$3-M15)/((G15+$E$4)))*2)*(INT(Q15/INT(F15*2+$E$6+M15/2+$E$4)))),(INT((Q15-$E$3-M15)/((G15+$E$4)))*2)*(INT(R15/INT(F15*2+$E$6+M15/2+$E$4))),(INT((R15-$E$3-M15)/((G15+$E$4)))*2)*(INT(Q15/INT(F15*2+$E$6+M15/2+$E$4)))))=0,+INT((IF(F15&gt;G15,((IF(Q15&gt;R15,Q15,R15)-40)/(F15+$E$4))*((IF(Q15&gt;R15,R15,Q15)-40)/(F15+$E$4))*F15,((IF(Q15&gt;R15,Q15,R15)-40)/(G15+$E$4))*((IF(Q15&gt;R15,R15,Q15)-40)/(G15+$E$4))*G15))),IF((INT((Q15-$E$3-M15)/((G15+$E$4)))*2)*(INT(R15/INT(F15*2+$E$6+M15/2+$E$4)))&gt;((INT((R15-$E$3-M15)/((G15+$E$4)))*2)*(INT(Q15/INT(F15*2+$E$6+M15/2+$E$4)))),(INT((Q15-$E$3-M15))),(INT((R15-$E$3-M15))))))*(M15/2)^2*3.14/4*VLOOKUP(B15,IM_TC!B:W,22,0),"")</f>
        <v/>
      </c>
      <c r="O15" s="389" t="str">
        <f>VLOOKUP(B15,IM_TC!B:S,18,0)</f>
        <v/>
      </c>
      <c r="P15" s="390" t="str">
        <f>IFERROR(IF(O15&lt;VLOOKUP(IM_Process!Q15,DATA_SHEET!AI:AK,3,0),VLOOKUP(Q15,DATA_SHEET!AI:AL,4,0),IF(O15&lt;&gt;0,IF(O15="","",IF(O15&lt;=110,"Injection Molding Machine 110 T",IF(O15&lt;=150,"Injection Molding Machine 150 T",IF(O15&lt;=180,"Injection Molding Machine 180 T",IF(O15&lt;=250,"Injection Molding Machine 250 T",IF(O15&lt;=320,"Injection Molding Machine 320 T",IF(O15&lt;=400,"Injection Molding Machine 400 T",IF(O15&lt;=480,"Injection Molding Machine 480 T",IF(O15&lt;=550,"Injection Molding Machine 550 T",IF(O15&lt;=650,"Injection Molding Machine 650 T",IF(O15&lt;=850,"Injection Molding Machine 850 T",IF(O15&lt;=1050,"Injection Molding Machine 1050 T",IF(O15&lt;=1450,"Injection Molding Machine 1450 T",IF(O15&lt;=1750,"Injection Molding Machine 1750 T",IF(O15&lt;=2200,"Injection Molding Machine 2200 T",IF(O15&lt;=2750,"Injection Molding Machine 2750 T",IF(O15&lt;=3500,"Injection Molding Machine 3500 T",IF(O15&lt;=4000,"Injection Molding Machine 4000 T","")))))))))))))))))),"")),"")</f>
        <v/>
      </c>
      <c r="Q15" s="391" t="str">
        <f t="shared" si="6"/>
        <v/>
      </c>
      <c r="R15" s="391" t="str">
        <f>IF(Q15&lt;&gt;"",VLOOKUP(Q15,DATA_SHEET!AI:AJ,2,0),"")</f>
        <v/>
      </c>
      <c r="S15" s="362" t="str">
        <f t="shared" si="7"/>
        <v/>
      </c>
      <c r="T15" s="364" t="str">
        <f>IFERROR(VLOOKUP(B15,IM_TC!B:AK,36,0),"")</f>
        <v/>
      </c>
      <c r="U15" s="364" t="str">
        <f>IFERROR(VLOOKUP(P15,IM_Machinery!$D:$E,2,0),"")</f>
        <v/>
      </c>
      <c r="V15" s="392" t="str">
        <f t="shared" si="8"/>
        <v/>
      </c>
      <c r="W15" s="365" t="str">
        <f t="shared" si="9"/>
        <v/>
      </c>
      <c r="X15" s="362">
        <v>1</v>
      </c>
      <c r="Y15" s="383" t="s">
        <v>526</v>
      </c>
      <c r="Z15" s="362">
        <f>VLOOKUP(Y15,IM_Machinery!$F$3:$G$5,2,0)</f>
        <v>120</v>
      </c>
      <c r="AA15" s="393">
        <f>IM_Machinery!$M$7</f>
        <v>0.8</v>
      </c>
      <c r="AB15" s="365" t="str">
        <f t="shared" si="10"/>
        <v/>
      </c>
      <c r="AC15" s="362">
        <v>3600</v>
      </c>
      <c r="AD15" s="362">
        <v>1</v>
      </c>
      <c r="AE15" s="383" t="s">
        <v>526</v>
      </c>
      <c r="AF15" s="362">
        <f>VLOOKUP(AE15,IM_Machinery!$F$3:$G$5,2,0)</f>
        <v>120</v>
      </c>
      <c r="AG15" s="365" t="str">
        <f t="shared" si="11"/>
        <v/>
      </c>
      <c r="AH15" s="364" t="str">
        <f t="shared" si="12"/>
        <v/>
      </c>
      <c r="AI15" s="365" t="str">
        <f t="shared" si="13"/>
        <v/>
      </c>
      <c r="AJ15" s="365" t="str">
        <f t="shared" si="14"/>
        <v/>
      </c>
      <c r="AK15" s="365" t="str">
        <f t="shared" si="15"/>
        <v/>
      </c>
      <c r="AL15" s="394" t="str">
        <f t="shared" si="16"/>
        <v>0</v>
      </c>
      <c r="AM15"/>
      <c r="AN15" s="366" t="e">
        <f t="shared" si="17"/>
        <v>#VALUE!</v>
      </c>
      <c r="AO15" s="395"/>
      <c r="AP15" s="396" t="s">
        <v>527</v>
      </c>
      <c r="AQ15" s="397" t="s">
        <v>528</v>
      </c>
      <c r="AR15" s="366" t="str">
        <f>IFERROR((2*10^6*90%)/VLOOKUP($B15,IM_Material!E:R,13,0),"")</f>
        <v/>
      </c>
      <c r="AS15" s="211">
        <v>900</v>
      </c>
      <c r="AT15" s="366">
        <f>VLOOKUP($AQ15,IM_Machinery!$D:$E,2,0)</f>
        <v>145.50769230769231</v>
      </c>
      <c r="AU15" s="398">
        <f t="shared" si="18"/>
        <v>2.425128205128205</v>
      </c>
      <c r="AV15" s="367" t="str">
        <f t="shared" si="19"/>
        <v/>
      </c>
      <c r="AW15" s="211">
        <v>1</v>
      </c>
      <c r="AX15" s="211" t="s">
        <v>526</v>
      </c>
      <c r="AY15" s="211">
        <f>VLOOKUP(AX15,IM_Machinery!$F$3:$G$5,2,0)</f>
        <v>120</v>
      </c>
      <c r="AZ15" s="399">
        <f>IM_Machinery!$M$7</f>
        <v>0.8</v>
      </c>
      <c r="BA15" s="367" t="str">
        <f t="shared" si="20"/>
        <v/>
      </c>
      <c r="BB15" s="211">
        <f t="shared" si="21"/>
        <v>1200</v>
      </c>
      <c r="BC15" s="211">
        <v>1</v>
      </c>
      <c r="BD15" s="211" t="s">
        <v>526</v>
      </c>
      <c r="BE15" s="211">
        <f>VLOOKUP(BD15,IM_Machinery!$F$3:$G$5,2,0)</f>
        <v>120</v>
      </c>
      <c r="BF15" s="367" t="str">
        <f t="shared" si="22"/>
        <v/>
      </c>
      <c r="BG15" s="367" t="str">
        <f t="shared" si="23"/>
        <v/>
      </c>
      <c r="BI15" s="396" t="s">
        <v>529</v>
      </c>
      <c r="BJ15" s="397" t="s">
        <v>530</v>
      </c>
      <c r="BK15" s="211" t="e">
        <f>INT(10000/VLOOKUP(B15,IM_TC!B:AE,30,0))*J15</f>
        <v>#VALUE!</v>
      </c>
      <c r="BL15" s="211">
        <v>15</v>
      </c>
      <c r="BM15" s="366">
        <f>VLOOKUP(BJ15,IM_Machinery!$D:$E,2,0)</f>
        <v>38.644444444444446</v>
      </c>
      <c r="BN15" s="211">
        <f t="shared" si="24"/>
        <v>0.64407407407407413</v>
      </c>
      <c r="BO15" s="367" t="str">
        <f t="shared" si="25"/>
        <v/>
      </c>
      <c r="BP15" s="211">
        <v>1</v>
      </c>
      <c r="BQ15" s="211" t="s">
        <v>526</v>
      </c>
      <c r="BR15" s="211">
        <f>VLOOKUP(BQ15,IM_Machinery!$F$3:$G$5,2,0)</f>
        <v>120</v>
      </c>
      <c r="BS15" s="399">
        <f>IM_Machinery!$M$7</f>
        <v>0.8</v>
      </c>
      <c r="BT15" s="367" t="str">
        <f t="shared" si="26"/>
        <v/>
      </c>
      <c r="BU15" s="211">
        <f t="shared" si="27"/>
        <v>900</v>
      </c>
      <c r="BV15" s="211">
        <v>1</v>
      </c>
      <c r="BW15" s="211" t="s">
        <v>526</v>
      </c>
      <c r="BX15" s="211">
        <f>VLOOKUP(BW15,IM_Machinery!$F$3:$G$5,2,0)</f>
        <v>120</v>
      </c>
      <c r="BY15" s="367" t="str">
        <f t="shared" si="28"/>
        <v/>
      </c>
      <c r="BZ15" s="367" t="str">
        <f t="shared" si="29"/>
        <v/>
      </c>
      <c r="CB15" s="396" t="s">
        <v>529</v>
      </c>
      <c r="CC15" s="397" t="s">
        <v>530</v>
      </c>
      <c r="CD15" s="211">
        <v>1</v>
      </c>
      <c r="CE15" s="211">
        <v>15</v>
      </c>
      <c r="CF15" s="366">
        <f>VLOOKUP(CC15,IM_Machinery!$D:$E,2,0)</f>
        <v>38.644444444444446</v>
      </c>
      <c r="CG15" s="211">
        <f t="shared" si="30"/>
        <v>0.64407407407407413</v>
      </c>
      <c r="CH15" s="367" t="str">
        <f t="shared" si="31"/>
        <v/>
      </c>
      <c r="CI15" s="211">
        <v>1</v>
      </c>
      <c r="CJ15" s="211" t="s">
        <v>526</v>
      </c>
      <c r="CK15" s="211">
        <f>VLOOKUP(CJ15,IM_Machinery!$F$3:$G$5,2,0)</f>
        <v>120</v>
      </c>
      <c r="CL15" s="399">
        <f>IM_Machinery!$M$7</f>
        <v>0.8</v>
      </c>
      <c r="CM15" s="367" t="str">
        <f t="shared" si="32"/>
        <v/>
      </c>
      <c r="CN15" s="211">
        <f t="shared" si="33"/>
        <v>600</v>
      </c>
      <c r="CO15" s="211">
        <v>1</v>
      </c>
      <c r="CP15" s="211" t="s">
        <v>526</v>
      </c>
      <c r="CQ15" s="211">
        <f>VLOOKUP(CP15,IM_Machinery!$F$3:$G$5,2,0)</f>
        <v>120</v>
      </c>
      <c r="CR15" s="367" t="str">
        <f t="shared" si="34"/>
        <v/>
      </c>
      <c r="CS15" s="367" t="str">
        <f t="shared" si="35"/>
        <v/>
      </c>
    </row>
    <row r="16" spans="1:97" s="102" customFormat="1">
      <c r="A16" s="544" t="str">
        <f t="shared" si="0"/>
        <v>0</v>
      </c>
      <c r="B16" s="362">
        <f>Group!X5</f>
        <v>0</v>
      </c>
      <c r="C16" s="383" t="str">
        <f>_xlfn.IFNA(IF(VLOOKUP(B16,BOM!$D$1:$I$10000,6,0)="Inhouse","Process-Inhouse",IF(VLOOKUP(B16,BOM!$D$1:$I$10000,6,0)="BOF","Process-outsourced",IF(VLOOKUP(B16,BOM!$D$1:$I$10000,6,0)="BOSF","Process-Inhouse"))),"")</f>
        <v/>
      </c>
      <c r="D16" s="362" t="str">
        <f>IFERROR(VLOOKUP($B16,IM_Material!$E$1:$F$10000,2,0),"")</f>
        <v/>
      </c>
      <c r="E16" s="362" t="str">
        <f>VLOOKUP(B16,IM_Material!$E$1:$H$10000,4,0)</f>
        <v/>
      </c>
      <c r="F16" s="362" t="str">
        <f>IF(E16="","",VLOOKUP(B16,IM_Material!E:L,8,0))</f>
        <v/>
      </c>
      <c r="G16" s="362" t="str">
        <f>IF(F16="","",VLOOKUP(B16,IM_Material!E:M,9,0))</f>
        <v/>
      </c>
      <c r="H16" s="362" t="str">
        <f>IF(F16="","",VLOOKUP(B16,IM_Material!E:N,10,0))</f>
        <v/>
      </c>
      <c r="I16" s="384" t="str">
        <f t="shared" si="1"/>
        <v/>
      </c>
      <c r="J16" s="362" t="str">
        <f t="shared" si="2"/>
        <v/>
      </c>
      <c r="K16" s="385" t="str">
        <f t="shared" si="3"/>
        <v/>
      </c>
      <c r="L16" s="386" t="str">
        <f t="shared" si="4"/>
        <v/>
      </c>
      <c r="M16" s="387" t="str">
        <f t="shared" si="5"/>
        <v/>
      </c>
      <c r="N16" s="388" t="str">
        <f>IFERROR((L16*M16^2*3.14/4)*VLOOKUP(B16,IM_TC!B:W,22,0)+J16*$E$6*3.14/4*VLOOKUP(B16,IM_TC!B:W,22,0)+(IF((IF((INT((Q16-$E$3-M16)/((G16+$E$4)))*2)*(INT(R16/INT(F16*2+$E$6+M16/2+$E$4)))&gt;((INT((R16-$E$3-M16)/((G16+$E$4)))*2)*(INT(Q16/INT(F16*2+$E$6+M16/2+$E$4)))),(INT((Q16-$E$3-M16)/((G16+$E$4)))*2)*(INT(R16/INT(F16*2+$E$6+M16/2+$E$4))),(INT((R16-$E$3-M16)/((G16+$E$4)))*2)*(INT(Q16/INT(F16*2+$E$6+M16/2+$E$4)))))=0,+INT((IF(F16&gt;G16,((IF(Q16&gt;R16,Q16,R16)-40)/(F16+$E$4))*((IF(Q16&gt;R16,R16,Q16)-40)/(F16+$E$4))*F16,((IF(Q16&gt;R16,Q16,R16)-40)/(G16+$E$4))*((IF(Q16&gt;R16,R16,Q16)-40)/(G16+$E$4))*G16))),IF((INT((Q16-$E$3-M16)/((G16+$E$4)))*2)*(INT(R16/INT(F16*2+$E$6+M16/2+$E$4)))&gt;((INT((R16-$E$3-M16)/((G16+$E$4)))*2)*(INT(Q16/INT(F16*2+$E$6+M16/2+$E$4)))),(INT((Q16-$E$3-M16))),(INT((R16-$E$3-M16))))))*(M16/2)^2*3.14/4*VLOOKUP(B16,IM_TC!B:W,22,0),"")</f>
        <v/>
      </c>
      <c r="O16" s="389" t="str">
        <f>VLOOKUP(B16,IM_TC!B:S,18,0)</f>
        <v/>
      </c>
      <c r="P16" s="390" t="str">
        <f>IFERROR(IF(O16&lt;VLOOKUP(IM_Process!Q16,DATA_SHEET!AI:AK,3,0),VLOOKUP(Q16,DATA_SHEET!AI:AL,4,0),IF(O16&lt;&gt;0,IF(O16="","",IF(O16&lt;=110,"Injection Molding Machine 110 T",IF(O16&lt;=150,"Injection Molding Machine 150 T",IF(O16&lt;=180,"Injection Molding Machine 180 T",IF(O16&lt;=250,"Injection Molding Machine 250 T",IF(O16&lt;=320,"Injection Molding Machine 320 T",IF(O16&lt;=400,"Injection Molding Machine 400 T",IF(O16&lt;=480,"Injection Molding Machine 480 T",IF(O16&lt;=550,"Injection Molding Machine 550 T",IF(O16&lt;=650,"Injection Molding Machine 650 T",IF(O16&lt;=850,"Injection Molding Machine 850 T",IF(O16&lt;=1050,"Injection Molding Machine 1050 T",IF(O16&lt;=1450,"Injection Molding Machine 1450 T",IF(O16&lt;=1750,"Injection Molding Machine 1750 T",IF(O16&lt;=2200,"Injection Molding Machine 2200 T",IF(O16&lt;=2750,"Injection Molding Machine 2750 T",IF(O16&lt;=3500,"Injection Molding Machine 3500 T",IF(O16&lt;=4000,"Injection Molding Machine 4000 T","")))))))))))))))))),"")),"")</f>
        <v/>
      </c>
      <c r="Q16" s="391" t="str">
        <f t="shared" si="6"/>
        <v/>
      </c>
      <c r="R16" s="391" t="str">
        <f>IF(Q16&lt;&gt;"",VLOOKUP(Q16,DATA_SHEET!AI:AJ,2,0),"")</f>
        <v/>
      </c>
      <c r="S16" s="362" t="str">
        <f t="shared" si="7"/>
        <v/>
      </c>
      <c r="T16" s="364" t="str">
        <f>IFERROR(VLOOKUP(B16,IM_TC!B:AK,36,0),"")</f>
        <v/>
      </c>
      <c r="U16" s="364" t="str">
        <f>IFERROR(VLOOKUP(P16,IM_Machinery!$D:$E,2,0),"")</f>
        <v/>
      </c>
      <c r="V16" s="392" t="str">
        <f t="shared" si="8"/>
        <v/>
      </c>
      <c r="W16" s="365" t="str">
        <f t="shared" si="9"/>
        <v/>
      </c>
      <c r="X16" s="362">
        <v>1</v>
      </c>
      <c r="Y16" s="383" t="s">
        <v>526</v>
      </c>
      <c r="Z16" s="362">
        <f>VLOOKUP(Y16,IM_Machinery!$F$3:$G$5,2,0)</f>
        <v>120</v>
      </c>
      <c r="AA16" s="393">
        <f>IM_Machinery!$M$7</f>
        <v>0.8</v>
      </c>
      <c r="AB16" s="365" t="str">
        <f t="shared" si="10"/>
        <v/>
      </c>
      <c r="AC16" s="362">
        <v>3600</v>
      </c>
      <c r="AD16" s="362">
        <v>1</v>
      </c>
      <c r="AE16" s="383" t="s">
        <v>526</v>
      </c>
      <c r="AF16" s="362">
        <f>VLOOKUP(AE16,IM_Machinery!$F$3:$G$5,2,0)</f>
        <v>120</v>
      </c>
      <c r="AG16" s="365" t="str">
        <f t="shared" si="11"/>
        <v/>
      </c>
      <c r="AH16" s="364" t="str">
        <f t="shared" si="12"/>
        <v/>
      </c>
      <c r="AI16" s="365" t="str">
        <f t="shared" si="13"/>
        <v/>
      </c>
      <c r="AJ16" s="365" t="str">
        <f t="shared" si="14"/>
        <v/>
      </c>
      <c r="AK16" s="365" t="str">
        <f t="shared" si="15"/>
        <v/>
      </c>
      <c r="AL16" s="394" t="str">
        <f t="shared" si="16"/>
        <v>0</v>
      </c>
      <c r="AM16"/>
      <c r="AN16" s="366" t="e">
        <f t="shared" si="17"/>
        <v>#VALUE!</v>
      </c>
      <c r="AO16" s="395"/>
      <c r="AP16" s="396" t="s">
        <v>527</v>
      </c>
      <c r="AQ16" s="397" t="s">
        <v>528</v>
      </c>
      <c r="AR16" s="366" t="str">
        <f>IFERROR((2*10^6*90%)/VLOOKUP($B16,IM_Material!E:R,13,0),"")</f>
        <v/>
      </c>
      <c r="AS16" s="211">
        <v>900</v>
      </c>
      <c r="AT16" s="366">
        <f>VLOOKUP($AQ16,IM_Machinery!$D:$E,2,0)</f>
        <v>145.50769230769231</v>
      </c>
      <c r="AU16" s="398">
        <f t="shared" si="18"/>
        <v>2.425128205128205</v>
      </c>
      <c r="AV16" s="367" t="str">
        <f t="shared" si="19"/>
        <v/>
      </c>
      <c r="AW16" s="211">
        <v>1</v>
      </c>
      <c r="AX16" s="211" t="s">
        <v>526</v>
      </c>
      <c r="AY16" s="211">
        <f>VLOOKUP(AX16,IM_Machinery!$F$3:$G$5,2,0)</f>
        <v>120</v>
      </c>
      <c r="AZ16" s="399">
        <f>IM_Machinery!$M$7</f>
        <v>0.8</v>
      </c>
      <c r="BA16" s="367" t="str">
        <f t="shared" si="20"/>
        <v/>
      </c>
      <c r="BB16" s="211">
        <f t="shared" si="21"/>
        <v>1200</v>
      </c>
      <c r="BC16" s="211">
        <v>1</v>
      </c>
      <c r="BD16" s="211" t="s">
        <v>526</v>
      </c>
      <c r="BE16" s="211">
        <f>VLOOKUP(BD16,IM_Machinery!$F$3:$G$5,2,0)</f>
        <v>120</v>
      </c>
      <c r="BF16" s="367" t="str">
        <f t="shared" si="22"/>
        <v/>
      </c>
      <c r="BG16" s="367" t="str">
        <f t="shared" si="23"/>
        <v/>
      </c>
      <c r="BI16" s="396" t="s">
        <v>529</v>
      </c>
      <c r="BJ16" s="397" t="s">
        <v>530</v>
      </c>
      <c r="BK16" s="211" t="e">
        <f>INT(10000/VLOOKUP(B16,IM_TC!B:AE,30,0))*J16</f>
        <v>#VALUE!</v>
      </c>
      <c r="BL16" s="211">
        <v>15</v>
      </c>
      <c r="BM16" s="366">
        <f>VLOOKUP(BJ16,IM_Machinery!$D:$E,2,0)</f>
        <v>38.644444444444446</v>
      </c>
      <c r="BN16" s="211">
        <f t="shared" si="24"/>
        <v>0.64407407407407413</v>
      </c>
      <c r="BO16" s="367" t="str">
        <f t="shared" si="25"/>
        <v/>
      </c>
      <c r="BP16" s="211">
        <v>1</v>
      </c>
      <c r="BQ16" s="211" t="s">
        <v>526</v>
      </c>
      <c r="BR16" s="211">
        <f>VLOOKUP(BQ16,IM_Machinery!$F$3:$G$5,2,0)</f>
        <v>120</v>
      </c>
      <c r="BS16" s="399">
        <f>IM_Machinery!$M$7</f>
        <v>0.8</v>
      </c>
      <c r="BT16" s="367" t="str">
        <f t="shared" si="26"/>
        <v/>
      </c>
      <c r="BU16" s="211">
        <f t="shared" si="27"/>
        <v>900</v>
      </c>
      <c r="BV16" s="211">
        <v>1</v>
      </c>
      <c r="BW16" s="211" t="s">
        <v>526</v>
      </c>
      <c r="BX16" s="211">
        <f>VLOOKUP(BW16,IM_Machinery!$F$3:$G$5,2,0)</f>
        <v>120</v>
      </c>
      <c r="BY16" s="367" t="str">
        <f t="shared" si="28"/>
        <v/>
      </c>
      <c r="BZ16" s="367" t="str">
        <f t="shared" si="29"/>
        <v/>
      </c>
      <c r="CB16" s="396" t="s">
        <v>529</v>
      </c>
      <c r="CC16" s="397" t="s">
        <v>530</v>
      </c>
      <c r="CD16" s="211">
        <v>1</v>
      </c>
      <c r="CE16" s="211">
        <v>15</v>
      </c>
      <c r="CF16" s="366">
        <f>VLOOKUP(CC16,IM_Machinery!$D:$E,2,0)</f>
        <v>38.644444444444446</v>
      </c>
      <c r="CG16" s="211">
        <f t="shared" si="30"/>
        <v>0.64407407407407413</v>
      </c>
      <c r="CH16" s="367" t="str">
        <f t="shared" si="31"/>
        <v/>
      </c>
      <c r="CI16" s="211">
        <v>1</v>
      </c>
      <c r="CJ16" s="211" t="s">
        <v>526</v>
      </c>
      <c r="CK16" s="211">
        <f>VLOOKUP(CJ16,IM_Machinery!$F$3:$G$5,2,0)</f>
        <v>120</v>
      </c>
      <c r="CL16" s="399">
        <f>IM_Machinery!$M$7</f>
        <v>0.8</v>
      </c>
      <c r="CM16" s="367" t="str">
        <f t="shared" si="32"/>
        <v/>
      </c>
      <c r="CN16" s="211">
        <f t="shared" si="33"/>
        <v>600</v>
      </c>
      <c r="CO16" s="211">
        <v>1</v>
      </c>
      <c r="CP16" s="211" t="s">
        <v>526</v>
      </c>
      <c r="CQ16" s="211">
        <f>VLOOKUP(CP16,IM_Machinery!$F$3:$G$5,2,0)</f>
        <v>120</v>
      </c>
      <c r="CR16" s="367" t="str">
        <f t="shared" si="34"/>
        <v/>
      </c>
      <c r="CS16" s="367" t="str">
        <f t="shared" si="35"/>
        <v/>
      </c>
    </row>
    <row r="17" spans="1:97" s="102" customFormat="1">
      <c r="A17" s="544" t="str">
        <f t="shared" si="0"/>
        <v>0</v>
      </c>
      <c r="B17" s="362">
        <f>Group!X6</f>
        <v>0</v>
      </c>
      <c r="C17" s="383" t="str">
        <f>_xlfn.IFNA(IF(VLOOKUP(B17,BOM!$D$1:$I$10000,6,0)="Inhouse","Process-Inhouse",IF(VLOOKUP(B17,BOM!$D$1:$I$10000,6,0)="BOF","Process-outsourced",IF(VLOOKUP(B17,BOM!$D$1:$I$10000,6,0)="BOSF","Process-Inhouse"))),"")</f>
        <v/>
      </c>
      <c r="D17" s="362" t="str">
        <f>IFERROR(VLOOKUP($B17,IM_Material!$E$1:$F$10000,2,0),"")</f>
        <v/>
      </c>
      <c r="E17" s="362" t="str">
        <f>VLOOKUP(B17,IM_Material!$E$1:$H$10000,4,0)</f>
        <v/>
      </c>
      <c r="F17" s="362" t="str">
        <f>IF(E17="","",VLOOKUP(B17,IM_Material!E:L,8,0))</f>
        <v/>
      </c>
      <c r="G17" s="362" t="str">
        <f>IF(F17="","",VLOOKUP(B17,IM_Material!E:M,9,0))</f>
        <v/>
      </c>
      <c r="H17" s="362" t="str">
        <f>IF(F17="","",VLOOKUP(B17,IM_Material!E:N,10,0))</f>
        <v/>
      </c>
      <c r="I17" s="384" t="str">
        <f t="shared" si="1"/>
        <v/>
      </c>
      <c r="J17" s="362" t="str">
        <f t="shared" si="2"/>
        <v/>
      </c>
      <c r="K17" s="385" t="str">
        <f t="shared" si="3"/>
        <v/>
      </c>
      <c r="L17" s="386" t="str">
        <f t="shared" si="4"/>
        <v/>
      </c>
      <c r="M17" s="387" t="str">
        <f t="shared" si="5"/>
        <v/>
      </c>
      <c r="N17" s="388" t="str">
        <f>IFERROR((L17*M17^2*3.14/4)*VLOOKUP(B17,IM_TC!B:W,22,0)+J17*$E$6*3.14/4*VLOOKUP(B17,IM_TC!B:W,22,0)+(IF((IF((INT((Q17-$E$3-M17)/((G17+$E$4)))*2)*(INT(R17/INT(F17*2+$E$6+M17/2+$E$4)))&gt;((INT((R17-$E$3-M17)/((G17+$E$4)))*2)*(INT(Q17/INT(F17*2+$E$6+M17/2+$E$4)))),(INT((Q17-$E$3-M17)/((G17+$E$4)))*2)*(INT(R17/INT(F17*2+$E$6+M17/2+$E$4))),(INT((R17-$E$3-M17)/((G17+$E$4)))*2)*(INT(Q17/INT(F17*2+$E$6+M17/2+$E$4)))))=0,+INT((IF(F17&gt;G17,((IF(Q17&gt;R17,Q17,R17)-40)/(F17+$E$4))*((IF(Q17&gt;R17,R17,Q17)-40)/(F17+$E$4))*F17,((IF(Q17&gt;R17,Q17,R17)-40)/(G17+$E$4))*((IF(Q17&gt;R17,R17,Q17)-40)/(G17+$E$4))*G17))),IF((INT((Q17-$E$3-M17)/((G17+$E$4)))*2)*(INT(R17/INT(F17*2+$E$6+M17/2+$E$4)))&gt;((INT((R17-$E$3-M17)/((G17+$E$4)))*2)*(INT(Q17/INT(F17*2+$E$6+M17/2+$E$4)))),(INT((Q17-$E$3-M17))),(INT((R17-$E$3-M17))))))*(M17/2)^2*3.14/4*VLOOKUP(B17,IM_TC!B:W,22,0),"")</f>
        <v/>
      </c>
      <c r="O17" s="389" t="str">
        <f>VLOOKUP(B17,IM_TC!B:S,18,0)</f>
        <v/>
      </c>
      <c r="P17" s="390" t="str">
        <f>IFERROR(IF(O17&lt;VLOOKUP(IM_Process!Q17,DATA_SHEET!AI:AK,3,0),VLOOKUP(Q17,DATA_SHEET!AI:AL,4,0),IF(O17&lt;&gt;0,IF(O17="","",IF(O17&lt;=110,"Injection Molding Machine 110 T",IF(O17&lt;=150,"Injection Molding Machine 150 T",IF(O17&lt;=180,"Injection Molding Machine 180 T",IF(O17&lt;=250,"Injection Molding Machine 250 T",IF(O17&lt;=320,"Injection Molding Machine 320 T",IF(O17&lt;=400,"Injection Molding Machine 400 T",IF(O17&lt;=480,"Injection Molding Machine 480 T",IF(O17&lt;=550,"Injection Molding Machine 550 T",IF(O17&lt;=650,"Injection Molding Machine 650 T",IF(O17&lt;=850,"Injection Molding Machine 850 T",IF(O17&lt;=1050,"Injection Molding Machine 1050 T",IF(O17&lt;=1450,"Injection Molding Machine 1450 T",IF(O17&lt;=1750,"Injection Molding Machine 1750 T",IF(O17&lt;=2200,"Injection Molding Machine 2200 T",IF(O17&lt;=2750,"Injection Molding Machine 2750 T",IF(O17&lt;=3500,"Injection Molding Machine 3500 T",IF(O17&lt;=4000,"Injection Molding Machine 4000 T","")))))))))))))))))),"")),"")</f>
        <v/>
      </c>
      <c r="Q17" s="391" t="str">
        <f t="shared" si="6"/>
        <v/>
      </c>
      <c r="R17" s="391" t="str">
        <f>IF(Q17&lt;&gt;"",VLOOKUP(Q17,DATA_SHEET!AI:AJ,2,0),"")</f>
        <v/>
      </c>
      <c r="S17" s="362" t="str">
        <f t="shared" si="7"/>
        <v/>
      </c>
      <c r="T17" s="364" t="str">
        <f>IFERROR(VLOOKUP(B17,IM_TC!B:AK,36,0),"")</f>
        <v/>
      </c>
      <c r="U17" s="364" t="str">
        <f>IFERROR(VLOOKUP(P17,IM_Machinery!$D:$E,2,0),"")</f>
        <v/>
      </c>
      <c r="V17" s="392" t="str">
        <f t="shared" si="8"/>
        <v/>
      </c>
      <c r="W17" s="365" t="str">
        <f t="shared" si="9"/>
        <v/>
      </c>
      <c r="X17" s="362">
        <v>1</v>
      </c>
      <c r="Y17" s="383" t="s">
        <v>526</v>
      </c>
      <c r="Z17" s="362">
        <f>VLOOKUP(Y17,IM_Machinery!$F$3:$G$5,2,0)</f>
        <v>120</v>
      </c>
      <c r="AA17" s="393">
        <f>IM_Machinery!$M$7</f>
        <v>0.8</v>
      </c>
      <c r="AB17" s="365" t="str">
        <f t="shared" si="10"/>
        <v/>
      </c>
      <c r="AC17" s="362">
        <v>3600</v>
      </c>
      <c r="AD17" s="362">
        <v>1</v>
      </c>
      <c r="AE17" s="383" t="s">
        <v>526</v>
      </c>
      <c r="AF17" s="362">
        <f>VLOOKUP(AE17,IM_Machinery!$F$3:$G$5,2,0)</f>
        <v>120</v>
      </c>
      <c r="AG17" s="365" t="str">
        <f t="shared" si="11"/>
        <v/>
      </c>
      <c r="AH17" s="364" t="str">
        <f t="shared" si="12"/>
        <v/>
      </c>
      <c r="AI17" s="365" t="str">
        <f t="shared" si="13"/>
        <v/>
      </c>
      <c r="AJ17" s="365" t="str">
        <f t="shared" si="14"/>
        <v/>
      </c>
      <c r="AK17" s="365" t="str">
        <f t="shared" si="15"/>
        <v/>
      </c>
      <c r="AL17" s="394" t="str">
        <f t="shared" si="16"/>
        <v>0</v>
      </c>
      <c r="AM17"/>
      <c r="AN17" s="366" t="e">
        <f t="shared" si="17"/>
        <v>#VALUE!</v>
      </c>
      <c r="AO17" s="395"/>
      <c r="AP17" s="396" t="s">
        <v>527</v>
      </c>
      <c r="AQ17" s="397" t="s">
        <v>528</v>
      </c>
      <c r="AR17" s="366" t="str">
        <f>IFERROR((2*10^6*90%)/VLOOKUP($B17,IM_Material!E:R,13,0),"")</f>
        <v/>
      </c>
      <c r="AS17" s="211">
        <v>900</v>
      </c>
      <c r="AT17" s="366">
        <f>VLOOKUP($AQ17,IM_Machinery!$D:$E,2,0)</f>
        <v>145.50769230769231</v>
      </c>
      <c r="AU17" s="398">
        <f t="shared" si="18"/>
        <v>2.425128205128205</v>
      </c>
      <c r="AV17" s="367" t="str">
        <f t="shared" si="19"/>
        <v/>
      </c>
      <c r="AW17" s="211">
        <v>1</v>
      </c>
      <c r="AX17" s="211" t="s">
        <v>526</v>
      </c>
      <c r="AY17" s="211">
        <f>VLOOKUP(AX17,IM_Machinery!$F$3:$G$5,2,0)</f>
        <v>120</v>
      </c>
      <c r="AZ17" s="399">
        <f>IM_Machinery!$M$7</f>
        <v>0.8</v>
      </c>
      <c r="BA17" s="367" t="str">
        <f t="shared" si="20"/>
        <v/>
      </c>
      <c r="BB17" s="211">
        <f t="shared" si="21"/>
        <v>1200</v>
      </c>
      <c r="BC17" s="211">
        <v>1</v>
      </c>
      <c r="BD17" s="211" t="s">
        <v>526</v>
      </c>
      <c r="BE17" s="211">
        <f>VLOOKUP(BD17,IM_Machinery!$F$3:$G$5,2,0)</f>
        <v>120</v>
      </c>
      <c r="BF17" s="367" t="str">
        <f t="shared" si="22"/>
        <v/>
      </c>
      <c r="BG17" s="367" t="str">
        <f t="shared" si="23"/>
        <v/>
      </c>
      <c r="BI17" s="396" t="s">
        <v>529</v>
      </c>
      <c r="BJ17" s="397" t="s">
        <v>530</v>
      </c>
      <c r="BK17" s="211" t="e">
        <f>INT(10000/VLOOKUP(B17,IM_TC!B:AE,30,0))*J17</f>
        <v>#VALUE!</v>
      </c>
      <c r="BL17" s="211">
        <v>15</v>
      </c>
      <c r="BM17" s="366">
        <f>VLOOKUP(BJ17,IM_Machinery!$D:$E,2,0)</f>
        <v>38.644444444444446</v>
      </c>
      <c r="BN17" s="211">
        <f t="shared" si="24"/>
        <v>0.64407407407407413</v>
      </c>
      <c r="BO17" s="367" t="str">
        <f t="shared" si="25"/>
        <v/>
      </c>
      <c r="BP17" s="211">
        <v>1</v>
      </c>
      <c r="BQ17" s="211" t="s">
        <v>526</v>
      </c>
      <c r="BR17" s="211">
        <f>VLOOKUP(BQ17,IM_Machinery!$F$3:$G$5,2,0)</f>
        <v>120</v>
      </c>
      <c r="BS17" s="399">
        <f>IM_Machinery!$M$7</f>
        <v>0.8</v>
      </c>
      <c r="BT17" s="367" t="str">
        <f t="shared" si="26"/>
        <v/>
      </c>
      <c r="BU17" s="211">
        <f t="shared" si="27"/>
        <v>900</v>
      </c>
      <c r="BV17" s="211">
        <v>1</v>
      </c>
      <c r="BW17" s="211" t="s">
        <v>526</v>
      </c>
      <c r="BX17" s="211">
        <f>VLOOKUP(BW17,IM_Machinery!$F$3:$G$5,2,0)</f>
        <v>120</v>
      </c>
      <c r="BY17" s="367" t="str">
        <f t="shared" si="28"/>
        <v/>
      </c>
      <c r="BZ17" s="367" t="str">
        <f t="shared" si="29"/>
        <v/>
      </c>
      <c r="CB17" s="396" t="s">
        <v>529</v>
      </c>
      <c r="CC17" s="397" t="s">
        <v>530</v>
      </c>
      <c r="CD17" s="211">
        <v>1</v>
      </c>
      <c r="CE17" s="211">
        <v>15</v>
      </c>
      <c r="CF17" s="366">
        <f>VLOOKUP(CC17,IM_Machinery!$D:$E,2,0)</f>
        <v>38.644444444444446</v>
      </c>
      <c r="CG17" s="211">
        <f t="shared" si="30"/>
        <v>0.64407407407407413</v>
      </c>
      <c r="CH17" s="367" t="str">
        <f t="shared" si="31"/>
        <v/>
      </c>
      <c r="CI17" s="211">
        <v>1</v>
      </c>
      <c r="CJ17" s="211" t="s">
        <v>526</v>
      </c>
      <c r="CK17" s="211">
        <f>VLOOKUP(CJ17,IM_Machinery!$F$3:$G$5,2,0)</f>
        <v>120</v>
      </c>
      <c r="CL17" s="399">
        <f>IM_Machinery!$M$7</f>
        <v>0.8</v>
      </c>
      <c r="CM17" s="367" t="str">
        <f t="shared" si="32"/>
        <v/>
      </c>
      <c r="CN17" s="211">
        <f t="shared" si="33"/>
        <v>600</v>
      </c>
      <c r="CO17" s="211">
        <v>1</v>
      </c>
      <c r="CP17" s="211" t="s">
        <v>526</v>
      </c>
      <c r="CQ17" s="211">
        <f>VLOOKUP(CP17,IM_Machinery!$F$3:$G$5,2,0)</f>
        <v>120</v>
      </c>
      <c r="CR17" s="367" t="str">
        <f t="shared" si="34"/>
        <v/>
      </c>
      <c r="CS17" s="367" t="str">
        <f t="shared" si="35"/>
        <v/>
      </c>
    </row>
    <row r="18" spans="1:97" s="102" customFormat="1">
      <c r="A18" s="544" t="str">
        <f t="shared" si="0"/>
        <v>0</v>
      </c>
      <c r="B18" s="362">
        <f>Group!X7</f>
        <v>0</v>
      </c>
      <c r="C18" s="383" t="str">
        <f>_xlfn.IFNA(IF(VLOOKUP(B18,BOM!$D$1:$I$10000,6,0)="Inhouse","Process-Inhouse",IF(VLOOKUP(B18,BOM!$D$1:$I$10000,6,0)="BOF","Process-outsourced",IF(VLOOKUP(B18,BOM!$D$1:$I$10000,6,0)="BOSF","Process-Inhouse"))),"")</f>
        <v/>
      </c>
      <c r="D18" s="362" t="str">
        <f>IFERROR(VLOOKUP($B18,IM_Material!$E$1:$F$10000,2,0),"")</f>
        <v/>
      </c>
      <c r="E18" s="362" t="str">
        <f>VLOOKUP(B18,IM_Material!$E$1:$H$10000,4,0)</f>
        <v/>
      </c>
      <c r="F18" s="362" t="str">
        <f>IF(E18="","",VLOOKUP(B18,IM_Material!E:L,8,0))</f>
        <v/>
      </c>
      <c r="G18" s="362" t="str">
        <f>IF(F18="","",VLOOKUP(B18,IM_Material!E:M,9,0))</f>
        <v/>
      </c>
      <c r="H18" s="362" t="str">
        <f>IF(F18="","",VLOOKUP(B18,IM_Material!E:N,10,0))</f>
        <v/>
      </c>
      <c r="I18" s="384" t="str">
        <f t="shared" si="1"/>
        <v/>
      </c>
      <c r="J18" s="362" t="str">
        <f t="shared" si="2"/>
        <v/>
      </c>
      <c r="K18" s="385" t="str">
        <f t="shared" si="3"/>
        <v/>
      </c>
      <c r="L18" s="386" t="str">
        <f t="shared" si="4"/>
        <v/>
      </c>
      <c r="M18" s="387" t="str">
        <f t="shared" si="5"/>
        <v/>
      </c>
      <c r="N18" s="388" t="str">
        <f>IFERROR((L18*M18^2*3.14/4)*VLOOKUP(B18,IM_TC!B:W,22,0)+J18*$E$6*3.14/4*VLOOKUP(B18,IM_TC!B:W,22,0)+(IF((IF((INT((Q18-$E$3-M18)/((G18+$E$4)))*2)*(INT(R18/INT(F18*2+$E$6+M18/2+$E$4)))&gt;((INT((R18-$E$3-M18)/((G18+$E$4)))*2)*(INT(Q18/INT(F18*2+$E$6+M18/2+$E$4)))),(INT((Q18-$E$3-M18)/((G18+$E$4)))*2)*(INT(R18/INT(F18*2+$E$6+M18/2+$E$4))),(INT((R18-$E$3-M18)/((G18+$E$4)))*2)*(INT(Q18/INT(F18*2+$E$6+M18/2+$E$4)))))=0,+INT((IF(F18&gt;G18,((IF(Q18&gt;R18,Q18,R18)-40)/(F18+$E$4))*((IF(Q18&gt;R18,R18,Q18)-40)/(F18+$E$4))*F18,((IF(Q18&gt;R18,Q18,R18)-40)/(G18+$E$4))*((IF(Q18&gt;R18,R18,Q18)-40)/(G18+$E$4))*G18))),IF((INT((Q18-$E$3-M18)/((G18+$E$4)))*2)*(INT(R18/INT(F18*2+$E$6+M18/2+$E$4)))&gt;((INT((R18-$E$3-M18)/((G18+$E$4)))*2)*(INT(Q18/INT(F18*2+$E$6+M18/2+$E$4)))),(INT((Q18-$E$3-M18))),(INT((R18-$E$3-M18))))))*(M18/2)^2*3.14/4*VLOOKUP(B18,IM_TC!B:W,22,0),"")</f>
        <v/>
      </c>
      <c r="O18" s="389" t="str">
        <f>VLOOKUP(B18,IM_TC!B:S,18,0)</f>
        <v/>
      </c>
      <c r="P18" s="390" t="str">
        <f>IFERROR(IF(O18&lt;VLOOKUP(IM_Process!Q18,DATA_SHEET!AI:AK,3,0),VLOOKUP(Q18,DATA_SHEET!AI:AL,4,0),IF(O18&lt;&gt;0,IF(O18="","",IF(O18&lt;=110,"Injection Molding Machine 110 T",IF(O18&lt;=150,"Injection Molding Machine 150 T",IF(O18&lt;=180,"Injection Molding Machine 180 T",IF(O18&lt;=250,"Injection Molding Machine 250 T",IF(O18&lt;=320,"Injection Molding Machine 320 T",IF(O18&lt;=400,"Injection Molding Machine 400 T",IF(O18&lt;=480,"Injection Molding Machine 480 T",IF(O18&lt;=550,"Injection Molding Machine 550 T",IF(O18&lt;=650,"Injection Molding Machine 650 T",IF(O18&lt;=850,"Injection Molding Machine 850 T",IF(O18&lt;=1050,"Injection Molding Machine 1050 T",IF(O18&lt;=1450,"Injection Molding Machine 1450 T",IF(O18&lt;=1750,"Injection Molding Machine 1750 T",IF(O18&lt;=2200,"Injection Molding Machine 2200 T",IF(O18&lt;=2750,"Injection Molding Machine 2750 T",IF(O18&lt;=3500,"Injection Molding Machine 3500 T",IF(O18&lt;=4000,"Injection Molding Machine 4000 T","")))))))))))))))))),"")),"")</f>
        <v/>
      </c>
      <c r="Q18" s="391" t="str">
        <f t="shared" si="6"/>
        <v/>
      </c>
      <c r="R18" s="391" t="str">
        <f>IF(Q18&lt;&gt;"",VLOOKUP(Q18,DATA_SHEET!AI:AJ,2,0),"")</f>
        <v/>
      </c>
      <c r="S18" s="362" t="str">
        <f t="shared" si="7"/>
        <v/>
      </c>
      <c r="T18" s="364" t="str">
        <f>IFERROR(VLOOKUP(B18,IM_TC!B:AK,36,0),"")</f>
        <v/>
      </c>
      <c r="U18" s="364" t="str">
        <f>IFERROR(VLOOKUP(P18,IM_Machinery!$D:$E,2,0),"")</f>
        <v/>
      </c>
      <c r="V18" s="392" t="str">
        <f t="shared" si="8"/>
        <v/>
      </c>
      <c r="W18" s="365" t="str">
        <f t="shared" si="9"/>
        <v/>
      </c>
      <c r="X18" s="362">
        <v>1</v>
      </c>
      <c r="Y18" s="383" t="s">
        <v>526</v>
      </c>
      <c r="Z18" s="362">
        <f>VLOOKUP(Y18,IM_Machinery!$F$3:$G$5,2,0)</f>
        <v>120</v>
      </c>
      <c r="AA18" s="393">
        <f>IM_Machinery!$M$7</f>
        <v>0.8</v>
      </c>
      <c r="AB18" s="365" t="str">
        <f t="shared" si="10"/>
        <v/>
      </c>
      <c r="AC18" s="362">
        <v>3600</v>
      </c>
      <c r="AD18" s="362">
        <v>1</v>
      </c>
      <c r="AE18" s="383" t="s">
        <v>526</v>
      </c>
      <c r="AF18" s="362">
        <f>VLOOKUP(AE18,IM_Machinery!$F$3:$G$5,2,0)</f>
        <v>120</v>
      </c>
      <c r="AG18" s="365" t="str">
        <f t="shared" si="11"/>
        <v/>
      </c>
      <c r="AH18" s="364" t="str">
        <f t="shared" si="12"/>
        <v/>
      </c>
      <c r="AI18" s="365" t="str">
        <f t="shared" si="13"/>
        <v/>
      </c>
      <c r="AJ18" s="365" t="str">
        <f t="shared" si="14"/>
        <v/>
      </c>
      <c r="AK18" s="365" t="str">
        <f t="shared" si="15"/>
        <v/>
      </c>
      <c r="AL18" s="394" t="str">
        <f t="shared" si="16"/>
        <v>0</v>
      </c>
      <c r="AM18"/>
      <c r="AN18" s="366" t="e">
        <f t="shared" si="17"/>
        <v>#VALUE!</v>
      </c>
      <c r="AO18" s="395"/>
      <c r="AP18" s="396" t="s">
        <v>527</v>
      </c>
      <c r="AQ18" s="397" t="s">
        <v>528</v>
      </c>
      <c r="AR18" s="366" t="str">
        <f>IFERROR((2*10^6*90%)/VLOOKUP($B18,IM_Material!E:R,13,0),"")</f>
        <v/>
      </c>
      <c r="AS18" s="211">
        <v>900</v>
      </c>
      <c r="AT18" s="366">
        <f>VLOOKUP($AQ18,IM_Machinery!$D:$E,2,0)</f>
        <v>145.50769230769231</v>
      </c>
      <c r="AU18" s="398">
        <f t="shared" si="18"/>
        <v>2.425128205128205</v>
      </c>
      <c r="AV18" s="367" t="str">
        <f t="shared" si="19"/>
        <v/>
      </c>
      <c r="AW18" s="211">
        <v>1</v>
      </c>
      <c r="AX18" s="211" t="s">
        <v>526</v>
      </c>
      <c r="AY18" s="211">
        <f>VLOOKUP(AX18,IM_Machinery!$F$3:$G$5,2,0)</f>
        <v>120</v>
      </c>
      <c r="AZ18" s="399">
        <f>IM_Machinery!$M$7</f>
        <v>0.8</v>
      </c>
      <c r="BA18" s="367" t="str">
        <f t="shared" si="20"/>
        <v/>
      </c>
      <c r="BB18" s="211">
        <f t="shared" si="21"/>
        <v>1200</v>
      </c>
      <c r="BC18" s="211">
        <v>1</v>
      </c>
      <c r="BD18" s="211" t="s">
        <v>526</v>
      </c>
      <c r="BE18" s="211">
        <f>VLOOKUP(BD18,IM_Machinery!$F$3:$G$5,2,0)</f>
        <v>120</v>
      </c>
      <c r="BF18" s="367" t="str">
        <f t="shared" si="22"/>
        <v/>
      </c>
      <c r="BG18" s="367" t="str">
        <f t="shared" si="23"/>
        <v/>
      </c>
      <c r="BI18" s="396" t="s">
        <v>529</v>
      </c>
      <c r="BJ18" s="397" t="s">
        <v>530</v>
      </c>
      <c r="BK18" s="211" t="e">
        <f>INT(10000/VLOOKUP(B18,IM_TC!B:AE,30,0))*J18</f>
        <v>#VALUE!</v>
      </c>
      <c r="BL18" s="211">
        <v>15</v>
      </c>
      <c r="BM18" s="366">
        <f>VLOOKUP(BJ18,IM_Machinery!$D:$E,2,0)</f>
        <v>38.644444444444446</v>
      </c>
      <c r="BN18" s="211">
        <f t="shared" si="24"/>
        <v>0.64407407407407413</v>
      </c>
      <c r="BO18" s="367" t="str">
        <f t="shared" si="25"/>
        <v/>
      </c>
      <c r="BP18" s="211">
        <v>1</v>
      </c>
      <c r="BQ18" s="211" t="s">
        <v>526</v>
      </c>
      <c r="BR18" s="211">
        <f>VLOOKUP(BQ18,IM_Machinery!$F$3:$G$5,2,0)</f>
        <v>120</v>
      </c>
      <c r="BS18" s="399">
        <f>IM_Machinery!$M$7</f>
        <v>0.8</v>
      </c>
      <c r="BT18" s="367" t="str">
        <f t="shared" si="26"/>
        <v/>
      </c>
      <c r="BU18" s="211">
        <f t="shared" si="27"/>
        <v>900</v>
      </c>
      <c r="BV18" s="211">
        <v>1</v>
      </c>
      <c r="BW18" s="211" t="s">
        <v>526</v>
      </c>
      <c r="BX18" s="211">
        <f>VLOOKUP(BW18,IM_Machinery!$F$3:$G$5,2,0)</f>
        <v>120</v>
      </c>
      <c r="BY18" s="367" t="str">
        <f t="shared" si="28"/>
        <v/>
      </c>
      <c r="BZ18" s="367" t="str">
        <f t="shared" si="29"/>
        <v/>
      </c>
      <c r="CB18" s="396" t="s">
        <v>529</v>
      </c>
      <c r="CC18" s="397" t="s">
        <v>530</v>
      </c>
      <c r="CD18" s="211">
        <v>1</v>
      </c>
      <c r="CE18" s="211">
        <v>15</v>
      </c>
      <c r="CF18" s="366">
        <f>VLOOKUP(CC18,IM_Machinery!$D:$E,2,0)</f>
        <v>38.644444444444446</v>
      </c>
      <c r="CG18" s="211">
        <f t="shared" si="30"/>
        <v>0.64407407407407413</v>
      </c>
      <c r="CH18" s="367" t="str">
        <f t="shared" si="31"/>
        <v/>
      </c>
      <c r="CI18" s="211">
        <v>1</v>
      </c>
      <c r="CJ18" s="211" t="s">
        <v>526</v>
      </c>
      <c r="CK18" s="211">
        <f>VLOOKUP(CJ18,IM_Machinery!$F$3:$G$5,2,0)</f>
        <v>120</v>
      </c>
      <c r="CL18" s="399">
        <f>IM_Machinery!$M$7</f>
        <v>0.8</v>
      </c>
      <c r="CM18" s="367" t="str">
        <f t="shared" si="32"/>
        <v/>
      </c>
      <c r="CN18" s="211">
        <f t="shared" si="33"/>
        <v>600</v>
      </c>
      <c r="CO18" s="211">
        <v>1</v>
      </c>
      <c r="CP18" s="211" t="s">
        <v>526</v>
      </c>
      <c r="CQ18" s="211">
        <f>VLOOKUP(CP18,IM_Machinery!$F$3:$G$5,2,0)</f>
        <v>120</v>
      </c>
      <c r="CR18" s="367" t="str">
        <f t="shared" si="34"/>
        <v/>
      </c>
      <c r="CS18" s="367" t="str">
        <f t="shared" si="35"/>
        <v/>
      </c>
    </row>
    <row r="19" spans="1:97" s="102" customFormat="1">
      <c r="A19" s="544" t="str">
        <f t="shared" si="0"/>
        <v>0</v>
      </c>
      <c r="B19" s="362">
        <f>Group!X8</f>
        <v>0</v>
      </c>
      <c r="C19" s="383" t="str">
        <f>_xlfn.IFNA(IF(VLOOKUP(B19,BOM!$D$1:$I$10000,6,0)="Inhouse","Process-Inhouse",IF(VLOOKUP(B19,BOM!$D$1:$I$10000,6,0)="BOF","Process-outsourced",IF(VLOOKUP(B19,BOM!$D$1:$I$10000,6,0)="BOSF","Process-Inhouse"))),"")</f>
        <v/>
      </c>
      <c r="D19" s="362" t="str">
        <f>IFERROR(VLOOKUP($B19,IM_Material!$E$1:$F$10000,2,0),"")</f>
        <v/>
      </c>
      <c r="E19" s="362" t="str">
        <f>VLOOKUP(B19,IM_Material!$E$1:$H$10000,4,0)</f>
        <v/>
      </c>
      <c r="F19" s="362" t="str">
        <f>IF(E19="","",VLOOKUP(B19,IM_Material!E:L,8,0))</f>
        <v/>
      </c>
      <c r="G19" s="362" t="str">
        <f>IF(F19="","",VLOOKUP(B19,IM_Material!E:M,9,0))</f>
        <v/>
      </c>
      <c r="H19" s="362" t="str">
        <f>IF(F19="","",VLOOKUP(B19,IM_Material!E:N,10,0))</f>
        <v/>
      </c>
      <c r="I19" s="384" t="str">
        <f t="shared" si="1"/>
        <v/>
      </c>
      <c r="J19" s="362" t="str">
        <f t="shared" si="2"/>
        <v/>
      </c>
      <c r="K19" s="385" t="str">
        <f t="shared" si="3"/>
        <v/>
      </c>
      <c r="L19" s="386" t="str">
        <f t="shared" si="4"/>
        <v/>
      </c>
      <c r="M19" s="387" t="str">
        <f t="shared" si="5"/>
        <v/>
      </c>
      <c r="N19" s="388" t="str">
        <f>IFERROR((L19*M19^2*3.14/4)*VLOOKUP(B19,IM_TC!B:W,22,0)+J19*$E$6*3.14/4*VLOOKUP(B19,IM_TC!B:W,22,0)+(IF((IF((INT((Q19-$E$3-M19)/((G19+$E$4)))*2)*(INT(R19/INT(F19*2+$E$6+M19/2+$E$4)))&gt;((INT((R19-$E$3-M19)/((G19+$E$4)))*2)*(INT(Q19/INT(F19*2+$E$6+M19/2+$E$4)))),(INT((Q19-$E$3-M19)/((G19+$E$4)))*2)*(INT(R19/INT(F19*2+$E$6+M19/2+$E$4))),(INT((R19-$E$3-M19)/((G19+$E$4)))*2)*(INT(Q19/INT(F19*2+$E$6+M19/2+$E$4)))))=0,+INT((IF(F19&gt;G19,((IF(Q19&gt;R19,Q19,R19)-40)/(F19+$E$4))*((IF(Q19&gt;R19,R19,Q19)-40)/(F19+$E$4))*F19,((IF(Q19&gt;R19,Q19,R19)-40)/(G19+$E$4))*((IF(Q19&gt;R19,R19,Q19)-40)/(G19+$E$4))*G19))),IF((INT((Q19-$E$3-M19)/((G19+$E$4)))*2)*(INT(R19/INT(F19*2+$E$6+M19/2+$E$4)))&gt;((INT((R19-$E$3-M19)/((G19+$E$4)))*2)*(INT(Q19/INT(F19*2+$E$6+M19/2+$E$4)))),(INT((Q19-$E$3-M19))),(INT((R19-$E$3-M19))))))*(M19/2)^2*3.14/4*VLOOKUP(B19,IM_TC!B:W,22,0),"")</f>
        <v/>
      </c>
      <c r="O19" s="389" t="str">
        <f>VLOOKUP(B19,IM_TC!B:S,18,0)</f>
        <v/>
      </c>
      <c r="P19" s="390" t="str">
        <f>IFERROR(IF(O19&lt;VLOOKUP(IM_Process!Q19,DATA_SHEET!AI:AK,3,0),VLOOKUP(Q19,DATA_SHEET!AI:AL,4,0),IF(O19&lt;&gt;0,IF(O19="","",IF(O19&lt;=110,"Injection Molding Machine 110 T",IF(O19&lt;=150,"Injection Molding Machine 150 T",IF(O19&lt;=180,"Injection Molding Machine 180 T",IF(O19&lt;=250,"Injection Molding Machine 250 T",IF(O19&lt;=320,"Injection Molding Machine 320 T",IF(O19&lt;=400,"Injection Molding Machine 400 T",IF(O19&lt;=480,"Injection Molding Machine 480 T",IF(O19&lt;=550,"Injection Molding Machine 550 T",IF(O19&lt;=650,"Injection Molding Machine 650 T",IF(O19&lt;=850,"Injection Molding Machine 850 T",IF(O19&lt;=1050,"Injection Molding Machine 1050 T",IF(O19&lt;=1450,"Injection Molding Machine 1450 T",IF(O19&lt;=1750,"Injection Molding Machine 1750 T",IF(O19&lt;=2200,"Injection Molding Machine 2200 T",IF(O19&lt;=2750,"Injection Molding Machine 2750 T",IF(O19&lt;=3500,"Injection Molding Machine 3500 T",IF(O19&lt;=4000,"Injection Molding Machine 4000 T","")))))))))))))))))),"")),"")</f>
        <v/>
      </c>
      <c r="Q19" s="391" t="str">
        <f t="shared" si="6"/>
        <v/>
      </c>
      <c r="R19" s="391" t="str">
        <f>IF(Q19&lt;&gt;"",VLOOKUP(Q19,DATA_SHEET!AI:AJ,2,0),"")</f>
        <v/>
      </c>
      <c r="S19" s="362" t="str">
        <f t="shared" si="7"/>
        <v/>
      </c>
      <c r="T19" s="364" t="str">
        <f>IFERROR(VLOOKUP(B19,IM_TC!B:AK,36,0),"")</f>
        <v/>
      </c>
      <c r="U19" s="364" t="str">
        <f>IFERROR(VLOOKUP(P19,IM_Machinery!$D:$E,2,0),"")</f>
        <v/>
      </c>
      <c r="V19" s="392" t="str">
        <f t="shared" si="8"/>
        <v/>
      </c>
      <c r="W19" s="365" t="str">
        <f t="shared" si="9"/>
        <v/>
      </c>
      <c r="X19" s="362">
        <v>1</v>
      </c>
      <c r="Y19" s="383" t="s">
        <v>526</v>
      </c>
      <c r="Z19" s="362">
        <f>VLOOKUP(Y19,IM_Machinery!$F$3:$G$5,2,0)</f>
        <v>120</v>
      </c>
      <c r="AA19" s="393">
        <f>IM_Machinery!$M$7</f>
        <v>0.8</v>
      </c>
      <c r="AB19" s="365" t="str">
        <f t="shared" si="10"/>
        <v/>
      </c>
      <c r="AC19" s="362">
        <v>3600</v>
      </c>
      <c r="AD19" s="362">
        <v>1</v>
      </c>
      <c r="AE19" s="383" t="s">
        <v>526</v>
      </c>
      <c r="AF19" s="362">
        <f>VLOOKUP(AE19,IM_Machinery!$F$3:$G$5,2,0)</f>
        <v>120</v>
      </c>
      <c r="AG19" s="365" t="str">
        <f t="shared" si="11"/>
        <v/>
      </c>
      <c r="AH19" s="364" t="str">
        <f t="shared" si="12"/>
        <v/>
      </c>
      <c r="AI19" s="365" t="str">
        <f t="shared" si="13"/>
        <v/>
      </c>
      <c r="AJ19" s="365" t="str">
        <f t="shared" si="14"/>
        <v/>
      </c>
      <c r="AK19" s="365" t="str">
        <f t="shared" si="15"/>
        <v/>
      </c>
      <c r="AL19" s="394" t="str">
        <f t="shared" si="16"/>
        <v>0</v>
      </c>
      <c r="AM19"/>
      <c r="AN19" s="366" t="e">
        <f t="shared" si="17"/>
        <v>#VALUE!</v>
      </c>
      <c r="AO19" s="395"/>
      <c r="AP19" s="396" t="s">
        <v>527</v>
      </c>
      <c r="AQ19" s="397" t="s">
        <v>528</v>
      </c>
      <c r="AR19" s="366" t="str">
        <f>IFERROR((2*10^6*90%)/VLOOKUP($B19,IM_Material!E:R,13,0),"")</f>
        <v/>
      </c>
      <c r="AS19" s="211">
        <v>900</v>
      </c>
      <c r="AT19" s="366">
        <f>VLOOKUP($AQ19,IM_Machinery!$D:$E,2,0)</f>
        <v>145.50769230769231</v>
      </c>
      <c r="AU19" s="398">
        <f t="shared" si="18"/>
        <v>2.425128205128205</v>
      </c>
      <c r="AV19" s="367" t="str">
        <f t="shared" si="19"/>
        <v/>
      </c>
      <c r="AW19" s="211">
        <v>1</v>
      </c>
      <c r="AX19" s="211" t="s">
        <v>526</v>
      </c>
      <c r="AY19" s="211">
        <f>VLOOKUP(AX19,IM_Machinery!$F$3:$G$5,2,0)</f>
        <v>120</v>
      </c>
      <c r="AZ19" s="399">
        <f>IM_Machinery!$M$7</f>
        <v>0.8</v>
      </c>
      <c r="BA19" s="367" t="str">
        <f t="shared" si="20"/>
        <v/>
      </c>
      <c r="BB19" s="211">
        <f t="shared" si="21"/>
        <v>1200</v>
      </c>
      <c r="BC19" s="211">
        <v>1</v>
      </c>
      <c r="BD19" s="211" t="s">
        <v>526</v>
      </c>
      <c r="BE19" s="211">
        <f>VLOOKUP(BD19,IM_Machinery!$F$3:$G$5,2,0)</f>
        <v>120</v>
      </c>
      <c r="BF19" s="367" t="str">
        <f t="shared" si="22"/>
        <v/>
      </c>
      <c r="BG19" s="367" t="str">
        <f t="shared" si="23"/>
        <v/>
      </c>
      <c r="BI19" s="396" t="s">
        <v>529</v>
      </c>
      <c r="BJ19" s="397" t="s">
        <v>530</v>
      </c>
      <c r="BK19" s="211" t="e">
        <f>INT(10000/VLOOKUP(B19,IM_TC!B:AE,30,0))*J19</f>
        <v>#VALUE!</v>
      </c>
      <c r="BL19" s="211">
        <v>15</v>
      </c>
      <c r="BM19" s="366">
        <f>VLOOKUP(BJ19,IM_Machinery!$D:$E,2,0)</f>
        <v>38.644444444444446</v>
      </c>
      <c r="BN19" s="211">
        <f t="shared" si="24"/>
        <v>0.64407407407407413</v>
      </c>
      <c r="BO19" s="367" t="str">
        <f t="shared" si="25"/>
        <v/>
      </c>
      <c r="BP19" s="211">
        <v>1</v>
      </c>
      <c r="BQ19" s="211" t="s">
        <v>526</v>
      </c>
      <c r="BR19" s="211">
        <f>VLOOKUP(BQ19,IM_Machinery!$F$3:$G$5,2,0)</f>
        <v>120</v>
      </c>
      <c r="BS19" s="399">
        <f>IM_Machinery!$M$7</f>
        <v>0.8</v>
      </c>
      <c r="BT19" s="367" t="str">
        <f t="shared" si="26"/>
        <v/>
      </c>
      <c r="BU19" s="211">
        <f t="shared" si="27"/>
        <v>900</v>
      </c>
      <c r="BV19" s="211">
        <v>1</v>
      </c>
      <c r="BW19" s="211" t="s">
        <v>526</v>
      </c>
      <c r="BX19" s="211">
        <f>VLOOKUP(BW19,IM_Machinery!$F$3:$G$5,2,0)</f>
        <v>120</v>
      </c>
      <c r="BY19" s="367" t="str">
        <f t="shared" si="28"/>
        <v/>
      </c>
      <c r="BZ19" s="367" t="str">
        <f t="shared" si="29"/>
        <v/>
      </c>
      <c r="CB19" s="396" t="s">
        <v>529</v>
      </c>
      <c r="CC19" s="397" t="s">
        <v>530</v>
      </c>
      <c r="CD19" s="211">
        <v>1</v>
      </c>
      <c r="CE19" s="211">
        <v>15</v>
      </c>
      <c r="CF19" s="366">
        <f>VLOOKUP(CC19,IM_Machinery!$D:$E,2,0)</f>
        <v>38.644444444444446</v>
      </c>
      <c r="CG19" s="211">
        <f t="shared" si="30"/>
        <v>0.64407407407407413</v>
      </c>
      <c r="CH19" s="367" t="str">
        <f t="shared" si="31"/>
        <v/>
      </c>
      <c r="CI19" s="211">
        <v>1</v>
      </c>
      <c r="CJ19" s="211" t="s">
        <v>526</v>
      </c>
      <c r="CK19" s="211">
        <f>VLOOKUP(CJ19,IM_Machinery!$F$3:$G$5,2,0)</f>
        <v>120</v>
      </c>
      <c r="CL19" s="399">
        <f>IM_Machinery!$M$7</f>
        <v>0.8</v>
      </c>
      <c r="CM19" s="367" t="str">
        <f t="shared" si="32"/>
        <v/>
      </c>
      <c r="CN19" s="211">
        <f t="shared" si="33"/>
        <v>600</v>
      </c>
      <c r="CO19" s="211">
        <v>1</v>
      </c>
      <c r="CP19" s="211" t="s">
        <v>526</v>
      </c>
      <c r="CQ19" s="211">
        <f>VLOOKUP(CP19,IM_Machinery!$F$3:$G$5,2,0)</f>
        <v>120</v>
      </c>
      <c r="CR19" s="367" t="str">
        <f t="shared" si="34"/>
        <v/>
      </c>
      <c r="CS19" s="367" t="str">
        <f t="shared" si="35"/>
        <v/>
      </c>
    </row>
    <row r="20" spans="1:97" s="102" customFormat="1">
      <c r="A20" s="544" t="str">
        <f t="shared" si="0"/>
        <v>0</v>
      </c>
      <c r="B20" s="362">
        <f>Group!X9</f>
        <v>0</v>
      </c>
      <c r="C20" s="383" t="str">
        <f>_xlfn.IFNA(IF(VLOOKUP(B20,BOM!$D$1:$I$10000,6,0)="Inhouse","Process-Inhouse",IF(VLOOKUP(B20,BOM!$D$1:$I$10000,6,0)="BOF","Process-outsourced",IF(VLOOKUP(B20,BOM!$D$1:$I$10000,6,0)="BOSF","Process-Inhouse"))),"")</f>
        <v/>
      </c>
      <c r="D20" s="362" t="str">
        <f>IFERROR(VLOOKUP($B20,IM_Material!$E$1:$F$10000,2,0),"")</f>
        <v/>
      </c>
      <c r="E20" s="362" t="str">
        <f>VLOOKUP(B20,IM_Material!$E$1:$H$10000,4,0)</f>
        <v/>
      </c>
      <c r="F20" s="362" t="str">
        <f>IF(E20="","",VLOOKUP(B20,IM_Material!E:L,8,0))</f>
        <v/>
      </c>
      <c r="G20" s="362" t="str">
        <f>IF(F20="","",VLOOKUP(B20,IM_Material!E:M,9,0))</f>
        <v/>
      </c>
      <c r="H20" s="362" t="str">
        <f>IF(F20="","",VLOOKUP(B20,IM_Material!E:N,10,0))</f>
        <v/>
      </c>
      <c r="I20" s="384" t="str">
        <f t="shared" si="1"/>
        <v/>
      </c>
      <c r="J20" s="362" t="str">
        <f t="shared" si="2"/>
        <v/>
      </c>
      <c r="K20" s="385" t="str">
        <f t="shared" si="3"/>
        <v/>
      </c>
      <c r="L20" s="386" t="str">
        <f t="shared" si="4"/>
        <v/>
      </c>
      <c r="M20" s="387" t="str">
        <f t="shared" si="5"/>
        <v/>
      </c>
      <c r="N20" s="388" t="str">
        <f>IFERROR((L20*M20^2*3.14/4)*VLOOKUP(B20,IM_TC!B:W,22,0)+J20*$E$6*3.14/4*VLOOKUP(B20,IM_TC!B:W,22,0)+(IF((IF((INT((Q20-$E$3-M20)/((G20+$E$4)))*2)*(INT(R20/INT(F20*2+$E$6+M20/2+$E$4)))&gt;((INT((R20-$E$3-M20)/((G20+$E$4)))*2)*(INT(Q20/INT(F20*2+$E$6+M20/2+$E$4)))),(INT((Q20-$E$3-M20)/((G20+$E$4)))*2)*(INT(R20/INT(F20*2+$E$6+M20/2+$E$4))),(INT((R20-$E$3-M20)/((G20+$E$4)))*2)*(INT(Q20/INT(F20*2+$E$6+M20/2+$E$4)))))=0,+INT((IF(F20&gt;G20,((IF(Q20&gt;R20,Q20,R20)-40)/(F20+$E$4))*((IF(Q20&gt;R20,R20,Q20)-40)/(F20+$E$4))*F20,((IF(Q20&gt;R20,Q20,R20)-40)/(G20+$E$4))*((IF(Q20&gt;R20,R20,Q20)-40)/(G20+$E$4))*G20))),IF((INT((Q20-$E$3-M20)/((G20+$E$4)))*2)*(INT(R20/INT(F20*2+$E$6+M20/2+$E$4)))&gt;((INT((R20-$E$3-M20)/((G20+$E$4)))*2)*(INT(Q20/INT(F20*2+$E$6+M20/2+$E$4)))),(INT((Q20-$E$3-M20))),(INT((R20-$E$3-M20))))))*(M20/2)^2*3.14/4*VLOOKUP(B20,IM_TC!B:W,22,0),"")</f>
        <v/>
      </c>
      <c r="O20" s="389" t="str">
        <f>VLOOKUP(B20,IM_TC!B:S,18,0)</f>
        <v/>
      </c>
      <c r="P20" s="390" t="str">
        <f>IFERROR(IF(O20&lt;VLOOKUP(IM_Process!Q20,DATA_SHEET!AI:AK,3,0),VLOOKUP(Q20,DATA_SHEET!AI:AL,4,0),IF(O20&lt;&gt;0,IF(O20="","",IF(O20&lt;=110,"Injection Molding Machine 110 T",IF(O20&lt;=150,"Injection Molding Machine 150 T",IF(O20&lt;=180,"Injection Molding Machine 180 T",IF(O20&lt;=250,"Injection Molding Machine 250 T",IF(O20&lt;=320,"Injection Molding Machine 320 T",IF(O20&lt;=400,"Injection Molding Machine 400 T",IF(O20&lt;=480,"Injection Molding Machine 480 T",IF(O20&lt;=550,"Injection Molding Machine 550 T",IF(O20&lt;=650,"Injection Molding Machine 650 T",IF(O20&lt;=850,"Injection Molding Machine 850 T",IF(O20&lt;=1050,"Injection Molding Machine 1050 T",IF(O20&lt;=1450,"Injection Molding Machine 1450 T",IF(O20&lt;=1750,"Injection Molding Machine 1750 T",IF(O20&lt;=2200,"Injection Molding Machine 2200 T",IF(O20&lt;=2750,"Injection Molding Machine 2750 T",IF(O20&lt;=3500,"Injection Molding Machine 3500 T",IF(O20&lt;=4000,"Injection Molding Machine 4000 T","")))))))))))))))))),"")),"")</f>
        <v/>
      </c>
      <c r="Q20" s="391" t="str">
        <f t="shared" si="6"/>
        <v/>
      </c>
      <c r="R20" s="391" t="str">
        <f>IF(Q20&lt;&gt;"",VLOOKUP(Q20,DATA_SHEET!AI:AJ,2,0),"")</f>
        <v/>
      </c>
      <c r="S20" s="362" t="str">
        <f t="shared" si="7"/>
        <v/>
      </c>
      <c r="T20" s="364" t="str">
        <f>IFERROR(VLOOKUP(B20,IM_TC!B:AK,36,0),"")</f>
        <v/>
      </c>
      <c r="U20" s="364" t="str">
        <f>IFERROR(VLOOKUP(P20,IM_Machinery!$D:$E,2,0),"")</f>
        <v/>
      </c>
      <c r="V20" s="392" t="str">
        <f t="shared" si="8"/>
        <v/>
      </c>
      <c r="W20" s="365" t="str">
        <f t="shared" si="9"/>
        <v/>
      </c>
      <c r="X20" s="362">
        <v>1</v>
      </c>
      <c r="Y20" s="383" t="s">
        <v>526</v>
      </c>
      <c r="Z20" s="362">
        <f>VLOOKUP(Y20,IM_Machinery!$F$3:$G$5,2,0)</f>
        <v>120</v>
      </c>
      <c r="AA20" s="393">
        <f>IM_Machinery!$M$7</f>
        <v>0.8</v>
      </c>
      <c r="AB20" s="365" t="str">
        <f t="shared" si="10"/>
        <v/>
      </c>
      <c r="AC20" s="362">
        <v>3600</v>
      </c>
      <c r="AD20" s="362">
        <v>1</v>
      </c>
      <c r="AE20" s="383" t="s">
        <v>526</v>
      </c>
      <c r="AF20" s="362">
        <f>VLOOKUP(AE20,IM_Machinery!$F$3:$G$5,2,0)</f>
        <v>120</v>
      </c>
      <c r="AG20" s="365" t="str">
        <f t="shared" si="11"/>
        <v/>
      </c>
      <c r="AH20" s="364" t="str">
        <f t="shared" si="12"/>
        <v/>
      </c>
      <c r="AI20" s="365" t="str">
        <f t="shared" si="13"/>
        <v/>
      </c>
      <c r="AJ20" s="365" t="str">
        <f t="shared" si="14"/>
        <v/>
      </c>
      <c r="AK20" s="365" t="str">
        <f t="shared" si="15"/>
        <v/>
      </c>
      <c r="AL20" s="394" t="str">
        <f t="shared" si="16"/>
        <v>0</v>
      </c>
      <c r="AM20"/>
      <c r="AN20" s="366" t="e">
        <f t="shared" si="17"/>
        <v>#VALUE!</v>
      </c>
      <c r="AO20" s="395"/>
      <c r="AP20" s="396" t="s">
        <v>527</v>
      </c>
      <c r="AQ20" s="397" t="s">
        <v>528</v>
      </c>
      <c r="AR20" s="366" t="str">
        <f>IFERROR((2*10^6*90%)/VLOOKUP($B20,IM_Material!E:R,13,0),"")</f>
        <v/>
      </c>
      <c r="AS20" s="211">
        <v>900</v>
      </c>
      <c r="AT20" s="366">
        <f>VLOOKUP($AQ20,IM_Machinery!$D:$E,2,0)</f>
        <v>145.50769230769231</v>
      </c>
      <c r="AU20" s="398">
        <f t="shared" si="18"/>
        <v>2.425128205128205</v>
      </c>
      <c r="AV20" s="367" t="str">
        <f t="shared" si="19"/>
        <v/>
      </c>
      <c r="AW20" s="211">
        <v>1</v>
      </c>
      <c r="AX20" s="211" t="s">
        <v>526</v>
      </c>
      <c r="AY20" s="211">
        <f>VLOOKUP(AX20,IM_Machinery!$F$3:$G$5,2,0)</f>
        <v>120</v>
      </c>
      <c r="AZ20" s="399">
        <f>IM_Machinery!$M$7</f>
        <v>0.8</v>
      </c>
      <c r="BA20" s="367" t="str">
        <f t="shared" si="20"/>
        <v/>
      </c>
      <c r="BB20" s="211">
        <f t="shared" si="21"/>
        <v>1200</v>
      </c>
      <c r="BC20" s="211">
        <v>1</v>
      </c>
      <c r="BD20" s="211" t="s">
        <v>526</v>
      </c>
      <c r="BE20" s="211">
        <f>VLOOKUP(BD20,IM_Machinery!$F$3:$G$5,2,0)</f>
        <v>120</v>
      </c>
      <c r="BF20" s="367" t="str">
        <f t="shared" si="22"/>
        <v/>
      </c>
      <c r="BG20" s="367" t="str">
        <f t="shared" si="23"/>
        <v/>
      </c>
      <c r="BI20" s="396" t="s">
        <v>529</v>
      </c>
      <c r="BJ20" s="397" t="s">
        <v>530</v>
      </c>
      <c r="BK20" s="211" t="e">
        <f>INT(10000/VLOOKUP(B20,IM_TC!B:AE,30,0))*J20</f>
        <v>#VALUE!</v>
      </c>
      <c r="BL20" s="211">
        <v>15</v>
      </c>
      <c r="BM20" s="366">
        <f>VLOOKUP(BJ20,IM_Machinery!$D:$E,2,0)</f>
        <v>38.644444444444446</v>
      </c>
      <c r="BN20" s="211">
        <f t="shared" si="24"/>
        <v>0.64407407407407413</v>
      </c>
      <c r="BO20" s="367" t="str">
        <f t="shared" si="25"/>
        <v/>
      </c>
      <c r="BP20" s="211">
        <v>1</v>
      </c>
      <c r="BQ20" s="211" t="s">
        <v>526</v>
      </c>
      <c r="BR20" s="211">
        <f>VLOOKUP(BQ20,IM_Machinery!$F$3:$G$5,2,0)</f>
        <v>120</v>
      </c>
      <c r="BS20" s="399">
        <f>IM_Machinery!$M$7</f>
        <v>0.8</v>
      </c>
      <c r="BT20" s="367" t="str">
        <f t="shared" si="26"/>
        <v/>
      </c>
      <c r="BU20" s="211">
        <f t="shared" si="27"/>
        <v>900</v>
      </c>
      <c r="BV20" s="211">
        <v>1</v>
      </c>
      <c r="BW20" s="211" t="s">
        <v>526</v>
      </c>
      <c r="BX20" s="211">
        <f>VLOOKUP(BW20,IM_Machinery!$F$3:$G$5,2,0)</f>
        <v>120</v>
      </c>
      <c r="BY20" s="367" t="str">
        <f t="shared" si="28"/>
        <v/>
      </c>
      <c r="BZ20" s="367" t="str">
        <f t="shared" si="29"/>
        <v/>
      </c>
      <c r="CB20" s="396" t="s">
        <v>529</v>
      </c>
      <c r="CC20" s="397" t="s">
        <v>530</v>
      </c>
      <c r="CD20" s="211">
        <v>1</v>
      </c>
      <c r="CE20" s="211">
        <v>15</v>
      </c>
      <c r="CF20" s="366">
        <f>VLOOKUP(CC20,IM_Machinery!$D:$E,2,0)</f>
        <v>38.644444444444446</v>
      </c>
      <c r="CG20" s="211">
        <f t="shared" si="30"/>
        <v>0.64407407407407413</v>
      </c>
      <c r="CH20" s="367" t="str">
        <f t="shared" si="31"/>
        <v/>
      </c>
      <c r="CI20" s="211">
        <v>1</v>
      </c>
      <c r="CJ20" s="211" t="s">
        <v>526</v>
      </c>
      <c r="CK20" s="211">
        <f>VLOOKUP(CJ20,IM_Machinery!$F$3:$G$5,2,0)</f>
        <v>120</v>
      </c>
      <c r="CL20" s="399">
        <f>IM_Machinery!$M$7</f>
        <v>0.8</v>
      </c>
      <c r="CM20" s="367" t="str">
        <f t="shared" si="32"/>
        <v/>
      </c>
      <c r="CN20" s="211">
        <f t="shared" si="33"/>
        <v>600</v>
      </c>
      <c r="CO20" s="211">
        <v>1</v>
      </c>
      <c r="CP20" s="211" t="s">
        <v>526</v>
      </c>
      <c r="CQ20" s="211">
        <f>VLOOKUP(CP20,IM_Machinery!$F$3:$G$5,2,0)</f>
        <v>120</v>
      </c>
      <c r="CR20" s="367" t="str">
        <f t="shared" si="34"/>
        <v/>
      </c>
      <c r="CS20" s="367" t="str">
        <f t="shared" si="35"/>
        <v/>
      </c>
    </row>
    <row r="21" spans="1:97" s="102" customFormat="1">
      <c r="A21" s="544" t="str">
        <f t="shared" si="0"/>
        <v>0</v>
      </c>
      <c r="B21" s="362">
        <f>Group!X10</f>
        <v>0</v>
      </c>
      <c r="C21" s="383" t="str">
        <f>_xlfn.IFNA(IF(VLOOKUP(B21,BOM!$D$1:$I$10000,6,0)="Inhouse","Process-Inhouse",IF(VLOOKUP(B21,BOM!$D$1:$I$10000,6,0)="BOF","Process-outsourced",IF(VLOOKUP(B21,BOM!$D$1:$I$10000,6,0)="BOSF","Process-Inhouse"))),"")</f>
        <v/>
      </c>
      <c r="D21" s="362" t="str">
        <f>IFERROR(VLOOKUP($B21,IM_Material!$E$1:$F$10000,2,0),"")</f>
        <v/>
      </c>
      <c r="E21" s="362" t="str">
        <f>VLOOKUP(B21,IM_Material!$E$1:$H$10000,4,0)</f>
        <v/>
      </c>
      <c r="F21" s="362" t="str">
        <f>IF(E21="","",VLOOKUP(B21,IM_Material!E:L,8,0))</f>
        <v/>
      </c>
      <c r="G21" s="362" t="str">
        <f>IF(F21="","",VLOOKUP(B21,IM_Material!E:M,9,0))</f>
        <v/>
      </c>
      <c r="H21" s="362" t="str">
        <f>IF(F21="","",VLOOKUP(B21,IM_Material!E:N,10,0))</f>
        <v/>
      </c>
      <c r="I21" s="384" t="str">
        <f t="shared" si="1"/>
        <v/>
      </c>
      <c r="J21" s="362" t="str">
        <f t="shared" si="2"/>
        <v/>
      </c>
      <c r="K21" s="385" t="str">
        <f t="shared" si="3"/>
        <v/>
      </c>
      <c r="L21" s="386" t="str">
        <f t="shared" si="4"/>
        <v/>
      </c>
      <c r="M21" s="387" t="str">
        <f t="shared" si="5"/>
        <v/>
      </c>
      <c r="N21" s="388" t="str">
        <f>IFERROR((L21*M21^2*3.14/4)*VLOOKUP(B21,IM_TC!B:W,22,0)+J21*$E$6*3.14/4*VLOOKUP(B21,IM_TC!B:W,22,0)+(IF((IF((INT((Q21-$E$3-M21)/((G21+$E$4)))*2)*(INT(R21/INT(F21*2+$E$6+M21/2+$E$4)))&gt;((INT((R21-$E$3-M21)/((G21+$E$4)))*2)*(INT(Q21/INT(F21*2+$E$6+M21/2+$E$4)))),(INT((Q21-$E$3-M21)/((G21+$E$4)))*2)*(INT(R21/INT(F21*2+$E$6+M21/2+$E$4))),(INT((R21-$E$3-M21)/((G21+$E$4)))*2)*(INT(Q21/INT(F21*2+$E$6+M21/2+$E$4)))))=0,+INT((IF(F21&gt;G21,((IF(Q21&gt;R21,Q21,R21)-40)/(F21+$E$4))*((IF(Q21&gt;R21,R21,Q21)-40)/(F21+$E$4))*F21,((IF(Q21&gt;R21,Q21,R21)-40)/(G21+$E$4))*((IF(Q21&gt;R21,R21,Q21)-40)/(G21+$E$4))*G21))),IF((INT((Q21-$E$3-M21)/((G21+$E$4)))*2)*(INT(R21/INT(F21*2+$E$6+M21/2+$E$4)))&gt;((INT((R21-$E$3-M21)/((G21+$E$4)))*2)*(INT(Q21/INT(F21*2+$E$6+M21/2+$E$4)))),(INT((Q21-$E$3-M21))),(INT((R21-$E$3-M21))))))*(M21/2)^2*3.14/4*VLOOKUP(B21,IM_TC!B:W,22,0),"")</f>
        <v/>
      </c>
      <c r="O21" s="389" t="str">
        <f>VLOOKUP(B21,IM_TC!B:S,18,0)</f>
        <v/>
      </c>
      <c r="P21" s="390" t="str">
        <f>IFERROR(IF(O21&lt;VLOOKUP(IM_Process!Q21,DATA_SHEET!AI:AK,3,0),VLOOKUP(Q21,DATA_SHEET!AI:AL,4,0),IF(O21&lt;&gt;0,IF(O21="","",IF(O21&lt;=110,"Injection Molding Machine 110 T",IF(O21&lt;=150,"Injection Molding Machine 150 T",IF(O21&lt;=180,"Injection Molding Machine 180 T",IF(O21&lt;=250,"Injection Molding Machine 250 T",IF(O21&lt;=320,"Injection Molding Machine 320 T",IF(O21&lt;=400,"Injection Molding Machine 400 T",IF(O21&lt;=480,"Injection Molding Machine 480 T",IF(O21&lt;=550,"Injection Molding Machine 550 T",IF(O21&lt;=650,"Injection Molding Machine 650 T",IF(O21&lt;=850,"Injection Molding Machine 850 T",IF(O21&lt;=1050,"Injection Molding Machine 1050 T",IF(O21&lt;=1450,"Injection Molding Machine 1450 T",IF(O21&lt;=1750,"Injection Molding Machine 1750 T",IF(O21&lt;=2200,"Injection Molding Machine 2200 T",IF(O21&lt;=2750,"Injection Molding Machine 2750 T",IF(O21&lt;=3500,"Injection Molding Machine 3500 T",IF(O21&lt;=4000,"Injection Molding Machine 4000 T","")))))))))))))))))),"")),"")</f>
        <v/>
      </c>
      <c r="Q21" s="391" t="str">
        <f t="shared" si="6"/>
        <v/>
      </c>
      <c r="R21" s="391" t="str">
        <f>IF(Q21&lt;&gt;"",VLOOKUP(Q21,DATA_SHEET!AI:AJ,2,0),"")</f>
        <v/>
      </c>
      <c r="S21" s="362" t="str">
        <f t="shared" si="7"/>
        <v/>
      </c>
      <c r="T21" s="364" t="str">
        <f>IFERROR(VLOOKUP(B21,IM_TC!B:AK,36,0),"")</f>
        <v/>
      </c>
      <c r="U21" s="364" t="str">
        <f>IFERROR(VLOOKUP(P21,IM_Machinery!$D:$E,2,0),"")</f>
        <v/>
      </c>
      <c r="V21" s="392" t="str">
        <f t="shared" si="8"/>
        <v/>
      </c>
      <c r="W21" s="365" t="str">
        <f t="shared" si="9"/>
        <v/>
      </c>
      <c r="X21" s="362">
        <v>1</v>
      </c>
      <c r="Y21" s="383" t="s">
        <v>526</v>
      </c>
      <c r="Z21" s="362">
        <f>VLOOKUP(Y21,IM_Machinery!$F$3:$G$5,2,0)</f>
        <v>120</v>
      </c>
      <c r="AA21" s="393">
        <f>IM_Machinery!$M$7</f>
        <v>0.8</v>
      </c>
      <c r="AB21" s="365" t="str">
        <f t="shared" si="10"/>
        <v/>
      </c>
      <c r="AC21" s="362">
        <v>3600</v>
      </c>
      <c r="AD21" s="362">
        <v>1</v>
      </c>
      <c r="AE21" s="383" t="s">
        <v>526</v>
      </c>
      <c r="AF21" s="362">
        <f>VLOOKUP(AE21,IM_Machinery!$F$3:$G$5,2,0)</f>
        <v>120</v>
      </c>
      <c r="AG21" s="365" t="str">
        <f t="shared" si="11"/>
        <v/>
      </c>
      <c r="AH21" s="364" t="str">
        <f t="shared" si="12"/>
        <v/>
      </c>
      <c r="AI21" s="365" t="str">
        <f t="shared" si="13"/>
        <v/>
      </c>
      <c r="AJ21" s="365" t="str">
        <f t="shared" si="14"/>
        <v/>
      </c>
      <c r="AK21" s="365" t="str">
        <f t="shared" si="15"/>
        <v/>
      </c>
      <c r="AL21" s="394" t="str">
        <f t="shared" si="16"/>
        <v>0</v>
      </c>
      <c r="AM21"/>
      <c r="AN21" s="366" t="e">
        <f t="shared" si="17"/>
        <v>#VALUE!</v>
      </c>
      <c r="AO21" s="395"/>
      <c r="AP21" s="396" t="s">
        <v>527</v>
      </c>
      <c r="AQ21" s="397" t="s">
        <v>528</v>
      </c>
      <c r="AR21" s="366" t="str">
        <f>IFERROR((2*10^6*90%)/VLOOKUP($B21,IM_Material!E:R,13,0),"")</f>
        <v/>
      </c>
      <c r="AS21" s="211">
        <v>900</v>
      </c>
      <c r="AT21" s="366">
        <f>VLOOKUP($AQ21,IM_Machinery!$D:$E,2,0)</f>
        <v>145.50769230769231</v>
      </c>
      <c r="AU21" s="398">
        <f t="shared" si="18"/>
        <v>2.425128205128205</v>
      </c>
      <c r="AV21" s="367" t="str">
        <f t="shared" si="19"/>
        <v/>
      </c>
      <c r="AW21" s="211">
        <v>1</v>
      </c>
      <c r="AX21" s="211" t="s">
        <v>526</v>
      </c>
      <c r="AY21" s="211">
        <f>VLOOKUP(AX21,IM_Machinery!$F$3:$G$5,2,0)</f>
        <v>120</v>
      </c>
      <c r="AZ21" s="399">
        <f>IM_Machinery!$M$7</f>
        <v>0.8</v>
      </c>
      <c r="BA21" s="367" t="str">
        <f t="shared" si="20"/>
        <v/>
      </c>
      <c r="BB21" s="211">
        <f t="shared" si="21"/>
        <v>1200</v>
      </c>
      <c r="BC21" s="211">
        <v>1</v>
      </c>
      <c r="BD21" s="211" t="s">
        <v>526</v>
      </c>
      <c r="BE21" s="211">
        <f>VLOOKUP(BD21,IM_Machinery!$F$3:$G$5,2,0)</f>
        <v>120</v>
      </c>
      <c r="BF21" s="367" t="str">
        <f t="shared" si="22"/>
        <v/>
      </c>
      <c r="BG21" s="367" t="str">
        <f t="shared" si="23"/>
        <v/>
      </c>
      <c r="BI21" s="396" t="s">
        <v>529</v>
      </c>
      <c r="BJ21" s="397" t="s">
        <v>530</v>
      </c>
      <c r="BK21" s="211" t="e">
        <f>INT(10000/VLOOKUP(B21,IM_TC!B:AE,30,0))*J21</f>
        <v>#VALUE!</v>
      </c>
      <c r="BL21" s="211">
        <v>15</v>
      </c>
      <c r="BM21" s="366">
        <f>VLOOKUP(BJ21,IM_Machinery!$D:$E,2,0)</f>
        <v>38.644444444444446</v>
      </c>
      <c r="BN21" s="211">
        <f t="shared" si="24"/>
        <v>0.64407407407407413</v>
      </c>
      <c r="BO21" s="367" t="str">
        <f t="shared" si="25"/>
        <v/>
      </c>
      <c r="BP21" s="211">
        <v>1</v>
      </c>
      <c r="BQ21" s="211" t="s">
        <v>526</v>
      </c>
      <c r="BR21" s="211">
        <f>VLOOKUP(BQ21,IM_Machinery!$F$3:$G$5,2,0)</f>
        <v>120</v>
      </c>
      <c r="BS21" s="399">
        <f>IM_Machinery!$M$7</f>
        <v>0.8</v>
      </c>
      <c r="BT21" s="367" t="str">
        <f t="shared" si="26"/>
        <v/>
      </c>
      <c r="BU21" s="211">
        <f t="shared" si="27"/>
        <v>900</v>
      </c>
      <c r="BV21" s="211">
        <v>1</v>
      </c>
      <c r="BW21" s="211" t="s">
        <v>526</v>
      </c>
      <c r="BX21" s="211">
        <f>VLOOKUP(BW21,IM_Machinery!$F$3:$G$5,2,0)</f>
        <v>120</v>
      </c>
      <c r="BY21" s="367" t="str">
        <f t="shared" si="28"/>
        <v/>
      </c>
      <c r="BZ21" s="367" t="str">
        <f t="shared" si="29"/>
        <v/>
      </c>
      <c r="CB21" s="396" t="s">
        <v>529</v>
      </c>
      <c r="CC21" s="397" t="s">
        <v>530</v>
      </c>
      <c r="CD21" s="211">
        <v>1</v>
      </c>
      <c r="CE21" s="211">
        <v>15</v>
      </c>
      <c r="CF21" s="366">
        <f>VLOOKUP(CC21,IM_Machinery!$D:$E,2,0)</f>
        <v>38.644444444444446</v>
      </c>
      <c r="CG21" s="211">
        <f t="shared" si="30"/>
        <v>0.64407407407407413</v>
      </c>
      <c r="CH21" s="367" t="str">
        <f t="shared" si="31"/>
        <v/>
      </c>
      <c r="CI21" s="211">
        <v>1</v>
      </c>
      <c r="CJ21" s="211" t="s">
        <v>526</v>
      </c>
      <c r="CK21" s="211">
        <f>VLOOKUP(CJ21,IM_Machinery!$F$3:$G$5,2,0)</f>
        <v>120</v>
      </c>
      <c r="CL21" s="399">
        <f>IM_Machinery!$M$7</f>
        <v>0.8</v>
      </c>
      <c r="CM21" s="367" t="str">
        <f t="shared" si="32"/>
        <v/>
      </c>
      <c r="CN21" s="211">
        <f t="shared" si="33"/>
        <v>600</v>
      </c>
      <c r="CO21" s="211">
        <v>1</v>
      </c>
      <c r="CP21" s="211" t="s">
        <v>526</v>
      </c>
      <c r="CQ21" s="211">
        <f>VLOOKUP(CP21,IM_Machinery!$F$3:$G$5,2,0)</f>
        <v>120</v>
      </c>
      <c r="CR21" s="367" t="str">
        <f t="shared" si="34"/>
        <v/>
      </c>
      <c r="CS21" s="367" t="str">
        <f t="shared" si="35"/>
        <v/>
      </c>
    </row>
    <row r="22" spans="1:97" s="102" customFormat="1">
      <c r="A22" s="544" t="str">
        <f t="shared" si="0"/>
        <v>0</v>
      </c>
      <c r="B22" s="362">
        <f>Group!X11</f>
        <v>0</v>
      </c>
      <c r="C22" s="383" t="str">
        <f>_xlfn.IFNA(IF(VLOOKUP(B22,BOM!$D$1:$I$10000,6,0)="Inhouse","Process-Inhouse",IF(VLOOKUP(B22,BOM!$D$1:$I$10000,6,0)="BOF","Process-outsourced",IF(VLOOKUP(B22,BOM!$D$1:$I$10000,6,0)="BOSF","Process-Inhouse"))),"")</f>
        <v/>
      </c>
      <c r="D22" s="362" t="str">
        <f>IFERROR(VLOOKUP($B22,IM_Material!$E$1:$F$10000,2,0),"")</f>
        <v/>
      </c>
      <c r="E22" s="362" t="str">
        <f>VLOOKUP(B22,IM_Material!$E$1:$H$10000,4,0)</f>
        <v/>
      </c>
      <c r="F22" s="362" t="str">
        <f>IF(E22="","",VLOOKUP(B22,IM_Material!E:L,8,0))</f>
        <v/>
      </c>
      <c r="G22" s="362" t="str">
        <f>IF(F22="","",VLOOKUP(B22,IM_Material!E:M,9,0))</f>
        <v/>
      </c>
      <c r="H22" s="362" t="str">
        <f>IF(F22="","",VLOOKUP(B22,IM_Material!E:N,10,0))</f>
        <v/>
      </c>
      <c r="I22" s="384" t="str">
        <f t="shared" si="1"/>
        <v/>
      </c>
      <c r="J22" s="362" t="str">
        <f t="shared" si="2"/>
        <v/>
      </c>
      <c r="K22" s="385" t="str">
        <f t="shared" si="3"/>
        <v/>
      </c>
      <c r="L22" s="386" t="str">
        <f t="shared" si="4"/>
        <v/>
      </c>
      <c r="M22" s="387" t="str">
        <f t="shared" si="5"/>
        <v/>
      </c>
      <c r="N22" s="388" t="str">
        <f>IFERROR((L22*M22^2*3.14/4)*VLOOKUP(B22,IM_TC!B:W,22,0)+J22*$E$6*3.14/4*VLOOKUP(B22,IM_TC!B:W,22,0)+(IF((IF((INT((Q22-$E$3-M22)/((G22+$E$4)))*2)*(INT(R22/INT(F22*2+$E$6+M22/2+$E$4)))&gt;((INT((R22-$E$3-M22)/((G22+$E$4)))*2)*(INT(Q22/INT(F22*2+$E$6+M22/2+$E$4)))),(INT((Q22-$E$3-M22)/((G22+$E$4)))*2)*(INT(R22/INT(F22*2+$E$6+M22/2+$E$4))),(INT((R22-$E$3-M22)/((G22+$E$4)))*2)*(INT(Q22/INT(F22*2+$E$6+M22/2+$E$4)))))=0,+INT((IF(F22&gt;G22,((IF(Q22&gt;R22,Q22,R22)-40)/(F22+$E$4))*((IF(Q22&gt;R22,R22,Q22)-40)/(F22+$E$4))*F22,((IF(Q22&gt;R22,Q22,R22)-40)/(G22+$E$4))*((IF(Q22&gt;R22,R22,Q22)-40)/(G22+$E$4))*G22))),IF((INT((Q22-$E$3-M22)/((G22+$E$4)))*2)*(INT(R22/INT(F22*2+$E$6+M22/2+$E$4)))&gt;((INT((R22-$E$3-M22)/((G22+$E$4)))*2)*(INT(Q22/INT(F22*2+$E$6+M22/2+$E$4)))),(INT((Q22-$E$3-M22))),(INT((R22-$E$3-M22))))))*(M22/2)^2*3.14/4*VLOOKUP(B22,IM_TC!B:W,22,0),"")</f>
        <v/>
      </c>
      <c r="O22" s="389" t="str">
        <f>VLOOKUP(B22,IM_TC!B:S,18,0)</f>
        <v/>
      </c>
      <c r="P22" s="390" t="str">
        <f>IFERROR(IF(O22&lt;VLOOKUP(IM_Process!Q22,DATA_SHEET!AI:AK,3,0),VLOOKUP(Q22,DATA_SHEET!AI:AL,4,0),IF(O22&lt;&gt;0,IF(O22="","",IF(O22&lt;=110,"Injection Molding Machine 110 T",IF(O22&lt;=150,"Injection Molding Machine 150 T",IF(O22&lt;=180,"Injection Molding Machine 180 T",IF(O22&lt;=250,"Injection Molding Machine 250 T",IF(O22&lt;=320,"Injection Molding Machine 320 T",IF(O22&lt;=400,"Injection Molding Machine 400 T",IF(O22&lt;=480,"Injection Molding Machine 480 T",IF(O22&lt;=550,"Injection Molding Machine 550 T",IF(O22&lt;=650,"Injection Molding Machine 650 T",IF(O22&lt;=850,"Injection Molding Machine 850 T",IF(O22&lt;=1050,"Injection Molding Machine 1050 T",IF(O22&lt;=1450,"Injection Molding Machine 1450 T",IF(O22&lt;=1750,"Injection Molding Machine 1750 T",IF(O22&lt;=2200,"Injection Molding Machine 2200 T",IF(O22&lt;=2750,"Injection Molding Machine 2750 T",IF(O22&lt;=3500,"Injection Molding Machine 3500 T",IF(O22&lt;=4000,"Injection Molding Machine 4000 T","")))))))))))))))))),"")),"")</f>
        <v/>
      </c>
      <c r="Q22" s="391" t="str">
        <f t="shared" si="6"/>
        <v/>
      </c>
      <c r="R22" s="391" t="str">
        <f>IF(Q22&lt;&gt;"",VLOOKUP(Q22,DATA_SHEET!AI:AJ,2,0),"")</f>
        <v/>
      </c>
      <c r="S22" s="362" t="str">
        <f t="shared" si="7"/>
        <v/>
      </c>
      <c r="T22" s="364" t="str">
        <f>IFERROR(VLOOKUP(B22,IM_TC!B:AK,36,0),"")</f>
        <v/>
      </c>
      <c r="U22" s="364" t="str">
        <f>IFERROR(VLOOKUP(P22,IM_Machinery!$D:$E,2,0),"")</f>
        <v/>
      </c>
      <c r="V22" s="392" t="str">
        <f t="shared" si="8"/>
        <v/>
      </c>
      <c r="W22" s="365" t="str">
        <f t="shared" si="9"/>
        <v/>
      </c>
      <c r="X22" s="362">
        <v>1</v>
      </c>
      <c r="Y22" s="383" t="s">
        <v>526</v>
      </c>
      <c r="Z22" s="362">
        <f>VLOOKUP(Y22,IM_Machinery!$F$3:$G$5,2,0)</f>
        <v>120</v>
      </c>
      <c r="AA22" s="393">
        <f>IM_Machinery!$M$7</f>
        <v>0.8</v>
      </c>
      <c r="AB22" s="365" t="str">
        <f t="shared" si="10"/>
        <v/>
      </c>
      <c r="AC22" s="362">
        <v>3600</v>
      </c>
      <c r="AD22" s="362">
        <v>1</v>
      </c>
      <c r="AE22" s="383" t="s">
        <v>526</v>
      </c>
      <c r="AF22" s="362">
        <f>VLOOKUP(AE22,IM_Machinery!$F$3:$G$5,2,0)</f>
        <v>120</v>
      </c>
      <c r="AG22" s="365" t="str">
        <f t="shared" si="11"/>
        <v/>
      </c>
      <c r="AH22" s="364" t="str">
        <f t="shared" si="12"/>
        <v/>
      </c>
      <c r="AI22" s="365" t="str">
        <f t="shared" si="13"/>
        <v/>
      </c>
      <c r="AJ22" s="365" t="str">
        <f t="shared" si="14"/>
        <v/>
      </c>
      <c r="AK22" s="365" t="str">
        <f t="shared" si="15"/>
        <v/>
      </c>
      <c r="AL22" s="394" t="str">
        <f t="shared" si="16"/>
        <v>0</v>
      </c>
      <c r="AM22"/>
      <c r="AN22" s="366" t="e">
        <f t="shared" si="17"/>
        <v>#VALUE!</v>
      </c>
      <c r="AO22" s="395"/>
      <c r="AP22" s="396" t="s">
        <v>527</v>
      </c>
      <c r="AQ22" s="397" t="s">
        <v>528</v>
      </c>
      <c r="AR22" s="366" t="str">
        <f>IFERROR((2*10^6*90%)/VLOOKUP($B22,IM_Material!E:R,13,0),"")</f>
        <v/>
      </c>
      <c r="AS22" s="211">
        <v>900</v>
      </c>
      <c r="AT22" s="366">
        <f>VLOOKUP($AQ22,IM_Machinery!$D:$E,2,0)</f>
        <v>145.50769230769231</v>
      </c>
      <c r="AU22" s="398">
        <f t="shared" si="18"/>
        <v>2.425128205128205</v>
      </c>
      <c r="AV22" s="367" t="str">
        <f t="shared" si="19"/>
        <v/>
      </c>
      <c r="AW22" s="211">
        <v>1</v>
      </c>
      <c r="AX22" s="211" t="s">
        <v>526</v>
      </c>
      <c r="AY22" s="211">
        <f>VLOOKUP(AX22,IM_Machinery!$F$3:$G$5,2,0)</f>
        <v>120</v>
      </c>
      <c r="AZ22" s="399">
        <f>IM_Machinery!$M$7</f>
        <v>0.8</v>
      </c>
      <c r="BA22" s="367" t="str">
        <f t="shared" si="20"/>
        <v/>
      </c>
      <c r="BB22" s="211">
        <f t="shared" si="21"/>
        <v>1200</v>
      </c>
      <c r="BC22" s="211">
        <v>1</v>
      </c>
      <c r="BD22" s="211" t="s">
        <v>526</v>
      </c>
      <c r="BE22" s="211">
        <f>VLOOKUP(BD22,IM_Machinery!$F$3:$G$5,2,0)</f>
        <v>120</v>
      </c>
      <c r="BF22" s="367" t="str">
        <f t="shared" si="22"/>
        <v/>
      </c>
      <c r="BG22" s="367" t="str">
        <f t="shared" si="23"/>
        <v/>
      </c>
      <c r="BI22" s="396" t="s">
        <v>529</v>
      </c>
      <c r="BJ22" s="397" t="s">
        <v>530</v>
      </c>
      <c r="BK22" s="211" t="e">
        <f>INT(10000/VLOOKUP(B22,IM_TC!B:AE,30,0))*J22</f>
        <v>#VALUE!</v>
      </c>
      <c r="BL22" s="211">
        <v>15</v>
      </c>
      <c r="BM22" s="366">
        <f>VLOOKUP(BJ22,IM_Machinery!$D:$E,2,0)</f>
        <v>38.644444444444446</v>
      </c>
      <c r="BN22" s="211">
        <f t="shared" si="24"/>
        <v>0.64407407407407413</v>
      </c>
      <c r="BO22" s="367" t="str">
        <f t="shared" si="25"/>
        <v/>
      </c>
      <c r="BP22" s="211">
        <v>1</v>
      </c>
      <c r="BQ22" s="211" t="s">
        <v>526</v>
      </c>
      <c r="BR22" s="211">
        <f>VLOOKUP(BQ22,IM_Machinery!$F$3:$G$5,2,0)</f>
        <v>120</v>
      </c>
      <c r="BS22" s="399">
        <f>IM_Machinery!$M$7</f>
        <v>0.8</v>
      </c>
      <c r="BT22" s="367" t="str">
        <f t="shared" si="26"/>
        <v/>
      </c>
      <c r="BU22" s="211">
        <f t="shared" si="27"/>
        <v>900</v>
      </c>
      <c r="BV22" s="211">
        <v>1</v>
      </c>
      <c r="BW22" s="211" t="s">
        <v>526</v>
      </c>
      <c r="BX22" s="211">
        <f>VLOOKUP(BW22,IM_Machinery!$F$3:$G$5,2,0)</f>
        <v>120</v>
      </c>
      <c r="BY22" s="367" t="str">
        <f t="shared" si="28"/>
        <v/>
      </c>
      <c r="BZ22" s="367" t="str">
        <f t="shared" si="29"/>
        <v/>
      </c>
      <c r="CB22" s="396" t="s">
        <v>529</v>
      </c>
      <c r="CC22" s="397" t="s">
        <v>530</v>
      </c>
      <c r="CD22" s="211">
        <v>1</v>
      </c>
      <c r="CE22" s="211">
        <v>15</v>
      </c>
      <c r="CF22" s="366">
        <f>VLOOKUP(CC22,IM_Machinery!$D:$E,2,0)</f>
        <v>38.644444444444446</v>
      </c>
      <c r="CG22" s="211">
        <f t="shared" si="30"/>
        <v>0.64407407407407413</v>
      </c>
      <c r="CH22" s="367" t="str">
        <f t="shared" si="31"/>
        <v/>
      </c>
      <c r="CI22" s="211">
        <v>1</v>
      </c>
      <c r="CJ22" s="211" t="s">
        <v>526</v>
      </c>
      <c r="CK22" s="211">
        <f>VLOOKUP(CJ22,IM_Machinery!$F$3:$G$5,2,0)</f>
        <v>120</v>
      </c>
      <c r="CL22" s="399">
        <f>IM_Machinery!$M$7</f>
        <v>0.8</v>
      </c>
      <c r="CM22" s="367" t="str">
        <f t="shared" si="32"/>
        <v/>
      </c>
      <c r="CN22" s="211">
        <f t="shared" si="33"/>
        <v>600</v>
      </c>
      <c r="CO22" s="211">
        <v>1</v>
      </c>
      <c r="CP22" s="211" t="s">
        <v>526</v>
      </c>
      <c r="CQ22" s="211">
        <f>VLOOKUP(CP22,IM_Machinery!$F$3:$G$5,2,0)</f>
        <v>120</v>
      </c>
      <c r="CR22" s="367" t="str">
        <f t="shared" si="34"/>
        <v/>
      </c>
      <c r="CS22" s="367" t="str">
        <f t="shared" si="35"/>
        <v/>
      </c>
    </row>
  </sheetData>
  <mergeCells count="17">
    <mergeCell ref="CN11:CR11"/>
    <mergeCell ref="K11:W11"/>
    <mergeCell ref="X11:AB11"/>
    <mergeCell ref="AC11:AG11"/>
    <mergeCell ref="AP11:AV11"/>
    <mergeCell ref="AW11:BA11"/>
    <mergeCell ref="BB11:BF11"/>
    <mergeCell ref="BI11:BO11"/>
    <mergeCell ref="BP11:BT11"/>
    <mergeCell ref="BU11:BY11"/>
    <mergeCell ref="CB11:CH11"/>
    <mergeCell ref="CI11:CM11"/>
    <mergeCell ref="CB10:CS10"/>
    <mergeCell ref="D2:E2"/>
    <mergeCell ref="K10:AH10"/>
    <mergeCell ref="AP10:BG10"/>
    <mergeCell ref="BI10:BZ10"/>
  </mergeCell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200-000000000000}">
          <x14:formula1>
            <xm:f>IM_Machinery!$F$3:$F$5</xm:f>
          </x14:formula1>
          <xm:sqref>BQ13:BQ22 Y13:Y22 CP13:CP22 AX13:AX22 BD13:BD22 AE13:AE22 CJ13:CJ22 BW13:BW22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/>
  <dimension ref="A1:AK16"/>
  <sheetViews>
    <sheetView showGridLines="0" zoomScale="70" zoomScaleNormal="70" workbookViewId="0">
      <selection activeCell="A7" sqref="A7"/>
    </sheetView>
  </sheetViews>
  <sheetFormatPr defaultRowHeight="15"/>
  <cols>
    <col min="1" max="1" width="1.5703125" customWidth="1"/>
    <col min="2" max="2" width="13.85546875" bestFit="1" customWidth="1"/>
    <col min="3" max="3" width="17.28515625" bestFit="1" customWidth="1"/>
    <col min="4" max="4" width="13.5703125" customWidth="1"/>
    <col min="5" max="5" width="5.7109375" bestFit="1" customWidth="1"/>
    <col min="6" max="6" width="8" customWidth="1"/>
    <col min="7" max="7" width="6.7109375" bestFit="1" customWidth="1"/>
    <col min="8" max="8" width="8.28515625" bestFit="1" customWidth="1"/>
    <col min="9" max="9" width="17.28515625" bestFit="1" customWidth="1"/>
    <col min="10" max="10" width="10.28515625" customWidth="1"/>
    <col min="11" max="11" width="14" customWidth="1"/>
    <col min="12" max="12" width="10.5703125" customWidth="1"/>
    <col min="13" max="13" width="13.140625" customWidth="1"/>
    <col min="14" max="14" width="9.5703125" customWidth="1"/>
    <col min="15" max="15" width="11" customWidth="1"/>
    <col min="16" max="16" width="10.5703125" customWidth="1"/>
    <col min="17" max="17" width="14.85546875" customWidth="1"/>
    <col min="18" max="18" width="9.28515625" customWidth="1"/>
    <col min="19" max="19" width="11.140625" customWidth="1"/>
    <col min="20" max="20" width="1.140625" customWidth="1"/>
    <col min="21" max="21" width="9.5703125" customWidth="1"/>
    <col min="22" max="22" width="8.7109375" customWidth="1"/>
    <col min="23" max="23" width="8.5703125" customWidth="1"/>
    <col min="24" max="24" width="15" customWidth="1"/>
    <col min="25" max="25" width="14.5703125" customWidth="1"/>
    <col min="26" max="26" width="11.85546875" customWidth="1"/>
    <col min="27" max="27" width="14.7109375" customWidth="1"/>
    <col min="28" max="28" width="8.85546875" customWidth="1"/>
    <col min="29" max="29" width="11.42578125" bestFit="1" customWidth="1"/>
    <col min="30" max="30" width="9.140625" customWidth="1"/>
    <col min="31" max="31" width="8.5703125" customWidth="1"/>
    <col min="32" max="32" width="10.5703125" customWidth="1"/>
    <col min="33" max="33" width="12.28515625" customWidth="1"/>
    <col min="34" max="35" width="8.140625" customWidth="1"/>
    <col min="36" max="36" width="11.5703125" bestFit="1" customWidth="1"/>
    <col min="37" max="37" width="14" customWidth="1"/>
    <col min="39" max="39" width="8.5703125" customWidth="1"/>
  </cols>
  <sheetData>
    <row r="1" spans="1:37" ht="7.5" customHeight="1">
      <c r="A1" s="691">
        <v>1</v>
      </c>
    </row>
    <row r="2" spans="1:37" ht="46.5">
      <c r="A2" s="839" t="s">
        <v>531</v>
      </c>
      <c r="B2" s="839"/>
      <c r="C2" s="839"/>
      <c r="D2" s="839"/>
      <c r="E2" s="839"/>
      <c r="F2" s="839"/>
      <c r="G2" s="839"/>
      <c r="H2" s="839"/>
    </row>
    <row r="4" spans="1:37">
      <c r="F4" s="840" t="s">
        <v>532</v>
      </c>
      <c r="G4" s="840"/>
      <c r="H4" s="840"/>
      <c r="I4" s="840"/>
      <c r="J4" s="840"/>
      <c r="K4" s="840"/>
      <c r="L4" s="840"/>
      <c r="M4" s="840"/>
      <c r="N4" s="841" t="s">
        <v>533</v>
      </c>
      <c r="O4" s="842"/>
      <c r="P4" s="843"/>
      <c r="Q4" s="841" t="s">
        <v>534</v>
      </c>
      <c r="R4" s="842"/>
      <c r="S4" s="843"/>
      <c r="U4" s="844" t="s">
        <v>535</v>
      </c>
      <c r="V4" s="844"/>
      <c r="W4" s="844"/>
      <c r="X4" s="844" t="s">
        <v>536</v>
      </c>
      <c r="Y4" s="844"/>
      <c r="Z4" s="844"/>
      <c r="AA4" s="844"/>
      <c r="AB4" s="845" t="s">
        <v>537</v>
      </c>
      <c r="AC4" s="846"/>
      <c r="AD4" s="846"/>
      <c r="AE4" s="847"/>
      <c r="AF4" s="845" t="s">
        <v>538</v>
      </c>
      <c r="AG4" s="846"/>
      <c r="AH4" s="846"/>
      <c r="AI4" s="846"/>
      <c r="AJ4" s="846"/>
      <c r="AK4" s="847"/>
    </row>
    <row r="5" spans="1:37" s="70" customFormat="1" ht="41.25" customHeight="1">
      <c r="B5" s="848" t="s">
        <v>31</v>
      </c>
      <c r="C5" s="850" t="s">
        <v>35</v>
      </c>
      <c r="D5" s="848" t="s">
        <v>89</v>
      </c>
      <c r="E5" s="848" t="s">
        <v>34</v>
      </c>
      <c r="F5" s="400" t="s">
        <v>145</v>
      </c>
      <c r="G5" s="400" t="s">
        <v>166</v>
      </c>
      <c r="H5" s="400" t="s">
        <v>539</v>
      </c>
      <c r="I5" s="400" t="s">
        <v>540</v>
      </c>
      <c r="J5" s="400" t="s">
        <v>541</v>
      </c>
      <c r="K5" s="400" t="s">
        <v>494</v>
      </c>
      <c r="L5" s="401" t="s">
        <v>542</v>
      </c>
      <c r="M5" s="401" t="s">
        <v>543</v>
      </c>
      <c r="N5" s="400" t="s">
        <v>544</v>
      </c>
      <c r="O5" s="400" t="s">
        <v>545</v>
      </c>
      <c r="P5" s="400" t="s">
        <v>546</v>
      </c>
      <c r="Q5" s="400" t="s">
        <v>547</v>
      </c>
      <c r="R5" s="401" t="s">
        <v>534</v>
      </c>
      <c r="S5" s="402" t="s">
        <v>534</v>
      </c>
      <c r="U5" s="403" t="s">
        <v>132</v>
      </c>
      <c r="V5" s="403" t="s">
        <v>548</v>
      </c>
      <c r="W5" s="403" t="s">
        <v>549</v>
      </c>
      <c r="X5" s="404" t="s">
        <v>550</v>
      </c>
      <c r="Y5" s="404" t="s">
        <v>551</v>
      </c>
      <c r="Z5" s="403" t="s">
        <v>552</v>
      </c>
      <c r="AA5" s="403" t="s">
        <v>553</v>
      </c>
      <c r="AB5" s="404" t="s">
        <v>554</v>
      </c>
      <c r="AC5" s="404" t="s">
        <v>555</v>
      </c>
      <c r="AD5" s="403" t="s">
        <v>556</v>
      </c>
      <c r="AE5" s="403" t="s">
        <v>537</v>
      </c>
      <c r="AF5" s="403" t="s">
        <v>557</v>
      </c>
      <c r="AG5" s="403" t="s">
        <v>558</v>
      </c>
      <c r="AH5" s="403" t="s">
        <v>559</v>
      </c>
      <c r="AI5" s="403" t="s">
        <v>560</v>
      </c>
      <c r="AJ5" s="405" t="s">
        <v>561</v>
      </c>
      <c r="AK5" s="406" t="s">
        <v>562</v>
      </c>
    </row>
    <row r="6" spans="1:37">
      <c r="B6" s="849"/>
      <c r="C6" s="851"/>
      <c r="D6" s="849"/>
      <c r="E6" s="849"/>
      <c r="F6" s="407" t="s">
        <v>563</v>
      </c>
      <c r="G6" s="407" t="s">
        <v>563</v>
      </c>
      <c r="H6" s="407" t="s">
        <v>563</v>
      </c>
      <c r="I6" s="407" t="s">
        <v>563</v>
      </c>
      <c r="J6" s="407" t="s">
        <v>563</v>
      </c>
      <c r="K6" s="407" t="s">
        <v>563</v>
      </c>
      <c r="L6" s="408" t="s">
        <v>564</v>
      </c>
      <c r="M6" s="408" t="s">
        <v>564</v>
      </c>
      <c r="N6" s="407" t="s">
        <v>563</v>
      </c>
      <c r="O6" s="407" t="s">
        <v>565</v>
      </c>
      <c r="P6" s="407" t="s">
        <v>564</v>
      </c>
      <c r="Q6" s="407" t="s">
        <v>566</v>
      </c>
      <c r="R6" s="408" t="s">
        <v>567</v>
      </c>
      <c r="S6" s="409" t="s">
        <v>568</v>
      </c>
      <c r="U6" s="410" t="s">
        <v>565</v>
      </c>
      <c r="V6" s="410" t="s">
        <v>565</v>
      </c>
      <c r="W6" s="410" t="s">
        <v>569</v>
      </c>
      <c r="X6" s="411" t="s">
        <v>563</v>
      </c>
      <c r="Y6" s="411" t="s">
        <v>563</v>
      </c>
      <c r="Z6" s="410" t="s">
        <v>565</v>
      </c>
      <c r="AA6" s="410" t="s">
        <v>565</v>
      </c>
      <c r="AB6" s="410" t="s">
        <v>570</v>
      </c>
      <c r="AC6" s="410" t="s">
        <v>566</v>
      </c>
      <c r="AD6" s="410" t="s">
        <v>571</v>
      </c>
      <c r="AE6" s="410" t="s">
        <v>570</v>
      </c>
      <c r="AF6" s="410" t="s">
        <v>516</v>
      </c>
      <c r="AG6" s="411" t="s">
        <v>572</v>
      </c>
      <c r="AH6" s="411" t="s">
        <v>572</v>
      </c>
      <c r="AI6" s="411" t="s">
        <v>572</v>
      </c>
      <c r="AJ6" s="412" t="s">
        <v>572</v>
      </c>
      <c r="AK6" s="411" t="s">
        <v>572</v>
      </c>
    </row>
    <row r="7" spans="1:37">
      <c r="B7" s="97" t="str">
        <f>Group!$X2</f>
        <v>FV516568</v>
      </c>
      <c r="C7" s="413" t="str">
        <f>IFERROR(VLOOKUP($B7,IM_Process!$B:$J,2,0),"")</f>
        <v>Process-Inhouse</v>
      </c>
      <c r="D7" s="413" t="str">
        <f>IFERROR(VLOOKUP($B7,IM_Process!$B:$J,3,0),"")</f>
        <v>REINFORCEMENT-INTERIOR TRIM -</v>
      </c>
      <c r="E7" s="71">
        <f>VLOOKUP(B7,IM_Material!E:H,4,0)</f>
        <v>1</v>
      </c>
      <c r="F7" s="413">
        <f>_xlfn.IFNA(VLOOKUP(B7,IM_Material!E:L,8,0),"")</f>
        <v>1784</v>
      </c>
      <c r="G7" s="413">
        <f>VLOOKUP(B7,IM_Material!E:M,9,0)</f>
        <v>247</v>
      </c>
      <c r="H7" s="413">
        <f>VLOOKUP(B7,IM_Process!B:L,11,0)</f>
        <v>30</v>
      </c>
      <c r="I7" s="413">
        <f>_xlfn.IFNA(VLOOKUP($B7,IM_Process!B:M,12,0),"")</f>
        <v>4</v>
      </c>
      <c r="J7" s="413">
        <f>IF(I7&lt;&gt;"",_xlfn.IFNA(VLOOKUP($B7,IM_Process!$B:$I,7,0),""),"")</f>
        <v>2.7</v>
      </c>
      <c r="K7" s="414">
        <f>IM_Material!P5</f>
        <v>129</v>
      </c>
      <c r="L7" s="415">
        <f>VLOOKUP(B7,IM_Material!E:O,11,0)</f>
        <v>528777.6</v>
      </c>
      <c r="M7" s="415">
        <f>IFERROR((H7*I7),"")</f>
        <v>120</v>
      </c>
      <c r="N7" s="397">
        <f>IF(M7&lt;&gt;"",IFERROR(G7+40,""),"")</f>
        <v>287</v>
      </c>
      <c r="O7" s="397">
        <f>VLOOKUP(B7,IM_Process!B:J,9,0)</f>
        <v>5</v>
      </c>
      <c r="P7" s="397">
        <f>IF(O7&lt;&gt;"",0,"")</f>
        <v>0</v>
      </c>
      <c r="Q7" s="416">
        <f>IF(P7&lt;&gt;"",0.1,"")</f>
        <v>0.1</v>
      </c>
      <c r="R7" s="417">
        <f>IFERROR((1+Q7)*INDEX(DATA_SHEET!$H$6:$P$46,MATCH(Y7,DATA_SHEET!$G$6:$G$46,FALSE),MATCH(AA7,DATA_SHEET!$H$5:$P$5,-1))*V7*(O7*L7+M7+P7)/10000,"")</f>
        <v>33737.542079999999</v>
      </c>
      <c r="S7" s="417">
        <f t="shared" ref="S7:S16" si="0">IFERROR(R7*0.102,"")</f>
        <v>3441.2292921599997</v>
      </c>
      <c r="U7" s="418" t="str">
        <f>VLOOKUP(B7,IM_Material!E:I,5,0)</f>
        <v>PP-GF20</v>
      </c>
      <c r="V7" s="419">
        <f>_xlfn.IFNA(_xlfn.IFNA(VLOOKUP(U7,DATA_SHEET!AN:AP,2,0),_xlfn.IFNA(VLOOKUP(LEFT(U7,4),DATA_SHEET!AN:AP,2,0),_xlfn.IFNA(VLOOKUP(LEFT(U7,3),DATA_SHEET!AN:AP,2,0),(VLOOKUP(LEFT(U7,2),DATA_SHEET!AN:AP,2,0))))),"")</f>
        <v>1</v>
      </c>
      <c r="W7" s="678">
        <f>_xlfn.IFNA(_xlfn.IFNA(VLOOKUP(U7,DATA_SHEET!BW:BX,2,0),_xlfn.IFNA(VLOOKUP(LEFT(U7,4),DATA_SHEET!BW:BX,2,0),_xlfn.IFNA(VLOOKUP(LEFT(U7,3),DATA_SHEET!BW:BX,2,0),(VLOOKUP(LEFT(U7,2),DATA_SHEET!BW:BX,2,0)))))/1000,"")</f>
        <v>1.1999999999999999E-3</v>
      </c>
      <c r="X7" s="415">
        <f>IFERROR(K7+H7+50+10,"")</f>
        <v>219</v>
      </c>
      <c r="Y7" s="420">
        <f>IF(X7&lt;&gt;"",IF(AND(J7&gt;0,J7&lt;0.5),0.5,VLOOKUP(J7,DATA_SHEET!$G$6:$G$46, 1, TRUE)),"")</f>
        <v>2.6875</v>
      </c>
      <c r="Z7" s="421">
        <f>IFERROR(IF(Y7&gt;0,X7/Y7,50),"")</f>
        <v>81.488372093023258</v>
      </c>
      <c r="AA7" s="422">
        <f>IF(Z7&lt;&gt;"",MAX(50,MIN(250,Z7)),"")</f>
        <v>81.488372093023258</v>
      </c>
      <c r="AB7" s="423">
        <f>VLOOKUP(B7,IM_Material!E:K,7,0)</f>
        <v>927</v>
      </c>
      <c r="AC7" s="424">
        <f>IFERROR(IF(AB7&lt;&gt;"",_xlfn.IFNA((VLOOKUP(B7,IM_Process!B:AH,13,0)/VLOOKUP(B7,IM_Process!B:AH,9,0))/AB7,""),""),"")</f>
        <v>1.1938097087378639E-3</v>
      </c>
      <c r="AD7" s="422">
        <f>IFERROR((AE7/W7/1000),"")</f>
        <v>3867.1110900000003</v>
      </c>
      <c r="AE7" s="422">
        <f>IFERROR((AB7*(1+AC7)*O7),"")</f>
        <v>4640.533308</v>
      </c>
      <c r="AF7" s="425" t="str">
        <f>IF(AE7&lt;&gt;"",IF(VLOOKUP(B7,IM_Process!B:O,14,0)=0,"",IF(VLOOKUP(B7,IM_Process!B:O,14,0)&lt;=50,"Less than 50 T",IF(VLOOKUP(B7,IM_Process!B:O,14,0)&lt;=110,"50 T to 110 T",IF(VLOOKUP(B7,IM_Process!B:O,14,0)&lt;=150,"110 T to 150 T",IF(VLOOKUP(B7,IM_Process!B:O,14,0)&lt;=180,"150 T to 180 T",IF(VLOOKUP(B7,IM_Process!B:O,14,0)&lt;=250,"180 T to 250 T",IF(VLOOKUP(B7,IM_Process!B:O,14,0)&lt;=320,"250 T to 320 T",IF(VLOOKUP(B7,IM_Process!B:O,14,0)&lt;=400,"320 T to 400 T",IF(VLOOKUP(B7,IM_Process!B:O,14,0)&lt;=480,"400 T to 480 T",IF(VLOOKUP(B7,IM_Process!B:O,14,0)&lt;=550,"480 T to 550 T",IF(VLOOKUP(B7,IM_Process!B:O,14,0)&lt;=650,"550 T to 650 T",IF(VLOOKUP(B7,IM_Process!B:O,14,0)&lt;=850,"650 T to 850 T",IF(VLOOKUP(B7,IM_Process!B:O,14,0)&lt;=1050,"850 T to 1050 T",IF(VLOOKUP(B7,IM_Process!B:O,14,0)&lt;=1450,"1050 T to 1450 T",IF(VLOOKUP(B7,IM_Process!B:O,14,0)&lt;=1750,"1450 T to 1750 T",IF(VLOOKUP(B7,IM_Process!B:O,14,0)&lt;=2200,"1750 T to 2200 T",IF(VLOOKUP(B7,IM_Process!B:O,14,0)&lt;=2750,"2200 T to 2750 T",IF(VLOOKUP(B7,IM_Process!B:O,14,0)&lt;=3500,"2750 T to 3500 T",IF(VLOOKUP(B7,IM_Process!B:O,14,0)&lt;=4000,"3500 T to 4000 T",""))))))))))))))))))),"")</f>
        <v>2750 T to 3500 T</v>
      </c>
      <c r="AG7" s="426">
        <f>IF(AE7&lt;&gt;"",_xlfn.IFNA(1/(VLOOKUP(AF7,DATA_SHEET!BB:BC,2,0)/AD7),(1/VLOOKUP(AF7,DATA_SHEET!BE:BF,2,0))*AE7)+(2+2+3),"")</f>
        <v>9.3366230151057401</v>
      </c>
      <c r="AH7" s="413">
        <f>IFERROR(IF(AND(I7&gt;0,I7&lt;=1),_xlfn.IFNA(VLOOKUP(LEFT(U7,4),DATA_SHEET!AT:AZ,2,0),_xlfn.IFNA(VLOOKUP(LEFT(U7,3),DATA_SHEET!AT:AZ,2,0),_xlfn.IFNA(VLOOKUP(LEFT(U7,2),DATA_SHEET!AT:AZ,2,0),))),IF(AND(I7&gt;1,I7&lt;=2),_xlfn.IFNA(VLOOKUP(LEFT(U7,4),DATA_SHEET!AT:AZ,3,0),_xlfn.IFNA(VLOOKUP(LEFT(U7,3),DATA_SHEET!AT:AZ,3,0),_xlfn.IFNA(VLOOKUP(LEFT(U7,2),DATA_SHEET!AT:AZ,3,0),))),IF(AND(I7&gt;2,I7&lt;=3),_xlfn.IFNA(VLOOKUP(LEFT(U7,4),DATA_SHEET!AT:AZ,4,0),_xlfn.IFNA(VLOOKUP(LEFT(U7,3),DATA_SHEET!AT:AZ,4,0),_xlfn.IFNA(VLOOKUP(LEFT(U7,2),DATA_SHEET!AT:AZ,4,0),))),IF(AND(I7&gt;3,I7&lt;=4),_xlfn.IFNA(VLOOKUP(LEFT(U7,4),DATA_SHEET!AT:AZ,5,0),_xlfn.IFNA(VLOOKUP(LEFT(U7,3),DATA_SHEET!AT:AZ,5,0),_xlfn.IFNA(VLOOKUP(LEFT(U7,2),DATA_SHEET!AT:AZ,5,0),))),IF(AND(I7&gt;4,I7&lt;=5),_xlfn.IFNA(VLOOKUP(LEFT(U7,4),DATA_SHEET!AT:AZ,6,0),_xlfn.IFNA(VLOOKUP(LEFT(U7,3),DATA_SHEET!AT:AZ,6,0),_xlfn.IFNA(VLOOKUP(LEFT(U7,2),DATA_SHEET!AT:AZ,6,0),))),IF(AND(I7&gt;5,I7&lt;=6),_xlfn.IFNA(VLOOKUP(LEFT(U7,4),DATA_SHEET!AT:AZ,7,0),_xlfn.IFNA(VLOOKUP(LEFT(U7,3),DATA_SHEET!AT:AZ,7,0),_xlfn.IFNA(VLOOKUP(LEFT(U7,2),DATA_SHEET!AT:AZ,7,0),))),0/0)))))),"")</f>
        <v>39.5</v>
      </c>
      <c r="AI7" s="413">
        <f>IF(AND(F7&lt;&gt;"",G7&lt;&gt;""),IF(F7&gt;G7,IF(F7&gt;50,4,2),IF(G7&gt;50,4,2)),"")</f>
        <v>4</v>
      </c>
      <c r="AJ7" s="427">
        <f>IF(AI7&lt;&gt;"",(1/30*N7)*2,"")</f>
        <v>19.133333333333333</v>
      </c>
      <c r="AK7" s="428">
        <f>IF(AG7&lt;&gt;"",SUM(AG7:AJ7),"")</f>
        <v>71.969956348439069</v>
      </c>
    </row>
    <row r="8" spans="1:37">
      <c r="B8" s="97" t="str">
        <f>Group!$X3</f>
        <v>FC450368</v>
      </c>
      <c r="C8" s="413" t="str">
        <f>IFERROR(VLOOKUP($B8,IM_Process!$B:$J,2,0),"")</f>
        <v>Process-Inhouse</v>
      </c>
      <c r="D8" s="413" t="str">
        <f>IFERROR(VLOOKUP($B8,IM_Process!$B:$J,3,0),"")</f>
        <v>COVER-INSTRUMENT PANEL IP Carrier</v>
      </c>
      <c r="E8" s="71">
        <f>VLOOKUP(B8,IM_Material!E:H,4,0)</f>
        <v>1</v>
      </c>
      <c r="F8" s="413">
        <f>_xlfn.IFNA(VLOOKUP(B8,IM_Material!E:L,8,0),"")</f>
        <v>1810</v>
      </c>
      <c r="G8" s="413">
        <f>VLOOKUP(B8,IM_Material!E:M,9,0)</f>
        <v>390</v>
      </c>
      <c r="H8" s="413">
        <f>VLOOKUP(B8,IM_Process!B:L,11,0)</f>
        <v>30</v>
      </c>
      <c r="I8" s="413">
        <f>_xlfn.IFNA(VLOOKUP($B8,IM_Process!B:M,12,0),"")</f>
        <v>4</v>
      </c>
      <c r="J8" s="413">
        <f>IF(I8&lt;&gt;"",_xlfn.IFNA(VLOOKUP($B8,IM_Process!$B:$I,7,0),""),"")</f>
        <v>3</v>
      </c>
      <c r="K8" s="414">
        <f>IM_Material!P6</f>
        <v>221</v>
      </c>
      <c r="L8" s="415">
        <f>VLOOKUP(B8,IM_Material!E:O,11,0)</f>
        <v>847080</v>
      </c>
      <c r="M8" s="415">
        <f t="shared" ref="M8:M16" si="1">IFERROR((H8*I8),"")</f>
        <v>120</v>
      </c>
      <c r="N8" s="397">
        <f t="shared" ref="N8:N16" si="2">IF(M8&lt;&gt;"",IFERROR(G8+40,""),"")</f>
        <v>430</v>
      </c>
      <c r="O8" s="397">
        <f>VLOOKUP(B8,IM_Process!B:J,9,0)</f>
        <v>2</v>
      </c>
      <c r="P8" s="397">
        <f t="shared" ref="P8:P16" si="3">IF(O8&lt;&gt;"",0,"")</f>
        <v>0</v>
      </c>
      <c r="Q8" s="416">
        <f t="shared" ref="Q8:Q16" si="4">IF(P8&lt;&gt;"",0.1,"")</f>
        <v>0.1</v>
      </c>
      <c r="R8" s="417">
        <f>IFERROR((1+Q8)*INDEX(DATA_SHEET!$H$6:$P$46,MATCH(Y8,DATA_SHEET!$G$6:$G$46,FALSE),MATCH(AA8,DATA_SHEET!$H$5:$P$5,-1))*V8*(O8*L8+M8+P8)/10000,"")</f>
        <v>24228.204000000002</v>
      </c>
      <c r="S8" s="417">
        <f t="shared" si="0"/>
        <v>2471.2768080000001</v>
      </c>
      <c r="U8" s="418" t="str">
        <f>VLOOKUP(B8,IM_Material!E:I,5,0)</f>
        <v>PP-GF20</v>
      </c>
      <c r="V8" s="419">
        <f>_xlfn.IFNA(_xlfn.IFNA(VLOOKUP(U8,DATA_SHEET!AN:AP,2,0),_xlfn.IFNA(VLOOKUP(LEFT(U8,4),DATA_SHEET!AN:AP,2,0),_xlfn.IFNA(VLOOKUP(LEFT(U8,3),DATA_SHEET!AN:AP,2,0),(VLOOKUP(LEFT(U8,2),DATA_SHEET!AN:AP,2,0))))),"")</f>
        <v>1</v>
      </c>
      <c r="W8" s="678">
        <f>_xlfn.IFNA(_xlfn.IFNA(VLOOKUP(U8,DATA_SHEET!BW:BX,2,0),_xlfn.IFNA(VLOOKUP(LEFT(U8,4),DATA_SHEET!BW:BX,2,0),_xlfn.IFNA(VLOOKUP(LEFT(U8,3),DATA_SHEET!BW:BX,2,0),(VLOOKUP(LEFT(U8,2),DATA_SHEET!BW:BX,2,0)))))/1000,"")</f>
        <v>1.1999999999999999E-3</v>
      </c>
      <c r="X8" s="415">
        <f t="shared" ref="X8:X16" si="5">IFERROR(K8+H8+50+10,"")</f>
        <v>311</v>
      </c>
      <c r="Y8" s="420">
        <f>IF(X8&lt;&gt;"",IF(AND(J8&gt;0,J8&lt;0.5),0.5,VLOOKUP(J8,DATA_SHEET!$G$6:$G$46, 1, TRUE)),"")</f>
        <v>3</v>
      </c>
      <c r="Z8" s="421">
        <f t="shared" ref="Z8:Z16" si="6">IFERROR(IF(Y8&gt;0,X8/Y8,50),"")</f>
        <v>103.66666666666667</v>
      </c>
      <c r="AA8" s="422">
        <f t="shared" ref="AA8:AA16" si="7">IF(Z8&lt;&gt;"",MAX(50,MIN(250,Z8)),"")</f>
        <v>103.66666666666667</v>
      </c>
      <c r="AB8" s="423">
        <f>VLOOKUP(B8,IM_Material!E:K,7,0)</f>
        <v>3200</v>
      </c>
      <c r="AC8" s="424">
        <f>IFERROR(IF(AB8&lt;&gt;"",_xlfn.IFNA((VLOOKUP(B8,IM_Process!B:AH,13,0)/VLOOKUP(B8,IM_Process!B:AH,9,0))/AB8,""),""),"")</f>
        <v>1.000875E-3</v>
      </c>
      <c r="AD8" s="422">
        <f t="shared" ref="AD8:AD16" si="8">IFERROR((AE8/W8/1000),"")</f>
        <v>5338.6713333333328</v>
      </c>
      <c r="AE8" s="422">
        <f t="shared" ref="AE8:AE16" si="9">IFERROR((AB8*(1+AC8)*O8),"")</f>
        <v>6406.4055999999991</v>
      </c>
      <c r="AF8" s="425" t="str">
        <f>IF(AE8&lt;&gt;"",IF(VLOOKUP(B8,IM_Process!B:O,14,0)=0,"",IF(VLOOKUP(B8,IM_Process!B:O,14,0)&lt;=50,"Less than 50 T",IF(VLOOKUP(B8,IM_Process!B:O,14,0)&lt;=110,"50 T to 110 T",IF(VLOOKUP(B8,IM_Process!B:O,14,0)&lt;=150,"110 T to 150 T",IF(VLOOKUP(B8,IM_Process!B:O,14,0)&lt;=180,"150 T to 180 T",IF(VLOOKUP(B8,IM_Process!B:O,14,0)&lt;=250,"180 T to 250 T",IF(VLOOKUP(B8,IM_Process!B:O,14,0)&lt;=320,"250 T to 320 T",IF(VLOOKUP(B8,IM_Process!B:O,14,0)&lt;=400,"320 T to 400 T",IF(VLOOKUP(B8,IM_Process!B:O,14,0)&lt;=480,"400 T to 480 T",IF(VLOOKUP(B8,IM_Process!B:O,14,0)&lt;=550,"480 T to 550 T",IF(VLOOKUP(B8,IM_Process!B:O,14,0)&lt;=650,"550 T to 650 T",IF(VLOOKUP(B8,IM_Process!B:O,14,0)&lt;=850,"650 T to 850 T",IF(VLOOKUP(B8,IM_Process!B:O,14,0)&lt;=1050,"850 T to 1050 T",IF(VLOOKUP(B8,IM_Process!B:O,14,0)&lt;=1450,"1050 T to 1450 T",IF(VLOOKUP(B8,IM_Process!B:O,14,0)&lt;=1750,"1450 T to 1750 T",IF(VLOOKUP(B8,IM_Process!B:O,14,0)&lt;=2200,"1750 T to 2200 T",IF(VLOOKUP(B8,IM_Process!B:O,14,0)&lt;=2750,"2200 T to 2750 T",IF(VLOOKUP(B8,IM_Process!B:O,14,0)&lt;=3500,"2750 T to 3500 T",IF(VLOOKUP(B8,IM_Process!B:O,14,0)&lt;=4000,"3500 T to 4000 T",""))))))))))))))))))),"")</f>
        <v>2200 T to 2750 T</v>
      </c>
      <c r="AG8" s="426">
        <f>IF(AE8&lt;&gt;"",_xlfn.IFNA(1/(VLOOKUP(AF8,DATA_SHEET!BB:BC,2,0)/AD8),(1/VLOOKUP(AF8,DATA_SHEET!BE:BF,2,0))*AE8)+(2+2+3),"")</f>
        <v>10.50306517935258</v>
      </c>
      <c r="AH8" s="413">
        <f>IFERROR(IF(AND(I8&gt;0,I8&lt;=1),_xlfn.IFNA(VLOOKUP(LEFT(U8,4),DATA_SHEET!AT:AZ,2,0),_xlfn.IFNA(VLOOKUP(LEFT(U8,3),DATA_SHEET!AT:AZ,2,0),_xlfn.IFNA(VLOOKUP(LEFT(U8,2),DATA_SHEET!AT:AZ,2,0),))),IF(AND(I8&gt;1,I8&lt;=2),_xlfn.IFNA(VLOOKUP(LEFT(U8,4),DATA_SHEET!AT:AZ,3,0),_xlfn.IFNA(VLOOKUP(LEFT(U8,3),DATA_SHEET!AT:AZ,3,0),_xlfn.IFNA(VLOOKUP(LEFT(U8,2),DATA_SHEET!AT:AZ,3,0),))),IF(AND(I8&gt;2,I8&lt;=3),_xlfn.IFNA(VLOOKUP(LEFT(U8,4),DATA_SHEET!AT:AZ,4,0),_xlfn.IFNA(VLOOKUP(LEFT(U8,3),DATA_SHEET!AT:AZ,4,0),_xlfn.IFNA(VLOOKUP(LEFT(U8,2),DATA_SHEET!AT:AZ,4,0),))),IF(AND(I8&gt;3,I8&lt;=4),_xlfn.IFNA(VLOOKUP(LEFT(U8,4),DATA_SHEET!AT:AZ,5,0),_xlfn.IFNA(VLOOKUP(LEFT(U8,3),DATA_SHEET!AT:AZ,5,0),_xlfn.IFNA(VLOOKUP(LEFT(U8,2),DATA_SHEET!AT:AZ,5,0),))),IF(AND(I8&gt;4,I8&lt;=5),_xlfn.IFNA(VLOOKUP(LEFT(U8,4),DATA_SHEET!AT:AZ,6,0),_xlfn.IFNA(VLOOKUP(LEFT(U8,3),DATA_SHEET!AT:AZ,6,0),_xlfn.IFNA(VLOOKUP(LEFT(U8,2),DATA_SHEET!AT:AZ,6,0),))),IF(AND(I8&gt;5,I8&lt;=6),_xlfn.IFNA(VLOOKUP(LEFT(U8,4),DATA_SHEET!AT:AZ,7,0),_xlfn.IFNA(VLOOKUP(LEFT(U8,3),DATA_SHEET!AT:AZ,7,0),_xlfn.IFNA(VLOOKUP(LEFT(U8,2),DATA_SHEET!AT:AZ,7,0),))),0/0)))))),"")</f>
        <v>39.5</v>
      </c>
      <c r="AI8" s="413">
        <f t="shared" ref="AI8:AI16" si="10">IF(AND(F8&lt;&gt;"",G8&lt;&gt;""),IF(F8&gt;G8,IF(F8&gt;50,4,2),IF(G8&gt;50,4,2)),"")</f>
        <v>4</v>
      </c>
      <c r="AJ8" s="427">
        <f t="shared" ref="AJ8:AJ16" si="11">IF(AI8&lt;&gt;"",(1/30*N8)*2,"")</f>
        <v>28.666666666666668</v>
      </c>
      <c r="AK8" s="428">
        <f t="shared" ref="AK8:AK16" si="12">IF(AG8&lt;&gt;"",SUM(AG8:AJ8),"")</f>
        <v>82.669731846019246</v>
      </c>
    </row>
    <row r="9" spans="1:37">
      <c r="B9" s="97">
        <f>Group!$X4</f>
        <v>0</v>
      </c>
      <c r="C9" s="413" t="str">
        <f>IFERROR(VLOOKUP($B9,IM_Process!$B:$J,2,0),"")</f>
        <v/>
      </c>
      <c r="D9" s="413" t="str">
        <f>IFERROR(VLOOKUP($B9,IM_Process!$B:$J,3,0),"")</f>
        <v/>
      </c>
      <c r="E9" s="71" t="str">
        <f>VLOOKUP(B9,IM_Material!E:H,4,0)</f>
        <v/>
      </c>
      <c r="F9" s="413">
        <f>_xlfn.IFNA(VLOOKUP(B9,IM_Material!E:L,8,0),"")</f>
        <v>0</v>
      </c>
      <c r="G9" s="413">
        <f>VLOOKUP(B9,IM_Material!E:M,9,0)</f>
        <v>0</v>
      </c>
      <c r="H9" s="413" t="str">
        <f>VLOOKUP(B9,IM_Process!B:L,11,0)</f>
        <v/>
      </c>
      <c r="I9" s="413" t="str">
        <f>_xlfn.IFNA(VLOOKUP($B9,IM_Process!B:M,12,0),"")</f>
        <v/>
      </c>
      <c r="J9" s="413" t="str">
        <f>IF(I9&lt;&gt;"",_xlfn.IFNA(VLOOKUP($B9,IM_Process!$B:$I,7,0),""),"")</f>
        <v/>
      </c>
      <c r="K9" s="414">
        <f>IM_Material!P7</f>
        <v>0</v>
      </c>
      <c r="L9" s="415">
        <f>VLOOKUP(B9,IM_Material!E:O,11,0)</f>
        <v>0</v>
      </c>
      <c r="M9" s="415" t="str">
        <f t="shared" si="1"/>
        <v/>
      </c>
      <c r="N9" s="397" t="str">
        <f t="shared" si="2"/>
        <v/>
      </c>
      <c r="O9" s="397" t="str">
        <f>VLOOKUP(B9,IM_Process!B:J,9,0)</f>
        <v/>
      </c>
      <c r="P9" s="397" t="str">
        <f t="shared" si="3"/>
        <v/>
      </c>
      <c r="Q9" s="416" t="str">
        <f t="shared" si="4"/>
        <v/>
      </c>
      <c r="R9" s="417" t="str">
        <f>IFERROR((1+Q9)*INDEX(DATA_SHEET!$H$6:$P$46,MATCH(Y9,DATA_SHEET!$G$6:$G$46,FALSE),MATCH(AA9,DATA_SHEET!$H$5:$P$5,-1))*V9*(O9*L9+M9+P9)/10000,"")</f>
        <v/>
      </c>
      <c r="S9" s="417" t="str">
        <f t="shared" si="0"/>
        <v/>
      </c>
      <c r="U9" s="418">
        <f>VLOOKUP(B9,IM_Material!E:I,5,0)</f>
        <v>0</v>
      </c>
      <c r="V9" s="419" t="str">
        <f>_xlfn.IFNA(_xlfn.IFNA(VLOOKUP(U9,DATA_SHEET!AN:AP,2,0),_xlfn.IFNA(VLOOKUP(LEFT(U9,4),DATA_SHEET!AN:AP,2,0),_xlfn.IFNA(VLOOKUP(LEFT(U9,3),DATA_SHEET!AN:AP,2,0),(VLOOKUP(LEFT(U9,2),DATA_SHEET!AN:AP,2,0))))),"")</f>
        <v/>
      </c>
      <c r="W9" s="678" t="str">
        <f>_xlfn.IFNA(_xlfn.IFNA(VLOOKUP(U9,DATA_SHEET!BW:BX,2,0),_xlfn.IFNA(VLOOKUP(LEFT(U9,4),DATA_SHEET!BW:BX,2,0),_xlfn.IFNA(VLOOKUP(LEFT(U9,3),DATA_SHEET!BW:BX,2,0),(VLOOKUP(LEFT(U9,2),DATA_SHEET!BW:BX,2,0)))))/1000,"")</f>
        <v/>
      </c>
      <c r="X9" s="415" t="str">
        <f t="shared" si="5"/>
        <v/>
      </c>
      <c r="Y9" s="420" t="str">
        <f>IF(X9&lt;&gt;"",IF(AND(J9&gt;0,J9&lt;0.5),0.5,VLOOKUP(J9,DATA_SHEET!$G$6:$G$46, 1, TRUE)),"")</f>
        <v/>
      </c>
      <c r="Z9" s="421" t="str">
        <f t="shared" si="6"/>
        <v/>
      </c>
      <c r="AA9" s="422" t="str">
        <f t="shared" si="7"/>
        <v/>
      </c>
      <c r="AB9" s="423">
        <f>VLOOKUP(B9,IM_Material!E:K,7,0)</f>
        <v>0</v>
      </c>
      <c r="AC9" s="424" t="str">
        <f>IFERROR(IF(AB9&lt;&gt;"",_xlfn.IFNA((VLOOKUP(B9,IM_Process!B:AH,13,0)/VLOOKUP(B9,IM_Process!B:AH,9,0))/AB9,""),""),"")</f>
        <v/>
      </c>
      <c r="AD9" s="422" t="str">
        <f t="shared" si="8"/>
        <v/>
      </c>
      <c r="AE9" s="422" t="str">
        <f t="shared" si="9"/>
        <v/>
      </c>
      <c r="AF9" s="425" t="str">
        <f>IF(AE9&lt;&gt;"",IF(VLOOKUP(B9,IM_Process!B:O,14,0)=0,"",IF(VLOOKUP(B9,IM_Process!B:O,14,0)&lt;=50,"Less than 50 T",IF(VLOOKUP(B9,IM_Process!B:O,14,0)&lt;=110,"50 T to 110 T",IF(VLOOKUP(B9,IM_Process!B:O,14,0)&lt;=150,"110 T to 150 T",IF(VLOOKUP(B9,IM_Process!B:O,14,0)&lt;=180,"150 T to 180 T",IF(VLOOKUP(B9,IM_Process!B:O,14,0)&lt;=250,"180 T to 250 T",IF(VLOOKUP(B9,IM_Process!B:O,14,0)&lt;=320,"250 T to 320 T",IF(VLOOKUP(B9,IM_Process!B:O,14,0)&lt;=400,"320 T to 400 T",IF(VLOOKUP(B9,IM_Process!B:O,14,0)&lt;=480,"400 T to 480 T",IF(VLOOKUP(B9,IM_Process!B:O,14,0)&lt;=550,"480 T to 550 T",IF(VLOOKUP(B9,IM_Process!B:O,14,0)&lt;=650,"550 T to 650 T",IF(VLOOKUP(B9,IM_Process!B:O,14,0)&lt;=850,"650 T to 850 T",IF(VLOOKUP(B9,IM_Process!B:O,14,0)&lt;=1050,"850 T to 1050 T",IF(VLOOKUP(B9,IM_Process!B:O,14,0)&lt;=1450,"1050 T to 1450 T",IF(VLOOKUP(B9,IM_Process!B:O,14,0)&lt;=1750,"1450 T to 1750 T",IF(VLOOKUP(B9,IM_Process!B:O,14,0)&lt;=2200,"1750 T to 2200 T",IF(VLOOKUP(B9,IM_Process!B:O,14,0)&lt;=2750,"2200 T to 2750 T",IF(VLOOKUP(B9,IM_Process!B:O,14,0)&lt;=3500,"2750 T to 3500 T",IF(VLOOKUP(B9,IM_Process!B:O,14,0)&lt;=4000,"3500 T to 4000 T",""))))))))))))))))))),"")</f>
        <v/>
      </c>
      <c r="AG9" s="426" t="str">
        <f>IF(AE9&lt;&gt;"",_xlfn.IFNA(1/(VLOOKUP(AF9,DATA_SHEET!BB:BC,2,0)/AD9),(1/VLOOKUP(AF9,DATA_SHEET!BE:BF,2,0))*AE9)+(2+2+3),"")</f>
        <v/>
      </c>
      <c r="AH9" s="413" t="str">
        <f>IFERROR(IF(AND(I9&gt;0,I9&lt;=1),_xlfn.IFNA(VLOOKUP(LEFT(U9,4),DATA_SHEET!AT:AZ,2,0),_xlfn.IFNA(VLOOKUP(LEFT(U9,3),DATA_SHEET!AT:AZ,2,0),_xlfn.IFNA(VLOOKUP(LEFT(U9,2),DATA_SHEET!AT:AZ,2,0),))),IF(AND(I9&gt;1,I9&lt;=2),_xlfn.IFNA(VLOOKUP(LEFT(U9,4),DATA_SHEET!AT:AZ,3,0),_xlfn.IFNA(VLOOKUP(LEFT(U9,3),DATA_SHEET!AT:AZ,3,0),_xlfn.IFNA(VLOOKUP(LEFT(U9,2),DATA_SHEET!AT:AZ,3,0),))),IF(AND(I9&gt;2,I9&lt;=3),_xlfn.IFNA(VLOOKUP(LEFT(U9,4),DATA_SHEET!AT:AZ,4,0),_xlfn.IFNA(VLOOKUP(LEFT(U9,3),DATA_SHEET!AT:AZ,4,0),_xlfn.IFNA(VLOOKUP(LEFT(U9,2),DATA_SHEET!AT:AZ,4,0),))),IF(AND(I9&gt;3,I9&lt;=4),_xlfn.IFNA(VLOOKUP(LEFT(U9,4),DATA_SHEET!AT:AZ,5,0),_xlfn.IFNA(VLOOKUP(LEFT(U9,3),DATA_SHEET!AT:AZ,5,0),_xlfn.IFNA(VLOOKUP(LEFT(U9,2),DATA_SHEET!AT:AZ,5,0),))),IF(AND(I9&gt;4,I9&lt;=5),_xlfn.IFNA(VLOOKUP(LEFT(U9,4),DATA_SHEET!AT:AZ,6,0),_xlfn.IFNA(VLOOKUP(LEFT(U9,3),DATA_SHEET!AT:AZ,6,0),_xlfn.IFNA(VLOOKUP(LEFT(U9,2),DATA_SHEET!AT:AZ,6,0),))),IF(AND(I9&gt;5,I9&lt;=6),_xlfn.IFNA(VLOOKUP(LEFT(U9,4),DATA_SHEET!AT:AZ,7,0),_xlfn.IFNA(VLOOKUP(LEFT(U9,3),DATA_SHEET!AT:AZ,7,0),_xlfn.IFNA(VLOOKUP(LEFT(U9,2),DATA_SHEET!AT:AZ,7,0),))),0/0)))))),"")</f>
        <v/>
      </c>
      <c r="AI9" s="413">
        <f t="shared" si="10"/>
        <v>2</v>
      </c>
      <c r="AJ9" s="427" t="e">
        <f t="shared" si="11"/>
        <v>#VALUE!</v>
      </c>
      <c r="AK9" s="428" t="str">
        <f t="shared" si="12"/>
        <v/>
      </c>
    </row>
    <row r="10" spans="1:37">
      <c r="B10" s="97">
        <f>Group!$X5</f>
        <v>0</v>
      </c>
      <c r="C10" s="413" t="str">
        <f>IFERROR(VLOOKUP($B10,IM_Process!$B:$J,2,0),"")</f>
        <v/>
      </c>
      <c r="D10" s="413" t="str">
        <f>IFERROR(VLOOKUP($B10,IM_Process!$B:$J,3,0),"")</f>
        <v/>
      </c>
      <c r="E10" s="71" t="str">
        <f>VLOOKUP(B10,IM_Material!E:H,4,0)</f>
        <v/>
      </c>
      <c r="F10" s="413">
        <f>_xlfn.IFNA(VLOOKUP(B10,IM_Material!E:L,8,0),"")</f>
        <v>0</v>
      </c>
      <c r="G10" s="413">
        <f>VLOOKUP(B10,IM_Material!E:M,9,0)</f>
        <v>0</v>
      </c>
      <c r="H10" s="413" t="str">
        <f>VLOOKUP(B10,IM_Process!B:L,11,0)</f>
        <v/>
      </c>
      <c r="I10" s="413" t="str">
        <f>_xlfn.IFNA(VLOOKUP($B10,IM_Process!B:M,12,0),"")</f>
        <v/>
      </c>
      <c r="J10" s="413" t="str">
        <f>IF(I10&lt;&gt;"",_xlfn.IFNA(VLOOKUP($B10,IM_Process!$B:$I,7,0),""),"")</f>
        <v/>
      </c>
      <c r="K10" s="414">
        <f>IM_Material!P8</f>
        <v>0</v>
      </c>
      <c r="L10" s="415">
        <f>VLOOKUP(B10,IM_Material!E:O,11,0)</f>
        <v>0</v>
      </c>
      <c r="M10" s="415" t="str">
        <f t="shared" si="1"/>
        <v/>
      </c>
      <c r="N10" s="397" t="str">
        <f t="shared" si="2"/>
        <v/>
      </c>
      <c r="O10" s="397" t="str">
        <f>VLOOKUP(B10,IM_Process!B:J,9,0)</f>
        <v/>
      </c>
      <c r="P10" s="397" t="str">
        <f t="shared" si="3"/>
        <v/>
      </c>
      <c r="Q10" s="416" t="str">
        <f t="shared" si="4"/>
        <v/>
      </c>
      <c r="R10" s="417" t="str">
        <f>IFERROR((1+Q10)*INDEX(DATA_SHEET!$H$6:$P$46,MATCH(Y10,DATA_SHEET!$G$6:$G$46,FALSE),MATCH(AA10,DATA_SHEET!$H$5:$P$5,-1))*V10*(O10*L10+M10+P10)/10000,"")</f>
        <v/>
      </c>
      <c r="S10" s="417" t="str">
        <f t="shared" si="0"/>
        <v/>
      </c>
      <c r="U10" s="418">
        <f>VLOOKUP(B10,IM_Material!E:I,5,0)</f>
        <v>0</v>
      </c>
      <c r="V10" s="419" t="str">
        <f>_xlfn.IFNA(_xlfn.IFNA(VLOOKUP(U10,DATA_SHEET!AN:AP,2,0),_xlfn.IFNA(VLOOKUP(LEFT(U10,4),DATA_SHEET!AN:AP,2,0),_xlfn.IFNA(VLOOKUP(LEFT(U10,3),DATA_SHEET!AN:AP,2,0),(VLOOKUP(LEFT(U10,2),DATA_SHEET!AN:AP,2,0))))),"")</f>
        <v/>
      </c>
      <c r="W10" s="678" t="str">
        <f>_xlfn.IFNA(_xlfn.IFNA(VLOOKUP(U10,DATA_SHEET!BW:BX,2,0),_xlfn.IFNA(VLOOKUP(LEFT(U10,4),DATA_SHEET!BW:BX,2,0),_xlfn.IFNA(VLOOKUP(LEFT(U10,3),DATA_SHEET!BW:BX,2,0),(VLOOKUP(LEFT(U10,2),DATA_SHEET!BW:BX,2,0)))))/1000,"")</f>
        <v/>
      </c>
      <c r="X10" s="415" t="str">
        <f t="shared" si="5"/>
        <v/>
      </c>
      <c r="Y10" s="420" t="str">
        <f>IF(X10&lt;&gt;"",IF(AND(J10&gt;0,J10&lt;0.5),0.5,VLOOKUP(J10,DATA_SHEET!$G$6:$G$46, 1, TRUE)),"")</f>
        <v/>
      </c>
      <c r="Z10" s="421" t="str">
        <f t="shared" si="6"/>
        <v/>
      </c>
      <c r="AA10" s="422" t="str">
        <f t="shared" si="7"/>
        <v/>
      </c>
      <c r="AB10" s="423">
        <f>VLOOKUP(B10,IM_Material!E:K,7,0)</f>
        <v>0</v>
      </c>
      <c r="AC10" s="424" t="str">
        <f>IFERROR(IF(AB10&lt;&gt;"",_xlfn.IFNA((VLOOKUP(B10,IM_Process!B:AH,13,0)/VLOOKUP(B10,IM_Process!B:AH,9,0))/AB10,""),""),"")</f>
        <v/>
      </c>
      <c r="AD10" s="422" t="str">
        <f t="shared" si="8"/>
        <v/>
      </c>
      <c r="AE10" s="422" t="str">
        <f t="shared" si="9"/>
        <v/>
      </c>
      <c r="AF10" s="425" t="str">
        <f>IF(AE10&lt;&gt;"",IF(VLOOKUP(B10,IM_Process!B:O,14,0)=0,"",IF(VLOOKUP(B10,IM_Process!B:O,14,0)&lt;=50,"Less than 50 T",IF(VLOOKUP(B10,IM_Process!B:O,14,0)&lt;=110,"50 T to 110 T",IF(VLOOKUP(B10,IM_Process!B:O,14,0)&lt;=150,"110 T to 150 T",IF(VLOOKUP(B10,IM_Process!B:O,14,0)&lt;=180,"150 T to 180 T",IF(VLOOKUP(B10,IM_Process!B:O,14,0)&lt;=250,"180 T to 250 T",IF(VLOOKUP(B10,IM_Process!B:O,14,0)&lt;=320,"250 T to 320 T",IF(VLOOKUP(B10,IM_Process!B:O,14,0)&lt;=400,"320 T to 400 T",IF(VLOOKUP(B10,IM_Process!B:O,14,0)&lt;=480,"400 T to 480 T",IF(VLOOKUP(B10,IM_Process!B:O,14,0)&lt;=550,"480 T to 550 T",IF(VLOOKUP(B10,IM_Process!B:O,14,0)&lt;=650,"550 T to 650 T",IF(VLOOKUP(B10,IM_Process!B:O,14,0)&lt;=850,"650 T to 850 T",IF(VLOOKUP(B10,IM_Process!B:O,14,0)&lt;=1050,"850 T to 1050 T",IF(VLOOKUP(B10,IM_Process!B:O,14,0)&lt;=1450,"1050 T to 1450 T",IF(VLOOKUP(B10,IM_Process!B:O,14,0)&lt;=1750,"1450 T to 1750 T",IF(VLOOKUP(B10,IM_Process!B:O,14,0)&lt;=2200,"1750 T to 2200 T",IF(VLOOKUP(B10,IM_Process!B:O,14,0)&lt;=2750,"2200 T to 2750 T",IF(VLOOKUP(B10,IM_Process!B:O,14,0)&lt;=3500,"2750 T to 3500 T",IF(VLOOKUP(B10,IM_Process!B:O,14,0)&lt;=4000,"3500 T to 4000 T",""))))))))))))))))))),"")</f>
        <v/>
      </c>
      <c r="AG10" s="426" t="str">
        <f>IF(AE10&lt;&gt;"",_xlfn.IFNA(1/(VLOOKUP(AF10,DATA_SHEET!BB:BC,2,0)/AD10),(1/VLOOKUP(AF10,DATA_SHEET!BE:BF,2,0))*AE10)+(2+2+3),"")</f>
        <v/>
      </c>
      <c r="AH10" s="413" t="str">
        <f>IFERROR(IF(AND(I10&gt;0,I10&lt;=1),_xlfn.IFNA(VLOOKUP(LEFT(U10,4),DATA_SHEET!AT:AZ,2,0),_xlfn.IFNA(VLOOKUP(LEFT(U10,3),DATA_SHEET!AT:AZ,2,0),_xlfn.IFNA(VLOOKUP(LEFT(U10,2),DATA_SHEET!AT:AZ,2,0),))),IF(AND(I10&gt;1,I10&lt;=2),_xlfn.IFNA(VLOOKUP(LEFT(U10,4),DATA_SHEET!AT:AZ,3,0),_xlfn.IFNA(VLOOKUP(LEFT(U10,3),DATA_SHEET!AT:AZ,3,0),_xlfn.IFNA(VLOOKUP(LEFT(U10,2),DATA_SHEET!AT:AZ,3,0),))),IF(AND(I10&gt;2,I10&lt;=3),_xlfn.IFNA(VLOOKUP(LEFT(U10,4),DATA_SHEET!AT:AZ,4,0),_xlfn.IFNA(VLOOKUP(LEFT(U10,3),DATA_SHEET!AT:AZ,4,0),_xlfn.IFNA(VLOOKUP(LEFT(U10,2),DATA_SHEET!AT:AZ,4,0),))),IF(AND(I10&gt;3,I10&lt;=4),_xlfn.IFNA(VLOOKUP(LEFT(U10,4),DATA_SHEET!AT:AZ,5,0),_xlfn.IFNA(VLOOKUP(LEFT(U10,3),DATA_SHEET!AT:AZ,5,0),_xlfn.IFNA(VLOOKUP(LEFT(U10,2),DATA_SHEET!AT:AZ,5,0),))),IF(AND(I10&gt;4,I10&lt;=5),_xlfn.IFNA(VLOOKUP(LEFT(U10,4),DATA_SHEET!AT:AZ,6,0),_xlfn.IFNA(VLOOKUP(LEFT(U10,3),DATA_SHEET!AT:AZ,6,0),_xlfn.IFNA(VLOOKUP(LEFT(U10,2),DATA_SHEET!AT:AZ,6,0),))),IF(AND(I10&gt;5,I10&lt;=6),_xlfn.IFNA(VLOOKUP(LEFT(U10,4),DATA_SHEET!AT:AZ,7,0),_xlfn.IFNA(VLOOKUP(LEFT(U10,3),DATA_SHEET!AT:AZ,7,0),_xlfn.IFNA(VLOOKUP(LEFT(U10,2),DATA_SHEET!AT:AZ,7,0),))),0/0)))))),"")</f>
        <v/>
      </c>
      <c r="AI10" s="413">
        <f t="shared" si="10"/>
        <v>2</v>
      </c>
      <c r="AJ10" s="427" t="e">
        <f t="shared" si="11"/>
        <v>#VALUE!</v>
      </c>
      <c r="AK10" s="428" t="str">
        <f t="shared" si="12"/>
        <v/>
      </c>
    </row>
    <row r="11" spans="1:37">
      <c r="B11" s="97">
        <f>Group!$X6</f>
        <v>0</v>
      </c>
      <c r="C11" s="413" t="str">
        <f>IFERROR(VLOOKUP($B11,IM_Process!$B:$J,2,0),"")</f>
        <v/>
      </c>
      <c r="D11" s="413" t="str">
        <f>IFERROR(VLOOKUP($B11,IM_Process!$B:$J,3,0),"")</f>
        <v/>
      </c>
      <c r="E11" s="71" t="str">
        <f>VLOOKUP(B11,IM_Material!E:H,4,0)</f>
        <v/>
      </c>
      <c r="F11" s="413">
        <f>_xlfn.IFNA(VLOOKUP(B11,IM_Material!E:L,8,0),"")</f>
        <v>0</v>
      </c>
      <c r="G11" s="413">
        <f>VLOOKUP(B11,IM_Material!E:M,9,0)</f>
        <v>0</v>
      </c>
      <c r="H11" s="413" t="str">
        <f>VLOOKUP(B11,IM_Process!B:L,11,0)</f>
        <v/>
      </c>
      <c r="I11" s="413" t="str">
        <f>_xlfn.IFNA(VLOOKUP($B11,IM_Process!B:M,12,0),"")</f>
        <v/>
      </c>
      <c r="J11" s="413" t="str">
        <f>IF(I11&lt;&gt;"",_xlfn.IFNA(VLOOKUP($B11,IM_Process!$B:$I,7,0),""),"")</f>
        <v/>
      </c>
      <c r="K11" s="414">
        <f>IM_Material!P9</f>
        <v>0</v>
      </c>
      <c r="L11" s="415">
        <f>VLOOKUP(B11,IM_Material!E:O,11,0)</f>
        <v>0</v>
      </c>
      <c r="M11" s="415" t="str">
        <f t="shared" si="1"/>
        <v/>
      </c>
      <c r="N11" s="397" t="str">
        <f t="shared" si="2"/>
        <v/>
      </c>
      <c r="O11" s="397" t="str">
        <f>VLOOKUP(B11,IM_Process!B:J,9,0)</f>
        <v/>
      </c>
      <c r="P11" s="397" t="str">
        <f t="shared" si="3"/>
        <v/>
      </c>
      <c r="Q11" s="416" t="str">
        <f t="shared" si="4"/>
        <v/>
      </c>
      <c r="R11" s="417" t="str">
        <f>IFERROR((1+Q11)*INDEX(DATA_SHEET!$H$6:$P$46,MATCH(Y11,DATA_SHEET!$G$6:$G$46,FALSE),MATCH(AA11,DATA_SHEET!$H$5:$P$5,-1))*V11*(O11*L11+M11+P11)/10000,"")</f>
        <v/>
      </c>
      <c r="S11" s="417" t="str">
        <f t="shared" si="0"/>
        <v/>
      </c>
      <c r="U11" s="418">
        <f>VLOOKUP(B11,IM_Material!E:I,5,0)</f>
        <v>0</v>
      </c>
      <c r="V11" s="419" t="str">
        <f>_xlfn.IFNA(_xlfn.IFNA(VLOOKUP(U11,DATA_SHEET!AN:AP,2,0),_xlfn.IFNA(VLOOKUP(LEFT(U11,4),DATA_SHEET!AN:AP,2,0),_xlfn.IFNA(VLOOKUP(LEFT(U11,3),DATA_SHEET!AN:AP,2,0),(VLOOKUP(LEFT(U11,2),DATA_SHEET!AN:AP,2,0))))),"")</f>
        <v/>
      </c>
      <c r="W11" s="678" t="str">
        <f>_xlfn.IFNA(_xlfn.IFNA(VLOOKUP(U11,DATA_SHEET!BW:BX,2,0),_xlfn.IFNA(VLOOKUP(LEFT(U11,4),DATA_SHEET!BW:BX,2,0),_xlfn.IFNA(VLOOKUP(LEFT(U11,3),DATA_SHEET!BW:BX,2,0),(VLOOKUP(LEFT(U11,2),DATA_SHEET!BW:BX,2,0)))))/1000,"")</f>
        <v/>
      </c>
      <c r="X11" s="415" t="str">
        <f t="shared" si="5"/>
        <v/>
      </c>
      <c r="Y11" s="420" t="str">
        <f>IF(X11&lt;&gt;"",IF(AND(J11&gt;0,J11&lt;0.5),0.5,VLOOKUP(J11,DATA_SHEET!$G$6:$G$46, 1, TRUE)),"")</f>
        <v/>
      </c>
      <c r="Z11" s="421" t="str">
        <f t="shared" si="6"/>
        <v/>
      </c>
      <c r="AA11" s="422" t="str">
        <f t="shared" si="7"/>
        <v/>
      </c>
      <c r="AB11" s="423">
        <f>VLOOKUP(B11,IM_Material!E:K,7,0)</f>
        <v>0</v>
      </c>
      <c r="AC11" s="424" t="str">
        <f>IFERROR(IF(AB11&lt;&gt;"",_xlfn.IFNA((VLOOKUP(B11,IM_Process!B:AH,13,0)/VLOOKUP(B11,IM_Process!B:AH,9,0))/AB11,""),""),"")</f>
        <v/>
      </c>
      <c r="AD11" s="422" t="str">
        <f t="shared" si="8"/>
        <v/>
      </c>
      <c r="AE11" s="422" t="str">
        <f t="shared" si="9"/>
        <v/>
      </c>
      <c r="AF11" s="425" t="str">
        <f>IF(AE11&lt;&gt;"",IF(VLOOKUP(B11,IM_Process!B:O,14,0)=0,"",IF(VLOOKUP(B11,IM_Process!B:O,14,0)&lt;=50,"Less than 50 T",IF(VLOOKUP(B11,IM_Process!B:O,14,0)&lt;=110,"50 T to 110 T",IF(VLOOKUP(B11,IM_Process!B:O,14,0)&lt;=150,"110 T to 150 T",IF(VLOOKUP(B11,IM_Process!B:O,14,0)&lt;=180,"150 T to 180 T",IF(VLOOKUP(B11,IM_Process!B:O,14,0)&lt;=250,"180 T to 250 T",IF(VLOOKUP(B11,IM_Process!B:O,14,0)&lt;=320,"250 T to 320 T",IF(VLOOKUP(B11,IM_Process!B:O,14,0)&lt;=400,"320 T to 400 T",IF(VLOOKUP(B11,IM_Process!B:O,14,0)&lt;=480,"400 T to 480 T",IF(VLOOKUP(B11,IM_Process!B:O,14,0)&lt;=550,"480 T to 550 T",IF(VLOOKUP(B11,IM_Process!B:O,14,0)&lt;=650,"550 T to 650 T",IF(VLOOKUP(B11,IM_Process!B:O,14,0)&lt;=850,"650 T to 850 T",IF(VLOOKUP(B11,IM_Process!B:O,14,0)&lt;=1050,"850 T to 1050 T",IF(VLOOKUP(B11,IM_Process!B:O,14,0)&lt;=1450,"1050 T to 1450 T",IF(VLOOKUP(B11,IM_Process!B:O,14,0)&lt;=1750,"1450 T to 1750 T",IF(VLOOKUP(B11,IM_Process!B:O,14,0)&lt;=2200,"1750 T to 2200 T",IF(VLOOKUP(B11,IM_Process!B:O,14,0)&lt;=2750,"2200 T to 2750 T",IF(VLOOKUP(B11,IM_Process!B:O,14,0)&lt;=3500,"2750 T to 3500 T",IF(VLOOKUP(B11,IM_Process!B:O,14,0)&lt;=4000,"3500 T to 4000 T",""))))))))))))))))))),"")</f>
        <v/>
      </c>
      <c r="AG11" s="426" t="str">
        <f>IF(AE11&lt;&gt;"",_xlfn.IFNA(1/(VLOOKUP(AF11,DATA_SHEET!BB:BC,2,0)/AD11),(1/VLOOKUP(AF11,DATA_SHEET!BE:BF,2,0))*AE11)+(2+2+3),"")</f>
        <v/>
      </c>
      <c r="AH11" s="413" t="str">
        <f>IFERROR(IF(AND(I11&gt;0,I11&lt;=1),_xlfn.IFNA(VLOOKUP(LEFT(U11,4),DATA_SHEET!AT:AZ,2,0),_xlfn.IFNA(VLOOKUP(LEFT(U11,3),DATA_SHEET!AT:AZ,2,0),_xlfn.IFNA(VLOOKUP(LEFT(U11,2),DATA_SHEET!AT:AZ,2,0),))),IF(AND(I11&gt;1,I11&lt;=2),_xlfn.IFNA(VLOOKUP(LEFT(U11,4),DATA_SHEET!AT:AZ,3,0),_xlfn.IFNA(VLOOKUP(LEFT(U11,3),DATA_SHEET!AT:AZ,3,0),_xlfn.IFNA(VLOOKUP(LEFT(U11,2),DATA_SHEET!AT:AZ,3,0),))),IF(AND(I11&gt;2,I11&lt;=3),_xlfn.IFNA(VLOOKUP(LEFT(U11,4),DATA_SHEET!AT:AZ,4,0),_xlfn.IFNA(VLOOKUP(LEFT(U11,3),DATA_SHEET!AT:AZ,4,0),_xlfn.IFNA(VLOOKUP(LEFT(U11,2),DATA_SHEET!AT:AZ,4,0),))),IF(AND(I11&gt;3,I11&lt;=4),_xlfn.IFNA(VLOOKUP(LEFT(U11,4),DATA_SHEET!AT:AZ,5,0),_xlfn.IFNA(VLOOKUP(LEFT(U11,3),DATA_SHEET!AT:AZ,5,0),_xlfn.IFNA(VLOOKUP(LEFT(U11,2),DATA_SHEET!AT:AZ,5,0),))),IF(AND(I11&gt;4,I11&lt;=5),_xlfn.IFNA(VLOOKUP(LEFT(U11,4),DATA_SHEET!AT:AZ,6,0),_xlfn.IFNA(VLOOKUP(LEFT(U11,3),DATA_SHEET!AT:AZ,6,0),_xlfn.IFNA(VLOOKUP(LEFT(U11,2),DATA_SHEET!AT:AZ,6,0),))),IF(AND(I11&gt;5,I11&lt;=6),_xlfn.IFNA(VLOOKUP(LEFT(U11,4),DATA_SHEET!AT:AZ,7,0),_xlfn.IFNA(VLOOKUP(LEFT(U11,3),DATA_SHEET!AT:AZ,7,0),_xlfn.IFNA(VLOOKUP(LEFT(U11,2),DATA_SHEET!AT:AZ,7,0),))),0/0)))))),"")</f>
        <v/>
      </c>
      <c r="AI11" s="413">
        <f t="shared" si="10"/>
        <v>2</v>
      </c>
      <c r="AJ11" s="427" t="e">
        <f t="shared" si="11"/>
        <v>#VALUE!</v>
      </c>
      <c r="AK11" s="428" t="str">
        <f t="shared" si="12"/>
        <v/>
      </c>
    </row>
    <row r="12" spans="1:37">
      <c r="B12" s="97">
        <f>Group!$X7</f>
        <v>0</v>
      </c>
      <c r="C12" s="413" t="str">
        <f>IFERROR(VLOOKUP($B12,IM_Process!$B:$J,2,0),"")</f>
        <v/>
      </c>
      <c r="D12" s="413" t="str">
        <f>IFERROR(VLOOKUP($B12,IM_Process!$B:$J,3,0),"")</f>
        <v/>
      </c>
      <c r="E12" s="71" t="str">
        <f>VLOOKUP(B12,IM_Material!E:H,4,0)</f>
        <v/>
      </c>
      <c r="F12" s="413">
        <f>_xlfn.IFNA(VLOOKUP(B12,IM_Material!E:L,8,0),"")</f>
        <v>0</v>
      </c>
      <c r="G12" s="413">
        <f>VLOOKUP(B12,IM_Material!E:M,9,0)</f>
        <v>0</v>
      </c>
      <c r="H12" s="413" t="str">
        <f>VLOOKUP(B12,IM_Process!B:L,11,0)</f>
        <v/>
      </c>
      <c r="I12" s="413" t="str">
        <f>_xlfn.IFNA(VLOOKUP($B12,IM_Process!B:M,12,0),"")</f>
        <v/>
      </c>
      <c r="J12" s="413" t="str">
        <f>IF(I12&lt;&gt;"",_xlfn.IFNA(VLOOKUP($B12,IM_Process!$B:$I,7,0),""),"")</f>
        <v/>
      </c>
      <c r="K12" s="414">
        <f>IM_Material!P10</f>
        <v>0</v>
      </c>
      <c r="L12" s="415">
        <f>VLOOKUP(B12,IM_Material!E:O,11,0)</f>
        <v>0</v>
      </c>
      <c r="M12" s="415" t="str">
        <f t="shared" si="1"/>
        <v/>
      </c>
      <c r="N12" s="397" t="str">
        <f t="shared" si="2"/>
        <v/>
      </c>
      <c r="O12" s="397" t="str">
        <f>VLOOKUP(B12,IM_Process!B:J,9,0)</f>
        <v/>
      </c>
      <c r="P12" s="397" t="str">
        <f t="shared" si="3"/>
        <v/>
      </c>
      <c r="Q12" s="416" t="str">
        <f t="shared" si="4"/>
        <v/>
      </c>
      <c r="R12" s="417" t="str">
        <f>IFERROR((1+Q12)*INDEX(DATA_SHEET!$H$6:$P$46,MATCH(Y12,DATA_SHEET!$G$6:$G$46,FALSE),MATCH(AA12,DATA_SHEET!$H$5:$P$5,-1))*V12*(O12*L12+M12+P12)/10000,"")</f>
        <v/>
      </c>
      <c r="S12" s="417" t="str">
        <f t="shared" si="0"/>
        <v/>
      </c>
      <c r="U12" s="418">
        <f>VLOOKUP(B12,IM_Material!E:I,5,0)</f>
        <v>0</v>
      </c>
      <c r="V12" s="419" t="str">
        <f>_xlfn.IFNA(_xlfn.IFNA(VLOOKUP(U12,DATA_SHEET!AN:AP,2,0),_xlfn.IFNA(VLOOKUP(LEFT(U12,4),DATA_SHEET!AN:AP,2,0),_xlfn.IFNA(VLOOKUP(LEFT(U12,3),DATA_SHEET!AN:AP,2,0),(VLOOKUP(LEFT(U12,2),DATA_SHEET!AN:AP,2,0))))),"")</f>
        <v/>
      </c>
      <c r="W12" s="678" t="str">
        <f>_xlfn.IFNA(_xlfn.IFNA(VLOOKUP(U12,DATA_SHEET!BW:BX,2,0),_xlfn.IFNA(VLOOKUP(LEFT(U12,4),DATA_SHEET!BW:BX,2,0),_xlfn.IFNA(VLOOKUP(LEFT(U12,3),DATA_SHEET!BW:BX,2,0),(VLOOKUP(LEFT(U12,2),DATA_SHEET!BW:BX,2,0)))))/1000,"")</f>
        <v/>
      </c>
      <c r="X12" s="415" t="str">
        <f t="shared" si="5"/>
        <v/>
      </c>
      <c r="Y12" s="420" t="str">
        <f>IF(X12&lt;&gt;"",IF(AND(J12&gt;0,J12&lt;0.5),0.5,VLOOKUP(J12,DATA_SHEET!$G$6:$G$46, 1, TRUE)),"")</f>
        <v/>
      </c>
      <c r="Z12" s="421" t="str">
        <f t="shared" si="6"/>
        <v/>
      </c>
      <c r="AA12" s="422" t="str">
        <f t="shared" si="7"/>
        <v/>
      </c>
      <c r="AB12" s="423">
        <f>VLOOKUP(B12,IM_Material!E:K,7,0)</f>
        <v>0</v>
      </c>
      <c r="AC12" s="424" t="str">
        <f>IFERROR(IF(AB12&lt;&gt;"",_xlfn.IFNA((VLOOKUP(B12,IM_Process!B:AH,13,0)/VLOOKUP(B12,IM_Process!B:AH,9,0))/AB12,""),""),"")</f>
        <v/>
      </c>
      <c r="AD12" s="422" t="str">
        <f t="shared" si="8"/>
        <v/>
      </c>
      <c r="AE12" s="422" t="str">
        <f t="shared" si="9"/>
        <v/>
      </c>
      <c r="AF12" s="425" t="str">
        <f>IF(AE12&lt;&gt;"",IF(VLOOKUP(B12,IM_Process!B:O,14,0)=0,"",IF(VLOOKUP(B12,IM_Process!B:O,14,0)&lt;=50,"Less than 50 T",IF(VLOOKUP(B12,IM_Process!B:O,14,0)&lt;=110,"50 T to 110 T",IF(VLOOKUP(B12,IM_Process!B:O,14,0)&lt;=150,"110 T to 150 T",IF(VLOOKUP(B12,IM_Process!B:O,14,0)&lt;=180,"150 T to 180 T",IF(VLOOKUP(B12,IM_Process!B:O,14,0)&lt;=250,"180 T to 250 T",IF(VLOOKUP(B12,IM_Process!B:O,14,0)&lt;=320,"250 T to 320 T",IF(VLOOKUP(B12,IM_Process!B:O,14,0)&lt;=400,"320 T to 400 T",IF(VLOOKUP(B12,IM_Process!B:O,14,0)&lt;=480,"400 T to 480 T",IF(VLOOKUP(B12,IM_Process!B:O,14,0)&lt;=550,"480 T to 550 T",IF(VLOOKUP(B12,IM_Process!B:O,14,0)&lt;=650,"550 T to 650 T",IF(VLOOKUP(B12,IM_Process!B:O,14,0)&lt;=850,"650 T to 850 T",IF(VLOOKUP(B12,IM_Process!B:O,14,0)&lt;=1050,"850 T to 1050 T",IF(VLOOKUP(B12,IM_Process!B:O,14,0)&lt;=1450,"1050 T to 1450 T",IF(VLOOKUP(B12,IM_Process!B:O,14,0)&lt;=1750,"1450 T to 1750 T",IF(VLOOKUP(B12,IM_Process!B:O,14,0)&lt;=2200,"1750 T to 2200 T",IF(VLOOKUP(B12,IM_Process!B:O,14,0)&lt;=2750,"2200 T to 2750 T",IF(VLOOKUP(B12,IM_Process!B:O,14,0)&lt;=3500,"2750 T to 3500 T",IF(VLOOKUP(B12,IM_Process!B:O,14,0)&lt;=4000,"3500 T to 4000 T",""))))))))))))))))))),"")</f>
        <v/>
      </c>
      <c r="AG12" s="426" t="str">
        <f>IF(AE12&lt;&gt;"",_xlfn.IFNA(1/(VLOOKUP(AF12,DATA_SHEET!BB:BC,2,0)/AD12),(1/VLOOKUP(AF12,DATA_SHEET!BE:BF,2,0))*AE12)+(2+2+3),"")</f>
        <v/>
      </c>
      <c r="AH12" s="413" t="str">
        <f>IFERROR(IF(AND(I12&gt;0,I12&lt;=1),_xlfn.IFNA(VLOOKUP(LEFT(U12,4),DATA_SHEET!AT:AZ,2,0),_xlfn.IFNA(VLOOKUP(LEFT(U12,3),DATA_SHEET!AT:AZ,2,0),_xlfn.IFNA(VLOOKUP(LEFT(U12,2),DATA_SHEET!AT:AZ,2,0),))),IF(AND(I12&gt;1,I12&lt;=2),_xlfn.IFNA(VLOOKUP(LEFT(U12,4),DATA_SHEET!AT:AZ,3,0),_xlfn.IFNA(VLOOKUP(LEFT(U12,3),DATA_SHEET!AT:AZ,3,0),_xlfn.IFNA(VLOOKUP(LEFT(U12,2),DATA_SHEET!AT:AZ,3,0),))),IF(AND(I12&gt;2,I12&lt;=3),_xlfn.IFNA(VLOOKUP(LEFT(U12,4),DATA_SHEET!AT:AZ,4,0),_xlfn.IFNA(VLOOKUP(LEFT(U12,3),DATA_SHEET!AT:AZ,4,0),_xlfn.IFNA(VLOOKUP(LEFT(U12,2),DATA_SHEET!AT:AZ,4,0),))),IF(AND(I12&gt;3,I12&lt;=4),_xlfn.IFNA(VLOOKUP(LEFT(U12,4),DATA_SHEET!AT:AZ,5,0),_xlfn.IFNA(VLOOKUP(LEFT(U12,3),DATA_SHEET!AT:AZ,5,0),_xlfn.IFNA(VLOOKUP(LEFT(U12,2),DATA_SHEET!AT:AZ,5,0),))),IF(AND(I12&gt;4,I12&lt;=5),_xlfn.IFNA(VLOOKUP(LEFT(U12,4),DATA_SHEET!AT:AZ,6,0),_xlfn.IFNA(VLOOKUP(LEFT(U12,3),DATA_SHEET!AT:AZ,6,0),_xlfn.IFNA(VLOOKUP(LEFT(U12,2),DATA_SHEET!AT:AZ,6,0),))),IF(AND(I12&gt;5,I12&lt;=6),_xlfn.IFNA(VLOOKUP(LEFT(U12,4),DATA_SHEET!AT:AZ,7,0),_xlfn.IFNA(VLOOKUP(LEFT(U12,3),DATA_SHEET!AT:AZ,7,0),_xlfn.IFNA(VLOOKUP(LEFT(U12,2),DATA_SHEET!AT:AZ,7,0),))),0/0)))))),"")</f>
        <v/>
      </c>
      <c r="AI12" s="413">
        <f t="shared" si="10"/>
        <v>2</v>
      </c>
      <c r="AJ12" s="427" t="e">
        <f t="shared" si="11"/>
        <v>#VALUE!</v>
      </c>
      <c r="AK12" s="428" t="str">
        <f t="shared" si="12"/>
        <v/>
      </c>
    </row>
    <row r="13" spans="1:37">
      <c r="B13" s="97">
        <f>Group!$X8</f>
        <v>0</v>
      </c>
      <c r="C13" s="413" t="str">
        <f>IFERROR(VLOOKUP($B13,IM_Process!$B:$J,2,0),"")</f>
        <v/>
      </c>
      <c r="D13" s="413" t="str">
        <f>IFERROR(VLOOKUP($B13,IM_Process!$B:$J,3,0),"")</f>
        <v/>
      </c>
      <c r="E13" s="71" t="str">
        <f>VLOOKUP(B13,IM_Material!E:H,4,0)</f>
        <v/>
      </c>
      <c r="F13" s="413">
        <f>_xlfn.IFNA(VLOOKUP(B13,IM_Material!E:L,8,0),"")</f>
        <v>0</v>
      </c>
      <c r="G13" s="413">
        <f>VLOOKUP(B13,IM_Material!E:M,9,0)</f>
        <v>0</v>
      </c>
      <c r="H13" s="413" t="str">
        <f>VLOOKUP(B13,IM_Process!B:L,11,0)</f>
        <v/>
      </c>
      <c r="I13" s="413" t="str">
        <f>_xlfn.IFNA(VLOOKUP($B13,IM_Process!B:M,12,0),"")</f>
        <v/>
      </c>
      <c r="J13" s="413" t="str">
        <f>IF(I13&lt;&gt;"",_xlfn.IFNA(VLOOKUP($B13,IM_Process!$B:$I,7,0),""),"")</f>
        <v/>
      </c>
      <c r="K13" s="414">
        <f>IM_Material!P11</f>
        <v>0</v>
      </c>
      <c r="L13" s="415">
        <f>VLOOKUP(B13,IM_Material!E:O,11,0)</f>
        <v>0</v>
      </c>
      <c r="M13" s="415" t="str">
        <f t="shared" si="1"/>
        <v/>
      </c>
      <c r="N13" s="397" t="str">
        <f t="shared" si="2"/>
        <v/>
      </c>
      <c r="O13" s="397" t="str">
        <f>VLOOKUP(B13,IM_Process!B:J,9,0)</f>
        <v/>
      </c>
      <c r="P13" s="397" t="str">
        <f t="shared" si="3"/>
        <v/>
      </c>
      <c r="Q13" s="416" t="str">
        <f t="shared" si="4"/>
        <v/>
      </c>
      <c r="R13" s="417" t="str">
        <f>IFERROR((1+Q13)*INDEX(DATA_SHEET!$H$6:$P$46,MATCH(Y13,DATA_SHEET!$G$6:$G$46,FALSE),MATCH(AA13,DATA_SHEET!$H$5:$P$5,-1))*V13*(O13*L13+M13+P13)/10000,"")</f>
        <v/>
      </c>
      <c r="S13" s="417" t="str">
        <f t="shared" si="0"/>
        <v/>
      </c>
      <c r="U13" s="418">
        <f>VLOOKUP(B13,IM_Material!E:I,5,0)</f>
        <v>0</v>
      </c>
      <c r="V13" s="419" t="str">
        <f>_xlfn.IFNA(_xlfn.IFNA(VLOOKUP(U13,DATA_SHEET!AN:AP,2,0),_xlfn.IFNA(VLOOKUP(LEFT(U13,4),DATA_SHEET!AN:AP,2,0),_xlfn.IFNA(VLOOKUP(LEFT(U13,3),DATA_SHEET!AN:AP,2,0),(VLOOKUP(LEFT(U13,2),DATA_SHEET!AN:AP,2,0))))),"")</f>
        <v/>
      </c>
      <c r="W13" s="678" t="str">
        <f>_xlfn.IFNA(_xlfn.IFNA(VLOOKUP(U13,DATA_SHEET!BW:BX,2,0),_xlfn.IFNA(VLOOKUP(LEFT(U13,4),DATA_SHEET!BW:BX,2,0),_xlfn.IFNA(VLOOKUP(LEFT(U13,3),DATA_SHEET!BW:BX,2,0),(VLOOKUP(LEFT(U13,2),DATA_SHEET!BW:BX,2,0)))))/1000,"")</f>
        <v/>
      </c>
      <c r="X13" s="415" t="str">
        <f t="shared" si="5"/>
        <v/>
      </c>
      <c r="Y13" s="420" t="str">
        <f>IF(X13&lt;&gt;"",IF(AND(J13&gt;0,J13&lt;0.5),0.5,VLOOKUP(J13,DATA_SHEET!$G$6:$G$46, 1, TRUE)),"")</f>
        <v/>
      </c>
      <c r="Z13" s="421" t="str">
        <f t="shared" si="6"/>
        <v/>
      </c>
      <c r="AA13" s="422" t="str">
        <f t="shared" si="7"/>
        <v/>
      </c>
      <c r="AB13" s="423">
        <f>VLOOKUP(B13,IM_Material!E:K,7,0)</f>
        <v>0</v>
      </c>
      <c r="AC13" s="424" t="str">
        <f>IFERROR(IF(AB13&lt;&gt;"",_xlfn.IFNA((VLOOKUP(B13,IM_Process!B:AH,13,0)/VLOOKUP(B13,IM_Process!B:AH,9,0))/AB13,""),""),"")</f>
        <v/>
      </c>
      <c r="AD13" s="422" t="str">
        <f t="shared" si="8"/>
        <v/>
      </c>
      <c r="AE13" s="422" t="str">
        <f t="shared" si="9"/>
        <v/>
      </c>
      <c r="AF13" s="425" t="str">
        <f>IF(AE13&lt;&gt;"",IF(VLOOKUP(B13,IM_Process!B:O,14,0)=0,"",IF(VLOOKUP(B13,IM_Process!B:O,14,0)&lt;=50,"Less than 50 T",IF(VLOOKUP(B13,IM_Process!B:O,14,0)&lt;=110,"50 T to 110 T",IF(VLOOKUP(B13,IM_Process!B:O,14,0)&lt;=150,"110 T to 150 T",IF(VLOOKUP(B13,IM_Process!B:O,14,0)&lt;=180,"150 T to 180 T",IF(VLOOKUP(B13,IM_Process!B:O,14,0)&lt;=250,"180 T to 250 T",IF(VLOOKUP(B13,IM_Process!B:O,14,0)&lt;=320,"250 T to 320 T",IF(VLOOKUP(B13,IM_Process!B:O,14,0)&lt;=400,"320 T to 400 T",IF(VLOOKUP(B13,IM_Process!B:O,14,0)&lt;=480,"400 T to 480 T",IF(VLOOKUP(B13,IM_Process!B:O,14,0)&lt;=550,"480 T to 550 T",IF(VLOOKUP(B13,IM_Process!B:O,14,0)&lt;=650,"550 T to 650 T",IF(VLOOKUP(B13,IM_Process!B:O,14,0)&lt;=850,"650 T to 850 T",IF(VLOOKUP(B13,IM_Process!B:O,14,0)&lt;=1050,"850 T to 1050 T",IF(VLOOKUP(B13,IM_Process!B:O,14,0)&lt;=1450,"1050 T to 1450 T",IF(VLOOKUP(B13,IM_Process!B:O,14,0)&lt;=1750,"1450 T to 1750 T",IF(VLOOKUP(B13,IM_Process!B:O,14,0)&lt;=2200,"1750 T to 2200 T",IF(VLOOKUP(B13,IM_Process!B:O,14,0)&lt;=2750,"2200 T to 2750 T",IF(VLOOKUP(B13,IM_Process!B:O,14,0)&lt;=3500,"2750 T to 3500 T",IF(VLOOKUP(B13,IM_Process!B:O,14,0)&lt;=4000,"3500 T to 4000 T",""))))))))))))))))))),"")</f>
        <v/>
      </c>
      <c r="AG13" s="426" t="str">
        <f>IF(AE13&lt;&gt;"",_xlfn.IFNA(1/(VLOOKUP(AF13,DATA_SHEET!BB:BC,2,0)/AD13),(1/VLOOKUP(AF13,DATA_SHEET!BE:BF,2,0))*AE13)+(2+2+3),"")</f>
        <v/>
      </c>
      <c r="AH13" s="413" t="str">
        <f>IFERROR(IF(AND(I13&gt;0,I13&lt;=1),_xlfn.IFNA(VLOOKUP(LEFT(U13,4),DATA_SHEET!AT:AZ,2,0),_xlfn.IFNA(VLOOKUP(LEFT(U13,3),DATA_SHEET!AT:AZ,2,0),_xlfn.IFNA(VLOOKUP(LEFT(U13,2),DATA_SHEET!AT:AZ,2,0),))),IF(AND(I13&gt;1,I13&lt;=2),_xlfn.IFNA(VLOOKUP(LEFT(U13,4),DATA_SHEET!AT:AZ,3,0),_xlfn.IFNA(VLOOKUP(LEFT(U13,3),DATA_SHEET!AT:AZ,3,0),_xlfn.IFNA(VLOOKUP(LEFT(U13,2),DATA_SHEET!AT:AZ,3,0),))),IF(AND(I13&gt;2,I13&lt;=3),_xlfn.IFNA(VLOOKUP(LEFT(U13,4),DATA_SHEET!AT:AZ,4,0),_xlfn.IFNA(VLOOKUP(LEFT(U13,3),DATA_SHEET!AT:AZ,4,0),_xlfn.IFNA(VLOOKUP(LEFT(U13,2),DATA_SHEET!AT:AZ,4,0),))),IF(AND(I13&gt;3,I13&lt;=4),_xlfn.IFNA(VLOOKUP(LEFT(U13,4),DATA_SHEET!AT:AZ,5,0),_xlfn.IFNA(VLOOKUP(LEFT(U13,3),DATA_SHEET!AT:AZ,5,0),_xlfn.IFNA(VLOOKUP(LEFT(U13,2),DATA_SHEET!AT:AZ,5,0),))),IF(AND(I13&gt;4,I13&lt;=5),_xlfn.IFNA(VLOOKUP(LEFT(U13,4),DATA_SHEET!AT:AZ,6,0),_xlfn.IFNA(VLOOKUP(LEFT(U13,3),DATA_SHEET!AT:AZ,6,0),_xlfn.IFNA(VLOOKUP(LEFT(U13,2),DATA_SHEET!AT:AZ,6,0),))),IF(AND(I13&gt;5,I13&lt;=6),_xlfn.IFNA(VLOOKUP(LEFT(U13,4),DATA_SHEET!AT:AZ,7,0),_xlfn.IFNA(VLOOKUP(LEFT(U13,3),DATA_SHEET!AT:AZ,7,0),_xlfn.IFNA(VLOOKUP(LEFT(U13,2),DATA_SHEET!AT:AZ,7,0),))),0/0)))))),"")</f>
        <v/>
      </c>
      <c r="AI13" s="413">
        <f t="shared" si="10"/>
        <v>2</v>
      </c>
      <c r="AJ13" s="427" t="e">
        <f t="shared" si="11"/>
        <v>#VALUE!</v>
      </c>
      <c r="AK13" s="428" t="str">
        <f t="shared" si="12"/>
        <v/>
      </c>
    </row>
    <row r="14" spans="1:37">
      <c r="B14" s="97">
        <f>Group!$X9</f>
        <v>0</v>
      </c>
      <c r="C14" s="413" t="str">
        <f>IFERROR(VLOOKUP($B14,IM_Process!$B:$J,2,0),"")</f>
        <v/>
      </c>
      <c r="D14" s="413" t="str">
        <f>IFERROR(VLOOKUP($B14,IM_Process!$B:$J,3,0),"")</f>
        <v/>
      </c>
      <c r="E14" s="71" t="str">
        <f>VLOOKUP(B14,IM_Material!E:H,4,0)</f>
        <v/>
      </c>
      <c r="F14" s="413">
        <f>_xlfn.IFNA(VLOOKUP(B14,IM_Material!E:L,8,0),"")</f>
        <v>0</v>
      </c>
      <c r="G14" s="413">
        <f>VLOOKUP(B14,IM_Material!E:M,9,0)</f>
        <v>0</v>
      </c>
      <c r="H14" s="413" t="str">
        <f>VLOOKUP(B14,IM_Process!B:L,11,0)</f>
        <v/>
      </c>
      <c r="I14" s="413" t="str">
        <f>_xlfn.IFNA(VLOOKUP($B14,IM_Process!B:M,12,0),"")</f>
        <v/>
      </c>
      <c r="J14" s="413" t="str">
        <f>IF(I14&lt;&gt;"",_xlfn.IFNA(VLOOKUP($B14,IM_Process!$B:$I,7,0),""),"")</f>
        <v/>
      </c>
      <c r="K14" s="414">
        <f>IM_Material!P12</f>
        <v>0</v>
      </c>
      <c r="L14" s="415">
        <f>VLOOKUP(B14,IM_Material!E:O,11,0)</f>
        <v>0</v>
      </c>
      <c r="M14" s="415" t="str">
        <f t="shared" si="1"/>
        <v/>
      </c>
      <c r="N14" s="397" t="str">
        <f t="shared" si="2"/>
        <v/>
      </c>
      <c r="O14" s="397" t="str">
        <f>VLOOKUP(B14,IM_Process!B:J,9,0)</f>
        <v/>
      </c>
      <c r="P14" s="397" t="str">
        <f t="shared" si="3"/>
        <v/>
      </c>
      <c r="Q14" s="416" t="str">
        <f t="shared" si="4"/>
        <v/>
      </c>
      <c r="R14" s="417" t="str">
        <f>IFERROR((1+Q14)*INDEX(DATA_SHEET!$H$6:$P$46,MATCH(Y14,DATA_SHEET!$G$6:$G$46,FALSE),MATCH(AA14,DATA_SHEET!$H$5:$P$5,-1))*V14*(O14*L14+M14+P14)/10000,"")</f>
        <v/>
      </c>
      <c r="S14" s="417" t="str">
        <f t="shared" si="0"/>
        <v/>
      </c>
      <c r="U14" s="418">
        <f>VLOOKUP(B14,IM_Material!E:I,5,0)</f>
        <v>0</v>
      </c>
      <c r="V14" s="419" t="str">
        <f>_xlfn.IFNA(_xlfn.IFNA(VLOOKUP(U14,DATA_SHEET!AN:AP,2,0),_xlfn.IFNA(VLOOKUP(LEFT(U14,4),DATA_SHEET!AN:AP,2,0),_xlfn.IFNA(VLOOKUP(LEFT(U14,3),DATA_SHEET!AN:AP,2,0),(VLOOKUP(LEFT(U14,2),DATA_SHEET!AN:AP,2,0))))),"")</f>
        <v/>
      </c>
      <c r="W14" s="678" t="str">
        <f>_xlfn.IFNA(_xlfn.IFNA(VLOOKUP(U14,DATA_SHEET!BW:BX,2,0),_xlfn.IFNA(VLOOKUP(LEFT(U14,4),DATA_SHEET!BW:BX,2,0),_xlfn.IFNA(VLOOKUP(LEFT(U14,3),DATA_SHEET!BW:BX,2,0),(VLOOKUP(LEFT(U14,2),DATA_SHEET!BW:BX,2,0)))))/1000,"")</f>
        <v/>
      </c>
      <c r="X14" s="415" t="str">
        <f t="shared" si="5"/>
        <v/>
      </c>
      <c r="Y14" s="420" t="str">
        <f>IF(X14&lt;&gt;"",IF(AND(J14&gt;0,J14&lt;0.5),0.5,VLOOKUP(J14,DATA_SHEET!$G$6:$G$46, 1, TRUE)),"")</f>
        <v/>
      </c>
      <c r="Z14" s="421" t="str">
        <f t="shared" si="6"/>
        <v/>
      </c>
      <c r="AA14" s="422" t="str">
        <f t="shared" si="7"/>
        <v/>
      </c>
      <c r="AB14" s="423">
        <f>VLOOKUP(B14,IM_Material!E:K,7,0)</f>
        <v>0</v>
      </c>
      <c r="AC14" s="424" t="str">
        <f>IFERROR(IF(AB14&lt;&gt;"",_xlfn.IFNA((VLOOKUP(B14,IM_Process!B:AH,13,0)/VLOOKUP(B14,IM_Process!B:AH,9,0))/AB14,""),""),"")</f>
        <v/>
      </c>
      <c r="AD14" s="422" t="str">
        <f t="shared" si="8"/>
        <v/>
      </c>
      <c r="AE14" s="422" t="str">
        <f t="shared" si="9"/>
        <v/>
      </c>
      <c r="AF14" s="425" t="str">
        <f>IF(AE14&lt;&gt;"",IF(VLOOKUP(B14,IM_Process!B:O,14,0)=0,"",IF(VLOOKUP(B14,IM_Process!B:O,14,0)&lt;=50,"Less than 50 T",IF(VLOOKUP(B14,IM_Process!B:O,14,0)&lt;=110,"50 T to 110 T",IF(VLOOKUP(B14,IM_Process!B:O,14,0)&lt;=150,"110 T to 150 T",IF(VLOOKUP(B14,IM_Process!B:O,14,0)&lt;=180,"150 T to 180 T",IF(VLOOKUP(B14,IM_Process!B:O,14,0)&lt;=250,"180 T to 250 T",IF(VLOOKUP(B14,IM_Process!B:O,14,0)&lt;=320,"250 T to 320 T",IF(VLOOKUP(B14,IM_Process!B:O,14,0)&lt;=400,"320 T to 400 T",IF(VLOOKUP(B14,IM_Process!B:O,14,0)&lt;=480,"400 T to 480 T",IF(VLOOKUP(B14,IM_Process!B:O,14,0)&lt;=550,"480 T to 550 T",IF(VLOOKUP(B14,IM_Process!B:O,14,0)&lt;=650,"550 T to 650 T",IF(VLOOKUP(B14,IM_Process!B:O,14,0)&lt;=850,"650 T to 850 T",IF(VLOOKUP(B14,IM_Process!B:O,14,0)&lt;=1050,"850 T to 1050 T",IF(VLOOKUP(B14,IM_Process!B:O,14,0)&lt;=1450,"1050 T to 1450 T",IF(VLOOKUP(B14,IM_Process!B:O,14,0)&lt;=1750,"1450 T to 1750 T",IF(VLOOKUP(B14,IM_Process!B:O,14,0)&lt;=2200,"1750 T to 2200 T",IF(VLOOKUP(B14,IM_Process!B:O,14,0)&lt;=2750,"2200 T to 2750 T",IF(VLOOKUP(B14,IM_Process!B:O,14,0)&lt;=3500,"2750 T to 3500 T",IF(VLOOKUP(B14,IM_Process!B:O,14,0)&lt;=4000,"3500 T to 4000 T",""))))))))))))))))))),"")</f>
        <v/>
      </c>
      <c r="AG14" s="426" t="str">
        <f>IF(AE14&lt;&gt;"",_xlfn.IFNA(1/(VLOOKUP(AF14,DATA_SHEET!BB:BC,2,0)/AD14),(1/VLOOKUP(AF14,DATA_SHEET!BE:BF,2,0))*AE14)+(2+2+3),"")</f>
        <v/>
      </c>
      <c r="AH14" s="413" t="str">
        <f>IFERROR(IF(AND(I14&gt;0,I14&lt;=1),_xlfn.IFNA(VLOOKUP(LEFT(U14,4),DATA_SHEET!AT:AZ,2,0),_xlfn.IFNA(VLOOKUP(LEFT(U14,3),DATA_SHEET!AT:AZ,2,0),_xlfn.IFNA(VLOOKUP(LEFT(U14,2),DATA_SHEET!AT:AZ,2,0),))),IF(AND(I14&gt;1,I14&lt;=2),_xlfn.IFNA(VLOOKUP(LEFT(U14,4),DATA_SHEET!AT:AZ,3,0),_xlfn.IFNA(VLOOKUP(LEFT(U14,3),DATA_SHEET!AT:AZ,3,0),_xlfn.IFNA(VLOOKUP(LEFT(U14,2),DATA_SHEET!AT:AZ,3,0),))),IF(AND(I14&gt;2,I14&lt;=3),_xlfn.IFNA(VLOOKUP(LEFT(U14,4),DATA_SHEET!AT:AZ,4,0),_xlfn.IFNA(VLOOKUP(LEFT(U14,3),DATA_SHEET!AT:AZ,4,0),_xlfn.IFNA(VLOOKUP(LEFT(U14,2),DATA_SHEET!AT:AZ,4,0),))),IF(AND(I14&gt;3,I14&lt;=4),_xlfn.IFNA(VLOOKUP(LEFT(U14,4),DATA_SHEET!AT:AZ,5,0),_xlfn.IFNA(VLOOKUP(LEFT(U14,3),DATA_SHEET!AT:AZ,5,0),_xlfn.IFNA(VLOOKUP(LEFT(U14,2),DATA_SHEET!AT:AZ,5,0),))),IF(AND(I14&gt;4,I14&lt;=5),_xlfn.IFNA(VLOOKUP(LEFT(U14,4),DATA_SHEET!AT:AZ,6,0),_xlfn.IFNA(VLOOKUP(LEFT(U14,3),DATA_SHEET!AT:AZ,6,0),_xlfn.IFNA(VLOOKUP(LEFT(U14,2),DATA_SHEET!AT:AZ,6,0),))),IF(AND(I14&gt;5,I14&lt;=6),_xlfn.IFNA(VLOOKUP(LEFT(U14,4),DATA_SHEET!AT:AZ,7,0),_xlfn.IFNA(VLOOKUP(LEFT(U14,3),DATA_SHEET!AT:AZ,7,0),_xlfn.IFNA(VLOOKUP(LEFT(U14,2),DATA_SHEET!AT:AZ,7,0),))),0/0)))))),"")</f>
        <v/>
      </c>
      <c r="AI14" s="413">
        <f t="shared" si="10"/>
        <v>2</v>
      </c>
      <c r="AJ14" s="427" t="e">
        <f t="shared" si="11"/>
        <v>#VALUE!</v>
      </c>
      <c r="AK14" s="428" t="str">
        <f t="shared" si="12"/>
        <v/>
      </c>
    </row>
    <row r="15" spans="1:37">
      <c r="B15" s="97">
        <f>Group!$X10</f>
        <v>0</v>
      </c>
      <c r="C15" s="413" t="str">
        <f>IFERROR(VLOOKUP($B15,IM_Process!$B:$J,2,0),"")</f>
        <v/>
      </c>
      <c r="D15" s="413" t="str">
        <f>IFERROR(VLOOKUP($B15,IM_Process!$B:$J,3,0),"")</f>
        <v/>
      </c>
      <c r="E15" s="71" t="str">
        <f>VLOOKUP(B15,IM_Material!E:H,4,0)</f>
        <v/>
      </c>
      <c r="F15" s="413">
        <f>_xlfn.IFNA(VLOOKUP(B15,IM_Material!E:L,8,0),"")</f>
        <v>0</v>
      </c>
      <c r="G15" s="413">
        <f>VLOOKUP(B15,IM_Material!E:M,9,0)</f>
        <v>0</v>
      </c>
      <c r="H15" s="413" t="str">
        <f>VLOOKUP(B15,IM_Process!B:L,11,0)</f>
        <v/>
      </c>
      <c r="I15" s="413" t="str">
        <f>_xlfn.IFNA(VLOOKUP($B15,IM_Process!B:M,12,0),"")</f>
        <v/>
      </c>
      <c r="J15" s="413" t="str">
        <f>IF(I15&lt;&gt;"",_xlfn.IFNA(VLOOKUP($B15,IM_Process!$B:$I,7,0),""),"")</f>
        <v/>
      </c>
      <c r="K15" s="414">
        <f>IM_Material!P13</f>
        <v>0</v>
      </c>
      <c r="L15" s="415">
        <f>VLOOKUP(B15,IM_Material!E:O,11,0)</f>
        <v>0</v>
      </c>
      <c r="M15" s="415" t="str">
        <f t="shared" si="1"/>
        <v/>
      </c>
      <c r="N15" s="397" t="str">
        <f t="shared" si="2"/>
        <v/>
      </c>
      <c r="O15" s="397" t="str">
        <f>VLOOKUP(B15,IM_Process!B:J,9,0)</f>
        <v/>
      </c>
      <c r="P15" s="397" t="str">
        <f t="shared" si="3"/>
        <v/>
      </c>
      <c r="Q15" s="416" t="str">
        <f t="shared" si="4"/>
        <v/>
      </c>
      <c r="R15" s="417" t="str">
        <f>IFERROR((1+Q15)*INDEX(DATA_SHEET!$H$6:$P$46,MATCH(Y15,DATA_SHEET!$G$6:$G$46,FALSE),MATCH(AA15,DATA_SHEET!$H$5:$P$5,-1))*V15*(O15*L15+M15+P15)/10000,"")</f>
        <v/>
      </c>
      <c r="S15" s="417" t="str">
        <f t="shared" si="0"/>
        <v/>
      </c>
      <c r="U15" s="418">
        <f>VLOOKUP(B15,IM_Material!E:I,5,0)</f>
        <v>0</v>
      </c>
      <c r="V15" s="419" t="str">
        <f>_xlfn.IFNA(_xlfn.IFNA(VLOOKUP(U15,DATA_SHEET!AN:AP,2,0),_xlfn.IFNA(VLOOKUP(LEFT(U15,4),DATA_SHEET!AN:AP,2,0),_xlfn.IFNA(VLOOKUP(LEFT(U15,3),DATA_SHEET!AN:AP,2,0),(VLOOKUP(LEFT(U15,2),DATA_SHEET!AN:AP,2,0))))),"")</f>
        <v/>
      </c>
      <c r="W15" s="678" t="str">
        <f>_xlfn.IFNA(_xlfn.IFNA(VLOOKUP(U15,DATA_SHEET!BW:BX,2,0),_xlfn.IFNA(VLOOKUP(LEFT(U15,4),DATA_SHEET!BW:BX,2,0),_xlfn.IFNA(VLOOKUP(LEFT(U15,3),DATA_SHEET!BW:BX,2,0),(VLOOKUP(LEFT(U15,2),DATA_SHEET!BW:BX,2,0)))))/1000,"")</f>
        <v/>
      </c>
      <c r="X15" s="415" t="str">
        <f t="shared" si="5"/>
        <v/>
      </c>
      <c r="Y15" s="420" t="str">
        <f>IF(X15&lt;&gt;"",IF(AND(J15&gt;0,J15&lt;0.5),0.5,VLOOKUP(J15,DATA_SHEET!$G$6:$G$46, 1, TRUE)),"")</f>
        <v/>
      </c>
      <c r="Z15" s="421" t="str">
        <f t="shared" si="6"/>
        <v/>
      </c>
      <c r="AA15" s="422" t="str">
        <f t="shared" si="7"/>
        <v/>
      </c>
      <c r="AB15" s="423">
        <f>VLOOKUP(B15,IM_Material!E:K,7,0)</f>
        <v>0</v>
      </c>
      <c r="AC15" s="424" t="str">
        <f>IFERROR(IF(AB15&lt;&gt;"",_xlfn.IFNA((VLOOKUP(B15,IM_Process!B:AH,13,0)/VLOOKUP(B15,IM_Process!B:AH,9,0))/AB15,""),""),"")</f>
        <v/>
      </c>
      <c r="AD15" s="422" t="str">
        <f t="shared" si="8"/>
        <v/>
      </c>
      <c r="AE15" s="422" t="str">
        <f t="shared" si="9"/>
        <v/>
      </c>
      <c r="AF15" s="425" t="str">
        <f>IF(AE15&lt;&gt;"",IF(VLOOKUP(B15,IM_Process!B:O,14,0)=0,"",IF(VLOOKUP(B15,IM_Process!B:O,14,0)&lt;=50,"Less than 50 T",IF(VLOOKUP(B15,IM_Process!B:O,14,0)&lt;=110,"50 T to 110 T",IF(VLOOKUP(B15,IM_Process!B:O,14,0)&lt;=150,"110 T to 150 T",IF(VLOOKUP(B15,IM_Process!B:O,14,0)&lt;=180,"150 T to 180 T",IF(VLOOKUP(B15,IM_Process!B:O,14,0)&lt;=250,"180 T to 250 T",IF(VLOOKUP(B15,IM_Process!B:O,14,0)&lt;=320,"250 T to 320 T",IF(VLOOKUP(B15,IM_Process!B:O,14,0)&lt;=400,"320 T to 400 T",IF(VLOOKUP(B15,IM_Process!B:O,14,0)&lt;=480,"400 T to 480 T",IF(VLOOKUP(B15,IM_Process!B:O,14,0)&lt;=550,"480 T to 550 T",IF(VLOOKUP(B15,IM_Process!B:O,14,0)&lt;=650,"550 T to 650 T",IF(VLOOKUP(B15,IM_Process!B:O,14,0)&lt;=850,"650 T to 850 T",IF(VLOOKUP(B15,IM_Process!B:O,14,0)&lt;=1050,"850 T to 1050 T",IF(VLOOKUP(B15,IM_Process!B:O,14,0)&lt;=1450,"1050 T to 1450 T",IF(VLOOKUP(B15,IM_Process!B:O,14,0)&lt;=1750,"1450 T to 1750 T",IF(VLOOKUP(B15,IM_Process!B:O,14,0)&lt;=2200,"1750 T to 2200 T",IF(VLOOKUP(B15,IM_Process!B:O,14,0)&lt;=2750,"2200 T to 2750 T",IF(VLOOKUP(B15,IM_Process!B:O,14,0)&lt;=3500,"2750 T to 3500 T",IF(VLOOKUP(B15,IM_Process!B:O,14,0)&lt;=4000,"3500 T to 4000 T",""))))))))))))))))))),"")</f>
        <v/>
      </c>
      <c r="AG15" s="426" t="str">
        <f>IF(AE15&lt;&gt;"",_xlfn.IFNA(1/(VLOOKUP(AF15,DATA_SHEET!BB:BC,2,0)/AD15),(1/VLOOKUP(AF15,DATA_SHEET!BE:BF,2,0))*AE15)+(2+2+3),"")</f>
        <v/>
      </c>
      <c r="AH15" s="413" t="str">
        <f>IFERROR(IF(AND(I15&gt;0,I15&lt;=1),_xlfn.IFNA(VLOOKUP(LEFT(U15,4),DATA_SHEET!AT:AZ,2,0),_xlfn.IFNA(VLOOKUP(LEFT(U15,3),DATA_SHEET!AT:AZ,2,0),_xlfn.IFNA(VLOOKUP(LEFT(U15,2),DATA_SHEET!AT:AZ,2,0),))),IF(AND(I15&gt;1,I15&lt;=2),_xlfn.IFNA(VLOOKUP(LEFT(U15,4),DATA_SHEET!AT:AZ,3,0),_xlfn.IFNA(VLOOKUP(LEFT(U15,3),DATA_SHEET!AT:AZ,3,0),_xlfn.IFNA(VLOOKUP(LEFT(U15,2),DATA_SHEET!AT:AZ,3,0),))),IF(AND(I15&gt;2,I15&lt;=3),_xlfn.IFNA(VLOOKUP(LEFT(U15,4),DATA_SHEET!AT:AZ,4,0),_xlfn.IFNA(VLOOKUP(LEFT(U15,3),DATA_SHEET!AT:AZ,4,0),_xlfn.IFNA(VLOOKUP(LEFT(U15,2),DATA_SHEET!AT:AZ,4,0),))),IF(AND(I15&gt;3,I15&lt;=4),_xlfn.IFNA(VLOOKUP(LEFT(U15,4),DATA_SHEET!AT:AZ,5,0),_xlfn.IFNA(VLOOKUP(LEFT(U15,3),DATA_SHEET!AT:AZ,5,0),_xlfn.IFNA(VLOOKUP(LEFT(U15,2),DATA_SHEET!AT:AZ,5,0),))),IF(AND(I15&gt;4,I15&lt;=5),_xlfn.IFNA(VLOOKUP(LEFT(U15,4),DATA_SHEET!AT:AZ,6,0),_xlfn.IFNA(VLOOKUP(LEFT(U15,3),DATA_SHEET!AT:AZ,6,0),_xlfn.IFNA(VLOOKUP(LEFT(U15,2),DATA_SHEET!AT:AZ,6,0),))),IF(AND(I15&gt;5,I15&lt;=6),_xlfn.IFNA(VLOOKUP(LEFT(U15,4),DATA_SHEET!AT:AZ,7,0),_xlfn.IFNA(VLOOKUP(LEFT(U15,3),DATA_SHEET!AT:AZ,7,0),_xlfn.IFNA(VLOOKUP(LEFT(U15,2),DATA_SHEET!AT:AZ,7,0),))),0/0)))))),"")</f>
        <v/>
      </c>
      <c r="AI15" s="413">
        <f t="shared" si="10"/>
        <v>2</v>
      </c>
      <c r="AJ15" s="427" t="e">
        <f t="shared" si="11"/>
        <v>#VALUE!</v>
      </c>
      <c r="AK15" s="428" t="str">
        <f t="shared" si="12"/>
        <v/>
      </c>
    </row>
    <row r="16" spans="1:37">
      <c r="B16" s="97">
        <f>Group!$X11</f>
        <v>0</v>
      </c>
      <c r="C16" s="413" t="str">
        <f>IFERROR(VLOOKUP($B16,IM_Process!$B:$J,2,0),"")</f>
        <v/>
      </c>
      <c r="D16" s="413" t="str">
        <f>IFERROR(VLOOKUP($B16,IM_Process!$B:$J,3,0),"")</f>
        <v/>
      </c>
      <c r="E16" s="71" t="str">
        <f>VLOOKUP(B16,IM_Material!E:H,4,0)</f>
        <v/>
      </c>
      <c r="F16" s="413">
        <f>_xlfn.IFNA(VLOOKUP(B16,IM_Material!E:L,8,0),"")</f>
        <v>0</v>
      </c>
      <c r="G16" s="413">
        <f>VLOOKUP(B16,IM_Material!E:M,9,0)</f>
        <v>0</v>
      </c>
      <c r="H16" s="413" t="str">
        <f>VLOOKUP(B16,IM_Process!B:L,11,0)</f>
        <v/>
      </c>
      <c r="I16" s="413" t="str">
        <f>_xlfn.IFNA(VLOOKUP($B16,IM_Process!B:M,12,0),"")</f>
        <v/>
      </c>
      <c r="J16" s="413" t="str">
        <f>IF(I16&lt;&gt;"",_xlfn.IFNA(VLOOKUP($B16,IM_Process!$B:$I,7,0),""),"")</f>
        <v/>
      </c>
      <c r="K16" s="414">
        <f>IM_Material!P14</f>
        <v>0</v>
      </c>
      <c r="L16" s="415">
        <f>VLOOKUP(B16,IM_Material!E:O,11,0)</f>
        <v>0</v>
      </c>
      <c r="M16" s="415" t="str">
        <f t="shared" si="1"/>
        <v/>
      </c>
      <c r="N16" s="397" t="str">
        <f t="shared" si="2"/>
        <v/>
      </c>
      <c r="O16" s="397" t="str">
        <f>VLOOKUP(B16,IM_Process!B:J,9,0)</f>
        <v/>
      </c>
      <c r="P16" s="397" t="str">
        <f t="shared" si="3"/>
        <v/>
      </c>
      <c r="Q16" s="416" t="str">
        <f t="shared" si="4"/>
        <v/>
      </c>
      <c r="R16" s="417" t="str">
        <f>IFERROR((1+Q16)*INDEX(DATA_SHEET!$H$6:$P$46,MATCH(Y16,DATA_SHEET!$G$6:$G$46,FALSE),MATCH(AA16,DATA_SHEET!$H$5:$P$5,-1))*V16*(O16*L16+M16+P16)/10000,"")</f>
        <v/>
      </c>
      <c r="S16" s="417" t="str">
        <f t="shared" si="0"/>
        <v/>
      </c>
      <c r="U16" s="418">
        <f>VLOOKUP(B16,IM_Material!E:I,5,0)</f>
        <v>0</v>
      </c>
      <c r="V16" s="419" t="str">
        <f>_xlfn.IFNA(_xlfn.IFNA(VLOOKUP(U16,DATA_SHEET!AN:AP,2,0),_xlfn.IFNA(VLOOKUP(LEFT(U16,4),DATA_SHEET!AN:AP,2,0),_xlfn.IFNA(VLOOKUP(LEFT(U16,3),DATA_SHEET!AN:AP,2,0),(VLOOKUP(LEFT(U16,2),DATA_SHEET!AN:AP,2,0))))),"")</f>
        <v/>
      </c>
      <c r="W16" s="678" t="str">
        <f>_xlfn.IFNA(_xlfn.IFNA(VLOOKUP(U16,DATA_SHEET!BW:BX,2,0),_xlfn.IFNA(VLOOKUP(LEFT(U16,4),DATA_SHEET!BW:BX,2,0),_xlfn.IFNA(VLOOKUP(LEFT(U16,3),DATA_SHEET!BW:BX,2,0),(VLOOKUP(LEFT(U16,2),DATA_SHEET!BW:BX,2,0)))))/1000,"")</f>
        <v/>
      </c>
      <c r="X16" s="415" t="str">
        <f t="shared" si="5"/>
        <v/>
      </c>
      <c r="Y16" s="420" t="str">
        <f>IF(X16&lt;&gt;"",IF(AND(J16&gt;0,J16&lt;0.5),0.5,VLOOKUP(J16,DATA_SHEET!$G$6:$G$46, 1, TRUE)),"")</f>
        <v/>
      </c>
      <c r="Z16" s="421" t="str">
        <f t="shared" si="6"/>
        <v/>
      </c>
      <c r="AA16" s="422" t="str">
        <f t="shared" si="7"/>
        <v/>
      </c>
      <c r="AB16" s="423">
        <f>VLOOKUP(B16,IM_Material!E:K,7,0)</f>
        <v>0</v>
      </c>
      <c r="AC16" s="424" t="str">
        <f>IFERROR(IF(AB16&lt;&gt;"",_xlfn.IFNA((VLOOKUP(B16,IM_Process!B:AH,13,0)/VLOOKUP(B16,IM_Process!B:AH,9,0))/AB16,""),""),"")</f>
        <v/>
      </c>
      <c r="AD16" s="422" t="str">
        <f t="shared" si="8"/>
        <v/>
      </c>
      <c r="AE16" s="422" t="str">
        <f t="shared" si="9"/>
        <v/>
      </c>
      <c r="AF16" s="425" t="str">
        <f>IF(AE16&lt;&gt;"",IF(VLOOKUP(B16,IM_Process!B:O,14,0)=0,"",IF(VLOOKUP(B16,IM_Process!B:O,14,0)&lt;=50,"Less than 50 T",IF(VLOOKUP(B16,IM_Process!B:O,14,0)&lt;=110,"50 T to 110 T",IF(VLOOKUP(B16,IM_Process!B:O,14,0)&lt;=150,"110 T to 150 T",IF(VLOOKUP(B16,IM_Process!B:O,14,0)&lt;=180,"150 T to 180 T",IF(VLOOKUP(B16,IM_Process!B:O,14,0)&lt;=250,"180 T to 250 T",IF(VLOOKUP(B16,IM_Process!B:O,14,0)&lt;=320,"250 T to 320 T",IF(VLOOKUP(B16,IM_Process!B:O,14,0)&lt;=400,"320 T to 400 T",IF(VLOOKUP(B16,IM_Process!B:O,14,0)&lt;=480,"400 T to 480 T",IF(VLOOKUP(B16,IM_Process!B:O,14,0)&lt;=550,"480 T to 550 T",IF(VLOOKUP(B16,IM_Process!B:O,14,0)&lt;=650,"550 T to 650 T",IF(VLOOKUP(B16,IM_Process!B:O,14,0)&lt;=850,"650 T to 850 T",IF(VLOOKUP(B16,IM_Process!B:O,14,0)&lt;=1050,"850 T to 1050 T",IF(VLOOKUP(B16,IM_Process!B:O,14,0)&lt;=1450,"1050 T to 1450 T",IF(VLOOKUP(B16,IM_Process!B:O,14,0)&lt;=1750,"1450 T to 1750 T",IF(VLOOKUP(B16,IM_Process!B:O,14,0)&lt;=2200,"1750 T to 2200 T",IF(VLOOKUP(B16,IM_Process!B:O,14,0)&lt;=2750,"2200 T to 2750 T",IF(VLOOKUP(B16,IM_Process!B:O,14,0)&lt;=3500,"2750 T to 3500 T",IF(VLOOKUP(B16,IM_Process!B:O,14,0)&lt;=4000,"3500 T to 4000 T",""))))))))))))))))))),"")</f>
        <v/>
      </c>
      <c r="AG16" s="426" t="str">
        <f>IF(AE16&lt;&gt;"",_xlfn.IFNA(1/(VLOOKUP(AF16,DATA_SHEET!BB:BC,2,0)/AD16),(1/VLOOKUP(AF16,DATA_SHEET!BE:BF,2,0))*AE16)+(2+2+3),"")</f>
        <v/>
      </c>
      <c r="AH16" s="413" t="str">
        <f>IFERROR(IF(AND(I16&gt;0,I16&lt;=1),_xlfn.IFNA(VLOOKUP(LEFT(U16,4),DATA_SHEET!AT:AZ,2,0),_xlfn.IFNA(VLOOKUP(LEFT(U16,3),DATA_SHEET!AT:AZ,2,0),_xlfn.IFNA(VLOOKUP(LEFT(U16,2),DATA_SHEET!AT:AZ,2,0),))),IF(AND(I16&gt;1,I16&lt;=2),_xlfn.IFNA(VLOOKUP(LEFT(U16,4),DATA_SHEET!AT:AZ,3,0),_xlfn.IFNA(VLOOKUP(LEFT(U16,3),DATA_SHEET!AT:AZ,3,0),_xlfn.IFNA(VLOOKUP(LEFT(U16,2),DATA_SHEET!AT:AZ,3,0),))),IF(AND(I16&gt;2,I16&lt;=3),_xlfn.IFNA(VLOOKUP(LEFT(U16,4),DATA_SHEET!AT:AZ,4,0),_xlfn.IFNA(VLOOKUP(LEFT(U16,3),DATA_SHEET!AT:AZ,4,0),_xlfn.IFNA(VLOOKUP(LEFT(U16,2),DATA_SHEET!AT:AZ,4,0),))),IF(AND(I16&gt;3,I16&lt;=4),_xlfn.IFNA(VLOOKUP(LEFT(U16,4),DATA_SHEET!AT:AZ,5,0),_xlfn.IFNA(VLOOKUP(LEFT(U16,3),DATA_SHEET!AT:AZ,5,0),_xlfn.IFNA(VLOOKUP(LEFT(U16,2),DATA_SHEET!AT:AZ,5,0),))),IF(AND(I16&gt;4,I16&lt;=5),_xlfn.IFNA(VLOOKUP(LEFT(U16,4),DATA_SHEET!AT:AZ,6,0),_xlfn.IFNA(VLOOKUP(LEFT(U16,3),DATA_SHEET!AT:AZ,6,0),_xlfn.IFNA(VLOOKUP(LEFT(U16,2),DATA_SHEET!AT:AZ,6,0),))),IF(AND(I16&gt;5,I16&lt;=6),_xlfn.IFNA(VLOOKUP(LEFT(U16,4),DATA_SHEET!AT:AZ,7,0),_xlfn.IFNA(VLOOKUP(LEFT(U16,3),DATA_SHEET!AT:AZ,7,0),_xlfn.IFNA(VLOOKUP(LEFT(U16,2),DATA_SHEET!AT:AZ,7,0),))),0/0)))))),"")</f>
        <v/>
      </c>
      <c r="AI16" s="413">
        <f t="shared" si="10"/>
        <v>2</v>
      </c>
      <c r="AJ16" s="427" t="e">
        <f t="shared" si="11"/>
        <v>#VALUE!</v>
      </c>
      <c r="AK16" s="428" t="str">
        <f t="shared" si="12"/>
        <v/>
      </c>
    </row>
  </sheetData>
  <mergeCells count="12">
    <mergeCell ref="AB4:AE4"/>
    <mergeCell ref="AF4:AK4"/>
    <mergeCell ref="B5:B6"/>
    <mergeCell ref="C5:C6"/>
    <mergeCell ref="D5:D6"/>
    <mergeCell ref="E5:E6"/>
    <mergeCell ref="X4:AA4"/>
    <mergeCell ref="A2:H2"/>
    <mergeCell ref="F4:M4"/>
    <mergeCell ref="N4:P4"/>
    <mergeCell ref="Q4:S4"/>
    <mergeCell ref="U4:W4"/>
  </mergeCells>
  <dataValidations count="3">
    <dataValidation allowBlank="1" showInputMessage="1" showErrorMessage="1" promptTitle="Max. flow path" prompt="Determinate the longest flow path from injection point to the farest sealing edge" sqref="X7:X16" xr:uid="{00000000-0002-0000-1300-000000000000}"/>
    <dataValidation type="decimal" allowBlank="1" showInputMessage="1" showErrorMessage="1" errorTitle="Range exceeded" error="Valid range: 0,5 mm - 3,0 mm" promptTitle="Minimum wallthickness" prompt="Please enter the minimum wallthickness on the flow path from injection point to sealing edge (0,5 - 3,0 mm)" sqref="Y7:Y16" xr:uid="{00000000-0002-0000-1300-000001000000}">
      <formula1>0.5</formula1>
      <formula2>3</formula2>
    </dataValidation>
    <dataValidation allowBlank="1" showErrorMessage="1" sqref="W6" xr:uid="{00000000-0002-0000-1300-000002000000}"/>
  </dataValidation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/>
  <dimension ref="A1:XFC99"/>
  <sheetViews>
    <sheetView showGridLines="0" topLeftCell="A6" zoomScale="93" zoomScaleNormal="93" workbookViewId="0">
      <selection activeCell="J36" sqref="J36"/>
    </sheetView>
  </sheetViews>
  <sheetFormatPr defaultColWidth="9.140625" defaultRowHeight="0" customHeight="1" zeroHeight="1"/>
  <cols>
    <col min="1" max="1" width="0.85546875" customWidth="1"/>
    <col min="2" max="2" width="6.7109375" style="102" customWidth="1"/>
    <col min="3" max="3" width="9.140625" customWidth="1"/>
    <col min="4" max="4" width="35.7109375" customWidth="1"/>
    <col min="5" max="5" width="13.140625" customWidth="1"/>
    <col min="6" max="6" width="16.140625" style="127" bestFit="1" customWidth="1"/>
    <col min="7" max="7" width="15" style="127" customWidth="1"/>
    <col min="8" max="8" width="7.42578125" style="127" customWidth="1"/>
    <col min="9" max="9" width="13.85546875" style="127" customWidth="1"/>
    <col min="10" max="10" width="17.7109375" style="127" bestFit="1" customWidth="1"/>
    <col min="11" max="11" width="11.28515625" customWidth="1"/>
    <col min="12" max="12" width="31.28515625" bestFit="1" customWidth="1"/>
    <col min="13" max="13" width="13.5703125" bestFit="1" customWidth="1"/>
    <col min="14" max="14" width="11.7109375" bestFit="1" customWidth="1"/>
    <col min="15" max="15" width="13.85546875" bestFit="1" customWidth="1"/>
    <col min="16" max="16" width="15.28515625" bestFit="1" customWidth="1"/>
    <col min="17" max="17" width="8.5703125" bestFit="1" customWidth="1"/>
    <col min="18" max="19" width="10.28515625" hidden="1" customWidth="1"/>
    <col min="20" max="27" width="5.5703125" hidden="1" customWidth="1"/>
    <col min="28" max="89" width="0" hidden="1" customWidth="1"/>
    <col min="90" max="16379" width="9.140625" hidden="1" customWidth="1"/>
    <col min="16380" max="16381" width="10" hidden="1" customWidth="1"/>
    <col min="16382" max="16382" width="12.7109375" hidden="1" customWidth="1"/>
    <col min="16383" max="16383" width="33.7109375" hidden="1" customWidth="1"/>
    <col min="16384" max="16384" width="0.7109375" customWidth="1"/>
  </cols>
  <sheetData>
    <row r="1" spans="1:20" ht="5.25" customHeight="1" thickBot="1">
      <c r="A1" s="691">
        <v>1</v>
      </c>
    </row>
    <row r="2" spans="1:20" ht="15.75" thickBot="1">
      <c r="F2" s="852" t="s">
        <v>573</v>
      </c>
      <c r="G2" s="853"/>
      <c r="H2" s="854"/>
      <c r="L2" s="855" t="s">
        <v>574</v>
      </c>
      <c r="M2" s="856"/>
      <c r="N2" s="857"/>
    </row>
    <row r="3" spans="1:20" ht="15">
      <c r="F3" s="509" t="s">
        <v>526</v>
      </c>
      <c r="G3" s="510">
        <v>120</v>
      </c>
      <c r="H3" s="511" t="s">
        <v>575</v>
      </c>
      <c r="I3"/>
      <c r="J3"/>
      <c r="L3" s="512" t="s">
        <v>576</v>
      </c>
      <c r="M3" s="513" t="s">
        <v>577</v>
      </c>
      <c r="N3" s="514"/>
    </row>
    <row r="4" spans="1:20" ht="15">
      <c r="F4" s="515" t="s">
        <v>578</v>
      </c>
      <c r="G4" s="516">
        <v>100</v>
      </c>
      <c r="H4" s="517" t="s">
        <v>575</v>
      </c>
      <c r="I4"/>
      <c r="J4"/>
      <c r="L4" s="518" t="s">
        <v>579</v>
      </c>
      <c r="M4" s="519">
        <v>90</v>
      </c>
      <c r="N4" s="520" t="s">
        <v>442</v>
      </c>
    </row>
    <row r="5" spans="1:20" ht="15.75" thickBot="1">
      <c r="F5" s="521" t="s">
        <v>580</v>
      </c>
      <c r="G5" s="522">
        <v>80</v>
      </c>
      <c r="H5" s="523" t="s">
        <v>575</v>
      </c>
      <c r="I5"/>
      <c r="L5" s="518" t="s">
        <v>581</v>
      </c>
      <c r="M5" s="524">
        <f>80%*11+(M4/3)*20%</f>
        <v>14.8</v>
      </c>
      <c r="N5" s="520"/>
    </row>
    <row r="6" spans="1:20" ht="15.75" thickBot="1">
      <c r="I6"/>
      <c r="L6" s="518" t="s">
        <v>582</v>
      </c>
      <c r="M6" s="525">
        <v>0.85</v>
      </c>
      <c r="N6" s="520" t="s">
        <v>583</v>
      </c>
    </row>
    <row r="7" spans="1:20" ht="15.75" thickBot="1">
      <c r="F7" s="858" t="s">
        <v>584</v>
      </c>
      <c r="G7" s="859"/>
      <c r="H7" s="860"/>
      <c r="I7"/>
      <c r="L7" s="518" t="s">
        <v>354</v>
      </c>
      <c r="M7" s="525">
        <v>0.8</v>
      </c>
      <c r="N7" s="520" t="s">
        <v>583</v>
      </c>
    </row>
    <row r="8" spans="1:20" ht="15">
      <c r="F8" s="526" t="s">
        <v>466</v>
      </c>
      <c r="G8" s="513">
        <v>2</v>
      </c>
      <c r="H8" s="527" t="s">
        <v>585</v>
      </c>
      <c r="I8"/>
      <c r="L8" s="518" t="s">
        <v>421</v>
      </c>
      <c r="M8" s="525">
        <v>0.12</v>
      </c>
      <c r="N8" s="520" t="s">
        <v>583</v>
      </c>
    </row>
    <row r="9" spans="1:20" ht="15">
      <c r="F9" s="528" t="s">
        <v>467</v>
      </c>
      <c r="G9" s="519">
        <v>8</v>
      </c>
      <c r="H9" s="529" t="s">
        <v>586</v>
      </c>
      <c r="I9"/>
      <c r="L9" s="518" t="s">
        <v>587</v>
      </c>
      <c r="M9" s="519">
        <v>10</v>
      </c>
      <c r="N9" s="520" t="s">
        <v>588</v>
      </c>
    </row>
    <row r="10" spans="1:20" ht="15.75" thickBot="1">
      <c r="F10" s="528" t="s">
        <v>589</v>
      </c>
      <c r="G10" s="519">
        <v>6</v>
      </c>
      <c r="H10" s="529" t="s">
        <v>585</v>
      </c>
      <c r="I10"/>
      <c r="J10"/>
      <c r="L10" s="530" t="s">
        <v>590</v>
      </c>
      <c r="M10" s="531">
        <v>150</v>
      </c>
      <c r="N10" s="532" t="s">
        <v>575</v>
      </c>
    </row>
    <row r="11" spans="1:20" ht="36.75" thickBot="1">
      <c r="B11" s="533" t="s">
        <v>591</v>
      </c>
      <c r="F11" s="534" t="s">
        <v>592</v>
      </c>
      <c r="G11" s="535">
        <v>50</v>
      </c>
      <c r="H11" s="536" t="s">
        <v>585</v>
      </c>
    </row>
    <row r="12" spans="1:20" s="67" customFormat="1" ht="15.75" thickBot="1">
      <c r="C12" s="537"/>
      <c r="D12" s="537"/>
      <c r="F12" s="78"/>
      <c r="G12" s="78"/>
      <c r="H12" s="78"/>
      <c r="I12" s="78"/>
      <c r="J12" s="78"/>
      <c r="T12" s="14"/>
    </row>
    <row r="13" spans="1:20" s="540" customFormat="1" ht="30">
      <c r="B13" s="861" t="s">
        <v>593</v>
      </c>
      <c r="C13" s="863" t="s">
        <v>516</v>
      </c>
      <c r="D13" s="863" t="s">
        <v>591</v>
      </c>
      <c r="E13" s="538" t="s">
        <v>91</v>
      </c>
      <c r="F13" s="229" t="s">
        <v>594</v>
      </c>
      <c r="G13" s="229" t="s">
        <v>595</v>
      </c>
      <c r="H13" s="229" t="s">
        <v>596</v>
      </c>
      <c r="I13" s="229" t="s">
        <v>597</v>
      </c>
      <c r="J13" s="229" t="s">
        <v>598</v>
      </c>
      <c r="K13" s="229" t="s">
        <v>599</v>
      </c>
      <c r="L13" s="229" t="s">
        <v>600</v>
      </c>
      <c r="M13" s="229" t="s">
        <v>601</v>
      </c>
      <c r="N13" s="229" t="s">
        <v>602</v>
      </c>
      <c r="O13" s="229" t="s">
        <v>603</v>
      </c>
      <c r="P13" s="229" t="s">
        <v>604</v>
      </c>
      <c r="Q13" s="539" t="s">
        <v>347</v>
      </c>
      <c r="R13" s="19"/>
      <c r="S13" s="19"/>
      <c r="T13" s="14"/>
    </row>
    <row r="14" spans="1:20" s="540" customFormat="1" ht="15.75" thickBot="1">
      <c r="B14" s="862"/>
      <c r="C14" s="864"/>
      <c r="D14" s="864"/>
      <c r="E14" s="541" t="s">
        <v>575</v>
      </c>
      <c r="F14" s="542" t="s">
        <v>575</v>
      </c>
      <c r="G14" s="542" t="s">
        <v>575</v>
      </c>
      <c r="H14" s="542" t="s">
        <v>605</v>
      </c>
      <c r="I14" s="542" t="s">
        <v>575</v>
      </c>
      <c r="J14" s="542" t="s">
        <v>606</v>
      </c>
      <c r="K14" s="542" t="s">
        <v>583</v>
      </c>
      <c r="L14" s="542" t="s">
        <v>588</v>
      </c>
      <c r="M14" s="542" t="s">
        <v>575</v>
      </c>
      <c r="N14" s="542" t="s">
        <v>575</v>
      </c>
      <c r="O14" s="542" t="s">
        <v>607</v>
      </c>
      <c r="P14" s="542" t="s">
        <v>575</v>
      </c>
      <c r="Q14" s="543" t="s">
        <v>575</v>
      </c>
      <c r="R14" s="19"/>
      <c r="S14" s="19"/>
      <c r="T14" s="14"/>
    </row>
    <row r="15" spans="1:20" s="14" customFormat="1" ht="15">
      <c r="B15" s="544">
        <v>1</v>
      </c>
      <c r="C15" s="292">
        <v>110</v>
      </c>
      <c r="D15" s="545" t="s">
        <v>608</v>
      </c>
      <c r="E15" s="546">
        <f t="shared" ref="E15:E31" si="0">Q15*60</f>
        <v>404.65833333333336</v>
      </c>
      <c r="F15" s="547">
        <v>1880000</v>
      </c>
      <c r="G15" s="548">
        <f>F15*2.5%</f>
        <v>47000</v>
      </c>
      <c r="H15" s="549">
        <f>11.5+8</f>
        <v>19.5</v>
      </c>
      <c r="I15" s="548">
        <f>F15*2%</f>
        <v>37600</v>
      </c>
      <c r="J15" s="550">
        <f>4.4*1.2</f>
        <v>5.28</v>
      </c>
      <c r="K15" s="551">
        <v>0.8</v>
      </c>
      <c r="L15" s="552">
        <v>10</v>
      </c>
      <c r="M15" s="546">
        <f>F15/L15+F15*IM_Machinery!$M$8/2</f>
        <v>300800</v>
      </c>
      <c r="N15" s="546">
        <f>12*J15*IM_Machinery!$M$10+G15*$K15*IM_Machinery!$G$8</f>
        <v>84704</v>
      </c>
      <c r="O15" s="546">
        <f>IM_Machinery!$G$8*IM_Machinery!$G$9*IM_Machinery!$G$10*IM_Machinery!$G$11*IM_Machinery!K15</f>
        <v>3840</v>
      </c>
      <c r="P15" s="546">
        <f>$O15*$H15*IM_Machinery!$M$5+$I15*IM_Machinery!$G$8*IM_Machinery!$K15</f>
        <v>1168384</v>
      </c>
      <c r="Q15" s="553">
        <f t="shared" ref="Q15:Q31" si="1">(P15+N15+M15)/O15/60</f>
        <v>6.744305555555556</v>
      </c>
      <c r="R15" s="554"/>
      <c r="S15" s="554"/>
    </row>
    <row r="16" spans="1:20" s="14" customFormat="1" ht="15">
      <c r="B16" s="555">
        <v>2</v>
      </c>
      <c r="C16" s="73">
        <v>150</v>
      </c>
      <c r="D16" s="556" t="s">
        <v>609</v>
      </c>
      <c r="E16" s="557">
        <f t="shared" si="0"/>
        <v>448.63437499999998</v>
      </c>
      <c r="F16" s="558">
        <v>2235000</v>
      </c>
      <c r="G16" s="414">
        <f t="shared" ref="G16:G22" si="2">F16*2.5%</f>
        <v>55875</v>
      </c>
      <c r="H16" s="62">
        <f>11.5+9.5</f>
        <v>21</v>
      </c>
      <c r="I16" s="414">
        <f t="shared" ref="I16:I22" si="3">F16*2%</f>
        <v>44700</v>
      </c>
      <c r="J16" s="559">
        <f>4.6*1.3</f>
        <v>5.9799999999999995</v>
      </c>
      <c r="K16" s="560">
        <v>0.8</v>
      </c>
      <c r="L16" s="561">
        <v>10</v>
      </c>
      <c r="M16" s="557">
        <f>F16/L16+F16*IM_Machinery!$M$8/2</f>
        <v>357600</v>
      </c>
      <c r="N16" s="557">
        <f>12*J16*IM_Machinery!$M$10+G16*$K16*IM_Machinery!$G$8</f>
        <v>100164</v>
      </c>
      <c r="O16" s="557">
        <f>IM_Machinery!$G$8*IM_Machinery!$G$9*IM_Machinery!$G$10*IM_Machinery!$G$11*IM_Machinery!K16</f>
        <v>3840</v>
      </c>
      <c r="P16" s="557">
        <f>$O16*$H16*IM_Machinery!$M$5+$I16*IM_Machinery!$G$8*IM_Machinery!$K16</f>
        <v>1264992</v>
      </c>
      <c r="Q16" s="562">
        <f t="shared" si="1"/>
        <v>7.4772395833333327</v>
      </c>
      <c r="R16" s="554"/>
      <c r="S16" s="554"/>
    </row>
    <row r="17" spans="2:19" s="14" customFormat="1" ht="15">
      <c r="B17" s="555">
        <v>3</v>
      </c>
      <c r="C17" s="73">
        <v>180</v>
      </c>
      <c r="D17" s="556" t="s">
        <v>610</v>
      </c>
      <c r="E17" s="557">
        <f t="shared" si="0"/>
        <v>592.86666666666667</v>
      </c>
      <c r="F17" s="558">
        <v>2530000</v>
      </c>
      <c r="G17" s="414">
        <f t="shared" si="2"/>
        <v>63250</v>
      </c>
      <c r="H17" s="62">
        <f>18.5+11</f>
        <v>29.5</v>
      </c>
      <c r="I17" s="414">
        <f t="shared" si="3"/>
        <v>50600</v>
      </c>
      <c r="J17" s="559">
        <f>5.2*1.4</f>
        <v>7.2799999999999994</v>
      </c>
      <c r="K17" s="560">
        <v>0.8</v>
      </c>
      <c r="L17" s="561">
        <v>10</v>
      </c>
      <c r="M17" s="557">
        <f>F17/L17+F17*IM_Machinery!$M$8/2</f>
        <v>404800</v>
      </c>
      <c r="N17" s="557">
        <f>12*J17*IM_Machinery!$M$10+G17*$K17*IM_Machinery!$G$8</f>
        <v>114304</v>
      </c>
      <c r="O17" s="557">
        <f>IM_Machinery!$G$8*IM_Machinery!$G$9*IM_Machinery!$G$10*IM_Machinery!$G$11*IM_Machinery!K17</f>
        <v>3840</v>
      </c>
      <c r="P17" s="557">
        <f>$O17*$H17*IM_Machinery!$M$5+$I17*IM_Machinery!$G$8*IM_Machinery!$K17</f>
        <v>1757504</v>
      </c>
      <c r="Q17" s="562">
        <f t="shared" si="1"/>
        <v>9.8811111111111121</v>
      </c>
      <c r="R17" s="554"/>
      <c r="S17" s="554"/>
    </row>
    <row r="18" spans="2:19" s="14" customFormat="1" ht="15">
      <c r="B18" s="555">
        <v>4</v>
      </c>
      <c r="C18" s="73">
        <v>250</v>
      </c>
      <c r="D18" s="556" t="s">
        <v>611</v>
      </c>
      <c r="E18" s="557">
        <f t="shared" si="0"/>
        <v>757.28958333333333</v>
      </c>
      <c r="F18" s="558">
        <v>3275000</v>
      </c>
      <c r="G18" s="414">
        <f t="shared" si="2"/>
        <v>81875</v>
      </c>
      <c r="H18" s="62">
        <f>21.5+16</f>
        <v>37.5</v>
      </c>
      <c r="I18" s="414">
        <f t="shared" si="3"/>
        <v>65500</v>
      </c>
      <c r="J18" s="559">
        <f>5.9*1.6</f>
        <v>9.4400000000000013</v>
      </c>
      <c r="K18" s="560">
        <v>0.8</v>
      </c>
      <c r="L18" s="561">
        <v>10</v>
      </c>
      <c r="M18" s="557">
        <f>F18/L18+F18*IM_Machinery!$M$8/2</f>
        <v>524000</v>
      </c>
      <c r="N18" s="557">
        <f>12*J18*IM_Machinery!$M$10+G18*$K18*IM_Machinery!$G$8</f>
        <v>147992</v>
      </c>
      <c r="O18" s="557">
        <f>IM_Machinery!$G$8*IM_Machinery!$G$9*IM_Machinery!$G$10*IM_Machinery!$G$11*IM_Machinery!K18</f>
        <v>3840</v>
      </c>
      <c r="P18" s="557">
        <f>$O18*$H18*IM_Machinery!$M$5+$I18*IM_Machinery!$G$8*IM_Machinery!$K18</f>
        <v>2236000</v>
      </c>
      <c r="Q18" s="562">
        <f t="shared" si="1"/>
        <v>12.621493055555556</v>
      </c>
      <c r="R18" s="554"/>
      <c r="S18" s="554"/>
    </row>
    <row r="19" spans="2:19" s="14" customFormat="1" ht="15">
      <c r="B19" s="555">
        <v>5</v>
      </c>
      <c r="C19" s="73">
        <v>320</v>
      </c>
      <c r="D19" s="556" t="s">
        <v>612</v>
      </c>
      <c r="E19" s="557">
        <f t="shared" si="0"/>
        <v>960.74062499999991</v>
      </c>
      <c r="F19" s="558">
        <v>4050000</v>
      </c>
      <c r="G19" s="414">
        <f t="shared" si="2"/>
        <v>101250</v>
      </c>
      <c r="H19" s="62">
        <f>28+20</f>
        <v>48</v>
      </c>
      <c r="I19" s="414">
        <f t="shared" si="3"/>
        <v>81000</v>
      </c>
      <c r="J19" s="559">
        <f>6.7*1.8</f>
        <v>12.06</v>
      </c>
      <c r="K19" s="560">
        <v>0.8</v>
      </c>
      <c r="L19" s="561">
        <v>10</v>
      </c>
      <c r="M19" s="557">
        <f>F19/L19+F19*IM_Machinery!$M$8/2</f>
        <v>648000</v>
      </c>
      <c r="N19" s="557">
        <f>12*J19*IM_Machinery!$M$10+G19*$K19*IM_Machinery!$G$8</f>
        <v>183708</v>
      </c>
      <c r="O19" s="557">
        <f>IM_Machinery!$G$8*IM_Machinery!$G$9*IM_Machinery!$G$10*IM_Machinery!$G$11*IM_Machinery!K19</f>
        <v>3840</v>
      </c>
      <c r="P19" s="557">
        <f>$O19*$H19*IM_Machinery!$M$5+$I19*IM_Machinery!$G$8*IM_Machinery!$K19</f>
        <v>2857536</v>
      </c>
      <c r="Q19" s="562">
        <f t="shared" si="1"/>
        <v>16.012343749999999</v>
      </c>
      <c r="R19" s="554"/>
      <c r="S19" s="554"/>
    </row>
    <row r="20" spans="2:19" s="14" customFormat="1" ht="15">
      <c r="B20" s="555">
        <v>6</v>
      </c>
      <c r="C20" s="73">
        <v>400</v>
      </c>
      <c r="D20" s="556" t="s">
        <v>613</v>
      </c>
      <c r="E20" s="557">
        <f t="shared" si="0"/>
        <v>1253.8220833333335</v>
      </c>
      <c r="F20" s="558">
        <v>5960000</v>
      </c>
      <c r="G20" s="414">
        <f t="shared" si="2"/>
        <v>149000</v>
      </c>
      <c r="H20" s="62">
        <f>22.4+37.5</f>
        <v>59.9</v>
      </c>
      <c r="I20" s="414">
        <f t="shared" si="3"/>
        <v>119200</v>
      </c>
      <c r="J20" s="559">
        <f>7.7*2</f>
        <v>15.4</v>
      </c>
      <c r="K20" s="560">
        <v>0.8</v>
      </c>
      <c r="L20" s="561">
        <v>10</v>
      </c>
      <c r="M20" s="557">
        <f>F20/L20+F20*IM_Machinery!$M$8/2</f>
        <v>953600</v>
      </c>
      <c r="N20" s="557">
        <f>12*J20*IM_Machinery!$M$10+G20*$K20*IM_Machinery!$G$8</f>
        <v>266120</v>
      </c>
      <c r="O20" s="557">
        <f>IM_Machinery!$G$8*IM_Machinery!$G$9*IM_Machinery!$G$10*IM_Machinery!$G$11*IM_Machinery!K20</f>
        <v>3840</v>
      </c>
      <c r="P20" s="557">
        <f>$O20*$H20*IM_Machinery!$M$5+$I20*IM_Machinery!$G$8*IM_Machinery!$K20</f>
        <v>3594956.8000000003</v>
      </c>
      <c r="Q20" s="562">
        <f t="shared" si="1"/>
        <v>20.897034722222223</v>
      </c>
      <c r="R20" s="554"/>
      <c r="S20" s="554"/>
    </row>
    <row r="21" spans="2:19" s="14" customFormat="1" ht="15">
      <c r="B21" s="555">
        <v>7</v>
      </c>
      <c r="C21" s="73">
        <v>480</v>
      </c>
      <c r="D21" s="556" t="s">
        <v>614</v>
      </c>
      <c r="E21" s="557">
        <f t="shared" si="0"/>
        <v>1456.1225000000002</v>
      </c>
      <c r="F21" s="558">
        <v>6900000</v>
      </c>
      <c r="G21" s="414">
        <f t="shared" si="2"/>
        <v>172500</v>
      </c>
      <c r="H21" s="62">
        <f>27.7+21+21</f>
        <v>69.7</v>
      </c>
      <c r="I21" s="414">
        <f t="shared" si="3"/>
        <v>138000</v>
      </c>
      <c r="J21" s="559">
        <f>8.2*2</f>
        <v>16.399999999999999</v>
      </c>
      <c r="K21" s="560">
        <v>0.8</v>
      </c>
      <c r="L21" s="561">
        <v>10</v>
      </c>
      <c r="M21" s="557">
        <f>F21/L21+F21*IM_Machinery!$M$8/2</f>
        <v>1104000</v>
      </c>
      <c r="N21" s="557">
        <f>12*J21*IM_Machinery!$M$10+G21*$K21*IM_Machinery!$G$8</f>
        <v>305520</v>
      </c>
      <c r="O21" s="557">
        <f>IM_Machinery!$G$8*IM_Machinery!$G$9*IM_Machinery!$G$10*IM_Machinery!$G$11*IM_Machinery!K21</f>
        <v>3840</v>
      </c>
      <c r="P21" s="557">
        <f>$O21*$H21*IM_Machinery!$M$5+$I21*IM_Machinery!$G$8*IM_Machinery!$K21</f>
        <v>4181990.4000000004</v>
      </c>
      <c r="Q21" s="562">
        <f t="shared" si="1"/>
        <v>24.268708333333336</v>
      </c>
      <c r="R21" s="554"/>
      <c r="S21" s="554"/>
    </row>
    <row r="22" spans="2:19" s="14" customFormat="1" ht="15">
      <c r="B22" s="555">
        <v>8</v>
      </c>
      <c r="C22" s="73">
        <v>550</v>
      </c>
      <c r="D22" s="556" t="s">
        <v>615</v>
      </c>
      <c r="E22" s="557">
        <f t="shared" si="0"/>
        <v>1811.8377083333332</v>
      </c>
      <c r="F22" s="558">
        <v>8240000</v>
      </c>
      <c r="G22" s="414">
        <f t="shared" si="2"/>
        <v>206000</v>
      </c>
      <c r="H22" s="62">
        <f>32.15+28+28</f>
        <v>88.15</v>
      </c>
      <c r="I22" s="414">
        <f t="shared" si="3"/>
        <v>164800</v>
      </c>
      <c r="J22" s="559">
        <f>9.1*2.2</f>
        <v>20.02</v>
      </c>
      <c r="K22" s="560">
        <v>0.8</v>
      </c>
      <c r="L22" s="561">
        <v>10</v>
      </c>
      <c r="M22" s="557">
        <f>F22/L22+F22*IM_Machinery!$M$8/2</f>
        <v>1318400</v>
      </c>
      <c r="N22" s="557">
        <f>12*J22*IM_Machinery!$M$10+G22*$K22*IM_Machinery!$G$8</f>
        <v>365636</v>
      </c>
      <c r="O22" s="557">
        <f>IM_Machinery!$G$8*IM_Machinery!$G$9*IM_Machinery!$G$10*IM_Machinery!$G$11*IM_Machinery!K22</f>
        <v>3840</v>
      </c>
      <c r="P22" s="557">
        <f>$O22*$H22*IM_Machinery!$M$5+$I22*IM_Machinery!$G$8*IM_Machinery!$K22</f>
        <v>5273420.8</v>
      </c>
      <c r="Q22" s="562">
        <f t="shared" si="1"/>
        <v>30.197295138888887</v>
      </c>
      <c r="R22" s="554"/>
      <c r="S22" s="554"/>
    </row>
    <row r="23" spans="2:19" s="14" customFormat="1" ht="15">
      <c r="B23" s="555">
        <v>9</v>
      </c>
      <c r="C23" s="73">
        <v>650</v>
      </c>
      <c r="D23" s="556" t="s">
        <v>616</v>
      </c>
      <c r="E23" s="557">
        <f t="shared" si="0"/>
        <v>2433.9375</v>
      </c>
      <c r="F23" s="558">
        <v>13200000</v>
      </c>
      <c r="G23" s="414">
        <f>F23*2.5%</f>
        <v>330000</v>
      </c>
      <c r="H23" s="62">
        <f>41*2+28</f>
        <v>110</v>
      </c>
      <c r="I23" s="414">
        <f>F23*2%</f>
        <v>264000</v>
      </c>
      <c r="J23" s="559">
        <f>7.5*2.4</f>
        <v>18</v>
      </c>
      <c r="K23" s="560">
        <v>0.8</v>
      </c>
      <c r="L23" s="561">
        <v>10</v>
      </c>
      <c r="M23" s="557">
        <f>F23/L23+F23*IM_Machinery!$M$8/2</f>
        <v>2112000</v>
      </c>
      <c r="N23" s="557">
        <f>12*J23*IM_Machinery!$M$10+G23*$K23*IM_Machinery!$G$8</f>
        <v>560400</v>
      </c>
      <c r="O23" s="557">
        <f>IM_Machinery!$G$8*IM_Machinery!$G$9*IM_Machinery!$G$10*IM_Machinery!$G$11*IM_Machinery!K23</f>
        <v>3840</v>
      </c>
      <c r="P23" s="557">
        <f>$O23*$H23*IM_Machinery!$M$5+$I23*IM_Machinery!$G$8*IM_Machinery!$K23</f>
        <v>6673920</v>
      </c>
      <c r="Q23" s="562">
        <f t="shared" si="1"/>
        <v>40.565624999999997</v>
      </c>
      <c r="R23" s="554"/>
      <c r="S23" s="554"/>
    </row>
    <row r="24" spans="2:19" s="14" customFormat="1" ht="15">
      <c r="B24" s="555">
        <v>10</v>
      </c>
      <c r="C24" s="73">
        <v>850</v>
      </c>
      <c r="D24" s="556" t="s">
        <v>617</v>
      </c>
      <c r="E24" s="557">
        <f t="shared" si="0"/>
        <v>3051.6593750000002</v>
      </c>
      <c r="F24" s="558">
        <v>15300000</v>
      </c>
      <c r="G24" s="414">
        <f t="shared" ref="G24:G31" si="4">F24*2.5%</f>
        <v>382500</v>
      </c>
      <c r="H24" s="62">
        <f>41+57+45</f>
        <v>143</v>
      </c>
      <c r="I24" s="414">
        <f t="shared" ref="I24:I31" si="5">F24*2%</f>
        <v>306000</v>
      </c>
      <c r="J24" s="559">
        <f>8.6*2.7</f>
        <v>23.22</v>
      </c>
      <c r="K24" s="560">
        <v>0.8</v>
      </c>
      <c r="L24" s="561">
        <v>10</v>
      </c>
      <c r="M24" s="557">
        <f>F24/L24+F24*IM_Machinery!$M$8/2</f>
        <v>2448000</v>
      </c>
      <c r="N24" s="557">
        <f>12*J24*IM_Machinery!$M$10+G24*$K24*IM_Machinery!$G$8</f>
        <v>653796</v>
      </c>
      <c r="O24" s="557">
        <f>IM_Machinery!$G$8*IM_Machinery!$G$9*IM_Machinery!$G$10*IM_Machinery!$G$11*IM_Machinery!K24</f>
        <v>3840</v>
      </c>
      <c r="P24" s="557">
        <f>$O24*$H24*IM_Machinery!$M$5+$I24*IM_Machinery!$G$8*IM_Machinery!$K24</f>
        <v>8616576</v>
      </c>
      <c r="Q24" s="562">
        <f t="shared" si="1"/>
        <v>50.860989583333335</v>
      </c>
      <c r="R24" s="554"/>
      <c r="S24" s="554"/>
    </row>
    <row r="25" spans="2:19" s="14" customFormat="1" ht="15">
      <c r="B25" s="555">
        <v>11</v>
      </c>
      <c r="C25" s="73">
        <v>1050</v>
      </c>
      <c r="D25" s="556" t="s">
        <v>618</v>
      </c>
      <c r="E25" s="557">
        <f t="shared" si="0"/>
        <v>3618.1708333333331</v>
      </c>
      <c r="F25" s="558">
        <v>18500000</v>
      </c>
      <c r="G25" s="414">
        <f t="shared" si="4"/>
        <v>462500</v>
      </c>
      <c r="H25" s="62">
        <f>41*3+45</f>
        <v>168</v>
      </c>
      <c r="I25" s="414">
        <f t="shared" si="5"/>
        <v>370000</v>
      </c>
      <c r="J25" s="559">
        <f>10*3</f>
        <v>30</v>
      </c>
      <c r="K25" s="560">
        <v>0.8</v>
      </c>
      <c r="L25" s="561">
        <v>10</v>
      </c>
      <c r="M25" s="557">
        <f>F25/L25+F25*IM_Machinery!$M$8/2</f>
        <v>2960000</v>
      </c>
      <c r="N25" s="557">
        <f>12*J25*IM_Machinery!$M$10+G25*$K25*IM_Machinery!$G$8</f>
        <v>794000</v>
      </c>
      <c r="O25" s="557">
        <f>IM_Machinery!$G$8*IM_Machinery!$G$9*IM_Machinery!$G$10*IM_Machinery!$G$11*IM_Machinery!K25</f>
        <v>3840</v>
      </c>
      <c r="P25" s="557">
        <f>$O25*$H25*IM_Machinery!$M$5+$I25*IM_Machinery!$G$8*IM_Machinery!$K25</f>
        <v>10139776</v>
      </c>
      <c r="Q25" s="562">
        <f t="shared" si="1"/>
        <v>60.302847222222219</v>
      </c>
      <c r="R25" s="554"/>
      <c r="S25" s="554"/>
    </row>
    <row r="26" spans="2:19" s="14" customFormat="1" ht="15">
      <c r="B26" s="555">
        <v>12</v>
      </c>
      <c r="C26" s="73">
        <v>1450</v>
      </c>
      <c r="D26" s="556" t="s">
        <v>619</v>
      </c>
      <c r="E26" s="557">
        <f t="shared" si="0"/>
        <v>4533.0489583333338</v>
      </c>
      <c r="F26" s="558">
        <v>26000000</v>
      </c>
      <c r="G26" s="414">
        <f t="shared" si="4"/>
        <v>650000</v>
      </c>
      <c r="H26" s="62">
        <f>41*2+57+60</f>
        <v>199</v>
      </c>
      <c r="I26" s="414">
        <f t="shared" si="5"/>
        <v>520000</v>
      </c>
      <c r="J26" s="559">
        <f>11*3.3</f>
        <v>36.299999999999997</v>
      </c>
      <c r="K26" s="560">
        <v>0.8</v>
      </c>
      <c r="L26" s="561">
        <v>10</v>
      </c>
      <c r="M26" s="557">
        <f>F26/L26+F26*IM_Machinery!$M$8/2</f>
        <v>4160000</v>
      </c>
      <c r="N26" s="557">
        <f>12*J26*IM_Machinery!$M$10+G26*$K26*IM_Machinery!$G$8</f>
        <v>1105340</v>
      </c>
      <c r="O26" s="557">
        <f>IM_Machinery!$G$8*IM_Machinery!$G$9*IM_Machinery!$G$10*IM_Machinery!$G$11*IM_Machinery!K26</f>
        <v>3840</v>
      </c>
      <c r="P26" s="557">
        <f>$O26*$H26*IM_Machinery!$M$5+$I26*IM_Machinery!$G$8*IM_Machinery!$K26</f>
        <v>12141568</v>
      </c>
      <c r="Q26" s="562">
        <f t="shared" si="1"/>
        <v>75.550815972222225</v>
      </c>
      <c r="R26" s="554"/>
      <c r="S26" s="554"/>
    </row>
    <row r="27" spans="2:19" s="14" customFormat="1" ht="15">
      <c r="B27" s="555">
        <v>13</v>
      </c>
      <c r="C27" s="73">
        <v>1750</v>
      </c>
      <c r="D27" s="556" t="s">
        <v>620</v>
      </c>
      <c r="E27" s="557">
        <f t="shared" si="0"/>
        <v>5418.5625</v>
      </c>
      <c r="F27" s="558">
        <v>33000000</v>
      </c>
      <c r="G27" s="414">
        <f t="shared" si="4"/>
        <v>825000</v>
      </c>
      <c r="H27" s="62">
        <f>41+57*2+75</f>
        <v>230</v>
      </c>
      <c r="I27" s="414">
        <f t="shared" si="5"/>
        <v>660000</v>
      </c>
      <c r="J27" s="559">
        <f>12*3.7</f>
        <v>44.400000000000006</v>
      </c>
      <c r="K27" s="560">
        <v>0.8</v>
      </c>
      <c r="L27" s="561">
        <v>10</v>
      </c>
      <c r="M27" s="557">
        <f>F27/L27+F27*IM_Machinery!$M$8/2</f>
        <v>5280000</v>
      </c>
      <c r="N27" s="557">
        <f>12*J27*IM_Machinery!$M$10+G27*$K27*IM_Machinery!$G$8</f>
        <v>1399920</v>
      </c>
      <c r="O27" s="557">
        <f>IM_Machinery!$G$8*IM_Machinery!$G$9*IM_Machinery!$G$10*IM_Machinery!$G$11*IM_Machinery!K27</f>
        <v>3840</v>
      </c>
      <c r="P27" s="557">
        <f>$O27*$H27*IM_Machinery!$M$5+$I27*IM_Machinery!$G$8*IM_Machinery!$K27</f>
        <v>14127360</v>
      </c>
      <c r="Q27" s="562">
        <f t="shared" si="1"/>
        <v>90.309375000000003</v>
      </c>
      <c r="R27" s="554"/>
      <c r="S27" s="554"/>
    </row>
    <row r="28" spans="2:19" s="14" customFormat="1" ht="15">
      <c r="B28" s="555">
        <v>14</v>
      </c>
      <c r="C28" s="73">
        <v>2200</v>
      </c>
      <c r="D28" s="556" t="s">
        <v>621</v>
      </c>
      <c r="E28" s="557">
        <f t="shared" si="0"/>
        <v>6766.6143750000001</v>
      </c>
      <c r="F28" s="558">
        <v>42000000</v>
      </c>
      <c r="G28" s="414">
        <f t="shared" si="4"/>
        <v>1050000</v>
      </c>
      <c r="H28" s="62">
        <f>23+57*3+90</f>
        <v>284</v>
      </c>
      <c r="I28" s="414">
        <f t="shared" si="5"/>
        <v>840000</v>
      </c>
      <c r="J28" s="559">
        <f>13.55*4.08</f>
        <v>55.284000000000006</v>
      </c>
      <c r="K28" s="560">
        <v>0.8</v>
      </c>
      <c r="L28" s="561">
        <v>10</v>
      </c>
      <c r="M28" s="557">
        <f>F28/L28+F28*IM_Machinery!$M$8/2</f>
        <v>6720000</v>
      </c>
      <c r="N28" s="557">
        <f>12*J28*IM_Machinery!$M$10+G28*$K28*IM_Machinery!$G$8</f>
        <v>1779511.2</v>
      </c>
      <c r="O28" s="557">
        <f>IM_Machinery!$G$8*IM_Machinery!$G$9*IM_Machinery!$G$10*IM_Machinery!$G$11*IM_Machinery!K28</f>
        <v>3840</v>
      </c>
      <c r="P28" s="557">
        <f>$O28*$H28*IM_Machinery!$M$5+$I28*IM_Machinery!$G$8*IM_Machinery!$K28</f>
        <v>17484288</v>
      </c>
      <c r="Q28" s="562">
        <f t="shared" si="1"/>
        <v>112.77690625</v>
      </c>
      <c r="R28" s="554"/>
      <c r="S28" s="554"/>
    </row>
    <row r="29" spans="2:19" s="14" customFormat="1" ht="15">
      <c r="B29" s="555">
        <v>15</v>
      </c>
      <c r="C29" s="73">
        <v>2750</v>
      </c>
      <c r="D29" s="556" t="s">
        <v>622</v>
      </c>
      <c r="E29" s="557">
        <f t="shared" si="0"/>
        <v>7436.5723958333338</v>
      </c>
      <c r="F29" s="558">
        <v>53000000</v>
      </c>
      <c r="G29" s="414">
        <f t="shared" si="4"/>
        <v>1325000</v>
      </c>
      <c r="H29" s="62">
        <f>23+57*3+90</f>
        <v>284</v>
      </c>
      <c r="I29" s="414">
        <f t="shared" si="5"/>
        <v>1060000</v>
      </c>
      <c r="J29" s="559">
        <f>15*4.45</f>
        <v>66.75</v>
      </c>
      <c r="K29" s="560">
        <v>0.8</v>
      </c>
      <c r="L29" s="561">
        <v>10</v>
      </c>
      <c r="M29" s="557">
        <f>F29/L29+F29*IM_Machinery!$M$8/2</f>
        <v>8480000</v>
      </c>
      <c r="N29" s="557">
        <f>12*J29*IM_Machinery!$M$10+G29*$K29*IM_Machinery!$G$8</f>
        <v>2240150</v>
      </c>
      <c r="O29" s="557">
        <f>IM_Machinery!$G$8*IM_Machinery!$G$9*IM_Machinery!$G$10*IM_Machinery!$G$11*IM_Machinery!K29</f>
        <v>3840</v>
      </c>
      <c r="P29" s="557">
        <f>$O29*$H29*IM_Machinery!$M$5+$I29*IM_Machinery!$G$8*IM_Machinery!$K29</f>
        <v>17836288</v>
      </c>
      <c r="Q29" s="562">
        <f t="shared" si="1"/>
        <v>123.9428732638889</v>
      </c>
      <c r="R29" s="554"/>
      <c r="S29" s="554"/>
    </row>
    <row r="30" spans="2:19" s="14" customFormat="1" ht="15">
      <c r="B30" s="555">
        <v>16</v>
      </c>
      <c r="C30" s="73">
        <v>3500</v>
      </c>
      <c r="D30" s="556" t="s">
        <v>623</v>
      </c>
      <c r="E30" s="557">
        <f t="shared" si="0"/>
        <v>10415.8125</v>
      </c>
      <c r="F30" s="558">
        <v>76230000</v>
      </c>
      <c r="G30" s="414">
        <f t="shared" si="4"/>
        <v>1905750</v>
      </c>
      <c r="H30" s="62">
        <f>57*5+105</f>
        <v>390</v>
      </c>
      <c r="I30" s="414">
        <f t="shared" si="5"/>
        <v>1524600</v>
      </c>
      <c r="J30" s="559">
        <f>17*4.8</f>
        <v>81.599999999999994</v>
      </c>
      <c r="K30" s="560">
        <v>0.8</v>
      </c>
      <c r="L30" s="561">
        <v>10</v>
      </c>
      <c r="M30" s="557">
        <f>F30/L30+F30*IM_Machinery!$M$8/2</f>
        <v>12196800</v>
      </c>
      <c r="N30" s="557">
        <f>12*J30*IM_Machinery!$M$10+G30*$K30*IM_Machinery!$G$8</f>
        <v>3196080</v>
      </c>
      <c r="O30" s="557">
        <f>IM_Machinery!$G$8*IM_Machinery!$G$9*IM_Machinery!$G$10*IM_Machinery!$G$11*IM_Machinery!K30</f>
        <v>3840</v>
      </c>
      <c r="P30" s="557">
        <f>$O30*$H30*IM_Machinery!$M$5+$I30*IM_Machinery!$G$8*IM_Machinery!$K30</f>
        <v>24603840</v>
      </c>
      <c r="Q30" s="562">
        <f t="shared" si="1"/>
        <v>173.59687500000001</v>
      </c>
      <c r="R30" s="554"/>
      <c r="S30" s="554"/>
    </row>
    <row r="31" spans="2:19" s="14" customFormat="1" ht="15">
      <c r="B31" s="555">
        <v>17</v>
      </c>
      <c r="C31" s="73">
        <v>4000</v>
      </c>
      <c r="D31" s="556" t="s">
        <v>624</v>
      </c>
      <c r="E31" s="557">
        <f t="shared" si="0"/>
        <v>13792.8</v>
      </c>
      <c r="F31" s="558">
        <v>100980000</v>
      </c>
      <c r="G31" s="414">
        <f t="shared" si="4"/>
        <v>2524500</v>
      </c>
      <c r="H31" s="62">
        <f>46*6+240</f>
        <v>516</v>
      </c>
      <c r="I31" s="414">
        <f t="shared" si="5"/>
        <v>2019600</v>
      </c>
      <c r="J31" s="559">
        <f>21*5.6</f>
        <v>117.6</v>
      </c>
      <c r="K31" s="560">
        <v>0.8</v>
      </c>
      <c r="L31" s="561">
        <v>10</v>
      </c>
      <c r="M31" s="557">
        <f>F31/L31+F31*IM_Machinery!$M$8/2</f>
        <v>16156800</v>
      </c>
      <c r="N31" s="557">
        <f>12*J31*IM_Machinery!$M$10+G31*$K31*IM_Machinery!$G$8</f>
        <v>4250880</v>
      </c>
      <c r="O31" s="557">
        <f>IM_Machinery!$G$8*IM_Machinery!$G$9*IM_Machinery!$G$10*IM_Machinery!$G$11*IM_Machinery!K31</f>
        <v>3840</v>
      </c>
      <c r="P31" s="557">
        <f>$O31*$H31*IM_Machinery!$M$5+$I31*IM_Machinery!$G$8*IM_Machinery!$K31</f>
        <v>32556672</v>
      </c>
      <c r="Q31" s="562">
        <f t="shared" si="1"/>
        <v>229.88</v>
      </c>
      <c r="R31" s="554"/>
      <c r="S31" s="554"/>
    </row>
    <row r="32" spans="2:19" s="14" customFormat="1" ht="15">
      <c r="B32" s="555">
        <v>17</v>
      </c>
      <c r="C32" s="73">
        <v>5000</v>
      </c>
      <c r="D32" s="556" t="s">
        <v>625</v>
      </c>
      <c r="E32" s="557">
        <f t="shared" ref="E32" si="6">Q32*60</f>
        <v>20546.775000000001</v>
      </c>
      <c r="F32" s="558">
        <f>100980000+(F31-F30)*2</f>
        <v>150480000</v>
      </c>
      <c r="G32" s="414">
        <f t="shared" ref="G32" si="7">F32*2.5%</f>
        <v>3762000</v>
      </c>
      <c r="H32" s="558">
        <f>H31+(H31-H30)*2</f>
        <v>768</v>
      </c>
      <c r="I32" s="414">
        <f t="shared" ref="I32" si="8">F32*2%</f>
        <v>3009600</v>
      </c>
      <c r="J32" s="558">
        <f>J31+(J31-J30)*2</f>
        <v>189.6</v>
      </c>
      <c r="K32" s="560">
        <v>0.8</v>
      </c>
      <c r="L32" s="561">
        <v>10</v>
      </c>
      <c r="M32" s="557">
        <f>F32/L32+F32*IM_Machinery!$M$8/2</f>
        <v>24076800</v>
      </c>
      <c r="N32" s="557">
        <f>12*J32*IM_Machinery!$M$10+G32*$K32*IM_Machinery!$G$8</f>
        <v>6360480</v>
      </c>
      <c r="O32" s="557">
        <f>IM_Machinery!$G$8*IM_Machinery!$G$9*IM_Machinery!$G$10*IM_Machinery!$G$11*IM_Machinery!K32</f>
        <v>3840</v>
      </c>
      <c r="P32" s="557">
        <f>$O32*$H32*IM_Machinery!$M$5+$I32*IM_Machinery!$G$8*IM_Machinery!$K32</f>
        <v>48462336</v>
      </c>
      <c r="Q32" s="562">
        <f t="shared" ref="Q32" si="9">(P32+N32+M32)/O32/60</f>
        <v>342.44625000000002</v>
      </c>
      <c r="R32" s="554"/>
      <c r="S32" s="554"/>
    </row>
    <row r="33" spans="2:19" s="14" customFormat="1" ht="15">
      <c r="B33" s="555">
        <v>18</v>
      </c>
      <c r="C33" s="62"/>
      <c r="D33" s="62" t="s">
        <v>626</v>
      </c>
      <c r="E33" s="557">
        <v>9.5898385565052227</v>
      </c>
      <c r="F33" s="558">
        <v>100000</v>
      </c>
      <c r="G33" s="414">
        <v>5000</v>
      </c>
      <c r="H33" s="62">
        <v>0.5</v>
      </c>
      <c r="I33" s="414">
        <v>1000</v>
      </c>
      <c r="J33" s="62">
        <v>5</v>
      </c>
      <c r="K33" s="560">
        <v>0.78</v>
      </c>
      <c r="L33" s="561">
        <v>12</v>
      </c>
      <c r="M33" s="557">
        <f>F33/L33+F33*IM_Machinery!$M$8/2</f>
        <v>14333.333333333334</v>
      </c>
      <c r="N33" s="557">
        <f>12*J33*IM_Machinery!$M$10+G33*$K33*IM_Machinery!$G$8</f>
        <v>16800</v>
      </c>
      <c r="O33" s="557">
        <v>5616</v>
      </c>
      <c r="P33" s="557">
        <v>16723.2</v>
      </c>
      <c r="Q33" s="562">
        <v>0.15983064260842036</v>
      </c>
      <c r="R33" s="554"/>
      <c r="S33" s="554"/>
    </row>
    <row r="34" spans="2:19" s="14" customFormat="1" ht="15">
      <c r="B34" s="555">
        <v>19</v>
      </c>
      <c r="C34" s="62"/>
      <c r="D34" s="62" t="s">
        <v>530</v>
      </c>
      <c r="E34" s="557">
        <v>38.644444444444446</v>
      </c>
      <c r="F34" s="558">
        <v>972000</v>
      </c>
      <c r="G34" s="414">
        <v>22680</v>
      </c>
      <c r="H34" s="62">
        <v>1</v>
      </c>
      <c r="I34" s="414">
        <v>0</v>
      </c>
      <c r="J34" s="62">
        <v>4</v>
      </c>
      <c r="K34" s="560">
        <v>0.78</v>
      </c>
      <c r="L34" s="561">
        <v>12</v>
      </c>
      <c r="M34" s="557">
        <f>F34/L34+F34*IM_Machinery!$M$8/2</f>
        <v>139320</v>
      </c>
      <c r="N34" s="557">
        <f>12*J34*IM_Machinery!$M$10+G34*$K34*IM_Machinery!$G$8</f>
        <v>42580.800000000003</v>
      </c>
      <c r="O34" s="557">
        <v>5616</v>
      </c>
      <c r="P34" s="557">
        <v>30326.400000000001</v>
      </c>
      <c r="Q34" s="562">
        <v>0.64407407407407413</v>
      </c>
      <c r="R34" s="554"/>
      <c r="S34" s="554"/>
    </row>
    <row r="35" spans="2:19" s="14" customFormat="1" ht="15">
      <c r="B35" s="555">
        <v>20</v>
      </c>
      <c r="C35" s="62"/>
      <c r="D35" s="62" t="s">
        <v>528</v>
      </c>
      <c r="E35" s="557">
        <v>145.50769230769231</v>
      </c>
      <c r="F35" s="558">
        <v>2025000</v>
      </c>
      <c r="G35" s="414">
        <v>81000</v>
      </c>
      <c r="H35" s="62">
        <v>13</v>
      </c>
      <c r="I35" s="414">
        <v>4050</v>
      </c>
      <c r="J35" s="62">
        <v>0</v>
      </c>
      <c r="K35" s="560">
        <v>0.78</v>
      </c>
      <c r="L35" s="561">
        <v>12</v>
      </c>
      <c r="M35" s="557">
        <f>F35/L35+F35*IM_Machinery!$M$8/2</f>
        <v>290250</v>
      </c>
      <c r="N35" s="557">
        <f>12*J35*IM_Machinery!$M$10+G35*$K35*IM_Machinery!$G$8</f>
        <v>126360</v>
      </c>
      <c r="O35" s="557">
        <v>5616</v>
      </c>
      <c r="P35" s="557">
        <v>400561.2</v>
      </c>
      <c r="Q35" s="562">
        <v>2.425128205128205</v>
      </c>
      <c r="R35" s="554"/>
      <c r="S35" s="554"/>
    </row>
    <row r="36" spans="2:19" s="14" customFormat="1" ht="15">
      <c r="B36" s="555">
        <v>21</v>
      </c>
      <c r="C36" s="62"/>
      <c r="D36" s="62" t="s">
        <v>627</v>
      </c>
      <c r="E36" s="557">
        <v>131.02991452991452</v>
      </c>
      <c r="F36" s="558">
        <v>1620000</v>
      </c>
      <c r="G36" s="414">
        <v>10000</v>
      </c>
      <c r="H36" s="62">
        <v>10</v>
      </c>
      <c r="I36" s="414">
        <v>80000</v>
      </c>
      <c r="J36" s="62">
        <v>20</v>
      </c>
      <c r="K36" s="560">
        <v>0.78</v>
      </c>
      <c r="L36" s="561">
        <v>12</v>
      </c>
      <c r="M36" s="557">
        <f>F36/L36+F36*IM_Machinery!$M$8/2</f>
        <v>232200</v>
      </c>
      <c r="N36" s="557">
        <f>12*J36*IM_Machinery!$M$10+G36*$K36*IM_Machinery!$G$8</f>
        <v>51600</v>
      </c>
      <c r="O36" s="557">
        <v>5616</v>
      </c>
      <c r="P36" s="557">
        <v>428064</v>
      </c>
      <c r="Q36" s="562">
        <v>2.1838319088319085</v>
      </c>
      <c r="R36" s="554"/>
      <c r="S36" s="554"/>
    </row>
    <row r="37" spans="2:19" s="14" customFormat="1" ht="15">
      <c r="B37" s="555">
        <v>22</v>
      </c>
      <c r="C37" s="62"/>
      <c r="D37" s="62" t="s">
        <v>628</v>
      </c>
      <c r="E37" s="557">
        <v>2.1094491927825265</v>
      </c>
      <c r="F37" s="558">
        <v>50000</v>
      </c>
      <c r="G37" s="563">
        <v>1000</v>
      </c>
      <c r="H37" s="564">
        <v>0</v>
      </c>
      <c r="I37" s="563">
        <v>2000</v>
      </c>
      <c r="J37" s="62">
        <v>0</v>
      </c>
      <c r="K37" s="560">
        <v>0.78</v>
      </c>
      <c r="L37" s="561">
        <v>12</v>
      </c>
      <c r="M37" s="557">
        <f>F37/L37+F37*IM_Machinery!$M$8/2</f>
        <v>7166.666666666667</v>
      </c>
      <c r="N37" s="557">
        <f>12*J37*IM_Machinery!$M$10+G37*$K37*IM_Machinery!$G$8</f>
        <v>1560</v>
      </c>
      <c r="O37" s="557">
        <v>5616</v>
      </c>
      <c r="P37" s="557">
        <v>3120</v>
      </c>
      <c r="Q37" s="562">
        <v>3.515748654637544E-2</v>
      </c>
      <c r="R37" s="554"/>
      <c r="S37" s="554"/>
    </row>
    <row r="38" spans="2:19" s="14" customFormat="1" ht="15.75" thickBot="1">
      <c r="B38" s="565">
        <v>23</v>
      </c>
      <c r="C38" s="566"/>
      <c r="D38" s="566" t="s">
        <v>629</v>
      </c>
      <c r="E38" s="567">
        <v>78.226020892687558</v>
      </c>
      <c r="F38" s="568">
        <v>400000</v>
      </c>
      <c r="G38" s="569">
        <v>4000</v>
      </c>
      <c r="H38" s="570">
        <v>10</v>
      </c>
      <c r="I38" s="569">
        <v>8000</v>
      </c>
      <c r="J38" s="566">
        <v>20</v>
      </c>
      <c r="K38" s="571">
        <v>0.78</v>
      </c>
      <c r="L38" s="572">
        <v>12</v>
      </c>
      <c r="M38" s="567">
        <f>F38/L38+F38*IM_Machinery!$M$8/2</f>
        <v>57333.333333333336</v>
      </c>
      <c r="N38" s="567">
        <v>66240</v>
      </c>
      <c r="O38" s="567">
        <v>5616</v>
      </c>
      <c r="P38" s="567">
        <v>315744</v>
      </c>
      <c r="Q38" s="573">
        <v>1.303767014878126</v>
      </c>
      <c r="R38" s="554"/>
      <c r="S38" s="554"/>
    </row>
    <row r="39" spans="2:19" s="14" customFormat="1" ht="15">
      <c r="B39"/>
      <c r="C39"/>
      <c r="D39"/>
      <c r="E39" s="127"/>
      <c r="F39" s="127"/>
      <c r="G39" s="127"/>
      <c r="H39" s="127"/>
      <c r="I39" s="127"/>
      <c r="J39"/>
      <c r="K39"/>
      <c r="L39"/>
      <c r="M39"/>
      <c r="N39"/>
      <c r="O39"/>
      <c r="P39"/>
      <c r="Q39"/>
      <c r="R39"/>
      <c r="S39"/>
    </row>
    <row r="40" spans="2:19" s="14" customFormat="1" ht="15" hidden="1">
      <c r="B40"/>
      <c r="C40"/>
      <c r="D40"/>
      <c r="E40" s="127"/>
      <c r="F40" s="127"/>
      <c r="G40" s="127"/>
      <c r="H40" s="127"/>
      <c r="I40" s="127"/>
      <c r="J40"/>
      <c r="K40"/>
      <c r="L40"/>
      <c r="M40"/>
      <c r="N40"/>
      <c r="O40"/>
      <c r="P40"/>
      <c r="Q40"/>
      <c r="R40"/>
      <c r="S40"/>
    </row>
    <row r="41" spans="2:19" s="14" customFormat="1" ht="15" hidden="1">
      <c r="B41"/>
      <c r="C41"/>
      <c r="D41"/>
      <c r="E41" s="127"/>
      <c r="F41" s="127"/>
      <c r="G41" s="127"/>
      <c r="H41" s="127"/>
      <c r="I41" s="127"/>
      <c r="J41"/>
      <c r="K41"/>
      <c r="L41"/>
      <c r="M41"/>
      <c r="N41"/>
      <c r="O41"/>
      <c r="P41"/>
      <c r="Q41"/>
      <c r="R41"/>
      <c r="S41"/>
    </row>
    <row r="42" spans="2:19" s="14" customFormat="1" ht="15" hidden="1">
      <c r="B42"/>
      <c r="C42"/>
      <c r="D42"/>
      <c r="E42" s="127"/>
      <c r="F42" s="127"/>
      <c r="G42" s="127"/>
      <c r="H42" s="127"/>
      <c r="I42" s="127"/>
      <c r="J42"/>
      <c r="K42"/>
      <c r="L42"/>
      <c r="M42"/>
      <c r="N42"/>
      <c r="O42"/>
      <c r="P42"/>
      <c r="Q42"/>
      <c r="R42"/>
      <c r="S42"/>
    </row>
    <row r="43" spans="2:19" s="14" customFormat="1" ht="15" hidden="1">
      <c r="B43"/>
      <c r="C43"/>
      <c r="D43"/>
      <c r="E43" s="127"/>
      <c r="F43" s="127"/>
      <c r="G43" s="127"/>
      <c r="H43" s="127"/>
      <c r="I43" s="127"/>
      <c r="J43"/>
      <c r="K43"/>
      <c r="L43"/>
      <c r="M43"/>
      <c r="N43"/>
      <c r="O43"/>
      <c r="P43"/>
      <c r="Q43"/>
      <c r="R43"/>
      <c r="S43"/>
    </row>
    <row r="44" spans="2:19" s="14" customFormat="1" ht="15" hidden="1">
      <c r="B44"/>
      <c r="C44"/>
      <c r="D44"/>
      <c r="E44" s="127"/>
      <c r="F44" s="127"/>
      <c r="G44" s="127"/>
      <c r="H44" s="127"/>
      <c r="I44" s="127"/>
      <c r="J44"/>
      <c r="K44"/>
      <c r="L44"/>
      <c r="M44"/>
      <c r="N44"/>
      <c r="O44"/>
      <c r="P44"/>
      <c r="Q44"/>
      <c r="R44"/>
      <c r="S44"/>
    </row>
    <row r="45" spans="2:19" s="14" customFormat="1" ht="15" hidden="1">
      <c r="B45"/>
      <c r="C45"/>
      <c r="D45"/>
      <c r="E45" s="127"/>
      <c r="F45" s="127"/>
      <c r="G45" s="127"/>
      <c r="H45" s="127"/>
      <c r="I45" s="127"/>
      <c r="J45"/>
      <c r="K45"/>
      <c r="L45"/>
      <c r="M45"/>
      <c r="N45"/>
      <c r="O45"/>
      <c r="P45"/>
      <c r="Q45"/>
      <c r="R45"/>
      <c r="S45"/>
    </row>
    <row r="46" spans="2:19" s="14" customFormat="1" ht="15" hidden="1">
      <c r="B46"/>
      <c r="C46"/>
      <c r="D46"/>
      <c r="E46" s="127"/>
      <c r="F46" s="127"/>
      <c r="G46" s="127"/>
      <c r="H46" s="127"/>
      <c r="I46" s="127"/>
      <c r="J46"/>
      <c r="K46"/>
      <c r="L46"/>
      <c r="M46"/>
      <c r="N46"/>
      <c r="O46"/>
      <c r="P46"/>
      <c r="Q46"/>
      <c r="R46"/>
      <c r="S46"/>
    </row>
    <row r="47" spans="2:19" s="14" customFormat="1" ht="15" hidden="1">
      <c r="B47"/>
      <c r="C47"/>
      <c r="D47"/>
      <c r="E47" s="127"/>
      <c r="F47" s="127"/>
      <c r="G47" s="127"/>
      <c r="H47" s="127"/>
      <c r="I47" s="127"/>
      <c r="J47"/>
      <c r="K47"/>
      <c r="L47"/>
      <c r="M47"/>
      <c r="N47"/>
      <c r="O47"/>
      <c r="P47"/>
      <c r="Q47"/>
      <c r="R47"/>
      <c r="S47"/>
    </row>
    <row r="48" spans="2:19" s="14" customFormat="1" ht="15" hidden="1">
      <c r="B48"/>
      <c r="C48"/>
      <c r="D48"/>
      <c r="E48" s="127"/>
      <c r="F48" s="127"/>
      <c r="G48" s="127"/>
      <c r="H48" s="127"/>
      <c r="I48" s="127"/>
      <c r="J48"/>
      <c r="K48"/>
      <c r="L48"/>
      <c r="M48"/>
      <c r="N48"/>
      <c r="O48"/>
      <c r="P48"/>
      <c r="Q48"/>
      <c r="R48"/>
      <c r="S48"/>
    </row>
    <row r="49" spans="2:20" s="14" customFormat="1" ht="15" hidden="1">
      <c r="B49"/>
      <c r="C49"/>
      <c r="D49"/>
      <c r="E49" s="127"/>
      <c r="F49" s="127"/>
      <c r="G49" s="127"/>
      <c r="H49" s="127"/>
      <c r="I49" s="127"/>
      <c r="J49"/>
      <c r="K49"/>
      <c r="L49"/>
      <c r="M49"/>
      <c r="N49"/>
      <c r="O49"/>
      <c r="P49"/>
      <c r="Q49"/>
      <c r="R49"/>
      <c r="S49"/>
    </row>
    <row r="50" spans="2:20" s="14" customFormat="1" ht="15" hidden="1">
      <c r="B50"/>
      <c r="C50"/>
      <c r="D50"/>
      <c r="E50" s="127"/>
      <c r="F50" s="127"/>
      <c r="G50" s="127"/>
      <c r="H50" s="127"/>
      <c r="I50" s="127"/>
      <c r="J50"/>
      <c r="K50"/>
      <c r="L50"/>
      <c r="M50"/>
      <c r="N50"/>
      <c r="O50"/>
      <c r="P50"/>
      <c r="Q50"/>
      <c r="R50"/>
      <c r="S50"/>
    </row>
    <row r="51" spans="2:20" s="14" customFormat="1" ht="15" hidden="1">
      <c r="B51"/>
      <c r="C51"/>
      <c r="D51"/>
      <c r="E51" s="127"/>
      <c r="F51" s="127"/>
      <c r="G51" s="127"/>
      <c r="H51" s="127"/>
      <c r="I51" s="127"/>
      <c r="J51"/>
      <c r="K51"/>
      <c r="L51"/>
      <c r="M51"/>
      <c r="N51"/>
      <c r="O51"/>
      <c r="P51"/>
      <c r="Q51"/>
      <c r="R51"/>
      <c r="S51"/>
    </row>
    <row r="52" spans="2:20" s="14" customFormat="1" ht="15" hidden="1">
      <c r="B52"/>
      <c r="C52"/>
      <c r="D52"/>
      <c r="E52" s="127"/>
      <c r="F52" s="127"/>
      <c r="G52" s="127"/>
      <c r="H52" s="127"/>
      <c r="I52" s="127"/>
      <c r="J52"/>
      <c r="K52"/>
      <c r="L52"/>
      <c r="M52"/>
      <c r="N52"/>
      <c r="O52"/>
      <c r="P52"/>
      <c r="Q52"/>
      <c r="R52"/>
      <c r="S52"/>
    </row>
    <row r="53" spans="2:20" ht="15" hidden="1">
      <c r="B53"/>
      <c r="E53" s="127"/>
      <c r="J53"/>
      <c r="T53" s="14"/>
    </row>
    <row r="54" spans="2:20" ht="15" hidden="1">
      <c r="B54"/>
      <c r="E54" s="127"/>
      <c r="J54"/>
      <c r="T54" s="14"/>
    </row>
    <row r="55" spans="2:20" ht="15" hidden="1">
      <c r="B55"/>
      <c r="E55" s="127"/>
      <c r="J55"/>
      <c r="T55" s="14"/>
    </row>
    <row r="56" spans="2:20" ht="15" hidden="1">
      <c r="B56"/>
      <c r="E56" s="127"/>
      <c r="J56"/>
      <c r="T56" s="14"/>
    </row>
    <row r="57" spans="2:20" ht="15" hidden="1">
      <c r="B57"/>
      <c r="E57" s="127"/>
      <c r="J57"/>
      <c r="T57" s="14"/>
    </row>
    <row r="58" spans="2:20" ht="15" hidden="1">
      <c r="B58"/>
      <c r="E58" s="127"/>
      <c r="J58"/>
      <c r="T58" s="14"/>
    </row>
    <row r="59" spans="2:20" ht="15" hidden="1">
      <c r="B59"/>
      <c r="E59" s="127"/>
      <c r="J59"/>
      <c r="T59" s="14"/>
    </row>
    <row r="60" spans="2:20" ht="15" hidden="1">
      <c r="B60"/>
      <c r="E60" s="127"/>
      <c r="J60"/>
      <c r="T60" s="14"/>
    </row>
    <row r="61" spans="2:20" ht="15" hidden="1">
      <c r="B61"/>
      <c r="E61" s="127"/>
      <c r="J61"/>
      <c r="T61" s="14"/>
    </row>
    <row r="62" spans="2:20" ht="15" hidden="1">
      <c r="B62"/>
      <c r="E62" s="127"/>
      <c r="J62"/>
      <c r="T62" s="14"/>
    </row>
    <row r="63" spans="2:20" ht="15" hidden="1">
      <c r="B63"/>
      <c r="E63" s="127"/>
      <c r="J63"/>
      <c r="T63" s="14"/>
    </row>
    <row r="64" spans="2:20" ht="15" hidden="1">
      <c r="B64"/>
      <c r="E64" s="127"/>
      <c r="J64"/>
      <c r="T64" s="14"/>
    </row>
    <row r="65" spans="2:20" ht="15" hidden="1">
      <c r="B65"/>
      <c r="E65" s="127"/>
      <c r="J65"/>
      <c r="T65" s="14"/>
    </row>
    <row r="66" spans="2:20" ht="15" hidden="1">
      <c r="B66"/>
      <c r="E66" s="127"/>
      <c r="J66"/>
      <c r="T66" s="14"/>
    </row>
    <row r="67" spans="2:20" ht="15" hidden="1">
      <c r="B67"/>
      <c r="E67" s="127"/>
      <c r="J67"/>
      <c r="T67" s="14"/>
    </row>
    <row r="68" spans="2:20" ht="15" hidden="1">
      <c r="B68"/>
      <c r="E68" s="127"/>
      <c r="J68"/>
      <c r="T68" s="14"/>
    </row>
    <row r="69" spans="2:20" ht="15" hidden="1">
      <c r="B69"/>
      <c r="E69" s="127"/>
      <c r="J69"/>
      <c r="T69" s="14"/>
    </row>
    <row r="70" spans="2:20" ht="15" hidden="1">
      <c r="B70"/>
      <c r="E70" s="127"/>
      <c r="J70"/>
      <c r="T70" s="14"/>
    </row>
    <row r="71" spans="2:20" ht="15" hidden="1">
      <c r="B71"/>
      <c r="E71" s="127"/>
      <c r="J71"/>
      <c r="T71" s="14"/>
    </row>
    <row r="72" spans="2:20" ht="15" hidden="1">
      <c r="B72"/>
      <c r="E72" s="127"/>
      <c r="J72"/>
      <c r="T72" s="14"/>
    </row>
    <row r="73" spans="2:20" ht="15" hidden="1">
      <c r="B73"/>
      <c r="E73" s="127"/>
      <c r="J73"/>
      <c r="T73" s="14"/>
    </row>
    <row r="74" spans="2:20" ht="15" hidden="1">
      <c r="B74"/>
      <c r="E74" s="127"/>
      <c r="J74"/>
      <c r="T74" s="14"/>
    </row>
    <row r="75" spans="2:20" ht="15" hidden="1">
      <c r="B75"/>
      <c r="E75" s="127"/>
      <c r="J75"/>
      <c r="T75" s="14"/>
    </row>
    <row r="76" spans="2:20" ht="15" hidden="1">
      <c r="B76"/>
      <c r="E76" s="127"/>
      <c r="J76"/>
      <c r="T76" s="14"/>
    </row>
    <row r="77" spans="2:20" ht="15" hidden="1" customHeight="1">
      <c r="B77"/>
      <c r="E77" s="127"/>
      <c r="J77"/>
      <c r="T77" s="14"/>
    </row>
    <row r="78" spans="2:20" ht="15" hidden="1" customHeight="1">
      <c r="B78"/>
      <c r="E78" s="127"/>
      <c r="J78"/>
      <c r="T78" s="14"/>
    </row>
    <row r="79" spans="2:20" ht="15" hidden="1" customHeight="1">
      <c r="B79"/>
      <c r="E79" s="127"/>
      <c r="J79"/>
      <c r="T79" s="14"/>
    </row>
    <row r="80" spans="2:20" ht="15" hidden="1" customHeight="1">
      <c r="B80"/>
      <c r="E80" s="127"/>
      <c r="J80"/>
      <c r="T80" s="14"/>
    </row>
    <row r="81" spans="2:20" ht="15" hidden="1" customHeight="1">
      <c r="B81"/>
      <c r="E81" s="127"/>
      <c r="J81"/>
      <c r="T81" s="574"/>
    </row>
    <row r="82" spans="2:20" ht="15" hidden="1" customHeight="1"/>
    <row r="83" spans="2:20" ht="15" hidden="1" customHeight="1"/>
    <row r="84" spans="2:20" ht="15" hidden="1" customHeight="1"/>
    <row r="85" spans="2:20" ht="15" hidden="1" customHeight="1"/>
    <row r="86" spans="2:20" ht="15" hidden="1" customHeight="1"/>
    <row r="87" spans="2:20" ht="15" hidden="1" customHeight="1"/>
    <row r="88" spans="2:20" ht="15" hidden="1" customHeight="1"/>
    <row r="89" spans="2:20" ht="15" hidden="1" customHeight="1"/>
    <row r="90" spans="2:20" ht="15" hidden="1" customHeight="1"/>
    <row r="91" spans="2:20" ht="15" hidden="1" customHeight="1"/>
    <row r="92" spans="2:20" ht="15" hidden="1" customHeight="1"/>
    <row r="93" spans="2:20" ht="15" hidden="1" customHeight="1"/>
    <row r="94" spans="2:20" ht="15" hidden="1" customHeight="1"/>
    <row r="95" spans="2:20" ht="15" hidden="1" customHeight="1"/>
    <row r="96" spans="2:20" ht="15" hidden="1" customHeight="1"/>
    <row r="97" ht="15" hidden="1" customHeight="1"/>
    <row r="98" ht="15" hidden="1" customHeight="1"/>
    <row r="99" ht="15" hidden="1" customHeight="1"/>
  </sheetData>
  <mergeCells count="6">
    <mergeCell ref="F2:H2"/>
    <mergeCell ref="L2:N2"/>
    <mergeCell ref="F7:H7"/>
    <mergeCell ref="B13:B14"/>
    <mergeCell ref="C13:C14"/>
    <mergeCell ref="D13:D14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/>
  <dimension ref="A1:U61"/>
  <sheetViews>
    <sheetView topLeftCell="P1" workbookViewId="0">
      <selection activeCell="R3" sqref="R3"/>
    </sheetView>
  </sheetViews>
  <sheetFormatPr defaultColWidth="9.140625" defaultRowHeight="12.75"/>
  <cols>
    <col min="1" max="1" width="9.140625" style="264" hidden="1" customWidth="1"/>
    <col min="2" max="2" width="36.7109375" style="264" hidden="1" customWidth="1"/>
    <col min="3" max="3" width="8" style="264" hidden="1" customWidth="1"/>
    <col min="4" max="4" width="23.5703125" style="264" hidden="1" customWidth="1"/>
    <col min="5" max="6" width="9.140625" style="264" hidden="1" customWidth="1"/>
    <col min="7" max="8" width="0" style="264" hidden="1" customWidth="1"/>
    <col min="9" max="9" width="15.85546875" style="264" hidden="1" customWidth="1"/>
    <col min="10" max="15" width="0" style="264" hidden="1" customWidth="1"/>
    <col min="16" max="16" width="0.85546875" style="264" customWidth="1"/>
    <col min="17" max="17" width="21.140625" style="264" bestFit="1" customWidth="1"/>
    <col min="18" max="20" width="9.140625" style="264"/>
    <col min="21" max="21" width="15.7109375" style="264" bestFit="1" customWidth="1"/>
    <col min="22" max="16384" width="9.140625" style="264"/>
  </cols>
  <sheetData>
    <row r="1" spans="1:21" ht="6" customHeight="1">
      <c r="A1" s="692">
        <v>1</v>
      </c>
    </row>
    <row r="2" spans="1:21" ht="13.5" customHeight="1" thickBot="1">
      <c r="Q2" s="264" t="s">
        <v>630</v>
      </c>
      <c r="R2" s="575" t="s">
        <v>631</v>
      </c>
    </row>
    <row r="3" spans="1:21">
      <c r="B3" s="576" t="s">
        <v>305</v>
      </c>
      <c r="C3" s="577" t="s">
        <v>632</v>
      </c>
      <c r="D3" s="577" t="s">
        <v>633</v>
      </c>
      <c r="E3" s="578" t="s">
        <v>634</v>
      </c>
      <c r="Q3" s="579" t="s">
        <v>635</v>
      </c>
      <c r="R3" s="580">
        <f>_xlfn.IFNA(VLOOKUP(Q3,'RM Base'!D:E,2,0),T3)</f>
        <v>149.60000000000002</v>
      </c>
      <c r="T3" s="580">
        <v>149.60000000000002</v>
      </c>
      <c r="U3" s="579" t="s">
        <v>636</v>
      </c>
    </row>
    <row r="4" spans="1:21">
      <c r="B4" s="581"/>
      <c r="C4" s="582"/>
      <c r="D4" s="582"/>
      <c r="E4" s="583"/>
      <c r="Q4" s="579" t="s">
        <v>637</v>
      </c>
      <c r="R4" s="580">
        <v>125.00015</v>
      </c>
      <c r="T4" s="580">
        <v>125.00015</v>
      </c>
      <c r="U4" s="579" t="s">
        <v>636</v>
      </c>
    </row>
    <row r="5" spans="1:21">
      <c r="B5" s="584"/>
      <c r="C5" s="585"/>
      <c r="D5" s="579" t="s">
        <v>638</v>
      </c>
      <c r="E5" s="579" t="s">
        <v>639</v>
      </c>
      <c r="F5" s="264" t="s">
        <v>640</v>
      </c>
      <c r="G5" s="264" t="e">
        <v>#N/A</v>
      </c>
      <c r="Q5" s="579" t="s">
        <v>641</v>
      </c>
      <c r="R5" s="580">
        <v>188.10000000000002</v>
      </c>
      <c r="T5" s="580">
        <v>188.10000000000002</v>
      </c>
      <c r="U5" s="579" t="s">
        <v>636</v>
      </c>
    </row>
    <row r="6" spans="1:21">
      <c r="B6" s="584"/>
      <c r="C6" s="585"/>
      <c r="D6" s="579"/>
      <c r="E6" s="579"/>
      <c r="Q6" s="579" t="s">
        <v>642</v>
      </c>
      <c r="R6" s="580">
        <v>159</v>
      </c>
      <c r="T6" s="580">
        <v>159</v>
      </c>
      <c r="U6" s="579" t="s">
        <v>636</v>
      </c>
    </row>
    <row r="7" spans="1:21">
      <c r="B7" s="584"/>
      <c r="C7" s="585"/>
      <c r="D7" s="579"/>
      <c r="E7" s="579"/>
      <c r="Q7" s="579" t="s">
        <v>643</v>
      </c>
      <c r="R7" s="580">
        <v>108.054</v>
      </c>
      <c r="T7" s="580">
        <v>108.054</v>
      </c>
      <c r="U7" s="579" t="s">
        <v>636</v>
      </c>
    </row>
    <row r="8" spans="1:21">
      <c r="B8" s="584"/>
      <c r="C8" s="585"/>
      <c r="D8" s="579"/>
      <c r="E8" s="579"/>
      <c r="Q8" s="579" t="s">
        <v>644</v>
      </c>
      <c r="R8" s="580">
        <v>91.957999999999998</v>
      </c>
      <c r="T8" s="580">
        <v>91.957999999999998</v>
      </c>
      <c r="U8" s="579" t="s">
        <v>636</v>
      </c>
    </row>
    <row r="9" spans="1:21">
      <c r="B9" s="584"/>
      <c r="C9" s="585"/>
      <c r="D9" s="579"/>
      <c r="E9" s="579"/>
      <c r="Q9" s="579" t="s">
        <v>645</v>
      </c>
      <c r="R9" s="580">
        <v>81</v>
      </c>
      <c r="T9" s="580">
        <v>81</v>
      </c>
      <c r="U9" s="579" t="s">
        <v>636</v>
      </c>
    </row>
    <row r="10" spans="1:21">
      <c r="B10" s="584"/>
      <c r="C10" s="585"/>
      <c r="D10" s="579"/>
      <c r="E10" s="579"/>
      <c r="Q10" s="579" t="s">
        <v>646</v>
      </c>
      <c r="R10" s="580">
        <v>132</v>
      </c>
      <c r="T10" s="580">
        <v>132</v>
      </c>
      <c r="U10" s="579" t="s">
        <v>636</v>
      </c>
    </row>
    <row r="11" spans="1:21">
      <c r="B11" s="584"/>
      <c r="C11" s="585"/>
      <c r="D11" s="579"/>
      <c r="E11" s="579"/>
      <c r="Q11" s="579" t="s">
        <v>498</v>
      </c>
      <c r="R11" s="580">
        <v>125</v>
      </c>
      <c r="T11" s="580">
        <v>125</v>
      </c>
      <c r="U11" s="579" t="s">
        <v>636</v>
      </c>
    </row>
    <row r="12" spans="1:21">
      <c r="B12" s="584"/>
      <c r="C12" s="585"/>
      <c r="D12" s="579"/>
      <c r="E12" s="579"/>
      <c r="Q12" s="579" t="s">
        <v>647</v>
      </c>
      <c r="R12" s="580">
        <v>251</v>
      </c>
      <c r="T12" s="580">
        <v>251</v>
      </c>
      <c r="U12" s="579" t="s">
        <v>636</v>
      </c>
    </row>
    <row r="13" spans="1:21">
      <c r="B13" s="584"/>
      <c r="C13" s="585"/>
      <c r="D13" s="579"/>
      <c r="E13" s="579"/>
      <c r="Q13" s="579" t="s">
        <v>648</v>
      </c>
      <c r="R13" s="580">
        <v>200</v>
      </c>
      <c r="T13" s="580">
        <v>200</v>
      </c>
      <c r="U13" s="579" t="s">
        <v>636</v>
      </c>
    </row>
    <row r="14" spans="1:21">
      <c r="B14" s="584" t="s">
        <v>635</v>
      </c>
      <c r="C14" s="585">
        <v>149.60000000000002</v>
      </c>
      <c r="D14" s="579" t="s">
        <v>638</v>
      </c>
      <c r="E14" s="579" t="s">
        <v>639</v>
      </c>
      <c r="F14" s="264" t="s">
        <v>640</v>
      </c>
      <c r="G14" s="264" t="e">
        <v>#N/A</v>
      </c>
      <c r="Q14" s="579" t="s">
        <v>649</v>
      </c>
      <c r="R14" s="580">
        <v>120.452</v>
      </c>
      <c r="T14" s="580">
        <v>120.452</v>
      </c>
      <c r="U14" s="579" t="s">
        <v>636</v>
      </c>
    </row>
    <row r="15" spans="1:21">
      <c r="B15" s="584" t="s">
        <v>637</v>
      </c>
      <c r="C15" s="585">
        <v>125.00015</v>
      </c>
      <c r="D15" s="579" t="s">
        <v>638</v>
      </c>
      <c r="E15" s="579" t="s">
        <v>639</v>
      </c>
      <c r="F15" s="264" t="s">
        <v>640</v>
      </c>
      <c r="G15" s="264" t="e">
        <v>#N/A</v>
      </c>
      <c r="Q15" s="579" t="s">
        <v>650</v>
      </c>
      <c r="R15" s="580">
        <v>68.191999999999993</v>
      </c>
      <c r="T15" s="580">
        <v>68.191999999999993</v>
      </c>
      <c r="U15" s="579" t="s">
        <v>636</v>
      </c>
    </row>
    <row r="16" spans="1:21">
      <c r="B16" s="584" t="s">
        <v>641</v>
      </c>
      <c r="C16" s="585">
        <v>188.10000000000002</v>
      </c>
      <c r="D16" s="579" t="s">
        <v>638</v>
      </c>
      <c r="E16" s="579" t="s">
        <v>639</v>
      </c>
      <c r="F16" s="264" t="s">
        <v>640</v>
      </c>
      <c r="G16" s="264" t="e">
        <v>#N/A</v>
      </c>
      <c r="Q16" s="579" t="s">
        <v>651</v>
      </c>
      <c r="R16" s="580">
        <v>132</v>
      </c>
      <c r="T16" s="580">
        <v>132</v>
      </c>
      <c r="U16" s="579" t="s">
        <v>636</v>
      </c>
    </row>
    <row r="17" spans="2:21">
      <c r="B17" s="584" t="s">
        <v>642</v>
      </c>
      <c r="C17" s="585">
        <v>159</v>
      </c>
      <c r="D17" s="579"/>
      <c r="E17" s="579" t="s">
        <v>652</v>
      </c>
      <c r="G17" s="264" t="e">
        <v>#N/A</v>
      </c>
      <c r="Q17" s="579" t="s">
        <v>653</v>
      </c>
      <c r="R17" s="580">
        <v>155</v>
      </c>
      <c r="T17" s="580">
        <v>155</v>
      </c>
      <c r="U17" s="579" t="s">
        <v>636</v>
      </c>
    </row>
    <row r="18" spans="2:21" ht="15">
      <c r="B18" s="584" t="s">
        <v>643</v>
      </c>
      <c r="C18" s="585">
        <v>108.054</v>
      </c>
      <c r="D18" s="579"/>
      <c r="E18" s="579" t="s">
        <v>652</v>
      </c>
      <c r="G18" s="264" t="e">
        <v>#N/A</v>
      </c>
      <c r="N18"/>
      <c r="O18"/>
      <c r="P18"/>
      <c r="Q18" s="579" t="s">
        <v>654</v>
      </c>
      <c r="R18" s="580">
        <v>156.5</v>
      </c>
      <c r="T18" s="580">
        <v>156.5</v>
      </c>
      <c r="U18" s="579" t="s">
        <v>636</v>
      </c>
    </row>
    <row r="19" spans="2:21">
      <c r="B19" s="584" t="s">
        <v>644</v>
      </c>
      <c r="C19" s="585">
        <v>91.957999999999998</v>
      </c>
      <c r="D19" s="579"/>
      <c r="E19" s="579" t="s">
        <v>652</v>
      </c>
      <c r="G19" s="264" t="e">
        <v>#N/A</v>
      </c>
      <c r="Q19" s="579" t="s">
        <v>655</v>
      </c>
      <c r="R19" s="580">
        <v>134</v>
      </c>
      <c r="T19" s="580">
        <v>134</v>
      </c>
      <c r="U19" s="579" t="s">
        <v>636</v>
      </c>
    </row>
    <row r="20" spans="2:21">
      <c r="B20" s="584" t="s">
        <v>645</v>
      </c>
      <c r="C20" s="585">
        <v>81</v>
      </c>
      <c r="D20" s="579"/>
      <c r="E20" s="579" t="s">
        <v>652</v>
      </c>
      <c r="G20" s="264" t="e">
        <v>#N/A</v>
      </c>
      <c r="Q20" s="579" t="s">
        <v>656</v>
      </c>
      <c r="R20" s="580">
        <v>159</v>
      </c>
      <c r="T20" s="580">
        <v>159</v>
      </c>
      <c r="U20" s="579" t="s">
        <v>636</v>
      </c>
    </row>
    <row r="21" spans="2:21">
      <c r="B21" s="584" t="s">
        <v>646</v>
      </c>
      <c r="C21" s="585">
        <v>132</v>
      </c>
      <c r="D21" s="579"/>
      <c r="E21" s="579" t="s">
        <v>652</v>
      </c>
      <c r="G21" s="264" t="e">
        <v>#N/A</v>
      </c>
      <c r="Q21" s="579" t="s">
        <v>657</v>
      </c>
      <c r="R21" s="580">
        <v>175</v>
      </c>
      <c r="T21" s="580">
        <v>175</v>
      </c>
      <c r="U21" s="579" t="s">
        <v>636</v>
      </c>
    </row>
    <row r="22" spans="2:21">
      <c r="B22" s="584" t="s">
        <v>498</v>
      </c>
      <c r="C22" s="585">
        <v>125</v>
      </c>
      <c r="D22" s="579"/>
      <c r="E22" s="579" t="s">
        <v>652</v>
      </c>
      <c r="G22" s="264" t="e">
        <v>#N/A</v>
      </c>
      <c r="Q22" s="579" t="s">
        <v>658</v>
      </c>
      <c r="R22" s="580">
        <v>298</v>
      </c>
    </row>
    <row r="23" spans="2:21">
      <c r="B23" s="584" t="s">
        <v>647</v>
      </c>
      <c r="C23" s="585">
        <v>251</v>
      </c>
      <c r="D23" s="579"/>
      <c r="E23" s="579" t="s">
        <v>652</v>
      </c>
      <c r="G23" s="264" t="e">
        <v>#N/A</v>
      </c>
      <c r="Q23" s="579" t="s">
        <v>659</v>
      </c>
      <c r="R23" s="580">
        <v>39</v>
      </c>
    </row>
    <row r="24" spans="2:21">
      <c r="B24" s="584" t="s">
        <v>648</v>
      </c>
      <c r="C24" s="585">
        <v>200</v>
      </c>
      <c r="D24" s="579"/>
      <c r="E24" s="579" t="s">
        <v>652</v>
      </c>
      <c r="G24" s="264" t="e">
        <v>#N/A</v>
      </c>
      <c r="Q24" s="579" t="s">
        <v>660</v>
      </c>
      <c r="R24" s="580">
        <v>257</v>
      </c>
    </row>
    <row r="25" spans="2:21">
      <c r="B25" s="584" t="s">
        <v>649</v>
      </c>
      <c r="C25" s="585">
        <v>120.452</v>
      </c>
      <c r="D25" s="579"/>
      <c r="E25" s="579" t="s">
        <v>652</v>
      </c>
      <c r="G25" s="264" t="e">
        <v>#N/A</v>
      </c>
      <c r="H25" s="264" t="s">
        <v>658</v>
      </c>
      <c r="I25" s="586">
        <v>298</v>
      </c>
      <c r="M25" s="264" t="s">
        <v>661</v>
      </c>
      <c r="Q25" s="579" t="s">
        <v>662</v>
      </c>
      <c r="R25" s="580">
        <v>230</v>
      </c>
    </row>
    <row r="26" spans="2:21">
      <c r="B26" s="584" t="s">
        <v>650</v>
      </c>
      <c r="C26" s="585">
        <v>68.191999999999993</v>
      </c>
      <c r="D26" s="579"/>
      <c r="E26" s="579" t="s">
        <v>652</v>
      </c>
      <c r="G26" s="264" t="e">
        <v>#N/A</v>
      </c>
      <c r="H26" s="264" t="s">
        <v>659</v>
      </c>
      <c r="I26" s="586">
        <v>39</v>
      </c>
      <c r="M26" s="264" t="s">
        <v>661</v>
      </c>
      <c r="Q26" s="579" t="s">
        <v>663</v>
      </c>
      <c r="R26" s="580">
        <v>190</v>
      </c>
    </row>
    <row r="27" spans="2:21">
      <c r="B27" s="584" t="s">
        <v>651</v>
      </c>
      <c r="C27" s="585">
        <v>132</v>
      </c>
      <c r="D27" s="579"/>
      <c r="E27" s="579" t="s">
        <v>652</v>
      </c>
      <c r="G27" s="264" t="e">
        <v>#N/A</v>
      </c>
      <c r="H27" s="264" t="s">
        <v>660</v>
      </c>
      <c r="I27" s="586">
        <v>257</v>
      </c>
      <c r="M27" s="264" t="s">
        <v>661</v>
      </c>
      <c r="Q27" s="579" t="s">
        <v>664</v>
      </c>
      <c r="R27" s="580">
        <v>190</v>
      </c>
      <c r="S27" s="264" t="s">
        <v>665</v>
      </c>
    </row>
    <row r="28" spans="2:21">
      <c r="B28" s="584" t="s">
        <v>653</v>
      </c>
      <c r="C28" s="585">
        <v>155</v>
      </c>
      <c r="D28" s="579"/>
      <c r="E28" s="579" t="s">
        <v>652</v>
      </c>
      <c r="G28" s="264" t="e">
        <v>#N/A</v>
      </c>
      <c r="H28" s="264" t="s">
        <v>662</v>
      </c>
      <c r="I28" s="586">
        <v>230</v>
      </c>
      <c r="M28" s="264" t="s">
        <v>661</v>
      </c>
      <c r="Q28" s="579" t="s">
        <v>666</v>
      </c>
      <c r="R28" s="580">
        <v>265</v>
      </c>
    </row>
    <row r="29" spans="2:21">
      <c r="B29" s="584" t="s">
        <v>654</v>
      </c>
      <c r="C29" s="585">
        <v>156.5</v>
      </c>
      <c r="D29" s="579"/>
      <c r="E29" s="579" t="s">
        <v>652</v>
      </c>
      <c r="G29" s="264" t="e">
        <v>#N/A</v>
      </c>
      <c r="H29" s="264" t="s">
        <v>663</v>
      </c>
      <c r="I29" s="586">
        <v>190</v>
      </c>
      <c r="M29" s="264" t="s">
        <v>661</v>
      </c>
      <c r="Q29" s="579" t="s">
        <v>667</v>
      </c>
      <c r="R29" s="580">
        <v>94.4</v>
      </c>
      <c r="S29" s="586"/>
    </row>
    <row r="30" spans="2:21">
      <c r="B30" s="584" t="s">
        <v>655</v>
      </c>
      <c r="C30" s="585">
        <v>134</v>
      </c>
      <c r="D30" s="579"/>
      <c r="E30" s="579" t="s">
        <v>652</v>
      </c>
      <c r="G30" s="264" t="e">
        <v>#N/A</v>
      </c>
      <c r="H30" s="264" t="s">
        <v>666</v>
      </c>
      <c r="I30" s="586">
        <v>265</v>
      </c>
      <c r="M30" s="264" t="s">
        <v>661</v>
      </c>
      <c r="Q30" s="579" t="s">
        <v>668</v>
      </c>
      <c r="R30" s="580">
        <v>139.4</v>
      </c>
    </row>
    <row r="31" spans="2:21">
      <c r="B31" s="584" t="s">
        <v>656</v>
      </c>
      <c r="C31" s="585">
        <f>AVERAGE(C5,C17)</f>
        <v>159</v>
      </c>
      <c r="D31" s="579"/>
      <c r="E31" s="579" t="s">
        <v>652</v>
      </c>
      <c r="G31" s="264" t="e">
        <v>#N/A</v>
      </c>
      <c r="H31" s="264" t="s">
        <v>667</v>
      </c>
      <c r="I31" s="586">
        <v>94.4</v>
      </c>
      <c r="M31" s="264" t="s">
        <v>661</v>
      </c>
      <c r="Q31" s="579" t="s">
        <v>669</v>
      </c>
      <c r="R31" s="580">
        <v>109.4</v>
      </c>
    </row>
    <row r="32" spans="2:21">
      <c r="B32" s="584" t="s">
        <v>657</v>
      </c>
      <c r="C32" s="579">
        <v>175</v>
      </c>
      <c r="D32" s="579"/>
      <c r="E32" s="579" t="s">
        <v>652</v>
      </c>
      <c r="G32" s="264" t="e">
        <v>#N/A</v>
      </c>
      <c r="H32" s="264" t="s">
        <v>668</v>
      </c>
      <c r="I32" s="586">
        <v>139.4</v>
      </c>
      <c r="M32" s="264" t="s">
        <v>661</v>
      </c>
      <c r="Q32" s="579" t="s">
        <v>670</v>
      </c>
      <c r="R32" s="580">
        <v>102.7</v>
      </c>
    </row>
    <row r="33" spans="8:18">
      <c r="H33" s="264" t="s">
        <v>669</v>
      </c>
      <c r="I33" s="586">
        <v>109.4</v>
      </c>
      <c r="M33" s="264" t="s">
        <v>661</v>
      </c>
      <c r="Q33" s="579" t="s">
        <v>671</v>
      </c>
      <c r="R33" s="580">
        <v>125</v>
      </c>
    </row>
    <row r="34" spans="8:18">
      <c r="H34" s="264" t="s">
        <v>670</v>
      </c>
      <c r="I34" s="586">
        <v>102.7</v>
      </c>
      <c r="M34" s="264" t="s">
        <v>661</v>
      </c>
      <c r="Q34" s="579" t="s">
        <v>672</v>
      </c>
      <c r="R34" s="580">
        <v>115</v>
      </c>
    </row>
    <row r="35" spans="8:18">
      <c r="H35" s="264" t="s">
        <v>671</v>
      </c>
      <c r="I35" s="586">
        <v>125</v>
      </c>
      <c r="M35" s="264" t="s">
        <v>661</v>
      </c>
      <c r="Q35" s="579" t="s">
        <v>673</v>
      </c>
      <c r="R35" s="580">
        <v>125</v>
      </c>
    </row>
    <row r="36" spans="8:18">
      <c r="H36" s="264" t="s">
        <v>672</v>
      </c>
      <c r="I36" s="586">
        <v>115</v>
      </c>
      <c r="M36" s="264" t="s">
        <v>661</v>
      </c>
      <c r="Q36" s="579" t="s">
        <v>674</v>
      </c>
      <c r="R36" s="580">
        <v>115</v>
      </c>
    </row>
    <row r="37" spans="8:18">
      <c r="H37" s="264" t="s">
        <v>673</v>
      </c>
      <c r="I37" s="586">
        <v>125</v>
      </c>
      <c r="M37" s="264" t="s">
        <v>661</v>
      </c>
      <c r="Q37" s="579" t="s">
        <v>675</v>
      </c>
      <c r="R37" s="580">
        <v>125</v>
      </c>
    </row>
    <row r="38" spans="8:18">
      <c r="H38" s="264" t="s">
        <v>674</v>
      </c>
      <c r="I38" s="586">
        <v>115</v>
      </c>
      <c r="M38" s="264" t="s">
        <v>661</v>
      </c>
      <c r="Q38" s="579" t="s">
        <v>676</v>
      </c>
      <c r="R38" s="580">
        <v>130</v>
      </c>
    </row>
    <row r="39" spans="8:18">
      <c r="H39" s="264" t="s">
        <v>675</v>
      </c>
      <c r="I39" s="586">
        <v>125</v>
      </c>
      <c r="M39" s="264" t="s">
        <v>661</v>
      </c>
      <c r="Q39" s="579" t="s">
        <v>677</v>
      </c>
      <c r="R39" s="580">
        <v>180</v>
      </c>
    </row>
    <row r="40" spans="8:18">
      <c r="H40" s="264" t="s">
        <v>676</v>
      </c>
      <c r="I40" s="586">
        <v>130</v>
      </c>
      <c r="M40" s="264" t="s">
        <v>661</v>
      </c>
      <c r="Q40" s="579" t="s">
        <v>678</v>
      </c>
      <c r="R40" s="580">
        <v>210</v>
      </c>
    </row>
    <row r="41" spans="8:18">
      <c r="H41" s="264" t="s">
        <v>677</v>
      </c>
      <c r="I41" s="586">
        <v>180</v>
      </c>
      <c r="M41" s="264" t="s">
        <v>661</v>
      </c>
      <c r="Q41" s="579" t="s">
        <v>679</v>
      </c>
      <c r="R41" s="580">
        <v>145</v>
      </c>
    </row>
    <row r="42" spans="8:18">
      <c r="H42" s="264" t="s">
        <v>678</v>
      </c>
      <c r="I42" s="586">
        <v>210</v>
      </c>
      <c r="M42" s="264" t="s">
        <v>661</v>
      </c>
      <c r="Q42" s="579" t="s">
        <v>680</v>
      </c>
      <c r="R42" s="580">
        <v>115</v>
      </c>
    </row>
    <row r="43" spans="8:18">
      <c r="H43" s="264" t="s">
        <v>679</v>
      </c>
      <c r="I43" s="586">
        <v>145</v>
      </c>
      <c r="M43" s="264" t="s">
        <v>661</v>
      </c>
      <c r="Q43" s="579" t="s">
        <v>681</v>
      </c>
      <c r="R43" s="580">
        <v>169</v>
      </c>
    </row>
    <row r="44" spans="8:18">
      <c r="H44" s="264" t="s">
        <v>680</v>
      </c>
      <c r="I44" s="586">
        <v>115</v>
      </c>
      <c r="M44" s="264" t="s">
        <v>661</v>
      </c>
      <c r="Q44" s="579" t="s">
        <v>682</v>
      </c>
      <c r="R44" s="580">
        <v>210</v>
      </c>
    </row>
    <row r="45" spans="8:18">
      <c r="H45" s="264" t="s">
        <v>681</v>
      </c>
      <c r="I45" s="586">
        <v>169</v>
      </c>
      <c r="M45" s="264" t="s">
        <v>661</v>
      </c>
      <c r="Q45" s="579" t="s">
        <v>683</v>
      </c>
      <c r="R45" s="580">
        <v>275</v>
      </c>
    </row>
    <row r="46" spans="8:18">
      <c r="H46" s="264" t="s">
        <v>682</v>
      </c>
      <c r="I46" s="586">
        <v>210</v>
      </c>
      <c r="M46" s="264" t="s">
        <v>661</v>
      </c>
      <c r="Q46" s="579" t="s">
        <v>684</v>
      </c>
      <c r="R46" s="580">
        <v>1100</v>
      </c>
    </row>
    <row r="47" spans="8:18">
      <c r="H47" s="264" t="s">
        <v>683</v>
      </c>
      <c r="I47" s="586">
        <v>275</v>
      </c>
      <c r="M47" s="264" t="s">
        <v>661</v>
      </c>
      <c r="Q47" s="579" t="s">
        <v>685</v>
      </c>
      <c r="R47" s="580">
        <v>5</v>
      </c>
    </row>
    <row r="48" spans="8:18">
      <c r="H48" s="264" t="s">
        <v>684</v>
      </c>
      <c r="I48" s="586">
        <v>1100</v>
      </c>
      <c r="M48" s="264" t="s">
        <v>661</v>
      </c>
      <c r="Q48" s="579" t="s">
        <v>686</v>
      </c>
      <c r="R48" s="580">
        <v>129</v>
      </c>
    </row>
    <row r="49" spans="2:18">
      <c r="H49" s="264" t="s">
        <v>685</v>
      </c>
      <c r="I49" s="586">
        <v>5</v>
      </c>
      <c r="M49" s="264" t="s">
        <v>661</v>
      </c>
      <c r="Q49" s="579" t="s">
        <v>687</v>
      </c>
      <c r="R49" s="580">
        <v>700</v>
      </c>
    </row>
    <row r="50" spans="2:18">
      <c r="H50" s="264" t="s">
        <v>686</v>
      </c>
      <c r="I50" s="586">
        <v>129</v>
      </c>
      <c r="M50" s="264" t="s">
        <v>661</v>
      </c>
      <c r="Q50" s="579" t="s">
        <v>688</v>
      </c>
      <c r="R50" s="580">
        <v>132.69999999999999</v>
      </c>
    </row>
    <row r="51" spans="2:18">
      <c r="H51" s="264" t="s">
        <v>687</v>
      </c>
      <c r="I51" s="586">
        <v>700</v>
      </c>
      <c r="M51" s="264" t="s">
        <v>661</v>
      </c>
      <c r="Q51" s="579" t="s">
        <v>689</v>
      </c>
      <c r="R51" s="580">
        <v>215</v>
      </c>
    </row>
    <row r="52" spans="2:18">
      <c r="H52" s="264" t="s">
        <v>688</v>
      </c>
      <c r="I52" s="586">
        <v>132.69999999999999</v>
      </c>
      <c r="M52" s="264" t="s">
        <v>661</v>
      </c>
    </row>
    <row r="61" spans="2:18">
      <c r="B61" s="264" t="s">
        <v>689</v>
      </c>
    </row>
  </sheetData>
  <conditionalFormatting sqref="B5:B32 H25:H52">
    <cfRule type="duplicateValues" dxfId="43" priority="1"/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7"/>
  <dimension ref="A1:Z27"/>
  <sheetViews>
    <sheetView workbookViewId="0">
      <selection activeCell="G3" sqref="G3"/>
    </sheetView>
  </sheetViews>
  <sheetFormatPr defaultRowHeight="15"/>
  <cols>
    <col min="1" max="1" width="7.140625" customWidth="1"/>
    <col min="2" max="2" width="18.7109375" bestFit="1" customWidth="1"/>
    <col min="3" max="3" width="30.140625" style="102" customWidth="1"/>
    <col min="4" max="4" width="17.28515625" customWidth="1"/>
    <col min="5" max="5" width="10.42578125" hidden="1" customWidth="1"/>
    <col min="6" max="6" width="14.140625" customWidth="1"/>
    <col min="7" max="7" width="8.42578125" customWidth="1"/>
    <col min="8" max="8" width="31.7109375" customWidth="1"/>
    <col min="9" max="9" width="12.5703125" customWidth="1"/>
    <col min="10" max="10" width="11" customWidth="1"/>
    <col min="11" max="11" width="9.5703125" customWidth="1"/>
    <col min="12" max="12" width="14.140625" customWidth="1"/>
    <col min="13" max="13" width="7.85546875" customWidth="1"/>
    <col min="14" max="14" width="7.42578125" customWidth="1"/>
    <col min="15" max="15" width="7" customWidth="1"/>
    <col min="16" max="16" width="8.42578125" customWidth="1"/>
    <col min="17" max="17" width="9.5703125" customWidth="1"/>
    <col min="18" max="18" width="8.42578125" bestFit="1" customWidth="1"/>
    <col min="19" max="19" width="8.7109375" customWidth="1"/>
    <col min="20" max="20" width="10.28515625" bestFit="1" customWidth="1"/>
    <col min="21" max="21" width="9.42578125" customWidth="1"/>
    <col min="22" max="22" width="10.28515625" customWidth="1"/>
    <col min="23" max="23" width="7.7109375" customWidth="1"/>
    <col min="24" max="24" width="5.85546875" customWidth="1"/>
    <col min="25" max="25" width="64.5703125" bestFit="1" customWidth="1"/>
    <col min="26" max="26" width="11" customWidth="1"/>
    <col min="27" max="27" width="15.140625" customWidth="1"/>
    <col min="30" max="30" width="21" customWidth="1"/>
  </cols>
  <sheetData>
    <row r="1" spans="1:26">
      <c r="A1" s="691">
        <v>1</v>
      </c>
      <c r="C1"/>
    </row>
    <row r="2" spans="1:26" ht="74.25" customHeight="1">
      <c r="A2" s="149" t="s">
        <v>3</v>
      </c>
      <c r="B2" s="149" t="s">
        <v>35</v>
      </c>
      <c r="C2" s="149" t="s">
        <v>89</v>
      </c>
      <c r="D2" s="149" t="s">
        <v>34</v>
      </c>
      <c r="E2" s="149" t="s">
        <v>37</v>
      </c>
      <c r="F2" s="152" t="s">
        <v>690</v>
      </c>
      <c r="G2" s="152" t="s">
        <v>691</v>
      </c>
      <c r="H2" s="152" t="s">
        <v>692</v>
      </c>
      <c r="I2" s="152" t="s">
        <v>693</v>
      </c>
      <c r="J2" s="152" t="s">
        <v>694</v>
      </c>
      <c r="K2" s="152" t="s">
        <v>695</v>
      </c>
      <c r="L2" s="145" t="s">
        <v>696</v>
      </c>
      <c r="M2" s="145" t="s">
        <v>697</v>
      </c>
      <c r="N2" s="145" t="s">
        <v>698</v>
      </c>
      <c r="O2" s="145" t="s">
        <v>699</v>
      </c>
      <c r="P2" s="152" t="s">
        <v>700</v>
      </c>
      <c r="Q2" s="152" t="s">
        <v>701</v>
      </c>
      <c r="R2" s="152" t="s">
        <v>702</v>
      </c>
      <c r="S2" s="152" t="s">
        <v>703</v>
      </c>
      <c r="T2" s="152" t="s">
        <v>704</v>
      </c>
      <c r="U2" s="152" t="s">
        <v>705</v>
      </c>
      <c r="V2" s="152" t="s">
        <v>706</v>
      </c>
      <c r="W2" s="152" t="s">
        <v>48</v>
      </c>
      <c r="X2" s="152" t="s">
        <v>42</v>
      </c>
      <c r="Y2" s="152" t="s">
        <v>45</v>
      </c>
    </row>
    <row r="3" spans="1:26">
      <c r="A3" s="205">
        <f>Group!AA2</f>
        <v>0</v>
      </c>
      <c r="B3" s="363" t="str">
        <f>_xlfn.IFNA(IF(VLOOKUP(A3,BOM!$D$1:$I$10000,6,0)="Inhouse","Process-Inhouse",IF(VLOOKUP(A3,BOM!$D$1:$I$10000,6,0)="BOF","Process-outsourced",IF(VLOOKUP(A3,BOM!$D$1:$I$10000,6,0)="BOSF","Process-Inhouse"))),"")</f>
        <v/>
      </c>
      <c r="C3" s="363">
        <f>_xlfn.IFNA(VLOOKUP(A3,BOM!$D$1:$F$10000,3,0),0)</f>
        <v>0</v>
      </c>
      <c r="D3" s="362">
        <f>_xlfn.IFNA(VLOOKUP(A3,BOM!$D$1:$G$10000,4,0),0)</f>
        <v>0</v>
      </c>
      <c r="E3" s="1" t="s">
        <v>356</v>
      </c>
      <c r="F3" s="1"/>
      <c r="G3" s="205" t="str">
        <f>_xlfn.IFNA(VLOOKUP(F3,'RM Base'!D:E,2,0),"")</f>
        <v/>
      </c>
      <c r="H3" s="679"/>
      <c r="I3" s="590">
        <f t="shared" ref="I3:I4" si="0">H3*1.2</f>
        <v>0</v>
      </c>
      <c r="J3" s="592" t="str">
        <f t="shared" ref="J3:J4" si="1">IFERROR(I3*G3,"")</f>
        <v/>
      </c>
      <c r="K3" s="205">
        <v>500</v>
      </c>
      <c r="L3" s="205">
        <v>1000</v>
      </c>
      <c r="M3" s="205">
        <v>1000</v>
      </c>
      <c r="N3" s="1"/>
      <c r="O3" s="1"/>
      <c r="P3" s="205" t="str">
        <f>IF(O3="","",VLOOKUP(A3,CM_Cavity!A:X,24,0))</f>
        <v/>
      </c>
      <c r="Q3" s="205">
        <v>28</v>
      </c>
      <c r="R3" s="205" t="str">
        <f t="shared" ref="R3:R4" si="2">IFERROR(8*60*85%/30*P3,"")</f>
        <v/>
      </c>
      <c r="S3" s="205">
        <f t="shared" ref="S3:S4" si="3">K3*5</f>
        <v>2500</v>
      </c>
      <c r="T3" s="591" t="str">
        <f t="shared" ref="T3:T4" si="4">IFERROR(S3/R3,"")</f>
        <v/>
      </c>
      <c r="U3" s="590">
        <f t="shared" ref="U3:U4" si="5">IF(I3=0,0,100/60*2)</f>
        <v>0</v>
      </c>
      <c r="V3" s="205">
        <f t="shared" ref="V3:V4" si="6">IF(I3=0,0,2)</f>
        <v>0</v>
      </c>
      <c r="W3" s="591">
        <f t="shared" ref="W3:W4" si="7">SUM(T3,U3,V3)</f>
        <v>0</v>
      </c>
      <c r="X3" s="215">
        <f t="shared" ref="X3:X4" si="8">SUM(J3,W3)</f>
        <v>0</v>
      </c>
      <c r="Y3" s="1"/>
      <c r="Z3" s="680"/>
    </row>
    <row r="4" spans="1:26">
      <c r="A4" s="205">
        <f>Group!AA3</f>
        <v>0</v>
      </c>
      <c r="B4" s="363" t="str">
        <f>_xlfn.IFNA(IF(VLOOKUP(A4,BOM!$D$1:$I$10000,6,0)="Inhouse","Process-Inhouse",IF(VLOOKUP(A4,BOM!$D$1:$I$10000,6,0)="BOF","Process-outsourced",IF(VLOOKUP(A4,BOM!$D$1:$I$10000,6,0)="BOSF","Process-Inhouse"))),"")</f>
        <v/>
      </c>
      <c r="C4" s="363">
        <f>_xlfn.IFNA(VLOOKUP(A4,BOM!$D$1:$F$10000,3,0),0)</f>
        <v>0</v>
      </c>
      <c r="D4" s="362">
        <f>_xlfn.IFNA(VLOOKUP(A4,BOM!$D$1:$G$10000,4,0),0)</f>
        <v>0</v>
      </c>
      <c r="E4" s="1" t="s">
        <v>356</v>
      </c>
      <c r="F4" s="1"/>
      <c r="G4" s="205" t="str">
        <f>_xlfn.IFNA(VLOOKUP(F4,'RM Base'!D:E,2,0),"")</f>
        <v/>
      </c>
      <c r="H4" s="679"/>
      <c r="I4" s="590">
        <f t="shared" si="0"/>
        <v>0</v>
      </c>
      <c r="J4" s="592" t="str">
        <f t="shared" si="1"/>
        <v/>
      </c>
      <c r="K4" s="205">
        <v>500</v>
      </c>
      <c r="L4" s="205">
        <v>1000</v>
      </c>
      <c r="M4" s="205">
        <v>1000</v>
      </c>
      <c r="N4" s="1"/>
      <c r="O4" s="1"/>
      <c r="P4" s="205" t="str">
        <f>IF(O4="","",VLOOKUP(A4,CM_Cavity!A:X,24,0))</f>
        <v/>
      </c>
      <c r="Q4" s="205">
        <v>29</v>
      </c>
      <c r="R4" s="205" t="str">
        <f t="shared" si="2"/>
        <v/>
      </c>
      <c r="S4" s="205">
        <f t="shared" si="3"/>
        <v>2500</v>
      </c>
      <c r="T4" s="591" t="str">
        <f t="shared" si="4"/>
        <v/>
      </c>
      <c r="U4" s="590">
        <f t="shared" si="5"/>
        <v>0</v>
      </c>
      <c r="V4" s="205">
        <f t="shared" si="6"/>
        <v>0</v>
      </c>
      <c r="W4" s="591">
        <f t="shared" si="7"/>
        <v>0</v>
      </c>
      <c r="X4" s="215">
        <f t="shared" si="8"/>
        <v>0</v>
      </c>
      <c r="Y4" s="1"/>
    </row>
    <row r="5" spans="1:26">
      <c r="A5" s="205">
        <f>Group!AA4</f>
        <v>0</v>
      </c>
      <c r="B5" s="363" t="str">
        <f>_xlfn.IFNA(IF(VLOOKUP(A5,BOM!$D$1:$I$10000,6,0)="Inhouse","Process-Inhouse",IF(VLOOKUP(A5,BOM!$D$1:$I$10000,6,0)="BOF","Process-outsourced",IF(VLOOKUP(A5,BOM!$D$1:$I$10000,6,0)="BOSF","Process-Inhouse"))),"")</f>
        <v/>
      </c>
      <c r="C5" s="363">
        <f>_xlfn.IFNA(VLOOKUP(A5,BOM!$D$1:$F$10000,3,0),0)</f>
        <v>0</v>
      </c>
      <c r="D5" s="362">
        <f>_xlfn.IFNA(VLOOKUP(A5,BOM!$D$1:$G$10000,4,0),0)</f>
        <v>0</v>
      </c>
      <c r="E5" s="1" t="s">
        <v>356</v>
      </c>
      <c r="F5" s="1"/>
      <c r="G5" s="205" t="str">
        <f>_xlfn.IFNA(VLOOKUP(F5,'RM Base'!D:E,2,0),"")</f>
        <v/>
      </c>
      <c r="H5" s="593"/>
      <c r="I5" s="590">
        <f t="shared" ref="I5:I12" si="9">H5*1.2</f>
        <v>0</v>
      </c>
      <c r="J5" s="592" t="str">
        <f t="shared" ref="J5:J12" si="10">IFERROR(I5*G5,"")</f>
        <v/>
      </c>
      <c r="K5" s="205">
        <v>500</v>
      </c>
      <c r="L5" s="205">
        <v>1000</v>
      </c>
      <c r="M5" s="205">
        <v>1000</v>
      </c>
      <c r="N5" s="1"/>
      <c r="O5" s="1"/>
      <c r="P5" s="205" t="str">
        <f>IF(O5="","",VLOOKUP(A5,CM_Cavity!A:X,24,0))</f>
        <v/>
      </c>
      <c r="Q5" s="205">
        <v>30</v>
      </c>
      <c r="R5" s="205" t="str">
        <f t="shared" ref="R5:R12" si="11">IFERROR(8*60*85%/30*P5,"")</f>
        <v/>
      </c>
      <c r="S5" s="205">
        <f t="shared" ref="S5:S12" si="12">K5*5</f>
        <v>2500</v>
      </c>
      <c r="T5" s="591" t="str">
        <f t="shared" ref="T5:T12" si="13">IFERROR(S5/R5,"")</f>
        <v/>
      </c>
      <c r="U5" s="590">
        <f t="shared" ref="U5:U12" si="14">IF(I5=0,0,100/60*2)</f>
        <v>0</v>
      </c>
      <c r="V5" s="205">
        <f t="shared" ref="V5:V12" si="15">IF(I5=0,0,2)</f>
        <v>0</v>
      </c>
      <c r="W5" s="591">
        <f t="shared" ref="W5:W12" si="16">SUM(T5,U5,V5)</f>
        <v>0</v>
      </c>
      <c r="X5" s="215">
        <f t="shared" ref="X5:X12" si="17">SUM(J5,W5)</f>
        <v>0</v>
      </c>
      <c r="Y5" s="1"/>
    </row>
    <row r="6" spans="1:26">
      <c r="A6" s="205">
        <f>Group!AA5</f>
        <v>0</v>
      </c>
      <c r="B6" s="363" t="str">
        <f>_xlfn.IFNA(IF(VLOOKUP(A6,BOM!$D$1:$I$10000,6,0)="Inhouse","Process-Inhouse",IF(VLOOKUP(A6,BOM!$D$1:$I$10000,6,0)="BOF","Process-outsourced",IF(VLOOKUP(A6,BOM!$D$1:$I$10000,6,0)="BOSF","Process-Inhouse"))),"")</f>
        <v/>
      </c>
      <c r="C6" s="363">
        <f>_xlfn.IFNA(VLOOKUP(A6,BOM!$D$1:$F$10000,3,0),0)</f>
        <v>0</v>
      </c>
      <c r="D6" s="362">
        <f>_xlfn.IFNA(VLOOKUP(A6,BOM!$D$1:$G$10000,4,0),0)</f>
        <v>0</v>
      </c>
      <c r="E6" s="1" t="s">
        <v>356</v>
      </c>
      <c r="F6" s="1"/>
      <c r="G6" s="205" t="str">
        <f>_xlfn.IFNA(VLOOKUP(F6,'RM Base'!D:E,2,0),"")</f>
        <v/>
      </c>
      <c r="H6" s="593"/>
      <c r="I6" s="590">
        <f t="shared" si="9"/>
        <v>0</v>
      </c>
      <c r="J6" s="592" t="str">
        <f t="shared" si="10"/>
        <v/>
      </c>
      <c r="K6" s="205">
        <v>500</v>
      </c>
      <c r="L6" s="205">
        <v>1000</v>
      </c>
      <c r="M6" s="205">
        <v>1000</v>
      </c>
      <c r="N6" s="1"/>
      <c r="O6" s="1"/>
      <c r="P6" s="205" t="str">
        <f>IF(O6="","",VLOOKUP(A6,CM_Cavity!A:X,24,0))</f>
        <v/>
      </c>
      <c r="Q6" s="205">
        <v>30</v>
      </c>
      <c r="R6" s="205" t="str">
        <f t="shared" si="11"/>
        <v/>
      </c>
      <c r="S6" s="205">
        <f t="shared" si="12"/>
        <v>2500</v>
      </c>
      <c r="T6" s="591" t="str">
        <f t="shared" si="13"/>
        <v/>
      </c>
      <c r="U6" s="590">
        <f t="shared" si="14"/>
        <v>0</v>
      </c>
      <c r="V6" s="205">
        <f t="shared" si="15"/>
        <v>0</v>
      </c>
      <c r="W6" s="591">
        <f t="shared" si="16"/>
        <v>0</v>
      </c>
      <c r="X6" s="215">
        <f t="shared" si="17"/>
        <v>0</v>
      </c>
      <c r="Y6" s="1"/>
    </row>
    <row r="7" spans="1:26">
      <c r="A7" s="205">
        <f>Group!AA6</f>
        <v>0</v>
      </c>
      <c r="B7" s="363" t="str">
        <f>_xlfn.IFNA(IF(VLOOKUP(A7,BOM!$D$1:$I$10000,6,0)="Inhouse","Process-Inhouse",IF(VLOOKUP(A7,BOM!$D$1:$I$10000,6,0)="BOF","Process-outsourced",IF(VLOOKUP(A7,BOM!$D$1:$I$10000,6,0)="BOSF","Process-Inhouse"))),"")</f>
        <v/>
      </c>
      <c r="C7" s="363">
        <f>_xlfn.IFNA(VLOOKUP(A7,BOM!$D$1:$F$10000,3,0),0)</f>
        <v>0</v>
      </c>
      <c r="D7" s="362">
        <f>_xlfn.IFNA(VLOOKUP(A7,BOM!$D$1:$G$10000,4,0),0)</f>
        <v>0</v>
      </c>
      <c r="E7" s="1" t="s">
        <v>356</v>
      </c>
      <c r="F7" s="1"/>
      <c r="G7" s="205" t="str">
        <f>_xlfn.IFNA(VLOOKUP(F7,'RM Base'!D:E,2,0),"")</f>
        <v/>
      </c>
      <c r="H7" s="593"/>
      <c r="I7" s="590">
        <f t="shared" si="9"/>
        <v>0</v>
      </c>
      <c r="J7" s="592" t="str">
        <f t="shared" si="10"/>
        <v/>
      </c>
      <c r="K7" s="205">
        <v>500</v>
      </c>
      <c r="L7" s="205">
        <v>1000</v>
      </c>
      <c r="M7" s="205">
        <v>1000</v>
      </c>
      <c r="N7" s="1"/>
      <c r="O7" s="1"/>
      <c r="P7" s="205" t="str">
        <f>IF(O7="","",VLOOKUP(A7,CM_Cavity!A:X,24,0))</f>
        <v/>
      </c>
      <c r="Q7" s="205">
        <v>30</v>
      </c>
      <c r="R7" s="205" t="str">
        <f t="shared" si="11"/>
        <v/>
      </c>
      <c r="S7" s="205">
        <f t="shared" si="12"/>
        <v>2500</v>
      </c>
      <c r="T7" s="591" t="str">
        <f t="shared" si="13"/>
        <v/>
      </c>
      <c r="U7" s="590">
        <f t="shared" si="14"/>
        <v>0</v>
      </c>
      <c r="V7" s="205">
        <f t="shared" si="15"/>
        <v>0</v>
      </c>
      <c r="W7" s="591">
        <f t="shared" si="16"/>
        <v>0</v>
      </c>
      <c r="X7" s="215">
        <f t="shared" si="17"/>
        <v>0</v>
      </c>
      <c r="Y7" s="1"/>
    </row>
    <row r="8" spans="1:26">
      <c r="A8" s="205">
        <f>Group!AA7</f>
        <v>0</v>
      </c>
      <c r="B8" s="363" t="str">
        <f>_xlfn.IFNA(IF(VLOOKUP(A8,BOM!$D$1:$I$10000,6,0)="Inhouse","Process-Inhouse",IF(VLOOKUP(A8,BOM!$D$1:$I$10000,6,0)="BOF","Process-outsourced",IF(VLOOKUP(A8,BOM!$D$1:$I$10000,6,0)="BOSF","Process-Inhouse"))),"")</f>
        <v/>
      </c>
      <c r="C8" s="363">
        <f>_xlfn.IFNA(VLOOKUP(A8,BOM!$D$1:$F$10000,3,0),0)</f>
        <v>0</v>
      </c>
      <c r="D8" s="362">
        <f>_xlfn.IFNA(VLOOKUP(A8,BOM!$D$1:$G$10000,4,0),0)</f>
        <v>0</v>
      </c>
      <c r="E8" s="1" t="s">
        <v>356</v>
      </c>
      <c r="F8" s="1"/>
      <c r="G8" s="205" t="str">
        <f>_xlfn.IFNA(VLOOKUP(F8,'RM Base'!D:E,2,0),"")</f>
        <v/>
      </c>
      <c r="H8" s="593"/>
      <c r="I8" s="590">
        <f t="shared" si="9"/>
        <v>0</v>
      </c>
      <c r="J8" s="592" t="str">
        <f t="shared" si="10"/>
        <v/>
      </c>
      <c r="K8" s="205">
        <v>500</v>
      </c>
      <c r="L8" s="205">
        <v>1000</v>
      </c>
      <c r="M8" s="205">
        <v>1000</v>
      </c>
      <c r="N8" s="1"/>
      <c r="O8" s="1"/>
      <c r="P8" s="205" t="str">
        <f>IF(O8="","",VLOOKUP(A8,CM_Cavity!A:X,24,0))</f>
        <v/>
      </c>
      <c r="Q8" s="205">
        <v>30</v>
      </c>
      <c r="R8" s="205" t="str">
        <f t="shared" si="11"/>
        <v/>
      </c>
      <c r="S8" s="205">
        <f t="shared" si="12"/>
        <v>2500</v>
      </c>
      <c r="T8" s="591" t="str">
        <f t="shared" si="13"/>
        <v/>
      </c>
      <c r="U8" s="590">
        <f t="shared" si="14"/>
        <v>0</v>
      </c>
      <c r="V8" s="205">
        <f t="shared" si="15"/>
        <v>0</v>
      </c>
      <c r="W8" s="591">
        <f t="shared" si="16"/>
        <v>0</v>
      </c>
      <c r="X8" s="215">
        <f t="shared" si="17"/>
        <v>0</v>
      </c>
      <c r="Y8" s="1"/>
    </row>
    <row r="9" spans="1:26">
      <c r="A9" s="205">
        <f>Group!AA8</f>
        <v>0</v>
      </c>
      <c r="B9" s="363" t="str">
        <f>_xlfn.IFNA(IF(VLOOKUP(A9,BOM!$D$1:$I$10000,6,0)="Inhouse","Process-Inhouse",IF(VLOOKUP(A9,BOM!$D$1:$I$10000,6,0)="BOF","Process-outsourced",IF(VLOOKUP(A9,BOM!$D$1:$I$10000,6,0)="BOSF","Process-Inhouse"))),"")</f>
        <v/>
      </c>
      <c r="C9" s="363">
        <f>_xlfn.IFNA(VLOOKUP(A9,BOM!$D$1:$F$10000,3,0),0)</f>
        <v>0</v>
      </c>
      <c r="D9" s="362">
        <f>_xlfn.IFNA(VLOOKUP(A9,BOM!$D$1:$G$10000,4,0),0)</f>
        <v>0</v>
      </c>
      <c r="E9" s="1" t="s">
        <v>356</v>
      </c>
      <c r="F9" s="1"/>
      <c r="G9" s="205" t="str">
        <f>_xlfn.IFNA(VLOOKUP(F9,'RM Base'!D:E,2,0),"")</f>
        <v/>
      </c>
      <c r="H9" s="593"/>
      <c r="I9" s="590">
        <f t="shared" si="9"/>
        <v>0</v>
      </c>
      <c r="J9" s="592" t="str">
        <f t="shared" si="10"/>
        <v/>
      </c>
      <c r="K9" s="205">
        <v>500</v>
      </c>
      <c r="L9" s="205">
        <v>1000</v>
      </c>
      <c r="M9" s="205">
        <v>1000</v>
      </c>
      <c r="N9" s="1"/>
      <c r="O9" s="1"/>
      <c r="P9" s="205" t="str">
        <f>IF(O9="","",VLOOKUP(A9,CM_Cavity!A:X,24,0))</f>
        <v/>
      </c>
      <c r="Q9" s="205">
        <v>30</v>
      </c>
      <c r="R9" s="205" t="str">
        <f t="shared" si="11"/>
        <v/>
      </c>
      <c r="S9" s="205">
        <f t="shared" si="12"/>
        <v>2500</v>
      </c>
      <c r="T9" s="591" t="str">
        <f t="shared" si="13"/>
        <v/>
      </c>
      <c r="U9" s="590">
        <f t="shared" si="14"/>
        <v>0</v>
      </c>
      <c r="V9" s="205">
        <f t="shared" si="15"/>
        <v>0</v>
      </c>
      <c r="W9" s="591">
        <f t="shared" si="16"/>
        <v>0</v>
      </c>
      <c r="X9" s="215">
        <f t="shared" si="17"/>
        <v>0</v>
      </c>
      <c r="Y9" s="1"/>
    </row>
    <row r="10" spans="1:26">
      <c r="A10" s="205">
        <f>Group!AA9</f>
        <v>0</v>
      </c>
      <c r="B10" s="363" t="str">
        <f>_xlfn.IFNA(IF(VLOOKUP(A10,BOM!$D$1:$I$10000,6,0)="Inhouse","Process-Inhouse",IF(VLOOKUP(A10,BOM!$D$1:$I$10000,6,0)="BOF","Process-outsourced",IF(VLOOKUP(A10,BOM!$D$1:$I$10000,6,0)="BOSF","Process-Inhouse"))),"")</f>
        <v/>
      </c>
      <c r="C10" s="363">
        <f>_xlfn.IFNA(VLOOKUP(A10,BOM!$D$1:$F$10000,3,0),0)</f>
        <v>0</v>
      </c>
      <c r="D10" s="362">
        <f>_xlfn.IFNA(VLOOKUP(A10,BOM!$D$1:$G$10000,4,0),0)</f>
        <v>0</v>
      </c>
      <c r="E10" s="1" t="s">
        <v>356</v>
      </c>
      <c r="F10" s="1"/>
      <c r="G10" s="205" t="str">
        <f>_xlfn.IFNA(VLOOKUP(F10,'RM Base'!D:E,2,0),"")</f>
        <v/>
      </c>
      <c r="H10" s="593"/>
      <c r="I10" s="590">
        <f t="shared" si="9"/>
        <v>0</v>
      </c>
      <c r="J10" s="592" t="str">
        <f t="shared" si="10"/>
        <v/>
      </c>
      <c r="K10" s="205">
        <v>500</v>
      </c>
      <c r="L10" s="205">
        <v>1000</v>
      </c>
      <c r="M10" s="205">
        <v>1000</v>
      </c>
      <c r="N10" s="1"/>
      <c r="O10" s="1"/>
      <c r="P10" s="205" t="str">
        <f>IF(O10="","",VLOOKUP(A10,CM_Cavity!A:X,24,0))</f>
        <v/>
      </c>
      <c r="Q10" s="205">
        <v>30</v>
      </c>
      <c r="R10" s="205" t="str">
        <f t="shared" si="11"/>
        <v/>
      </c>
      <c r="S10" s="205">
        <f t="shared" si="12"/>
        <v>2500</v>
      </c>
      <c r="T10" s="591" t="str">
        <f t="shared" si="13"/>
        <v/>
      </c>
      <c r="U10" s="590">
        <f t="shared" si="14"/>
        <v>0</v>
      </c>
      <c r="V10" s="205">
        <f t="shared" si="15"/>
        <v>0</v>
      </c>
      <c r="W10" s="591">
        <f t="shared" si="16"/>
        <v>0</v>
      </c>
      <c r="X10" s="215">
        <f t="shared" si="17"/>
        <v>0</v>
      </c>
      <c r="Y10" s="1"/>
    </row>
    <row r="11" spans="1:26">
      <c r="A11" s="205">
        <f>Group!AA10</f>
        <v>0</v>
      </c>
      <c r="B11" s="363" t="str">
        <f>_xlfn.IFNA(IF(VLOOKUP(A11,BOM!$D$1:$I$10000,6,0)="Inhouse","Process-Inhouse",IF(VLOOKUP(A11,BOM!$D$1:$I$10000,6,0)="BOF","Process-outsourced",IF(VLOOKUP(A11,BOM!$D$1:$I$10000,6,0)="BOSF","Process-Inhouse"))),"")</f>
        <v/>
      </c>
      <c r="C11" s="363">
        <f>_xlfn.IFNA(VLOOKUP(A11,BOM!$D$1:$F$10000,3,0),0)</f>
        <v>0</v>
      </c>
      <c r="D11" s="362">
        <f>_xlfn.IFNA(VLOOKUP(A11,BOM!$D$1:$G$10000,4,0),0)</f>
        <v>0</v>
      </c>
      <c r="E11" s="1" t="s">
        <v>356</v>
      </c>
      <c r="F11" s="1"/>
      <c r="G11" s="205" t="str">
        <f>_xlfn.IFNA(VLOOKUP(F11,'RM Base'!D:E,2,0),"")</f>
        <v/>
      </c>
      <c r="H11" s="593"/>
      <c r="I11" s="590">
        <f t="shared" si="9"/>
        <v>0</v>
      </c>
      <c r="J11" s="592" t="str">
        <f t="shared" si="10"/>
        <v/>
      </c>
      <c r="K11" s="205">
        <v>500</v>
      </c>
      <c r="L11" s="205">
        <v>1000</v>
      </c>
      <c r="M11" s="205">
        <v>1000</v>
      </c>
      <c r="N11" s="1"/>
      <c r="O11" s="1"/>
      <c r="P11" s="205" t="str">
        <f>IF(O11="","",VLOOKUP(A11,CM_Cavity!A:X,24,0))</f>
        <v/>
      </c>
      <c r="Q11" s="205">
        <v>30</v>
      </c>
      <c r="R11" s="205" t="str">
        <f t="shared" si="11"/>
        <v/>
      </c>
      <c r="S11" s="205">
        <f t="shared" si="12"/>
        <v>2500</v>
      </c>
      <c r="T11" s="591" t="str">
        <f t="shared" si="13"/>
        <v/>
      </c>
      <c r="U11" s="590">
        <f t="shared" si="14"/>
        <v>0</v>
      </c>
      <c r="V11" s="205">
        <f t="shared" si="15"/>
        <v>0</v>
      </c>
      <c r="W11" s="591">
        <f t="shared" si="16"/>
        <v>0</v>
      </c>
      <c r="X11" s="215">
        <f t="shared" si="17"/>
        <v>0</v>
      </c>
      <c r="Y11" s="1"/>
    </row>
    <row r="12" spans="1:26">
      <c r="A12" s="205">
        <f>Group!AA11</f>
        <v>0</v>
      </c>
      <c r="B12" s="363" t="str">
        <f>_xlfn.IFNA(IF(VLOOKUP(A12,BOM!$D$1:$I$10000,6,0)="Inhouse","Process-Inhouse",IF(VLOOKUP(A12,BOM!$D$1:$I$10000,6,0)="BOF","Process-outsourced",IF(VLOOKUP(A12,BOM!$D$1:$I$10000,6,0)="BOSF","Process-Inhouse"))),"")</f>
        <v/>
      </c>
      <c r="C12" s="363">
        <f>_xlfn.IFNA(VLOOKUP(A12,BOM!$D$1:$F$10000,3,0),0)</f>
        <v>0</v>
      </c>
      <c r="D12" s="362">
        <f>_xlfn.IFNA(VLOOKUP(A12,BOM!$D$1:$G$10000,4,0),0)</f>
        <v>0</v>
      </c>
      <c r="E12" s="1" t="s">
        <v>356</v>
      </c>
      <c r="F12" s="1"/>
      <c r="G12" s="205" t="str">
        <f>_xlfn.IFNA(VLOOKUP(F12,'RM Base'!D:E,2,0),"")</f>
        <v/>
      </c>
      <c r="H12" s="593"/>
      <c r="I12" s="590">
        <f t="shared" si="9"/>
        <v>0</v>
      </c>
      <c r="J12" s="592" t="str">
        <f t="shared" si="10"/>
        <v/>
      </c>
      <c r="K12" s="205">
        <v>500</v>
      </c>
      <c r="L12" s="205">
        <v>1000</v>
      </c>
      <c r="M12" s="205">
        <v>1000</v>
      </c>
      <c r="N12" s="1"/>
      <c r="O12" s="1"/>
      <c r="P12" s="205" t="str">
        <f>IF(O12="","",VLOOKUP(A12,CM_Cavity!A:X,24,0))</f>
        <v/>
      </c>
      <c r="Q12" s="205">
        <v>30</v>
      </c>
      <c r="R12" s="205" t="str">
        <f t="shared" si="11"/>
        <v/>
      </c>
      <c r="S12" s="205">
        <f t="shared" si="12"/>
        <v>2500</v>
      </c>
      <c r="T12" s="591" t="str">
        <f t="shared" si="13"/>
        <v/>
      </c>
      <c r="U12" s="590">
        <f t="shared" si="14"/>
        <v>0</v>
      </c>
      <c r="V12" s="205">
        <f t="shared" si="15"/>
        <v>0</v>
      </c>
      <c r="W12" s="591">
        <f t="shared" si="16"/>
        <v>0</v>
      </c>
      <c r="X12" s="215">
        <f t="shared" si="17"/>
        <v>0</v>
      </c>
      <c r="Y12" s="1"/>
    </row>
    <row r="15" spans="1:26" s="102" customFormat="1">
      <c r="B15"/>
      <c r="D15"/>
      <c r="E15"/>
      <c r="F15"/>
      <c r="G15"/>
      <c r="H15"/>
      <c r="I15"/>
      <c r="J15"/>
    </row>
    <row r="18" spans="3:11">
      <c r="C18" s="489" t="s">
        <v>707</v>
      </c>
    </row>
    <row r="19" spans="3:11" s="70" customFormat="1" ht="75">
      <c r="C19" s="634" t="s">
        <v>708</v>
      </c>
      <c r="D19" s="634" t="s">
        <v>709</v>
      </c>
      <c r="E19" s="634"/>
      <c r="F19" s="634" t="s">
        <v>710</v>
      </c>
      <c r="G19" s="634" t="s">
        <v>711</v>
      </c>
      <c r="H19" s="634" t="s">
        <v>712</v>
      </c>
      <c r="I19" s="634" t="s">
        <v>713</v>
      </c>
      <c r="J19" s="634" t="s">
        <v>714</v>
      </c>
      <c r="K19" s="634" t="s">
        <v>715</v>
      </c>
    </row>
    <row r="20" spans="3:11">
      <c r="C20" s="89">
        <v>100</v>
      </c>
      <c r="D20" s="89" t="s">
        <v>716</v>
      </c>
      <c r="E20" s="89"/>
      <c r="F20" s="89" t="s">
        <v>717</v>
      </c>
      <c r="G20" s="89" t="s">
        <v>718</v>
      </c>
      <c r="H20" s="89">
        <v>250</v>
      </c>
      <c r="I20" s="89">
        <v>300</v>
      </c>
      <c r="J20" s="641">
        <v>14</v>
      </c>
      <c r="K20" s="641">
        <v>24.3</v>
      </c>
    </row>
    <row r="21" spans="3:11">
      <c r="C21" s="89">
        <v>150</v>
      </c>
      <c r="D21" s="89" t="s">
        <v>719</v>
      </c>
      <c r="E21" s="89"/>
      <c r="F21" s="89" t="s">
        <v>720</v>
      </c>
      <c r="G21" s="89" t="s">
        <v>718</v>
      </c>
      <c r="H21" s="89">
        <v>250</v>
      </c>
      <c r="I21" s="89">
        <v>300</v>
      </c>
      <c r="J21" s="641">
        <v>16.399999999999999</v>
      </c>
      <c r="K21" s="641">
        <v>32.799999999999997</v>
      </c>
    </row>
    <row r="22" spans="3:11">
      <c r="C22" s="89">
        <v>200</v>
      </c>
      <c r="D22" s="89" t="s">
        <v>721</v>
      </c>
      <c r="E22" s="89"/>
      <c r="F22" s="89" t="s">
        <v>722</v>
      </c>
      <c r="G22" s="89" t="s">
        <v>718</v>
      </c>
      <c r="H22" s="89">
        <v>250</v>
      </c>
      <c r="I22" s="89">
        <v>300</v>
      </c>
      <c r="J22" s="641">
        <v>23.1</v>
      </c>
      <c r="K22" s="641">
        <v>42.4</v>
      </c>
    </row>
    <row r="23" spans="3:11">
      <c r="C23" s="89">
        <v>250</v>
      </c>
      <c r="D23" s="89" t="s">
        <v>723</v>
      </c>
      <c r="E23" s="89"/>
      <c r="F23" s="89" t="s">
        <v>724</v>
      </c>
      <c r="G23" s="89" t="s">
        <v>718</v>
      </c>
      <c r="H23" s="89">
        <v>250</v>
      </c>
      <c r="I23" s="89">
        <v>300</v>
      </c>
      <c r="J23" s="641">
        <v>25.8</v>
      </c>
      <c r="K23" s="641">
        <v>47.8</v>
      </c>
    </row>
    <row r="24" spans="3:11">
      <c r="C24" s="89">
        <v>350</v>
      </c>
      <c r="D24" s="89" t="s">
        <v>725</v>
      </c>
      <c r="E24" s="89"/>
      <c r="F24" s="89" t="s">
        <v>726</v>
      </c>
      <c r="G24" s="89" t="s">
        <v>718</v>
      </c>
      <c r="H24" s="89">
        <v>250</v>
      </c>
      <c r="I24" s="89">
        <v>300</v>
      </c>
      <c r="J24" s="641">
        <v>25.8</v>
      </c>
      <c r="K24" s="641">
        <v>47.8</v>
      </c>
    </row>
    <row r="25" spans="3:11">
      <c r="C25" s="865">
        <v>500</v>
      </c>
      <c r="D25" s="865" t="s">
        <v>727</v>
      </c>
      <c r="E25" s="89"/>
      <c r="F25" s="89" t="s">
        <v>726</v>
      </c>
      <c r="G25" s="865" t="s">
        <v>718</v>
      </c>
      <c r="H25" s="865">
        <v>250</v>
      </c>
      <c r="I25" s="865">
        <v>300</v>
      </c>
      <c r="J25" s="641">
        <v>29.5</v>
      </c>
      <c r="K25" s="641">
        <v>59</v>
      </c>
    </row>
    <row r="26" spans="3:11">
      <c r="C26" s="865"/>
      <c r="D26" s="865"/>
      <c r="E26" s="89"/>
      <c r="F26" s="89" t="s">
        <v>728</v>
      </c>
      <c r="G26" s="865"/>
      <c r="H26" s="865"/>
      <c r="I26" s="865"/>
      <c r="J26" s="641">
        <v>40</v>
      </c>
      <c r="K26" s="641">
        <v>80</v>
      </c>
    </row>
    <row r="27" spans="3:11">
      <c r="C27" s="865"/>
      <c r="D27" s="865"/>
      <c r="E27" s="89"/>
      <c r="F27" s="89" t="s">
        <v>729</v>
      </c>
      <c r="G27" s="865"/>
      <c r="H27" s="865"/>
      <c r="I27" s="865"/>
      <c r="J27" s="641">
        <v>49.6</v>
      </c>
      <c r="K27" s="641">
        <v>99.2</v>
      </c>
    </row>
  </sheetData>
  <mergeCells count="5">
    <mergeCell ref="D25:D27"/>
    <mergeCell ref="C25:C27"/>
    <mergeCell ref="G25:G27"/>
    <mergeCell ref="H25:H27"/>
    <mergeCell ref="I25:I27"/>
  </mergeCells>
  <hyperlinks>
    <hyperlink ref="C18" r:id="rId1" display="https://www.panstone.com/en/2-1117/manufacturer/Rubber-Compression-Molding-MachineColumn-Type-id62339.html" xr:uid="{00000000-0004-0000-1600-000000000000}"/>
  </hyperlinks>
  <pageMargins left="0.7" right="0.7" top="0.75" bottom="0.75" header="0.3" footer="0.3"/>
  <pageSetup paperSize="9" orientation="portrait"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3"/>
  <dimension ref="A1:Z11"/>
  <sheetViews>
    <sheetView zoomScale="80" zoomScaleNormal="80" workbookViewId="0"/>
  </sheetViews>
  <sheetFormatPr defaultColWidth="9.140625" defaultRowHeight="15"/>
  <cols>
    <col min="1" max="3" width="13" style="66" customWidth="1"/>
    <col min="4" max="4" width="8.85546875" style="66" customWidth="1"/>
    <col min="5" max="5" width="7.7109375" style="66" customWidth="1"/>
    <col min="6" max="6" width="9" style="66" customWidth="1"/>
    <col min="7" max="7" width="8.28515625" style="66" customWidth="1"/>
    <col min="8" max="14" width="13" style="66" customWidth="1"/>
    <col min="15" max="18" width="12.140625" style="66" customWidth="1"/>
    <col min="19" max="19" width="12.28515625" style="66" customWidth="1"/>
    <col min="20" max="20" width="10.5703125" style="66" customWidth="1"/>
    <col min="21" max="21" width="9.7109375" style="66" customWidth="1"/>
    <col min="22" max="23" width="10" style="66" customWidth="1"/>
    <col min="24" max="24" width="9" style="66" customWidth="1"/>
    <col min="25" max="16384" width="9.140625" style="66"/>
  </cols>
  <sheetData>
    <row r="1" spans="1:26" s="70" customFormat="1" ht="74.25" customHeight="1">
      <c r="A1" s="152" t="s">
        <v>31</v>
      </c>
      <c r="B1" s="152" t="s">
        <v>730</v>
      </c>
      <c r="C1" s="152" t="s">
        <v>731</v>
      </c>
      <c r="D1" s="152" t="s">
        <v>698</v>
      </c>
      <c r="E1" s="152" t="s">
        <v>699</v>
      </c>
      <c r="F1" s="152" t="s">
        <v>732</v>
      </c>
      <c r="G1" s="152" t="s">
        <v>733</v>
      </c>
      <c r="H1" s="152" t="s">
        <v>734</v>
      </c>
      <c r="I1" s="152" t="s">
        <v>735</v>
      </c>
      <c r="J1" s="152" t="s">
        <v>736</v>
      </c>
      <c r="K1" s="152" t="s">
        <v>737</v>
      </c>
      <c r="L1" s="152" t="s">
        <v>246</v>
      </c>
      <c r="M1" s="152" t="s">
        <v>247</v>
      </c>
      <c r="N1" s="152" t="s">
        <v>738</v>
      </c>
      <c r="O1" s="152" t="s">
        <v>739</v>
      </c>
      <c r="P1" s="152" t="s">
        <v>740</v>
      </c>
      <c r="Q1" s="152" t="s">
        <v>741</v>
      </c>
      <c r="R1" s="152" t="s">
        <v>742</v>
      </c>
      <c r="S1" s="152" t="s">
        <v>743</v>
      </c>
      <c r="T1" s="152" t="s">
        <v>744</v>
      </c>
      <c r="U1" s="152" t="s">
        <v>745</v>
      </c>
      <c r="V1" s="152" t="s">
        <v>746</v>
      </c>
      <c r="W1" s="152" t="s">
        <v>747</v>
      </c>
      <c r="X1" s="152" t="s">
        <v>748</v>
      </c>
    </row>
    <row r="2" spans="1:26">
      <c r="A2" s="97">
        <f>Group!AA2</f>
        <v>0</v>
      </c>
      <c r="B2" s="97">
        <f>1000*80%</f>
        <v>800</v>
      </c>
      <c r="C2" s="97">
        <f>1000*80%</f>
        <v>800</v>
      </c>
      <c r="D2" s="97">
        <f>SUMIFS(CM_Material!N:N,CM_Material!A:A,CM_Cavity!A2)</f>
        <v>0</v>
      </c>
      <c r="E2" s="97">
        <f>SUMIFS(CM_Material!O:O,CM_Material!A:A,CM_Cavity!A2)</f>
        <v>0</v>
      </c>
      <c r="F2" s="97">
        <f>D2+20</f>
        <v>20</v>
      </c>
      <c r="G2" s="97">
        <f>E2+20</f>
        <v>20</v>
      </c>
      <c r="H2" s="97">
        <f>INT(B2/F2)*INT(C2/G2)</f>
        <v>1600</v>
      </c>
      <c r="I2" s="97">
        <f>INT(C2/F2)*INT(B2/G2)</f>
        <v>1600</v>
      </c>
      <c r="J2" s="97">
        <f>INT(B2/G2)*INT(C2/F2)</f>
        <v>1600</v>
      </c>
      <c r="K2" s="97">
        <f>INT(C2/G2)*INT(B2/F2)</f>
        <v>1600</v>
      </c>
      <c r="L2" s="97">
        <f>B2-(INT(B2/F2)*F2)</f>
        <v>0</v>
      </c>
      <c r="M2" s="97">
        <f>C2-(INT(C2/F2)*F2)</f>
        <v>0</v>
      </c>
      <c r="N2" s="97">
        <f>B2-(INT(B2/G2)*G2)</f>
        <v>0</v>
      </c>
      <c r="O2" s="97">
        <f>C2-(INT(C2/G2)*G2)</f>
        <v>0</v>
      </c>
      <c r="P2" s="97">
        <f>INT(L2/G2)*INT(C2/F2)</f>
        <v>0</v>
      </c>
      <c r="Q2" s="97">
        <f>INT(M2/G2)*INT(B2/F2)</f>
        <v>0</v>
      </c>
      <c r="R2" s="594">
        <f>INT(N2/F2)*INT(C2/G2)</f>
        <v>0</v>
      </c>
      <c r="S2" s="97">
        <f>INT(O2/F2)*INT(B2/G2)</f>
        <v>0</v>
      </c>
      <c r="T2" s="97">
        <f>P2+H2</f>
        <v>1600</v>
      </c>
      <c r="U2" s="97">
        <f>Q2+I2</f>
        <v>1600</v>
      </c>
      <c r="V2" s="97">
        <f>R2+J2</f>
        <v>1600</v>
      </c>
      <c r="W2" s="97">
        <f>S2+K2</f>
        <v>1600</v>
      </c>
      <c r="X2" s="97">
        <f>MAX(T2:W2)</f>
        <v>1600</v>
      </c>
      <c r="Z2" s="70"/>
    </row>
    <row r="3" spans="1:26">
      <c r="A3" s="97">
        <f>Group!AA3</f>
        <v>0</v>
      </c>
      <c r="B3" s="97">
        <f t="shared" ref="B3:C11" si="0">1000*80%</f>
        <v>800</v>
      </c>
      <c r="C3" s="97">
        <f t="shared" si="0"/>
        <v>800</v>
      </c>
      <c r="D3" s="97">
        <f>SUMIFS(CM_Material!N:N,CM_Material!A:A,CM_Cavity!A3)</f>
        <v>0</v>
      </c>
      <c r="E3" s="97">
        <f>SUMIFS(CM_Material!O:O,CM_Material!A:A,CM_Cavity!A3)</f>
        <v>0</v>
      </c>
      <c r="F3" s="97">
        <f t="shared" ref="F3:F11" si="1">D3+20</f>
        <v>20</v>
      </c>
      <c r="G3" s="97">
        <f t="shared" ref="G3:G11" si="2">E3+20</f>
        <v>20</v>
      </c>
      <c r="H3" s="97">
        <f t="shared" ref="H3:H11" si="3">INT(B3/F3)*INT(C3/G3)</f>
        <v>1600</v>
      </c>
      <c r="I3" s="97">
        <f t="shared" ref="I3:I11" si="4">INT(C3/F3)*INT(B3/G3)</f>
        <v>1600</v>
      </c>
      <c r="J3" s="97">
        <f t="shared" ref="J3:J11" si="5">INT(B3/G3)*INT(C3/F3)</f>
        <v>1600</v>
      </c>
      <c r="K3" s="97">
        <f t="shared" ref="K3:K11" si="6">INT(C3/G3)*INT(B3/F3)</f>
        <v>1600</v>
      </c>
      <c r="L3" s="97">
        <f t="shared" ref="L3:L11" si="7">B3-(INT(B3/F3)*F3)</f>
        <v>0</v>
      </c>
      <c r="M3" s="97">
        <f t="shared" ref="M3:M11" si="8">C3-(INT(C3/F3)*F3)</f>
        <v>0</v>
      </c>
      <c r="N3" s="97">
        <f t="shared" ref="N3:N11" si="9">B3-(INT(B3/G3)*G3)</f>
        <v>0</v>
      </c>
      <c r="O3" s="97">
        <f t="shared" ref="O3:O11" si="10">C3-(INT(C3/G3)*G3)</f>
        <v>0</v>
      </c>
      <c r="P3" s="97">
        <f t="shared" ref="P3:P11" si="11">INT(L3/G3)*INT(C3/F3)</f>
        <v>0</v>
      </c>
      <c r="Q3" s="97">
        <f t="shared" ref="Q3:Q11" si="12">INT(M3/G3)*INT(B3/F3)</f>
        <v>0</v>
      </c>
      <c r="R3" s="594">
        <f t="shared" ref="R3:R11" si="13">INT(N3/F3)*INT(C3/G3)</f>
        <v>0</v>
      </c>
      <c r="S3" s="97">
        <f t="shared" ref="S3:S11" si="14">INT(O3/F3)*INT(B3/G3)</f>
        <v>0</v>
      </c>
      <c r="T3" s="97">
        <f t="shared" ref="T3:T11" si="15">P3+H3</f>
        <v>1600</v>
      </c>
      <c r="U3" s="97">
        <f t="shared" ref="U3:U11" si="16">Q3+I3</f>
        <v>1600</v>
      </c>
      <c r="V3" s="97">
        <f t="shared" ref="V3:V11" si="17">R3+J3</f>
        <v>1600</v>
      </c>
      <c r="W3" s="97">
        <f t="shared" ref="W3:W11" si="18">S3+K3</f>
        <v>1600</v>
      </c>
      <c r="X3" s="97">
        <f t="shared" ref="X3:X11" si="19">MAX(T3:W3)</f>
        <v>1600</v>
      </c>
      <c r="Z3" s="70"/>
    </row>
    <row r="4" spans="1:26">
      <c r="A4" s="97">
        <f>Group!AA4</f>
        <v>0</v>
      </c>
      <c r="B4" s="97">
        <f t="shared" si="0"/>
        <v>800</v>
      </c>
      <c r="C4" s="97">
        <f t="shared" si="0"/>
        <v>800</v>
      </c>
      <c r="D4" s="97">
        <f>SUMIFS(CM_Material!N:N,CM_Material!A:A,CM_Cavity!A4)</f>
        <v>0</v>
      </c>
      <c r="E4" s="97">
        <f>SUMIFS(CM_Material!O:O,CM_Material!A:A,CM_Cavity!A4)</f>
        <v>0</v>
      </c>
      <c r="F4" s="97">
        <f t="shared" si="1"/>
        <v>20</v>
      </c>
      <c r="G4" s="97">
        <f t="shared" si="2"/>
        <v>20</v>
      </c>
      <c r="H4" s="97">
        <f t="shared" si="3"/>
        <v>1600</v>
      </c>
      <c r="I4" s="97">
        <f t="shared" si="4"/>
        <v>1600</v>
      </c>
      <c r="J4" s="97">
        <f t="shared" si="5"/>
        <v>1600</v>
      </c>
      <c r="K4" s="97">
        <f t="shared" si="6"/>
        <v>1600</v>
      </c>
      <c r="L4" s="97">
        <f t="shared" si="7"/>
        <v>0</v>
      </c>
      <c r="M4" s="97">
        <f t="shared" si="8"/>
        <v>0</v>
      </c>
      <c r="N4" s="97">
        <f t="shared" si="9"/>
        <v>0</v>
      </c>
      <c r="O4" s="97">
        <f t="shared" si="10"/>
        <v>0</v>
      </c>
      <c r="P4" s="97">
        <f t="shared" si="11"/>
        <v>0</v>
      </c>
      <c r="Q4" s="97">
        <f t="shared" si="12"/>
        <v>0</v>
      </c>
      <c r="R4" s="594">
        <f t="shared" si="13"/>
        <v>0</v>
      </c>
      <c r="S4" s="97">
        <f t="shared" si="14"/>
        <v>0</v>
      </c>
      <c r="T4" s="97">
        <f t="shared" si="15"/>
        <v>1600</v>
      </c>
      <c r="U4" s="97">
        <f t="shared" si="16"/>
        <v>1600</v>
      </c>
      <c r="V4" s="97">
        <f t="shared" si="17"/>
        <v>1600</v>
      </c>
      <c r="W4" s="97">
        <f t="shared" si="18"/>
        <v>1600</v>
      </c>
      <c r="X4" s="97">
        <f t="shared" si="19"/>
        <v>1600</v>
      </c>
      <c r="Z4" s="70"/>
    </row>
    <row r="5" spans="1:26">
      <c r="A5" s="97">
        <f>Group!AA5</f>
        <v>0</v>
      </c>
      <c r="B5" s="97">
        <f t="shared" si="0"/>
        <v>800</v>
      </c>
      <c r="C5" s="97">
        <f t="shared" si="0"/>
        <v>800</v>
      </c>
      <c r="D5" s="97">
        <f>SUMIFS(CM_Material!N:N,CM_Material!A:A,CM_Cavity!A5)</f>
        <v>0</v>
      </c>
      <c r="E5" s="97">
        <f>SUMIFS(CM_Material!O:O,CM_Material!A:A,CM_Cavity!A5)</f>
        <v>0</v>
      </c>
      <c r="F5" s="97">
        <f t="shared" si="1"/>
        <v>20</v>
      </c>
      <c r="G5" s="97">
        <f t="shared" si="2"/>
        <v>20</v>
      </c>
      <c r="H5" s="97">
        <f t="shared" si="3"/>
        <v>1600</v>
      </c>
      <c r="I5" s="97">
        <f t="shared" si="4"/>
        <v>1600</v>
      </c>
      <c r="J5" s="97">
        <f t="shared" si="5"/>
        <v>1600</v>
      </c>
      <c r="K5" s="97">
        <f t="shared" si="6"/>
        <v>1600</v>
      </c>
      <c r="L5" s="97">
        <f t="shared" si="7"/>
        <v>0</v>
      </c>
      <c r="M5" s="97">
        <f t="shared" si="8"/>
        <v>0</v>
      </c>
      <c r="N5" s="97">
        <f t="shared" si="9"/>
        <v>0</v>
      </c>
      <c r="O5" s="97">
        <f t="shared" si="10"/>
        <v>0</v>
      </c>
      <c r="P5" s="97">
        <f t="shared" si="11"/>
        <v>0</v>
      </c>
      <c r="Q5" s="97">
        <f t="shared" si="12"/>
        <v>0</v>
      </c>
      <c r="R5" s="594">
        <f t="shared" si="13"/>
        <v>0</v>
      </c>
      <c r="S5" s="97">
        <f t="shared" si="14"/>
        <v>0</v>
      </c>
      <c r="T5" s="97">
        <f t="shared" si="15"/>
        <v>1600</v>
      </c>
      <c r="U5" s="97">
        <f t="shared" si="16"/>
        <v>1600</v>
      </c>
      <c r="V5" s="97">
        <f t="shared" si="17"/>
        <v>1600</v>
      </c>
      <c r="W5" s="97">
        <f t="shared" si="18"/>
        <v>1600</v>
      </c>
      <c r="X5" s="97">
        <f t="shared" si="19"/>
        <v>1600</v>
      </c>
      <c r="Z5" s="70"/>
    </row>
    <row r="6" spans="1:26">
      <c r="A6" s="97">
        <f>Group!AA6</f>
        <v>0</v>
      </c>
      <c r="B6" s="97">
        <f t="shared" si="0"/>
        <v>800</v>
      </c>
      <c r="C6" s="97">
        <f t="shared" si="0"/>
        <v>800</v>
      </c>
      <c r="D6" s="97">
        <f>SUMIFS(CM_Material!N:N,CM_Material!A:A,CM_Cavity!A6)</f>
        <v>0</v>
      </c>
      <c r="E6" s="97">
        <f>SUMIFS(CM_Material!O:O,CM_Material!A:A,CM_Cavity!A6)</f>
        <v>0</v>
      </c>
      <c r="F6" s="97">
        <f t="shared" si="1"/>
        <v>20</v>
      </c>
      <c r="G6" s="97">
        <f t="shared" si="2"/>
        <v>20</v>
      </c>
      <c r="H6" s="97">
        <f t="shared" si="3"/>
        <v>1600</v>
      </c>
      <c r="I6" s="97">
        <f t="shared" si="4"/>
        <v>1600</v>
      </c>
      <c r="J6" s="97">
        <f t="shared" si="5"/>
        <v>1600</v>
      </c>
      <c r="K6" s="97">
        <f t="shared" si="6"/>
        <v>1600</v>
      </c>
      <c r="L6" s="97">
        <f t="shared" si="7"/>
        <v>0</v>
      </c>
      <c r="M6" s="97">
        <f t="shared" si="8"/>
        <v>0</v>
      </c>
      <c r="N6" s="97">
        <f t="shared" si="9"/>
        <v>0</v>
      </c>
      <c r="O6" s="97">
        <f t="shared" si="10"/>
        <v>0</v>
      </c>
      <c r="P6" s="97">
        <f t="shared" si="11"/>
        <v>0</v>
      </c>
      <c r="Q6" s="97">
        <f t="shared" si="12"/>
        <v>0</v>
      </c>
      <c r="R6" s="594">
        <f t="shared" si="13"/>
        <v>0</v>
      </c>
      <c r="S6" s="97">
        <f t="shared" si="14"/>
        <v>0</v>
      </c>
      <c r="T6" s="97">
        <f t="shared" si="15"/>
        <v>1600</v>
      </c>
      <c r="U6" s="97">
        <f t="shared" si="16"/>
        <v>1600</v>
      </c>
      <c r="V6" s="97">
        <f t="shared" si="17"/>
        <v>1600</v>
      </c>
      <c r="W6" s="97">
        <f t="shared" si="18"/>
        <v>1600</v>
      </c>
      <c r="X6" s="97">
        <f t="shared" si="19"/>
        <v>1600</v>
      </c>
      <c r="Z6" s="70"/>
    </row>
    <row r="7" spans="1:26">
      <c r="A7" s="97">
        <f>Group!AA7</f>
        <v>0</v>
      </c>
      <c r="B7" s="97">
        <f t="shared" si="0"/>
        <v>800</v>
      </c>
      <c r="C7" s="97">
        <f t="shared" si="0"/>
        <v>800</v>
      </c>
      <c r="D7" s="97">
        <f>SUMIFS(CM_Material!N:N,CM_Material!A:A,CM_Cavity!A7)</f>
        <v>0</v>
      </c>
      <c r="E7" s="97">
        <f>SUMIFS(CM_Material!O:O,CM_Material!A:A,CM_Cavity!A7)</f>
        <v>0</v>
      </c>
      <c r="F7" s="97">
        <f t="shared" si="1"/>
        <v>20</v>
      </c>
      <c r="G7" s="97">
        <f t="shared" si="2"/>
        <v>20</v>
      </c>
      <c r="H7" s="97">
        <f t="shared" si="3"/>
        <v>1600</v>
      </c>
      <c r="I7" s="97">
        <f t="shared" si="4"/>
        <v>1600</v>
      </c>
      <c r="J7" s="97">
        <f t="shared" si="5"/>
        <v>1600</v>
      </c>
      <c r="K7" s="97">
        <f t="shared" si="6"/>
        <v>1600</v>
      </c>
      <c r="L7" s="97">
        <f t="shared" si="7"/>
        <v>0</v>
      </c>
      <c r="M7" s="97">
        <f t="shared" si="8"/>
        <v>0</v>
      </c>
      <c r="N7" s="97">
        <f t="shared" si="9"/>
        <v>0</v>
      </c>
      <c r="O7" s="97">
        <f t="shared" si="10"/>
        <v>0</v>
      </c>
      <c r="P7" s="97">
        <f t="shared" si="11"/>
        <v>0</v>
      </c>
      <c r="Q7" s="97">
        <f t="shared" si="12"/>
        <v>0</v>
      </c>
      <c r="R7" s="594">
        <f t="shared" si="13"/>
        <v>0</v>
      </c>
      <c r="S7" s="97">
        <f t="shared" si="14"/>
        <v>0</v>
      </c>
      <c r="T7" s="97">
        <f t="shared" si="15"/>
        <v>1600</v>
      </c>
      <c r="U7" s="97">
        <f t="shared" si="16"/>
        <v>1600</v>
      </c>
      <c r="V7" s="97">
        <f t="shared" si="17"/>
        <v>1600</v>
      </c>
      <c r="W7" s="97">
        <f t="shared" si="18"/>
        <v>1600</v>
      </c>
      <c r="X7" s="97">
        <f t="shared" si="19"/>
        <v>1600</v>
      </c>
      <c r="Z7" s="70"/>
    </row>
    <row r="8" spans="1:26">
      <c r="A8" s="97">
        <f>Group!AA8</f>
        <v>0</v>
      </c>
      <c r="B8" s="97">
        <f t="shared" si="0"/>
        <v>800</v>
      </c>
      <c r="C8" s="97">
        <f t="shared" si="0"/>
        <v>800</v>
      </c>
      <c r="D8" s="97">
        <f>SUMIFS(CM_Material!N:N,CM_Material!A:A,CM_Cavity!A8)</f>
        <v>0</v>
      </c>
      <c r="E8" s="97">
        <f>SUMIFS(CM_Material!O:O,CM_Material!A:A,CM_Cavity!A8)</f>
        <v>0</v>
      </c>
      <c r="F8" s="97">
        <f t="shared" si="1"/>
        <v>20</v>
      </c>
      <c r="G8" s="97">
        <f t="shared" si="2"/>
        <v>20</v>
      </c>
      <c r="H8" s="97">
        <f t="shared" si="3"/>
        <v>1600</v>
      </c>
      <c r="I8" s="97">
        <f t="shared" si="4"/>
        <v>1600</v>
      </c>
      <c r="J8" s="97">
        <f t="shared" si="5"/>
        <v>1600</v>
      </c>
      <c r="K8" s="97">
        <f t="shared" si="6"/>
        <v>1600</v>
      </c>
      <c r="L8" s="97">
        <f t="shared" si="7"/>
        <v>0</v>
      </c>
      <c r="M8" s="97">
        <f t="shared" si="8"/>
        <v>0</v>
      </c>
      <c r="N8" s="97">
        <f t="shared" si="9"/>
        <v>0</v>
      </c>
      <c r="O8" s="97">
        <f t="shared" si="10"/>
        <v>0</v>
      </c>
      <c r="P8" s="97">
        <f t="shared" si="11"/>
        <v>0</v>
      </c>
      <c r="Q8" s="97">
        <f t="shared" si="12"/>
        <v>0</v>
      </c>
      <c r="R8" s="594">
        <f t="shared" si="13"/>
        <v>0</v>
      </c>
      <c r="S8" s="97">
        <f t="shared" si="14"/>
        <v>0</v>
      </c>
      <c r="T8" s="97">
        <f t="shared" si="15"/>
        <v>1600</v>
      </c>
      <c r="U8" s="97">
        <f t="shared" si="16"/>
        <v>1600</v>
      </c>
      <c r="V8" s="97">
        <f t="shared" si="17"/>
        <v>1600</v>
      </c>
      <c r="W8" s="97">
        <f t="shared" si="18"/>
        <v>1600</v>
      </c>
      <c r="X8" s="97">
        <f t="shared" si="19"/>
        <v>1600</v>
      </c>
      <c r="Z8" s="70"/>
    </row>
    <row r="9" spans="1:26">
      <c r="A9" s="97">
        <f>Group!AA9</f>
        <v>0</v>
      </c>
      <c r="B9" s="97">
        <f t="shared" si="0"/>
        <v>800</v>
      </c>
      <c r="C9" s="97">
        <f t="shared" si="0"/>
        <v>800</v>
      </c>
      <c r="D9" s="97">
        <f>SUMIFS(CM_Material!N:N,CM_Material!A:A,CM_Cavity!A9)</f>
        <v>0</v>
      </c>
      <c r="E9" s="97">
        <f>SUMIFS(CM_Material!O:O,CM_Material!A:A,CM_Cavity!A9)</f>
        <v>0</v>
      </c>
      <c r="F9" s="97">
        <f t="shared" si="1"/>
        <v>20</v>
      </c>
      <c r="G9" s="97">
        <f t="shared" si="2"/>
        <v>20</v>
      </c>
      <c r="H9" s="97">
        <f t="shared" si="3"/>
        <v>1600</v>
      </c>
      <c r="I9" s="97">
        <f t="shared" si="4"/>
        <v>1600</v>
      </c>
      <c r="J9" s="97">
        <f t="shared" si="5"/>
        <v>1600</v>
      </c>
      <c r="K9" s="97">
        <f t="shared" si="6"/>
        <v>1600</v>
      </c>
      <c r="L9" s="97">
        <f t="shared" si="7"/>
        <v>0</v>
      </c>
      <c r="M9" s="97">
        <f t="shared" si="8"/>
        <v>0</v>
      </c>
      <c r="N9" s="97">
        <f t="shared" si="9"/>
        <v>0</v>
      </c>
      <c r="O9" s="97">
        <f t="shared" si="10"/>
        <v>0</v>
      </c>
      <c r="P9" s="97">
        <f t="shared" si="11"/>
        <v>0</v>
      </c>
      <c r="Q9" s="97">
        <f t="shared" si="12"/>
        <v>0</v>
      </c>
      <c r="R9" s="594">
        <f t="shared" si="13"/>
        <v>0</v>
      </c>
      <c r="S9" s="97">
        <f t="shared" si="14"/>
        <v>0</v>
      </c>
      <c r="T9" s="97">
        <f t="shared" si="15"/>
        <v>1600</v>
      </c>
      <c r="U9" s="97">
        <f t="shared" si="16"/>
        <v>1600</v>
      </c>
      <c r="V9" s="97">
        <f t="shared" si="17"/>
        <v>1600</v>
      </c>
      <c r="W9" s="97">
        <f t="shared" si="18"/>
        <v>1600</v>
      </c>
      <c r="X9" s="97">
        <f t="shared" si="19"/>
        <v>1600</v>
      </c>
      <c r="Z9" s="70"/>
    </row>
    <row r="10" spans="1:26">
      <c r="A10" s="97">
        <f>Group!AA10</f>
        <v>0</v>
      </c>
      <c r="B10" s="97">
        <f t="shared" si="0"/>
        <v>800</v>
      </c>
      <c r="C10" s="97">
        <f t="shared" si="0"/>
        <v>800</v>
      </c>
      <c r="D10" s="97">
        <f>SUMIFS(CM_Material!N:N,CM_Material!A:A,CM_Cavity!A10)</f>
        <v>0</v>
      </c>
      <c r="E10" s="97">
        <f>SUMIFS(CM_Material!O:O,CM_Material!A:A,CM_Cavity!A10)</f>
        <v>0</v>
      </c>
      <c r="F10" s="97">
        <f t="shared" si="1"/>
        <v>20</v>
      </c>
      <c r="G10" s="97">
        <f t="shared" si="2"/>
        <v>20</v>
      </c>
      <c r="H10" s="97">
        <f t="shared" si="3"/>
        <v>1600</v>
      </c>
      <c r="I10" s="97">
        <f t="shared" si="4"/>
        <v>1600</v>
      </c>
      <c r="J10" s="97">
        <f t="shared" si="5"/>
        <v>1600</v>
      </c>
      <c r="K10" s="97">
        <f t="shared" si="6"/>
        <v>1600</v>
      </c>
      <c r="L10" s="97">
        <f t="shared" si="7"/>
        <v>0</v>
      </c>
      <c r="M10" s="97">
        <f t="shared" si="8"/>
        <v>0</v>
      </c>
      <c r="N10" s="97">
        <f t="shared" si="9"/>
        <v>0</v>
      </c>
      <c r="O10" s="97">
        <f t="shared" si="10"/>
        <v>0</v>
      </c>
      <c r="P10" s="97">
        <f t="shared" si="11"/>
        <v>0</v>
      </c>
      <c r="Q10" s="97">
        <f t="shared" si="12"/>
        <v>0</v>
      </c>
      <c r="R10" s="594">
        <f t="shared" si="13"/>
        <v>0</v>
      </c>
      <c r="S10" s="97">
        <f t="shared" si="14"/>
        <v>0</v>
      </c>
      <c r="T10" s="97">
        <f t="shared" si="15"/>
        <v>1600</v>
      </c>
      <c r="U10" s="97">
        <f t="shared" si="16"/>
        <v>1600</v>
      </c>
      <c r="V10" s="97">
        <f t="shared" si="17"/>
        <v>1600</v>
      </c>
      <c r="W10" s="97">
        <f t="shared" si="18"/>
        <v>1600</v>
      </c>
      <c r="X10" s="97">
        <f t="shared" si="19"/>
        <v>1600</v>
      </c>
      <c r="Z10" s="70"/>
    </row>
    <row r="11" spans="1:26">
      <c r="A11" s="97">
        <f>Group!AA11</f>
        <v>0</v>
      </c>
      <c r="B11" s="97">
        <f t="shared" si="0"/>
        <v>800</v>
      </c>
      <c r="C11" s="97">
        <f t="shared" si="0"/>
        <v>800</v>
      </c>
      <c r="D11" s="97">
        <f>SUMIFS(CM_Material!N:N,CM_Material!A:A,CM_Cavity!A11)</f>
        <v>0</v>
      </c>
      <c r="E11" s="97">
        <f>SUMIFS(CM_Material!O:O,CM_Material!A:A,CM_Cavity!A11)</f>
        <v>0</v>
      </c>
      <c r="F11" s="97">
        <f t="shared" si="1"/>
        <v>20</v>
      </c>
      <c r="G11" s="97">
        <f t="shared" si="2"/>
        <v>20</v>
      </c>
      <c r="H11" s="97">
        <f t="shared" si="3"/>
        <v>1600</v>
      </c>
      <c r="I11" s="97">
        <f t="shared" si="4"/>
        <v>1600</v>
      </c>
      <c r="J11" s="97">
        <f t="shared" si="5"/>
        <v>1600</v>
      </c>
      <c r="K11" s="97">
        <f t="shared" si="6"/>
        <v>1600</v>
      </c>
      <c r="L11" s="97">
        <f t="shared" si="7"/>
        <v>0</v>
      </c>
      <c r="M11" s="97">
        <f t="shared" si="8"/>
        <v>0</v>
      </c>
      <c r="N11" s="97">
        <f t="shared" si="9"/>
        <v>0</v>
      </c>
      <c r="O11" s="97">
        <f t="shared" si="10"/>
        <v>0</v>
      </c>
      <c r="P11" s="97">
        <f t="shared" si="11"/>
        <v>0</v>
      </c>
      <c r="Q11" s="97">
        <f t="shared" si="12"/>
        <v>0</v>
      </c>
      <c r="R11" s="594">
        <f t="shared" si="13"/>
        <v>0</v>
      </c>
      <c r="S11" s="97">
        <f t="shared" si="14"/>
        <v>0</v>
      </c>
      <c r="T11" s="97">
        <f t="shared" si="15"/>
        <v>1600</v>
      </c>
      <c r="U11" s="97">
        <f t="shared" si="16"/>
        <v>1600</v>
      </c>
      <c r="V11" s="97">
        <f t="shared" si="17"/>
        <v>1600</v>
      </c>
      <c r="W11" s="97">
        <f t="shared" si="18"/>
        <v>1600</v>
      </c>
      <c r="X11" s="97">
        <f t="shared" si="19"/>
        <v>1600</v>
      </c>
      <c r="Z11" s="70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/>
  <dimension ref="A1:AD13"/>
  <sheetViews>
    <sheetView zoomScale="70" zoomScaleNormal="70" workbookViewId="0">
      <selection activeCell="Z4" sqref="Z4"/>
    </sheetView>
  </sheetViews>
  <sheetFormatPr defaultRowHeight="15"/>
  <cols>
    <col min="1" max="1" width="11.140625" customWidth="1"/>
    <col min="2" max="2" width="12.42578125" customWidth="1"/>
    <col min="3" max="3" width="9.5703125" customWidth="1"/>
    <col min="4" max="4" width="15.7109375" bestFit="1" customWidth="1"/>
    <col min="5" max="5" width="11.140625" customWidth="1"/>
    <col min="6" max="6" width="40.7109375" bestFit="1" customWidth="1"/>
    <col min="7" max="7" width="28.28515625" bestFit="1" customWidth="1"/>
    <col min="8" max="27" width="11.140625" customWidth="1"/>
    <col min="28" max="28" width="12.85546875" bestFit="1" customWidth="1"/>
  </cols>
  <sheetData>
    <row r="1" spans="1:30">
      <c r="A1" s="691">
        <v>1</v>
      </c>
    </row>
    <row r="3" spans="1:30" s="70" customFormat="1" ht="60">
      <c r="A3"/>
      <c r="B3" s="152" t="s">
        <v>29</v>
      </c>
      <c r="C3" s="152" t="s">
        <v>30</v>
      </c>
      <c r="D3" s="152" t="s">
        <v>207</v>
      </c>
      <c r="E3" s="152" t="s">
        <v>32</v>
      </c>
      <c r="F3" s="152" t="s">
        <v>208</v>
      </c>
      <c r="G3" s="152" t="s">
        <v>132</v>
      </c>
      <c r="H3" s="152" t="s">
        <v>749</v>
      </c>
      <c r="I3" s="152" t="s">
        <v>750</v>
      </c>
      <c r="J3" s="152" t="s">
        <v>751</v>
      </c>
      <c r="K3" s="152" t="s">
        <v>752</v>
      </c>
      <c r="L3" s="152" t="s">
        <v>753</v>
      </c>
      <c r="M3" s="152" t="s">
        <v>754</v>
      </c>
      <c r="N3" s="152" t="s">
        <v>755</v>
      </c>
      <c r="O3" s="152" t="s">
        <v>756</v>
      </c>
      <c r="P3" s="152" t="s">
        <v>757</v>
      </c>
      <c r="Q3" s="152" t="s">
        <v>758</v>
      </c>
      <c r="R3" s="152" t="s">
        <v>757</v>
      </c>
      <c r="S3" s="152" t="s">
        <v>759</v>
      </c>
      <c r="T3" s="152" t="s">
        <v>760</v>
      </c>
      <c r="U3" s="152" t="s">
        <v>761</v>
      </c>
      <c r="V3" s="152" t="s">
        <v>762</v>
      </c>
      <c r="W3" s="152" t="s">
        <v>763</v>
      </c>
      <c r="X3" s="152" t="s">
        <v>764</v>
      </c>
      <c r="Y3" s="152" t="s">
        <v>765</v>
      </c>
      <c r="Z3" s="152" t="s">
        <v>766</v>
      </c>
      <c r="AA3" s="152" t="s">
        <v>767</v>
      </c>
      <c r="AB3" s="152" t="s">
        <v>768</v>
      </c>
      <c r="AC3" s="152" t="s">
        <v>45</v>
      </c>
    </row>
    <row r="4" spans="1:30">
      <c r="B4" s="74" t="str">
        <f>_xlfn.IFNA(VLOOKUP(D4,Group!$AM$1:$AO$10000,3,0),"")</f>
        <v>MB512123</v>
      </c>
      <c r="C4" s="71">
        <f>_xlfn.IFNA(VLOOKUP(D4,Group!$AM$1:$AO$10000,2,0),"")</f>
        <v>0</v>
      </c>
      <c r="D4" s="74">
        <f>Group!AE2</f>
        <v>0</v>
      </c>
      <c r="E4" s="71" t="str">
        <f>_xlfn.IFNA(VLOOKUP(D4,BOM!$D$1:$F$10000,2,0),"")</f>
        <v/>
      </c>
      <c r="F4" s="74" t="str">
        <f>_xlfn.IFNA(VLOOKUP(D4,BOM!$D$1:$F$10000,3,0),"")</f>
        <v/>
      </c>
      <c r="G4" s="72"/>
      <c r="H4" s="596"/>
      <c r="I4" s="595" t="str">
        <f>IF(H4="","",H4*25.4)</f>
        <v/>
      </c>
      <c r="J4" s="596"/>
      <c r="K4" s="596"/>
      <c r="L4" s="596"/>
      <c r="M4" s="595" t="str">
        <f>IF(L4="","",K4+L4)</f>
        <v/>
      </c>
      <c r="N4" s="597" t="str">
        <f>IF(L4="","",6000)</f>
        <v/>
      </c>
      <c r="O4" s="599" t="str">
        <f>IFERROR(0.785*((I4^2)-((I4-(2*J4))^2))*K4*7.85/10^6,"")</f>
        <v/>
      </c>
      <c r="P4" s="597" t="str">
        <f>IFERROR(N4-(M4*U4),"")</f>
        <v/>
      </c>
      <c r="Q4" s="598" t="str">
        <f>IFERROR(P4/N4,"")</f>
        <v/>
      </c>
      <c r="R4" s="597" t="str">
        <f>IFERROR((K4*5%)*U4,"")</f>
        <v/>
      </c>
      <c r="S4" s="597" t="str">
        <f>IF(L4="","",MIN(P4,R4))</f>
        <v/>
      </c>
      <c r="T4" s="598" t="str">
        <f>IFERROR(S4/K4/U4,"")</f>
        <v/>
      </c>
      <c r="U4" s="595" t="str">
        <f>IFERROR(ROUNDDOWN((N4/M4),0),"")</f>
        <v/>
      </c>
      <c r="V4" s="599" t="str">
        <f>_xlfn.IFNA(IF(VLOOKUP(G4,'RM Base'!D:F,3,0)="Meter",VLOOKUP(G4,'RM Base'!D:E,2,0),IF(VLOOKUP(G4,'RM Base'!D:F,3,0)="kg",VLOOKUP(G4,'RM Base'!D:F,2,0)*(1000*(I4^2-((I4-2*J4)^2))*3.14/4*7.86*10^-6),"-")),"")</f>
        <v/>
      </c>
      <c r="W4" s="599" t="str">
        <f>IFERROR(N4*V4/1000,"")</f>
        <v/>
      </c>
      <c r="X4" s="599" t="str">
        <f>IFERROR(S4+(L4*U4),"")</f>
        <v/>
      </c>
      <c r="Y4" s="600" t="str">
        <f>IFERROR(0.785*((I4^2)-((I4-(2*J4))^2))*X4*7.85/10^6,"")</f>
        <v/>
      </c>
      <c r="Z4" s="595" t="str">
        <f>IFERROR(IF(VLOOKUP(G4,'RM Base'!$D:$K,8,0)=0,23,VLOOKUP(G4,'RM Base'!$D:$K,8,0)),"")</f>
        <v/>
      </c>
      <c r="AA4" s="600" t="str">
        <f>IFERROR(Y4*Z4,"")</f>
        <v/>
      </c>
      <c r="AB4" s="601" t="str">
        <f>IFERROR((W4-AA4)/U4,"")</f>
        <v/>
      </c>
      <c r="AC4" s="601"/>
      <c r="AD4" s="70"/>
    </row>
    <row r="5" spans="1:30">
      <c r="B5" s="74" t="str">
        <f>_xlfn.IFNA(VLOOKUP(D5,Group!$AM$1:$AO$10000,3,0),"")</f>
        <v>MB512123</v>
      </c>
      <c r="C5" s="71">
        <f>_xlfn.IFNA(VLOOKUP(D5,Group!$AM$1:$AO$10000,2,0),"")</f>
        <v>0</v>
      </c>
      <c r="D5" s="74">
        <f>Group!AE3</f>
        <v>0</v>
      </c>
      <c r="E5" s="71" t="str">
        <f>_xlfn.IFNA(VLOOKUP(D5,BOM!$D$1:$F$10000,2,0),"")</f>
        <v/>
      </c>
      <c r="F5" s="74" t="str">
        <f>_xlfn.IFNA(VLOOKUP(D5,BOM!$D$1:$F$10000,3,0),"")</f>
        <v/>
      </c>
      <c r="G5" s="72"/>
      <c r="H5" s="596"/>
      <c r="I5" s="595" t="str">
        <f t="shared" ref="I5:I13" si="0">IF(H5="","",H5*25.4)</f>
        <v/>
      </c>
      <c r="J5" s="596"/>
      <c r="K5" s="596"/>
      <c r="L5" s="596"/>
      <c r="M5" s="595" t="str">
        <f t="shared" ref="M5:M13" si="1">IF(L5="","",K5+L5)</f>
        <v/>
      </c>
      <c r="N5" s="597" t="str">
        <f t="shared" ref="N5:N13" si="2">IF(L5="","",6000)</f>
        <v/>
      </c>
      <c r="O5" s="599" t="str">
        <f t="shared" ref="O5:O13" si="3">IFERROR(0.785*((I5^2)-((I5-(2*J5))^2))*K5*7.85/10^6,"")</f>
        <v/>
      </c>
      <c r="P5" s="597" t="str">
        <f t="shared" ref="P5:P13" si="4">IFERROR(N5-(M5*U5),"")</f>
        <v/>
      </c>
      <c r="Q5" s="598" t="str">
        <f t="shared" ref="Q5:Q13" si="5">IFERROR(P5/N5,"")</f>
        <v/>
      </c>
      <c r="R5" s="597" t="str">
        <f t="shared" ref="R5:R13" si="6">IFERROR((K5*5%)*U5,"")</f>
        <v/>
      </c>
      <c r="S5" s="597" t="str">
        <f t="shared" ref="S5:S13" si="7">IF(L5="","",MIN(P5,R5))</f>
        <v/>
      </c>
      <c r="T5" s="598" t="str">
        <f t="shared" ref="T5:T13" si="8">IFERROR(S5/K5/U5,"")</f>
        <v/>
      </c>
      <c r="U5" s="595" t="str">
        <f t="shared" ref="U5:U13" si="9">IFERROR(ROUNDDOWN((N5/M5),0),"")</f>
        <v/>
      </c>
      <c r="V5" s="599" t="str">
        <f>_xlfn.IFNA(IF(VLOOKUP(G5,'RM Base'!D:F,3,0)="Meter",VLOOKUP(G5,'RM Base'!D:E,2,0),IF(VLOOKUP(G5,'RM Base'!D:F,3,0)="kg",VLOOKUP(G5,'RM Base'!D:F,2,0)*(1000*(I5^2-((I5-2*J5)^2))*3.14/4*7.86*10^-6),"-")),"")</f>
        <v/>
      </c>
      <c r="W5" s="599" t="str">
        <f t="shared" ref="W5:W13" si="10">IFERROR(N5*V5/1000,"")</f>
        <v/>
      </c>
      <c r="X5" s="599" t="str">
        <f t="shared" ref="X5:X13" si="11">IFERROR(S5+(L5*U5),"")</f>
        <v/>
      </c>
      <c r="Y5" s="600" t="str">
        <f t="shared" ref="Y5:Y13" si="12">IFERROR(0.785*((I5^2)-((I5-(2*J5))^2))*X5*7.85/10^6,"")</f>
        <v/>
      </c>
      <c r="Z5" s="595" t="str">
        <f>IFERROR(IF(VLOOKUP(G5,'RM Base'!$D:$K,8,0)=0,23,VLOOKUP(G5,'RM Base'!$D:$K,8,0)),"")</f>
        <v/>
      </c>
      <c r="AA5" s="600" t="str">
        <f t="shared" ref="AA5:AA13" si="13">IFERROR(Y5*Z5,"")</f>
        <v/>
      </c>
      <c r="AB5" s="601" t="str">
        <f t="shared" ref="AB5:AB13" si="14">IFERROR((W5-AA5)/U5,"")</f>
        <v/>
      </c>
      <c r="AC5" s="601"/>
      <c r="AD5" s="70"/>
    </row>
    <row r="6" spans="1:30">
      <c r="B6" s="74" t="str">
        <f>_xlfn.IFNA(VLOOKUP(D6,Group!$AM$1:$AO$10000,3,0),"")</f>
        <v>MB512123</v>
      </c>
      <c r="C6" s="71">
        <f>_xlfn.IFNA(VLOOKUP(D6,Group!$AM$1:$AO$10000,2,0),"")</f>
        <v>0</v>
      </c>
      <c r="D6" s="74">
        <f>Group!AE4</f>
        <v>0</v>
      </c>
      <c r="E6" s="71" t="str">
        <f>_xlfn.IFNA(VLOOKUP(D6,BOM!$D$1:$F$10000,2,0),"")</f>
        <v/>
      </c>
      <c r="F6" s="74" t="str">
        <f>_xlfn.IFNA(VLOOKUP(D6,BOM!$D$1:$F$10000,3,0),"")</f>
        <v/>
      </c>
      <c r="G6" s="72"/>
      <c r="H6" s="596"/>
      <c r="I6" s="595" t="str">
        <f t="shared" si="0"/>
        <v/>
      </c>
      <c r="J6" s="596"/>
      <c r="K6" s="596"/>
      <c r="L6" s="596"/>
      <c r="M6" s="595" t="str">
        <f t="shared" si="1"/>
        <v/>
      </c>
      <c r="N6" s="597" t="str">
        <f t="shared" si="2"/>
        <v/>
      </c>
      <c r="O6" s="599" t="str">
        <f t="shared" si="3"/>
        <v/>
      </c>
      <c r="P6" s="597" t="str">
        <f t="shared" si="4"/>
        <v/>
      </c>
      <c r="Q6" s="598" t="str">
        <f t="shared" si="5"/>
        <v/>
      </c>
      <c r="R6" s="597" t="str">
        <f t="shared" si="6"/>
        <v/>
      </c>
      <c r="S6" s="597" t="str">
        <f t="shared" si="7"/>
        <v/>
      </c>
      <c r="T6" s="598" t="str">
        <f t="shared" si="8"/>
        <v/>
      </c>
      <c r="U6" s="595" t="str">
        <f t="shared" si="9"/>
        <v/>
      </c>
      <c r="V6" s="599" t="str">
        <f>_xlfn.IFNA(IF(VLOOKUP(G6,'RM Base'!D:F,3,0)="Meter",VLOOKUP(G6,'RM Base'!D:E,2,0),IF(VLOOKUP(G6,'RM Base'!D:F,3,0)="kg",VLOOKUP(G6,'RM Base'!D:F,2,0)*(1000*(I6^2-((I6-2*J6)^2))*3.14/4*7.86*10^-6),"-")),"")</f>
        <v/>
      </c>
      <c r="W6" s="599" t="str">
        <f t="shared" si="10"/>
        <v/>
      </c>
      <c r="X6" s="599" t="str">
        <f t="shared" si="11"/>
        <v/>
      </c>
      <c r="Y6" s="600" t="str">
        <f t="shared" si="12"/>
        <v/>
      </c>
      <c r="Z6" s="595" t="str">
        <f>IFERROR(IF(VLOOKUP(G6,'RM Base'!$D:$K,8,0)=0,23,VLOOKUP(G6,'RM Base'!$D:$K,8,0)),"")</f>
        <v/>
      </c>
      <c r="AA6" s="600" t="str">
        <f t="shared" si="13"/>
        <v/>
      </c>
      <c r="AB6" s="601" t="str">
        <f t="shared" si="14"/>
        <v/>
      </c>
      <c r="AC6" s="601"/>
      <c r="AD6" s="70"/>
    </row>
    <row r="7" spans="1:30">
      <c r="B7" s="74" t="str">
        <f>_xlfn.IFNA(VLOOKUP(D7,Group!$AM$1:$AO$10000,3,0),"")</f>
        <v>MB512123</v>
      </c>
      <c r="C7" s="71">
        <f>_xlfn.IFNA(VLOOKUP(D7,Group!$AM$1:$AO$10000,2,0),"")</f>
        <v>0</v>
      </c>
      <c r="D7" s="74">
        <f>Group!AE5</f>
        <v>0</v>
      </c>
      <c r="E7" s="71" t="str">
        <f>_xlfn.IFNA(VLOOKUP(D7,BOM!$D$1:$F$10000,2,0),"")</f>
        <v/>
      </c>
      <c r="F7" s="74" t="str">
        <f>_xlfn.IFNA(VLOOKUP(D7,BOM!$D$1:$F$10000,3,0),"")</f>
        <v/>
      </c>
      <c r="G7" s="72"/>
      <c r="H7" s="596"/>
      <c r="I7" s="595" t="str">
        <f t="shared" si="0"/>
        <v/>
      </c>
      <c r="J7" s="596"/>
      <c r="K7" s="596"/>
      <c r="L7" s="596"/>
      <c r="M7" s="595" t="str">
        <f t="shared" si="1"/>
        <v/>
      </c>
      <c r="N7" s="597" t="str">
        <f t="shared" si="2"/>
        <v/>
      </c>
      <c r="O7" s="599" t="str">
        <f t="shared" si="3"/>
        <v/>
      </c>
      <c r="P7" s="597" t="str">
        <f t="shared" si="4"/>
        <v/>
      </c>
      <c r="Q7" s="598" t="str">
        <f t="shared" si="5"/>
        <v/>
      </c>
      <c r="R7" s="597" t="str">
        <f t="shared" si="6"/>
        <v/>
      </c>
      <c r="S7" s="597" t="str">
        <f t="shared" si="7"/>
        <v/>
      </c>
      <c r="T7" s="598" t="str">
        <f t="shared" si="8"/>
        <v/>
      </c>
      <c r="U7" s="595" t="str">
        <f t="shared" si="9"/>
        <v/>
      </c>
      <c r="V7" s="599" t="str">
        <f>_xlfn.IFNA(IF(VLOOKUP(G7,'RM Base'!D:F,3,0)="Meter",VLOOKUP(G7,'RM Base'!D:E,2,0),IF(VLOOKUP(G7,'RM Base'!D:F,3,0)="kg",VLOOKUP(G7,'RM Base'!D:F,2,0)*(1000*(I7^2-((I7-2*J7)^2))*3.14/4*7.86*10^-6),"-")),"")</f>
        <v/>
      </c>
      <c r="W7" s="599" t="str">
        <f t="shared" si="10"/>
        <v/>
      </c>
      <c r="X7" s="599" t="str">
        <f t="shared" si="11"/>
        <v/>
      </c>
      <c r="Y7" s="600" t="str">
        <f t="shared" si="12"/>
        <v/>
      </c>
      <c r="Z7" s="595" t="str">
        <f>IFERROR(IF(VLOOKUP(G7,'RM Base'!$D:$K,8,0)=0,23,VLOOKUP(G7,'RM Base'!$D:$K,8,0)),"")</f>
        <v/>
      </c>
      <c r="AA7" s="600" t="str">
        <f t="shared" si="13"/>
        <v/>
      </c>
      <c r="AB7" s="601" t="str">
        <f t="shared" si="14"/>
        <v/>
      </c>
      <c r="AC7" s="601"/>
      <c r="AD7" s="70"/>
    </row>
    <row r="8" spans="1:30">
      <c r="B8" s="74" t="str">
        <f>_xlfn.IFNA(VLOOKUP(D8,Group!$AM$1:$AO$10000,3,0),"")</f>
        <v>MB512123</v>
      </c>
      <c r="C8" s="71">
        <f>_xlfn.IFNA(VLOOKUP(D8,Group!$AM$1:$AO$10000,2,0),"")</f>
        <v>0</v>
      </c>
      <c r="D8" s="74">
        <f>Group!AE6</f>
        <v>0</v>
      </c>
      <c r="E8" s="71" t="str">
        <f>_xlfn.IFNA(VLOOKUP(D8,BOM!$D$1:$F$10000,2,0),"")</f>
        <v/>
      </c>
      <c r="F8" s="74" t="str">
        <f>_xlfn.IFNA(VLOOKUP(D8,BOM!$D$1:$F$10000,3,0),"")</f>
        <v/>
      </c>
      <c r="G8" s="72"/>
      <c r="H8" s="596"/>
      <c r="I8" s="595" t="str">
        <f t="shared" si="0"/>
        <v/>
      </c>
      <c r="J8" s="596"/>
      <c r="K8" s="596"/>
      <c r="L8" s="596"/>
      <c r="M8" s="595" t="str">
        <f t="shared" si="1"/>
        <v/>
      </c>
      <c r="N8" s="597" t="str">
        <f t="shared" si="2"/>
        <v/>
      </c>
      <c r="O8" s="599" t="str">
        <f t="shared" si="3"/>
        <v/>
      </c>
      <c r="P8" s="597" t="str">
        <f t="shared" si="4"/>
        <v/>
      </c>
      <c r="Q8" s="598" t="str">
        <f t="shared" si="5"/>
        <v/>
      </c>
      <c r="R8" s="597" t="str">
        <f t="shared" si="6"/>
        <v/>
      </c>
      <c r="S8" s="597" t="str">
        <f t="shared" si="7"/>
        <v/>
      </c>
      <c r="T8" s="598" t="str">
        <f t="shared" si="8"/>
        <v/>
      </c>
      <c r="U8" s="595" t="str">
        <f t="shared" si="9"/>
        <v/>
      </c>
      <c r="V8" s="599" t="str">
        <f>_xlfn.IFNA(IF(VLOOKUP(G8,'RM Base'!D:F,3,0)="Meter",VLOOKUP(G8,'RM Base'!D:E,2,0),IF(VLOOKUP(G8,'RM Base'!D:F,3,0)="kg",VLOOKUP(G8,'RM Base'!D:F,2,0)*(1000*(I8^2-((I8-2*J8)^2))*3.14/4*7.86*10^-6),"-")),"")</f>
        <v/>
      </c>
      <c r="W8" s="599" t="str">
        <f t="shared" si="10"/>
        <v/>
      </c>
      <c r="X8" s="599" t="str">
        <f t="shared" si="11"/>
        <v/>
      </c>
      <c r="Y8" s="600" t="str">
        <f t="shared" si="12"/>
        <v/>
      </c>
      <c r="Z8" s="595" t="str">
        <f>IFERROR(IF(VLOOKUP(G8,'RM Base'!$D:$K,8,0)=0,23,VLOOKUP(G8,'RM Base'!$D:$K,8,0)),"")</f>
        <v/>
      </c>
      <c r="AA8" s="600" t="str">
        <f t="shared" si="13"/>
        <v/>
      </c>
      <c r="AB8" s="601" t="str">
        <f t="shared" si="14"/>
        <v/>
      </c>
      <c r="AC8" s="601"/>
      <c r="AD8" s="70"/>
    </row>
    <row r="9" spans="1:30">
      <c r="B9" s="74" t="str">
        <f>_xlfn.IFNA(VLOOKUP(D9,Group!$AM$1:$AO$10000,3,0),"")</f>
        <v>MB512123</v>
      </c>
      <c r="C9" s="71">
        <f>_xlfn.IFNA(VLOOKUP(D9,Group!$AM$1:$AO$10000,2,0),"")</f>
        <v>0</v>
      </c>
      <c r="D9" s="74">
        <f>Group!AE7</f>
        <v>0</v>
      </c>
      <c r="E9" s="71" t="str">
        <f>_xlfn.IFNA(VLOOKUP(D9,BOM!$D$1:$F$10000,2,0),"")</f>
        <v/>
      </c>
      <c r="F9" s="74" t="str">
        <f>_xlfn.IFNA(VLOOKUP(D9,BOM!$D$1:$F$10000,3,0),"")</f>
        <v/>
      </c>
      <c r="G9" s="72"/>
      <c r="H9" s="596"/>
      <c r="I9" s="595" t="str">
        <f t="shared" si="0"/>
        <v/>
      </c>
      <c r="J9" s="596"/>
      <c r="K9" s="596"/>
      <c r="L9" s="596"/>
      <c r="M9" s="595" t="str">
        <f t="shared" si="1"/>
        <v/>
      </c>
      <c r="N9" s="597" t="str">
        <f t="shared" si="2"/>
        <v/>
      </c>
      <c r="O9" s="599" t="str">
        <f t="shared" si="3"/>
        <v/>
      </c>
      <c r="P9" s="597" t="str">
        <f t="shared" si="4"/>
        <v/>
      </c>
      <c r="Q9" s="598" t="str">
        <f t="shared" si="5"/>
        <v/>
      </c>
      <c r="R9" s="597" t="str">
        <f t="shared" si="6"/>
        <v/>
      </c>
      <c r="S9" s="597" t="str">
        <f t="shared" si="7"/>
        <v/>
      </c>
      <c r="T9" s="598" t="str">
        <f t="shared" si="8"/>
        <v/>
      </c>
      <c r="U9" s="595" t="str">
        <f t="shared" si="9"/>
        <v/>
      </c>
      <c r="V9" s="599" t="str">
        <f>_xlfn.IFNA(IF(VLOOKUP(G9,'RM Base'!D:F,3,0)="Meter",VLOOKUP(G9,'RM Base'!D:E,2,0),IF(VLOOKUP(G9,'RM Base'!D:F,3,0)="kg",VLOOKUP(G9,'RM Base'!D:F,2,0)*(1000*(I9^2-((I9-2*J9)^2))*3.14/4*7.86*10^-6),"-")),"")</f>
        <v/>
      </c>
      <c r="W9" s="599" t="str">
        <f t="shared" si="10"/>
        <v/>
      </c>
      <c r="X9" s="599" t="str">
        <f t="shared" si="11"/>
        <v/>
      </c>
      <c r="Y9" s="600" t="str">
        <f t="shared" si="12"/>
        <v/>
      </c>
      <c r="Z9" s="595" t="str">
        <f>IFERROR(IF(VLOOKUP(G9,'RM Base'!$D:$K,8,0)=0,23,VLOOKUP(G9,'RM Base'!$D:$K,8,0)),"")</f>
        <v/>
      </c>
      <c r="AA9" s="600" t="str">
        <f t="shared" si="13"/>
        <v/>
      </c>
      <c r="AB9" s="601" t="str">
        <f t="shared" si="14"/>
        <v/>
      </c>
      <c r="AC9" s="601"/>
      <c r="AD9" s="70"/>
    </row>
    <row r="10" spans="1:30">
      <c r="B10" s="74" t="str">
        <f>_xlfn.IFNA(VLOOKUP(D10,Group!$AM$1:$AO$10000,3,0),"")</f>
        <v>MB512123</v>
      </c>
      <c r="C10" s="71">
        <f>_xlfn.IFNA(VLOOKUP(D10,Group!$AM$1:$AO$10000,2,0),"")</f>
        <v>0</v>
      </c>
      <c r="D10" s="74">
        <f>Group!AE8</f>
        <v>0</v>
      </c>
      <c r="E10" s="71" t="str">
        <f>_xlfn.IFNA(VLOOKUP(D10,BOM!$D$1:$F$10000,2,0),"")</f>
        <v/>
      </c>
      <c r="F10" s="74" t="str">
        <f>_xlfn.IFNA(VLOOKUP(D10,BOM!$D$1:$F$10000,3,0),"")</f>
        <v/>
      </c>
      <c r="G10" s="72"/>
      <c r="H10" s="596"/>
      <c r="I10" s="595" t="str">
        <f t="shared" si="0"/>
        <v/>
      </c>
      <c r="J10" s="596"/>
      <c r="K10" s="596"/>
      <c r="L10" s="596"/>
      <c r="M10" s="595" t="str">
        <f t="shared" si="1"/>
        <v/>
      </c>
      <c r="N10" s="597" t="str">
        <f t="shared" si="2"/>
        <v/>
      </c>
      <c r="O10" s="599" t="str">
        <f t="shared" si="3"/>
        <v/>
      </c>
      <c r="P10" s="597" t="str">
        <f t="shared" si="4"/>
        <v/>
      </c>
      <c r="Q10" s="598" t="str">
        <f t="shared" si="5"/>
        <v/>
      </c>
      <c r="R10" s="597" t="str">
        <f t="shared" si="6"/>
        <v/>
      </c>
      <c r="S10" s="597" t="str">
        <f t="shared" si="7"/>
        <v/>
      </c>
      <c r="T10" s="598" t="str">
        <f t="shared" si="8"/>
        <v/>
      </c>
      <c r="U10" s="595" t="str">
        <f t="shared" si="9"/>
        <v/>
      </c>
      <c r="V10" s="599" t="str">
        <f>_xlfn.IFNA(IF(VLOOKUP(G10,'RM Base'!D:F,3,0)="Meter",VLOOKUP(G10,'RM Base'!D:E,2,0),IF(VLOOKUP(G10,'RM Base'!D:F,3,0)="kg",VLOOKUP(G10,'RM Base'!D:F,2,0)*(1000*(I10^2-((I10-2*J10)^2))*3.14/4*7.86*10^-6),"-")),"")</f>
        <v/>
      </c>
      <c r="W10" s="599" t="str">
        <f t="shared" si="10"/>
        <v/>
      </c>
      <c r="X10" s="599" t="str">
        <f t="shared" si="11"/>
        <v/>
      </c>
      <c r="Y10" s="600" t="str">
        <f t="shared" si="12"/>
        <v/>
      </c>
      <c r="Z10" s="595" t="str">
        <f>IFERROR(IF(VLOOKUP(G10,'RM Base'!$D:$K,8,0)=0,23,VLOOKUP(G10,'RM Base'!$D:$K,8,0)),"")</f>
        <v/>
      </c>
      <c r="AA10" s="600" t="str">
        <f t="shared" si="13"/>
        <v/>
      </c>
      <c r="AB10" s="601" t="str">
        <f t="shared" si="14"/>
        <v/>
      </c>
      <c r="AC10" s="601"/>
    </row>
    <row r="11" spans="1:30">
      <c r="B11" s="74" t="str">
        <f>_xlfn.IFNA(VLOOKUP(D11,Group!$AM$1:$AO$10000,3,0),"")</f>
        <v>MB512123</v>
      </c>
      <c r="C11" s="71">
        <f>_xlfn.IFNA(VLOOKUP(D11,Group!$AM$1:$AO$10000,2,0),"")</f>
        <v>0</v>
      </c>
      <c r="D11" s="74">
        <f>Group!AE9</f>
        <v>0</v>
      </c>
      <c r="E11" s="71" t="str">
        <f>_xlfn.IFNA(VLOOKUP(D11,BOM!$D$1:$F$10000,2,0),"")</f>
        <v/>
      </c>
      <c r="F11" s="74" t="str">
        <f>_xlfn.IFNA(VLOOKUP(D11,BOM!$D$1:$F$10000,3,0),"")</f>
        <v/>
      </c>
      <c r="G11" s="72"/>
      <c r="H11" s="596"/>
      <c r="I11" s="595" t="str">
        <f t="shared" si="0"/>
        <v/>
      </c>
      <c r="J11" s="596"/>
      <c r="K11" s="596"/>
      <c r="L11" s="596"/>
      <c r="M11" s="595" t="str">
        <f t="shared" si="1"/>
        <v/>
      </c>
      <c r="N11" s="597" t="str">
        <f t="shared" si="2"/>
        <v/>
      </c>
      <c r="O11" s="599" t="str">
        <f t="shared" si="3"/>
        <v/>
      </c>
      <c r="P11" s="597" t="str">
        <f t="shared" si="4"/>
        <v/>
      </c>
      <c r="Q11" s="598" t="str">
        <f t="shared" si="5"/>
        <v/>
      </c>
      <c r="R11" s="597" t="str">
        <f t="shared" si="6"/>
        <v/>
      </c>
      <c r="S11" s="597" t="str">
        <f t="shared" si="7"/>
        <v/>
      </c>
      <c r="T11" s="598" t="str">
        <f t="shared" si="8"/>
        <v/>
      </c>
      <c r="U11" s="595" t="str">
        <f t="shared" si="9"/>
        <v/>
      </c>
      <c r="V11" s="599" t="str">
        <f>_xlfn.IFNA(IF(VLOOKUP(G11,'RM Base'!D:F,3,0)="Meter",VLOOKUP(G11,'RM Base'!D:E,2,0),IF(VLOOKUP(G11,'RM Base'!D:F,3,0)="kg",VLOOKUP(G11,'RM Base'!D:F,2,0)*(1000*(I11^2-((I11-2*J11)^2))*3.14/4*7.86*10^-6),"-")),"")</f>
        <v/>
      </c>
      <c r="W11" s="599" t="str">
        <f t="shared" si="10"/>
        <v/>
      </c>
      <c r="X11" s="599" t="str">
        <f t="shared" si="11"/>
        <v/>
      </c>
      <c r="Y11" s="600" t="str">
        <f t="shared" si="12"/>
        <v/>
      </c>
      <c r="Z11" s="595" t="str">
        <f>IFERROR(IF(VLOOKUP(G11,'RM Base'!$D:$K,8,0)=0,23,VLOOKUP(G11,'RM Base'!$D:$K,8,0)),"")</f>
        <v/>
      </c>
      <c r="AA11" s="600" t="str">
        <f t="shared" si="13"/>
        <v/>
      </c>
      <c r="AB11" s="601" t="str">
        <f t="shared" si="14"/>
        <v/>
      </c>
      <c r="AC11" s="601"/>
    </row>
    <row r="12" spans="1:30">
      <c r="B12" s="74" t="str">
        <f>_xlfn.IFNA(VLOOKUP(D12,Group!$AM$1:$AO$10000,3,0),"")</f>
        <v>MB512123</v>
      </c>
      <c r="C12" s="71">
        <f>_xlfn.IFNA(VLOOKUP(D12,Group!$AM$1:$AO$10000,2,0),"")</f>
        <v>0</v>
      </c>
      <c r="D12" s="74">
        <f>Group!AE10</f>
        <v>0</v>
      </c>
      <c r="E12" s="71" t="str">
        <f>_xlfn.IFNA(VLOOKUP(D12,BOM!$D$1:$F$10000,2,0),"")</f>
        <v/>
      </c>
      <c r="F12" s="74" t="str">
        <f>_xlfn.IFNA(VLOOKUP(D12,BOM!$D$1:$F$10000,3,0),"")</f>
        <v/>
      </c>
      <c r="G12" s="72"/>
      <c r="H12" s="596"/>
      <c r="I12" s="595" t="str">
        <f t="shared" si="0"/>
        <v/>
      </c>
      <c r="J12" s="596"/>
      <c r="K12" s="596"/>
      <c r="L12" s="596"/>
      <c r="M12" s="595" t="str">
        <f t="shared" si="1"/>
        <v/>
      </c>
      <c r="N12" s="597" t="str">
        <f t="shared" si="2"/>
        <v/>
      </c>
      <c r="O12" s="599" t="str">
        <f t="shared" si="3"/>
        <v/>
      </c>
      <c r="P12" s="597" t="str">
        <f t="shared" si="4"/>
        <v/>
      </c>
      <c r="Q12" s="598" t="str">
        <f t="shared" si="5"/>
        <v/>
      </c>
      <c r="R12" s="597" t="str">
        <f t="shared" si="6"/>
        <v/>
      </c>
      <c r="S12" s="597" t="str">
        <f t="shared" si="7"/>
        <v/>
      </c>
      <c r="T12" s="598" t="str">
        <f t="shared" si="8"/>
        <v/>
      </c>
      <c r="U12" s="595" t="str">
        <f t="shared" si="9"/>
        <v/>
      </c>
      <c r="V12" s="599" t="str">
        <f>_xlfn.IFNA(IF(VLOOKUP(G12,'RM Base'!D:F,3,0)="Meter",VLOOKUP(G12,'RM Base'!D:E,2,0),IF(VLOOKUP(G12,'RM Base'!D:F,3,0)="kg",VLOOKUP(G12,'RM Base'!D:F,2,0)*(1000*(I12^2-((I12-2*J12)^2))*3.14/4*7.86*10^-6),"-")),"")</f>
        <v/>
      </c>
      <c r="W12" s="599" t="str">
        <f t="shared" si="10"/>
        <v/>
      </c>
      <c r="X12" s="599" t="str">
        <f t="shared" si="11"/>
        <v/>
      </c>
      <c r="Y12" s="600" t="str">
        <f t="shared" si="12"/>
        <v/>
      </c>
      <c r="Z12" s="595" t="str">
        <f>IFERROR(IF(VLOOKUP(G12,'RM Base'!$D:$K,8,0)=0,23,VLOOKUP(G12,'RM Base'!$D:$K,8,0)),"")</f>
        <v/>
      </c>
      <c r="AA12" s="600" t="str">
        <f t="shared" si="13"/>
        <v/>
      </c>
      <c r="AB12" s="601" t="str">
        <f t="shared" si="14"/>
        <v/>
      </c>
      <c r="AC12" s="601"/>
    </row>
    <row r="13" spans="1:30">
      <c r="B13" s="74" t="str">
        <f>_xlfn.IFNA(VLOOKUP(D13,Group!$AM$1:$AO$10000,3,0),"")</f>
        <v>MB512123</v>
      </c>
      <c r="C13" s="71">
        <f>_xlfn.IFNA(VLOOKUP(D13,Group!$AM$1:$AO$10000,2,0),"")</f>
        <v>0</v>
      </c>
      <c r="D13" s="74">
        <f>Group!AE11</f>
        <v>0</v>
      </c>
      <c r="E13" s="71" t="str">
        <f>_xlfn.IFNA(VLOOKUP(D13,BOM!$D$1:$F$10000,2,0),"")</f>
        <v/>
      </c>
      <c r="F13" s="74" t="str">
        <f>_xlfn.IFNA(VLOOKUP(D13,BOM!$D$1:$F$10000,3,0),"")</f>
        <v/>
      </c>
      <c r="G13" s="72"/>
      <c r="H13" s="596"/>
      <c r="I13" s="595" t="str">
        <f t="shared" si="0"/>
        <v/>
      </c>
      <c r="J13" s="596"/>
      <c r="K13" s="596"/>
      <c r="L13" s="596"/>
      <c r="M13" s="595" t="str">
        <f t="shared" si="1"/>
        <v/>
      </c>
      <c r="N13" s="597" t="str">
        <f t="shared" si="2"/>
        <v/>
      </c>
      <c r="O13" s="599" t="str">
        <f t="shared" si="3"/>
        <v/>
      </c>
      <c r="P13" s="597" t="str">
        <f t="shared" si="4"/>
        <v/>
      </c>
      <c r="Q13" s="598" t="str">
        <f t="shared" si="5"/>
        <v/>
      </c>
      <c r="R13" s="597" t="str">
        <f t="shared" si="6"/>
        <v/>
      </c>
      <c r="S13" s="597" t="str">
        <f t="shared" si="7"/>
        <v/>
      </c>
      <c r="T13" s="598" t="str">
        <f t="shared" si="8"/>
        <v/>
      </c>
      <c r="U13" s="595" t="str">
        <f t="shared" si="9"/>
        <v/>
      </c>
      <c r="V13" s="599" t="str">
        <f>_xlfn.IFNA(IF(VLOOKUP(G13,'RM Base'!D:F,3,0)="Meter",VLOOKUP(G13,'RM Base'!D:E,2,0),IF(VLOOKUP(G13,'RM Base'!D:F,3,0)="kg",VLOOKUP(G13,'RM Base'!D:F,2,0)*(1000*(I13^2-((I13-2*J13)^2))*3.14/4*7.86*10^-6),"-")),"")</f>
        <v/>
      </c>
      <c r="W13" s="599" t="str">
        <f t="shared" si="10"/>
        <v/>
      </c>
      <c r="X13" s="599" t="str">
        <f t="shared" si="11"/>
        <v/>
      </c>
      <c r="Y13" s="600" t="str">
        <f t="shared" si="12"/>
        <v/>
      </c>
      <c r="Z13" s="595" t="str">
        <f>IFERROR(IF(VLOOKUP(G13,'RM Base'!$D:$K,8,0)=0,23,VLOOKUP(G13,'RM Base'!$D:$K,8,0)),"")</f>
        <v/>
      </c>
      <c r="AA13" s="600" t="str">
        <f t="shared" si="13"/>
        <v/>
      </c>
      <c r="AB13" s="601" t="str">
        <f t="shared" si="14"/>
        <v/>
      </c>
      <c r="AC13" s="60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800-000000000000}">
          <x14:formula1>
            <xm:f>EP_RM_List!$A$2:$A$55</xm:f>
          </x14:formula1>
          <xm:sqref>G4:G13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5"/>
  <dimension ref="A1:AB14"/>
  <sheetViews>
    <sheetView zoomScale="85" zoomScaleNormal="85" workbookViewId="0">
      <selection activeCell="Z13" sqref="Z13"/>
    </sheetView>
  </sheetViews>
  <sheetFormatPr defaultRowHeight="15"/>
  <cols>
    <col min="1" max="1" width="12.85546875" bestFit="1" customWidth="1"/>
    <col min="2" max="2" width="17.42578125" customWidth="1"/>
    <col min="3" max="3" width="18.7109375" bestFit="1" customWidth="1"/>
    <col min="4" max="4" width="35.28515625" bestFit="1" customWidth="1"/>
    <col min="5" max="5" width="8.140625" bestFit="1" customWidth="1"/>
    <col min="6" max="6" width="6.28515625" bestFit="1" customWidth="1"/>
    <col min="7" max="7" width="8.140625" customWidth="1"/>
    <col min="8" max="8" width="9.5703125" customWidth="1"/>
    <col min="9" max="9" width="6.28515625" bestFit="1" customWidth="1"/>
    <col min="10" max="10" width="7.140625" customWidth="1"/>
    <col min="11" max="11" width="10.42578125" customWidth="1"/>
    <col min="12" max="12" width="7.140625" bestFit="1" customWidth="1"/>
    <col min="13" max="13" width="8.28515625" customWidth="1"/>
    <col min="14" max="14" width="8.140625" bestFit="1" customWidth="1"/>
    <col min="15" max="15" width="13.42578125" customWidth="1"/>
    <col min="16" max="16" width="8.7109375" bestFit="1" customWidth="1"/>
    <col min="17" max="17" width="8.7109375" customWidth="1"/>
    <col min="18" max="18" width="10.28515625" customWidth="1"/>
    <col min="19" max="19" width="7.85546875" bestFit="1" customWidth="1"/>
    <col min="20" max="20" width="8" customWidth="1"/>
    <col min="21" max="21" width="10.42578125" customWidth="1"/>
    <col min="22" max="22" width="9.28515625" customWidth="1"/>
    <col min="23" max="23" width="7.7109375" customWidth="1"/>
    <col min="24" max="24" width="7.140625" bestFit="1" customWidth="1"/>
    <col min="25" max="25" width="9.140625" customWidth="1"/>
    <col min="26" max="26" width="9" customWidth="1"/>
    <col min="27" max="27" width="10.5703125" customWidth="1"/>
    <col min="28" max="28" width="13.5703125" customWidth="1"/>
  </cols>
  <sheetData>
    <row r="1" spans="1:28">
      <c r="A1" s="691">
        <v>1</v>
      </c>
      <c r="C1" s="792" t="s">
        <v>202</v>
      </c>
      <c r="D1" s="792"/>
      <c r="E1" s="792"/>
      <c r="F1" s="792"/>
      <c r="G1" s="792"/>
      <c r="H1" s="792"/>
      <c r="O1" t="s">
        <v>769</v>
      </c>
      <c r="P1" t="s">
        <v>770</v>
      </c>
      <c r="Q1" t="s">
        <v>771</v>
      </c>
      <c r="R1" t="s">
        <v>772</v>
      </c>
      <c r="S1" t="s">
        <v>773</v>
      </c>
      <c r="T1" t="s">
        <v>774</v>
      </c>
      <c r="U1" t="s">
        <v>775</v>
      </c>
      <c r="V1" t="s">
        <v>776</v>
      </c>
      <c r="W1" t="s">
        <v>777</v>
      </c>
      <c r="X1" t="s">
        <v>778</v>
      </c>
      <c r="Y1" t="s">
        <v>779</v>
      </c>
      <c r="Z1" t="s">
        <v>780</v>
      </c>
      <c r="AA1" t="s">
        <v>781</v>
      </c>
    </row>
    <row r="3" spans="1:28" ht="30" customHeight="1">
      <c r="A3" s="866" t="s">
        <v>136</v>
      </c>
      <c r="B3" s="866"/>
      <c r="C3" s="866"/>
      <c r="D3" s="866"/>
      <c r="E3" s="867" t="s">
        <v>39</v>
      </c>
      <c r="F3" s="868"/>
      <c r="G3" s="868"/>
      <c r="H3" s="868"/>
      <c r="I3" s="868"/>
      <c r="J3" s="868"/>
      <c r="K3" s="868"/>
      <c r="L3" s="868"/>
      <c r="M3" s="869"/>
      <c r="O3" s="866" t="s">
        <v>782</v>
      </c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866"/>
      <c r="AB3" s="866"/>
    </row>
    <row r="4" spans="1:28" s="70" customFormat="1" ht="75" customHeight="1">
      <c r="A4" s="607" t="s">
        <v>3</v>
      </c>
      <c r="B4" s="607" t="s">
        <v>783</v>
      </c>
      <c r="C4" s="607" t="s">
        <v>35</v>
      </c>
      <c r="D4" s="607" t="s">
        <v>263</v>
      </c>
      <c r="E4" s="607" t="s">
        <v>784</v>
      </c>
      <c r="F4" s="607" t="s">
        <v>785</v>
      </c>
      <c r="G4" s="607" t="s">
        <v>786</v>
      </c>
      <c r="H4" s="607" t="s">
        <v>787</v>
      </c>
      <c r="I4" s="607" t="s">
        <v>788</v>
      </c>
      <c r="J4" s="607" t="s">
        <v>789</v>
      </c>
      <c r="K4" s="607" t="s">
        <v>790</v>
      </c>
      <c r="L4" s="607" t="s">
        <v>791</v>
      </c>
      <c r="M4" s="607" t="s">
        <v>792</v>
      </c>
      <c r="N4" s="19"/>
      <c r="O4" s="607" t="s">
        <v>793</v>
      </c>
      <c r="P4" s="607" t="s">
        <v>794</v>
      </c>
      <c r="Q4" s="607" t="s">
        <v>795</v>
      </c>
      <c r="R4" s="607" t="s">
        <v>796</v>
      </c>
      <c r="S4" s="607" t="s">
        <v>797</v>
      </c>
      <c r="T4" s="607" t="s">
        <v>798</v>
      </c>
      <c r="U4" s="607" t="s">
        <v>799</v>
      </c>
      <c r="V4" s="607" t="s">
        <v>800</v>
      </c>
      <c r="W4" s="607" t="s">
        <v>801</v>
      </c>
      <c r="X4" s="607" t="s">
        <v>802</v>
      </c>
      <c r="Y4" s="607" t="s">
        <v>803</v>
      </c>
      <c r="Z4" s="607" t="s">
        <v>804</v>
      </c>
      <c r="AA4" s="604" t="s">
        <v>805</v>
      </c>
      <c r="AB4" s="604" t="s">
        <v>782</v>
      </c>
    </row>
    <row r="5" spans="1:28">
      <c r="A5" s="595">
        <f>Group!AE2</f>
        <v>0</v>
      </c>
      <c r="B5" s="595" t="str">
        <f>_xlfn.IFNA(VLOOKUP(A5,Group!$AM$1:$AO$10000,3,0),"")</f>
        <v>MB512123</v>
      </c>
      <c r="C5" s="74" t="str">
        <f>_xlfn.IFNA(IF(VLOOKUP(A5,BOM!$D$1:$I$10000,6,0)="Inhouse","Process-Inhouse",IF(VLOOKUP(A5,BOM!$D$1:$I$10000,6,0)="BOF","Process-outsourced",IF(VLOOKUP(A5,BOM!$D$1:$I$10000,6,0)="BOSF","Process-Inhouse"))),"")</f>
        <v/>
      </c>
      <c r="D5" s="74" t="str">
        <f>VLOOKUP(A5,EP_Material!D:F,3,0)</f>
        <v/>
      </c>
      <c r="E5" s="596"/>
      <c r="F5" s="596"/>
      <c r="G5" s="596"/>
      <c r="H5" s="596"/>
      <c r="I5" s="596"/>
      <c r="J5" s="596"/>
      <c r="K5" s="596"/>
      <c r="L5" s="596"/>
      <c r="M5" s="605" t="str">
        <f>IF(COUNTIF(Assy_Cost!G:G,"Exhaust Pipe Welding")&lt;&gt;0,"Exhaust pipe welding already mentioned in Assy_cost sheet","")</f>
        <v/>
      </c>
      <c r="O5" s="602">
        <f>IFERROR(E5*VLOOKUP($O$1,'Process Base'!D:F,3,0),"")</f>
        <v>0</v>
      </c>
      <c r="P5" s="602">
        <f>IFERROR(F5*VLOOKUP($P$1,'Process Base'!D:F,3,0),"")</f>
        <v>0</v>
      </c>
      <c r="Q5" s="602">
        <f>IFERROR(G5*VLOOKUP($Q$1,'Process Base'!D:F,3,0),"")</f>
        <v>0</v>
      </c>
      <c r="R5" s="602">
        <f>IFERROR(H5*VLOOKUP($R$1,'Process Base'!D:F,3,0),"")</f>
        <v>0</v>
      </c>
      <c r="S5" s="602">
        <f>IFERROR(I5*VLOOKUP($S$1,'Process Base'!D:F,3,0),"")</f>
        <v>0</v>
      </c>
      <c r="T5" s="602">
        <f>IFERROR(J5*VLOOKUP($T$1,'Process Base'!D:F,3,0),"")</f>
        <v>0</v>
      </c>
      <c r="U5" s="602">
        <f>IFERROR(K5*VLOOKUP($U$1,'Process Base'!D:F,3,0),"")</f>
        <v>0</v>
      </c>
      <c r="V5" s="602">
        <f>IF((VLOOKUP(A5,EP_Material!D:K,8,0))=0,0,(VLOOKUP($V$1,'Process Base'!D:F,3,0)*(VLOOKUP(A5,EP_Material!D:K,8,0)+85+65)/1000))</f>
        <v>0</v>
      </c>
      <c r="W5" s="602">
        <f>IF(E5="",0,VLOOKUP($W$1,'Process Base'!D:F,3,0))</f>
        <v>0</v>
      </c>
      <c r="X5" s="602">
        <f>L5*VLOOKUP($X$1,'Process Base'!D:F,3,0)</f>
        <v>0</v>
      </c>
      <c r="Y5" s="602">
        <f>IF(E5="",0,VLOOKUP($Y$1,'Process Base'!D:F,3,0))</f>
        <v>0</v>
      </c>
      <c r="Z5" s="602" t="str">
        <f>IFERROR(M5*VLOOKUP($Z$1,'Process Base'!D:F,3,0),"")</f>
        <v/>
      </c>
      <c r="AA5" s="606">
        <f>IFERROR(VLOOKUP($AA$1,'Process Base'!D:F,3,0)*(VLOOKUP(A5,EP_Material!D:I,6,0)*3.14*20*1/1000/1000),0)</f>
        <v>0</v>
      </c>
      <c r="AB5" s="603">
        <f>SUM(O5:Z5)</f>
        <v>0</v>
      </c>
    </row>
    <row r="6" spans="1:28">
      <c r="A6" s="595">
        <f>Group!AE3</f>
        <v>0</v>
      </c>
      <c r="B6" s="595" t="str">
        <f>_xlfn.IFNA(VLOOKUP(A6,Group!$AM$1:$AO$10000,3,0),"")</f>
        <v>MB512123</v>
      </c>
      <c r="C6" s="74" t="str">
        <f>_xlfn.IFNA(IF(VLOOKUP(A6,BOM!$D$1:$I$10000,6,0)="Inhouse","Process-Inhouse",IF(VLOOKUP(A6,BOM!$D$1:$I$10000,6,0)="BOF","Process-outsourced",IF(VLOOKUP(A6,BOM!$D$1:$I$10000,6,0)="BOSF","Process-Inhouse"))),"")</f>
        <v/>
      </c>
      <c r="D6" s="74" t="str">
        <f>VLOOKUP(A6,EP_Material!D:F,3,0)</f>
        <v/>
      </c>
      <c r="E6" s="596"/>
      <c r="F6" s="596"/>
      <c r="G6" s="596"/>
      <c r="H6" s="596"/>
      <c r="I6" s="596"/>
      <c r="J6" s="596"/>
      <c r="K6" s="596"/>
      <c r="L6" s="596"/>
      <c r="M6" s="605"/>
      <c r="O6" s="602">
        <f>IFERROR(E6*VLOOKUP($O$1,'Process Base'!D:F,3,0),"")</f>
        <v>0</v>
      </c>
      <c r="P6" s="602">
        <f>IFERROR(F6*VLOOKUP($P$1,'Process Base'!D:F,3,0),"")</f>
        <v>0</v>
      </c>
      <c r="Q6" s="602">
        <f>IFERROR(G6*VLOOKUP($Q$1,'Process Base'!D:F,3,0),"")</f>
        <v>0</v>
      </c>
      <c r="R6" s="602">
        <f>IFERROR(H6*VLOOKUP($R$1,'Process Base'!D:F,3,0),"")</f>
        <v>0</v>
      </c>
      <c r="S6" s="602">
        <f>IFERROR(I6*VLOOKUP($S$1,'Process Base'!D:F,3,0),"")</f>
        <v>0</v>
      </c>
      <c r="T6" s="602">
        <f>IFERROR(J6*VLOOKUP($T$1,'Process Base'!D:F,3,0),"")</f>
        <v>0</v>
      </c>
      <c r="U6" s="602">
        <f>IFERROR(K6*VLOOKUP($U$1,'Process Base'!D:F,3,0),"")</f>
        <v>0</v>
      </c>
      <c r="V6" s="602">
        <f>IF((VLOOKUP(A6,EP_Material!D:K,8,0))=0,0,(VLOOKUP($V$1,'Process Base'!D:F,3,0)*(VLOOKUP(A6,EP_Material!D:K,8,0)+85+65)/1000))</f>
        <v>0</v>
      </c>
      <c r="W6" s="602">
        <f>IF(E6="",0,VLOOKUP($W$1,'Process Base'!D:F,3,0))</f>
        <v>0</v>
      </c>
      <c r="X6" s="602">
        <f>L6*VLOOKUP($X$1,'Process Base'!D:F,3,0)</f>
        <v>0</v>
      </c>
      <c r="Y6" s="602">
        <f>IF(E6="",0,VLOOKUP($Y$1,'Process Base'!D:F,3,0))</f>
        <v>0</v>
      </c>
      <c r="Z6" s="602">
        <f>IFERROR(M6*VLOOKUP($Z$1,'Process Base'!D:F,3,0),"")</f>
        <v>0</v>
      </c>
      <c r="AA6" s="606">
        <f>IFERROR(VLOOKUP($AA$1,'Process Base'!D:F,3,0)*(VLOOKUP(A6,EP_Material!D:I,6,0)*3.14*20*1/1000/1000),0)</f>
        <v>0</v>
      </c>
      <c r="AB6" s="603">
        <f t="shared" ref="AB6:AB14" si="0">SUM(O6:Z6)</f>
        <v>0</v>
      </c>
    </row>
    <row r="7" spans="1:28">
      <c r="A7" s="595">
        <f>Group!AE4</f>
        <v>0</v>
      </c>
      <c r="B7" s="595" t="str">
        <f>_xlfn.IFNA(VLOOKUP(A7,Group!$AM$1:$AO$10000,3,0),"")</f>
        <v>MB512123</v>
      </c>
      <c r="C7" s="74" t="str">
        <f>_xlfn.IFNA(IF(VLOOKUP(A7,BOM!$D$1:$I$10000,6,0)="Inhouse","Process-Inhouse",IF(VLOOKUP(A7,BOM!$D$1:$I$10000,6,0)="BOF","Process-outsourced",IF(VLOOKUP(A7,BOM!$D$1:$I$10000,6,0)="BOSF","Process-Inhouse"))),"")</f>
        <v/>
      </c>
      <c r="D7" s="74" t="str">
        <f>VLOOKUP(A7,EP_Material!D:F,3,0)</f>
        <v/>
      </c>
      <c r="E7" s="596"/>
      <c r="F7" s="596"/>
      <c r="G7" s="596"/>
      <c r="H7" s="596"/>
      <c r="I7" s="596"/>
      <c r="J7" s="596"/>
      <c r="K7" s="596"/>
      <c r="L7" s="596"/>
      <c r="M7" s="605"/>
      <c r="O7" s="602">
        <f>IFERROR(E7*VLOOKUP($O$1,'Process Base'!D:F,3,0),"")</f>
        <v>0</v>
      </c>
      <c r="P7" s="602">
        <f>IFERROR(F7*VLOOKUP($P$1,'Process Base'!D:F,3,0),"")</f>
        <v>0</v>
      </c>
      <c r="Q7" s="602">
        <f>IFERROR(G7*VLOOKUP($Q$1,'Process Base'!D:F,3,0),"")</f>
        <v>0</v>
      </c>
      <c r="R7" s="602">
        <f>IFERROR(H7*VLOOKUP($R$1,'Process Base'!D:F,3,0),"")</f>
        <v>0</v>
      </c>
      <c r="S7" s="602">
        <f>IFERROR(I7*VLOOKUP($S$1,'Process Base'!D:F,3,0),"")</f>
        <v>0</v>
      </c>
      <c r="T7" s="602">
        <f>IFERROR(J7*VLOOKUP($T$1,'Process Base'!D:F,3,0),"")</f>
        <v>0</v>
      </c>
      <c r="U7" s="602">
        <f>IFERROR(K7*VLOOKUP($U$1,'Process Base'!D:F,3,0),"")</f>
        <v>0</v>
      </c>
      <c r="V7" s="602">
        <f>IF((VLOOKUP(A7,EP_Material!D:K,8,0))=0,0,(VLOOKUP($V$1,'Process Base'!D:F,3,0)*(VLOOKUP(A7,EP_Material!D:K,8,0)+85+65)/1000))</f>
        <v>0</v>
      </c>
      <c r="W7" s="602">
        <f>IF(E7="",0,VLOOKUP($W$1,'Process Base'!D:F,3,0))</f>
        <v>0</v>
      </c>
      <c r="X7" s="602">
        <f>L7*VLOOKUP($X$1,'Process Base'!D:F,3,0)</f>
        <v>0</v>
      </c>
      <c r="Y7" s="602">
        <f>IF(E7="",0,VLOOKUP($Y$1,'Process Base'!D:F,3,0))</f>
        <v>0</v>
      </c>
      <c r="Z7" s="602">
        <f>IFERROR(M7*VLOOKUP($Z$1,'Process Base'!D:F,3,0),"")</f>
        <v>0</v>
      </c>
      <c r="AA7" s="606">
        <f>IFERROR(VLOOKUP($AA$1,'Process Base'!D:F,3,0)*(VLOOKUP(A7,EP_Material!D:I,6,0)*3.14*20*1/1000/1000),0)</f>
        <v>0</v>
      </c>
      <c r="AB7" s="603">
        <f t="shared" si="0"/>
        <v>0</v>
      </c>
    </row>
    <row r="8" spans="1:28">
      <c r="A8" s="595">
        <f>Group!AE5</f>
        <v>0</v>
      </c>
      <c r="B8" s="595" t="str">
        <f>_xlfn.IFNA(VLOOKUP(A8,Group!$AM$1:$AO$10000,3,0),"")</f>
        <v>MB512123</v>
      </c>
      <c r="C8" s="74" t="str">
        <f>_xlfn.IFNA(IF(VLOOKUP(A8,BOM!$D$1:$I$10000,6,0)="Inhouse","Process-Inhouse",IF(VLOOKUP(A8,BOM!$D$1:$I$10000,6,0)="BOF","Process-outsourced",IF(VLOOKUP(A8,BOM!$D$1:$I$10000,6,0)="BOSF","Process-Inhouse"))),"")</f>
        <v/>
      </c>
      <c r="D8" s="74" t="str">
        <f>VLOOKUP(A8,EP_Material!D:F,3,0)</f>
        <v/>
      </c>
      <c r="E8" s="596"/>
      <c r="F8" s="596"/>
      <c r="G8" s="596"/>
      <c r="H8" s="596"/>
      <c r="I8" s="596"/>
      <c r="J8" s="596"/>
      <c r="K8" s="596"/>
      <c r="L8" s="596"/>
      <c r="M8" s="605"/>
      <c r="O8" s="602">
        <f>IFERROR(E8*VLOOKUP($O$1,'Process Base'!D:F,3,0),"")</f>
        <v>0</v>
      </c>
      <c r="P8" s="602">
        <f>IFERROR(F8*VLOOKUP($P$1,'Process Base'!D:F,3,0),"")</f>
        <v>0</v>
      </c>
      <c r="Q8" s="602">
        <f>IFERROR(G8*VLOOKUP($Q$1,'Process Base'!D:F,3,0),"")</f>
        <v>0</v>
      </c>
      <c r="R8" s="602">
        <f>IFERROR(H8*VLOOKUP($R$1,'Process Base'!D:F,3,0),"")</f>
        <v>0</v>
      </c>
      <c r="S8" s="602">
        <f>IFERROR(I8*VLOOKUP($S$1,'Process Base'!D:F,3,0),"")</f>
        <v>0</v>
      </c>
      <c r="T8" s="602">
        <f>IFERROR(J8*VLOOKUP($T$1,'Process Base'!D:F,3,0),"")</f>
        <v>0</v>
      </c>
      <c r="U8" s="602">
        <f>IFERROR(K8*VLOOKUP($U$1,'Process Base'!D:F,3,0),"")</f>
        <v>0</v>
      </c>
      <c r="V8" s="602">
        <f>IF((VLOOKUP(A8,EP_Material!D:K,8,0))=0,0,(VLOOKUP($V$1,'Process Base'!D:F,3,0)*(VLOOKUP(A8,EP_Material!D:K,8,0)+85+65)/1000))</f>
        <v>0</v>
      </c>
      <c r="W8" s="602">
        <f>IF(E8="",0,VLOOKUP($W$1,'Process Base'!D:F,3,0))</f>
        <v>0</v>
      </c>
      <c r="X8" s="602">
        <f>L8*VLOOKUP($X$1,'Process Base'!D:F,3,0)</f>
        <v>0</v>
      </c>
      <c r="Y8" s="602">
        <f>IF(E8="",0,VLOOKUP($Y$1,'Process Base'!D:F,3,0))</f>
        <v>0</v>
      </c>
      <c r="Z8" s="602">
        <f>IFERROR(M8*VLOOKUP($Z$1,'Process Base'!D:F,3,0),"")</f>
        <v>0</v>
      </c>
      <c r="AA8" s="606">
        <f>IFERROR(VLOOKUP($AA$1,'Process Base'!D:F,3,0)*(VLOOKUP(A8,EP_Material!D:I,6,0)*3.14*20*1/1000/1000),0)</f>
        <v>0</v>
      </c>
      <c r="AB8" s="603">
        <f t="shared" si="0"/>
        <v>0</v>
      </c>
    </row>
    <row r="9" spans="1:28">
      <c r="A9" s="595">
        <f>Group!AE6</f>
        <v>0</v>
      </c>
      <c r="B9" s="595" t="str">
        <f>_xlfn.IFNA(VLOOKUP(A9,Group!$AM$1:$AO$10000,3,0),"")</f>
        <v>MB512123</v>
      </c>
      <c r="C9" s="74" t="str">
        <f>_xlfn.IFNA(IF(VLOOKUP(A9,BOM!$D$1:$I$10000,6,0)="Inhouse","Process-Inhouse",IF(VLOOKUP(A9,BOM!$D$1:$I$10000,6,0)="BOF","Process-outsourced",IF(VLOOKUP(A9,BOM!$D$1:$I$10000,6,0)="BOSF","Process-Inhouse"))),"")</f>
        <v/>
      </c>
      <c r="D9" s="74" t="str">
        <f>VLOOKUP(A9,EP_Material!D:F,3,0)</f>
        <v/>
      </c>
      <c r="E9" s="596"/>
      <c r="F9" s="596"/>
      <c r="G9" s="596"/>
      <c r="H9" s="596"/>
      <c r="I9" s="596"/>
      <c r="J9" s="596"/>
      <c r="K9" s="596"/>
      <c r="L9" s="596"/>
      <c r="M9" s="605"/>
      <c r="O9" s="602">
        <f>IFERROR(E9*VLOOKUP($O$1,'Process Base'!D:F,3,0),"")</f>
        <v>0</v>
      </c>
      <c r="P9" s="602">
        <f>IFERROR(F9*VLOOKUP($P$1,'Process Base'!D:F,3,0),"")</f>
        <v>0</v>
      </c>
      <c r="Q9" s="602">
        <f>IFERROR(G9*VLOOKUP($Q$1,'Process Base'!D:F,3,0),"")</f>
        <v>0</v>
      </c>
      <c r="R9" s="602">
        <f>IFERROR(H9*VLOOKUP($R$1,'Process Base'!D:F,3,0),"")</f>
        <v>0</v>
      </c>
      <c r="S9" s="602">
        <f>IFERROR(I9*VLOOKUP($S$1,'Process Base'!D:F,3,0),"")</f>
        <v>0</v>
      </c>
      <c r="T9" s="602">
        <f>IFERROR(J9*VLOOKUP($T$1,'Process Base'!D:F,3,0),"")</f>
        <v>0</v>
      </c>
      <c r="U9" s="602">
        <f>IFERROR(K9*VLOOKUP($U$1,'Process Base'!D:F,3,0),"")</f>
        <v>0</v>
      </c>
      <c r="V9" s="602">
        <f>IF((VLOOKUP(A9,EP_Material!D:K,8,0))=0,0,(VLOOKUP($V$1,'Process Base'!D:F,3,0)*(VLOOKUP(A9,EP_Material!D:K,8,0)+85+65)/1000))</f>
        <v>0</v>
      </c>
      <c r="W9" s="602">
        <f>IF(E9="",0,VLOOKUP($W$1,'Process Base'!D:F,3,0))</f>
        <v>0</v>
      </c>
      <c r="X9" s="602">
        <f>L9*VLOOKUP($X$1,'Process Base'!D:F,3,0)</f>
        <v>0</v>
      </c>
      <c r="Y9" s="602">
        <f>IF(E9="",0,VLOOKUP($Y$1,'Process Base'!D:F,3,0))</f>
        <v>0</v>
      </c>
      <c r="Z9" s="602">
        <f>IFERROR(M9*VLOOKUP($Z$1,'Process Base'!D:F,3,0),"")</f>
        <v>0</v>
      </c>
      <c r="AA9" s="606">
        <f>IFERROR(VLOOKUP($AA$1,'Process Base'!D:F,3,0)*(VLOOKUP(A9,EP_Material!D:I,6,0)*3.14*20*1/1000/1000),0)</f>
        <v>0</v>
      </c>
      <c r="AB9" s="603">
        <f t="shared" si="0"/>
        <v>0</v>
      </c>
    </row>
    <row r="10" spans="1:28">
      <c r="A10" s="595">
        <f>Group!AE7</f>
        <v>0</v>
      </c>
      <c r="B10" s="595" t="str">
        <f>_xlfn.IFNA(VLOOKUP(A10,Group!$AM$1:$AO$10000,3,0),"")</f>
        <v>MB512123</v>
      </c>
      <c r="C10" s="74" t="str">
        <f>_xlfn.IFNA(IF(VLOOKUP(A10,BOM!$D$1:$I$10000,6,0)="Inhouse","Process-Inhouse",IF(VLOOKUP(A10,BOM!$D$1:$I$10000,6,0)="BOF","Process-outsourced",IF(VLOOKUP(A10,BOM!$D$1:$I$10000,6,0)="BOSF","Process-Inhouse"))),"")</f>
        <v/>
      </c>
      <c r="D10" s="74" t="str">
        <f>VLOOKUP(A10,EP_Material!D:F,3,0)</f>
        <v/>
      </c>
      <c r="E10" s="596"/>
      <c r="F10" s="596"/>
      <c r="G10" s="596"/>
      <c r="H10" s="596"/>
      <c r="I10" s="596"/>
      <c r="J10" s="596"/>
      <c r="K10" s="596"/>
      <c r="L10" s="596"/>
      <c r="M10" s="605"/>
      <c r="O10" s="602">
        <f>IFERROR(E10*VLOOKUP($O$1,'Process Base'!D:F,3,0),"")</f>
        <v>0</v>
      </c>
      <c r="P10" s="602">
        <f>IFERROR(F10*VLOOKUP($P$1,'Process Base'!D:F,3,0),"")</f>
        <v>0</v>
      </c>
      <c r="Q10" s="602">
        <f>IFERROR(G10*VLOOKUP($Q$1,'Process Base'!D:F,3,0),"")</f>
        <v>0</v>
      </c>
      <c r="R10" s="602">
        <f>IFERROR(H10*VLOOKUP($R$1,'Process Base'!D:F,3,0),"")</f>
        <v>0</v>
      </c>
      <c r="S10" s="602">
        <f>IFERROR(I10*VLOOKUP($S$1,'Process Base'!D:F,3,0),"")</f>
        <v>0</v>
      </c>
      <c r="T10" s="602">
        <f>IFERROR(J10*VLOOKUP($T$1,'Process Base'!D:F,3,0),"")</f>
        <v>0</v>
      </c>
      <c r="U10" s="602">
        <f>IFERROR(K10*VLOOKUP($U$1,'Process Base'!D:F,3,0),"")</f>
        <v>0</v>
      </c>
      <c r="V10" s="602">
        <f>IF((VLOOKUP(A10,EP_Material!D:K,8,0))=0,0,(VLOOKUP($V$1,'Process Base'!D:F,3,0)*(VLOOKUP(A10,EP_Material!D:K,8,0)+85+65)/1000))</f>
        <v>0</v>
      </c>
      <c r="W10" s="602">
        <f>IF(E10="",0,VLOOKUP($W$1,'Process Base'!D:F,3,0))</f>
        <v>0</v>
      </c>
      <c r="X10" s="602">
        <f>L10*VLOOKUP($X$1,'Process Base'!D:F,3,0)</f>
        <v>0</v>
      </c>
      <c r="Y10" s="602">
        <f>IF(E10="",0,VLOOKUP($Y$1,'Process Base'!D:F,3,0))</f>
        <v>0</v>
      </c>
      <c r="Z10" s="602">
        <f>IFERROR(M10*VLOOKUP($Z$1,'Process Base'!D:F,3,0),"")</f>
        <v>0</v>
      </c>
      <c r="AA10" s="606">
        <f>IFERROR(VLOOKUP($AA$1,'Process Base'!D:F,3,0)*(VLOOKUP(A10,EP_Material!D:I,6,0)*3.14*20*1/1000/1000),0)</f>
        <v>0</v>
      </c>
      <c r="AB10" s="603">
        <f t="shared" si="0"/>
        <v>0</v>
      </c>
    </row>
    <row r="11" spans="1:28">
      <c r="A11" s="595">
        <f>Group!AE8</f>
        <v>0</v>
      </c>
      <c r="B11" s="595" t="str">
        <f>_xlfn.IFNA(VLOOKUP(A11,Group!$AM$1:$AO$10000,3,0),"")</f>
        <v>MB512123</v>
      </c>
      <c r="C11" s="74" t="str">
        <f>_xlfn.IFNA(IF(VLOOKUP(A11,BOM!$D$1:$I$10000,6,0)="Inhouse","Process-Inhouse",IF(VLOOKUP(A11,BOM!$D$1:$I$10000,6,0)="BOF","Process-outsourced",IF(VLOOKUP(A11,BOM!$D$1:$I$10000,6,0)="BOSF","Process-Inhouse"))),"")</f>
        <v/>
      </c>
      <c r="D11" s="74" t="str">
        <f>VLOOKUP(A11,EP_Material!D:F,3,0)</f>
        <v/>
      </c>
      <c r="E11" s="596"/>
      <c r="F11" s="596"/>
      <c r="G11" s="596"/>
      <c r="H11" s="596"/>
      <c r="I11" s="596"/>
      <c r="J11" s="596"/>
      <c r="K11" s="596"/>
      <c r="L11" s="596"/>
      <c r="M11" s="605"/>
      <c r="O11" s="602">
        <f>IFERROR(E11*VLOOKUP($O$1,'Process Base'!D:F,3,0),"")</f>
        <v>0</v>
      </c>
      <c r="P11" s="602">
        <f>IFERROR(F11*VLOOKUP($P$1,'Process Base'!D:F,3,0),"")</f>
        <v>0</v>
      </c>
      <c r="Q11" s="602">
        <f>IFERROR(G11*VLOOKUP($Q$1,'Process Base'!D:F,3,0),"")</f>
        <v>0</v>
      </c>
      <c r="R11" s="602">
        <f>IFERROR(H11*VLOOKUP($R$1,'Process Base'!D:F,3,0),"")</f>
        <v>0</v>
      </c>
      <c r="S11" s="602">
        <f>IFERROR(I11*VLOOKUP($S$1,'Process Base'!D:F,3,0),"")</f>
        <v>0</v>
      </c>
      <c r="T11" s="602">
        <f>IFERROR(J11*VLOOKUP($T$1,'Process Base'!D:F,3,0),"")</f>
        <v>0</v>
      </c>
      <c r="U11" s="602">
        <f>IFERROR(K11*VLOOKUP($U$1,'Process Base'!D:F,3,0),"")</f>
        <v>0</v>
      </c>
      <c r="V11" s="602">
        <f>IF((VLOOKUP(A11,EP_Material!D:K,8,0))=0,0,(VLOOKUP($V$1,'Process Base'!D:F,3,0)*(VLOOKUP(A11,EP_Material!D:K,8,0)+85+65)/1000))</f>
        <v>0</v>
      </c>
      <c r="W11" s="602">
        <f>IF(E11="",0,VLOOKUP($W$1,'Process Base'!D:F,3,0))</f>
        <v>0</v>
      </c>
      <c r="X11" s="602">
        <f>L11*VLOOKUP($X$1,'Process Base'!D:F,3,0)</f>
        <v>0</v>
      </c>
      <c r="Y11" s="602">
        <f>IF(E11="",0,VLOOKUP($Y$1,'Process Base'!D:F,3,0))</f>
        <v>0</v>
      </c>
      <c r="Z11" s="602">
        <f>IFERROR(M11*VLOOKUP($Z$1,'Process Base'!D:F,3,0),"")</f>
        <v>0</v>
      </c>
      <c r="AA11" s="606">
        <f>IFERROR(VLOOKUP($AA$1,'Process Base'!D:F,3,0)*(VLOOKUP(A11,EP_Material!D:I,6,0)*3.14*20*1/1000/1000),0)</f>
        <v>0</v>
      </c>
      <c r="AB11" s="603">
        <f t="shared" si="0"/>
        <v>0</v>
      </c>
    </row>
    <row r="12" spans="1:28">
      <c r="A12" s="595">
        <f>Group!AE9</f>
        <v>0</v>
      </c>
      <c r="B12" s="595" t="str">
        <f>_xlfn.IFNA(VLOOKUP(A12,Group!$AM$1:$AO$10000,3,0),"")</f>
        <v>MB512123</v>
      </c>
      <c r="C12" s="74" t="str">
        <f>_xlfn.IFNA(IF(VLOOKUP(A12,BOM!$D$1:$I$10000,6,0)="Inhouse","Process-Inhouse",IF(VLOOKUP(A12,BOM!$D$1:$I$10000,6,0)="BOF","Process-outsourced",IF(VLOOKUP(A12,BOM!$D$1:$I$10000,6,0)="BOSF","Process-Inhouse"))),"")</f>
        <v/>
      </c>
      <c r="D12" s="74" t="str">
        <f>VLOOKUP(A12,EP_Material!D:F,3,0)</f>
        <v/>
      </c>
      <c r="E12" s="596"/>
      <c r="F12" s="596"/>
      <c r="G12" s="596"/>
      <c r="H12" s="596"/>
      <c r="I12" s="596"/>
      <c r="J12" s="596"/>
      <c r="K12" s="596"/>
      <c r="L12" s="596"/>
      <c r="M12" s="605"/>
      <c r="O12" s="602">
        <f>IFERROR(E12*VLOOKUP($O$1,'Process Base'!D:F,3,0),"")</f>
        <v>0</v>
      </c>
      <c r="P12" s="602">
        <f>IFERROR(F12*VLOOKUP($P$1,'Process Base'!D:F,3,0),"")</f>
        <v>0</v>
      </c>
      <c r="Q12" s="602">
        <f>IFERROR(G12*VLOOKUP($Q$1,'Process Base'!D:F,3,0),"")</f>
        <v>0</v>
      </c>
      <c r="R12" s="602">
        <f>IFERROR(H12*VLOOKUP($R$1,'Process Base'!D:F,3,0),"")</f>
        <v>0</v>
      </c>
      <c r="S12" s="602">
        <f>IFERROR(I12*VLOOKUP($S$1,'Process Base'!D:F,3,0),"")</f>
        <v>0</v>
      </c>
      <c r="T12" s="602">
        <f>IFERROR(J12*VLOOKUP($T$1,'Process Base'!D:F,3,0),"")</f>
        <v>0</v>
      </c>
      <c r="U12" s="602">
        <f>IFERROR(K12*VLOOKUP($U$1,'Process Base'!D:F,3,0),"")</f>
        <v>0</v>
      </c>
      <c r="V12" s="602">
        <f>IF((VLOOKUP(A12,EP_Material!D:K,8,0))=0,0,(VLOOKUP($V$1,'Process Base'!D:F,3,0)*(VLOOKUP(A12,EP_Material!D:K,8,0)+85+65)/1000))</f>
        <v>0</v>
      </c>
      <c r="W12" s="602">
        <f>IF(E12="",0,VLOOKUP($W$1,'Process Base'!D:F,3,0))</f>
        <v>0</v>
      </c>
      <c r="X12" s="602">
        <f>L12*VLOOKUP($X$1,'Process Base'!D:F,3,0)</f>
        <v>0</v>
      </c>
      <c r="Y12" s="602">
        <f>IF(E12="",0,VLOOKUP($Y$1,'Process Base'!D:F,3,0))</f>
        <v>0</v>
      </c>
      <c r="Z12" s="602">
        <f>IFERROR(M12*VLOOKUP($Z$1,'Process Base'!D:F,3,0),"")</f>
        <v>0</v>
      </c>
      <c r="AA12" s="606">
        <f>IFERROR(VLOOKUP($AA$1,'Process Base'!D:F,3,0)*(VLOOKUP(A12,EP_Material!D:I,6,0)*3.14*20*1/1000/1000),0)</f>
        <v>0</v>
      </c>
      <c r="AB12" s="603">
        <f t="shared" si="0"/>
        <v>0</v>
      </c>
    </row>
    <row r="13" spans="1:28">
      <c r="A13" s="595">
        <f>Group!AE10</f>
        <v>0</v>
      </c>
      <c r="B13" s="595" t="str">
        <f>_xlfn.IFNA(VLOOKUP(A13,Group!$AM$1:$AO$10000,3,0),"")</f>
        <v>MB512123</v>
      </c>
      <c r="C13" s="74" t="str">
        <f>_xlfn.IFNA(IF(VLOOKUP(A13,BOM!$D$1:$I$10000,6,0)="Inhouse","Process-Inhouse",IF(VLOOKUP(A13,BOM!$D$1:$I$10000,6,0)="BOF","Process-outsourced",IF(VLOOKUP(A13,BOM!$D$1:$I$10000,6,0)="BOSF","Process-Inhouse"))),"")</f>
        <v/>
      </c>
      <c r="D13" s="74" t="str">
        <f>VLOOKUP(A13,EP_Material!D:F,3,0)</f>
        <v/>
      </c>
      <c r="E13" s="596"/>
      <c r="F13" s="596"/>
      <c r="G13" s="596"/>
      <c r="H13" s="596"/>
      <c r="I13" s="596"/>
      <c r="J13" s="596"/>
      <c r="K13" s="596"/>
      <c r="L13" s="596"/>
      <c r="M13" s="605"/>
      <c r="O13" s="602">
        <f>IFERROR(E13*VLOOKUP($O$1,'Process Base'!D:F,3,0),"")</f>
        <v>0</v>
      </c>
      <c r="P13" s="602">
        <f>IFERROR(F13*VLOOKUP($P$1,'Process Base'!D:F,3,0),"")</f>
        <v>0</v>
      </c>
      <c r="Q13" s="602">
        <f>IFERROR(G13*VLOOKUP($Q$1,'Process Base'!D:F,3,0),"")</f>
        <v>0</v>
      </c>
      <c r="R13" s="602">
        <f>IFERROR(H13*VLOOKUP($R$1,'Process Base'!D:F,3,0),"")</f>
        <v>0</v>
      </c>
      <c r="S13" s="602">
        <f>IFERROR(I13*VLOOKUP($S$1,'Process Base'!D:F,3,0),"")</f>
        <v>0</v>
      </c>
      <c r="T13" s="602">
        <f>IFERROR(J13*VLOOKUP($T$1,'Process Base'!D:F,3,0),"")</f>
        <v>0</v>
      </c>
      <c r="U13" s="602">
        <f>IFERROR(K13*VLOOKUP($U$1,'Process Base'!D:F,3,0),"")</f>
        <v>0</v>
      </c>
      <c r="V13" s="602">
        <f>IF((VLOOKUP(A13,EP_Material!D:K,8,0))=0,0,(VLOOKUP($V$1,'Process Base'!D:F,3,0)*(VLOOKUP(A13,EP_Material!D:K,8,0)+85+65)/1000))</f>
        <v>0</v>
      </c>
      <c r="W13" s="602">
        <f>IF(E13="",0,VLOOKUP($W$1,'Process Base'!D:F,3,0))</f>
        <v>0</v>
      </c>
      <c r="X13" s="602">
        <f>L13*VLOOKUP($X$1,'Process Base'!D:F,3,0)</f>
        <v>0</v>
      </c>
      <c r="Y13" s="602">
        <f>IF(E13="",0,VLOOKUP($Y$1,'Process Base'!D:F,3,0))</f>
        <v>0</v>
      </c>
      <c r="Z13" s="602">
        <f>IFERROR(M13*VLOOKUP($Z$1,'Process Base'!D:F,3,0),"")</f>
        <v>0</v>
      </c>
      <c r="AA13" s="606">
        <f>IFERROR(VLOOKUP($AA$1,'Process Base'!D:F,3,0)*(VLOOKUP(A13,EP_Material!D:I,6,0)*3.14*20*1/1000/1000),0)</f>
        <v>0</v>
      </c>
      <c r="AB13" s="603">
        <f t="shared" si="0"/>
        <v>0</v>
      </c>
    </row>
    <row r="14" spans="1:28">
      <c r="A14" s="595">
        <f>Group!AE11</f>
        <v>0</v>
      </c>
      <c r="B14" s="595" t="str">
        <f>_xlfn.IFNA(VLOOKUP(A14,Group!$AM$1:$AO$10000,3,0),"")</f>
        <v>MB512123</v>
      </c>
      <c r="C14" s="74" t="str">
        <f>_xlfn.IFNA(IF(VLOOKUP(A14,BOM!$D$1:$I$10000,6,0)="Inhouse","Process-Inhouse",IF(VLOOKUP(A14,BOM!$D$1:$I$10000,6,0)="BOF","Process-outsourced",IF(VLOOKUP(A14,BOM!$D$1:$I$10000,6,0)="BOSF","Process-Inhouse"))),"")</f>
        <v/>
      </c>
      <c r="D14" s="74" t="str">
        <f>VLOOKUP(A14,EP_Material!D:F,3,0)</f>
        <v/>
      </c>
      <c r="E14" s="596"/>
      <c r="F14" s="596"/>
      <c r="G14" s="596"/>
      <c r="H14" s="596"/>
      <c r="I14" s="596"/>
      <c r="J14" s="596"/>
      <c r="K14" s="596"/>
      <c r="L14" s="596"/>
      <c r="M14" s="605"/>
      <c r="O14" s="602">
        <f>IFERROR(E14*VLOOKUP($O$1,'Process Base'!D:F,3,0),"")</f>
        <v>0</v>
      </c>
      <c r="P14" s="602">
        <f>IFERROR(F14*VLOOKUP($P$1,'Process Base'!D:F,3,0),"")</f>
        <v>0</v>
      </c>
      <c r="Q14" s="602">
        <f>IFERROR(G14*VLOOKUP($Q$1,'Process Base'!D:F,3,0),"")</f>
        <v>0</v>
      </c>
      <c r="R14" s="602">
        <f>IFERROR(H14*VLOOKUP($R$1,'Process Base'!D:F,3,0),"")</f>
        <v>0</v>
      </c>
      <c r="S14" s="602">
        <f>IFERROR(I14*VLOOKUP($S$1,'Process Base'!D:F,3,0),"")</f>
        <v>0</v>
      </c>
      <c r="T14" s="602">
        <f>IFERROR(J14*VLOOKUP($T$1,'Process Base'!D:F,3,0),"")</f>
        <v>0</v>
      </c>
      <c r="U14" s="602">
        <f>IFERROR(K14*VLOOKUP($U$1,'Process Base'!D:F,3,0),"")</f>
        <v>0</v>
      </c>
      <c r="V14" s="602">
        <f>IF((VLOOKUP(A14,EP_Material!D:K,8,0))=0,0,(VLOOKUP($V$1,'Process Base'!D:F,3,0)*(VLOOKUP(A14,EP_Material!D:K,8,0)+85+65)/1000))</f>
        <v>0</v>
      </c>
      <c r="W14" s="602">
        <f>IF(E14="",0,VLOOKUP($W$1,'Process Base'!D:F,3,0))</f>
        <v>0</v>
      </c>
      <c r="X14" s="602">
        <f>L14*VLOOKUP($X$1,'Process Base'!D:F,3,0)</f>
        <v>0</v>
      </c>
      <c r="Y14" s="602">
        <f>IF(E14="",0,VLOOKUP($Y$1,'Process Base'!D:F,3,0))</f>
        <v>0</v>
      </c>
      <c r="Z14" s="602">
        <f>IFERROR(M14*VLOOKUP($Z$1,'Process Base'!D:F,3,0),"")</f>
        <v>0</v>
      </c>
      <c r="AA14" s="606">
        <f>IFERROR(VLOOKUP($AA$1,'Process Base'!D:F,3,0)*(VLOOKUP(A14,EP_Material!D:I,6,0)*3.14*20*1/1000/1000),0)</f>
        <v>0</v>
      </c>
      <c r="AB14" s="603">
        <f t="shared" si="0"/>
        <v>0</v>
      </c>
    </row>
  </sheetData>
  <mergeCells count="4">
    <mergeCell ref="O3:AB3"/>
    <mergeCell ref="A3:D3"/>
    <mergeCell ref="E3:M3"/>
    <mergeCell ref="C1:H1"/>
  </mergeCells>
  <conditionalFormatting sqref="E5:M14">
    <cfRule type="cellIs" dxfId="42" priority="45" stopIfTrue="1" operator="greaterThan">
      <formula>0</formula>
    </cfRule>
  </conditionalFormatting>
  <conditionalFormatting sqref="O5:AB14">
    <cfRule type="cellIs" dxfId="41" priority="42" operator="greaterThan">
      <formula>0</formula>
    </cfRule>
  </conditionalFormatting>
  <conditionalFormatting sqref="M5:M14">
    <cfRule type="expression" dxfId="40" priority="3" stopIfTrue="1">
      <formula>OR(AND(B4=B5, B5&lt;&gt;""), B5=0)</formula>
    </cfRule>
  </conditionalFormatting>
  <conditionalFormatting sqref="M5">
    <cfRule type="containsText" dxfId="39" priority="1" operator="containsText" text="Exhaust pipe welding already mentioned in Assy_cost sheet">
      <formula>NOT(ISERROR(SEARCH("Exhaust pipe welding already mentioned in Assy_cost sheet",M5)))</formula>
    </cfRule>
    <cfRule type="expression" dxfId="38" priority="2">
      <formula>$M$5=""</formula>
    </cfRule>
  </conditionalFormatting>
  <dataValidations xWindow="707" yWindow="497" count="1">
    <dataValidation allowBlank="1" showInputMessage="1" showErrorMessage="1" promptTitle="Welding Length" prompt="Enter Total welding length for assembly in 1st part of assembly entry only " sqref="M5:M14" xr:uid="{00000000-0002-0000-1900-000000000000}"/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4"/>
  <dimension ref="A1:D55"/>
  <sheetViews>
    <sheetView zoomScale="85" zoomScaleNormal="85" workbookViewId="0">
      <selection activeCell="D2" sqref="D2:D55"/>
    </sheetView>
  </sheetViews>
  <sheetFormatPr defaultRowHeight="15"/>
  <cols>
    <col min="1" max="1" width="32" bestFit="1" customWidth="1"/>
  </cols>
  <sheetData>
    <row r="1" spans="1:4">
      <c r="A1" s="691">
        <v>1</v>
      </c>
    </row>
    <row r="2" spans="1:4">
      <c r="A2" t="s">
        <v>806</v>
      </c>
      <c r="C2" t="str">
        <f>VLOOKUP(A2,'RM Base'!D:F,3,0)</f>
        <v>Meter</v>
      </c>
      <c r="D2">
        <f>VLOOKUP(A2,'RM Base'!$D:$F,2,0)</f>
        <v>99.4</v>
      </c>
    </row>
    <row r="3" spans="1:4">
      <c r="A3" t="s">
        <v>807</v>
      </c>
      <c r="C3" t="str">
        <f>VLOOKUP(A3,'RM Base'!D:F,3,0)</f>
        <v>Meter</v>
      </c>
      <c r="D3">
        <f>VLOOKUP(A3,'RM Base'!$D:$F,2,0)</f>
        <v>127.8</v>
      </c>
    </row>
    <row r="4" spans="1:4">
      <c r="A4" t="s">
        <v>808</v>
      </c>
      <c r="C4" t="str">
        <f>VLOOKUP(A4,'RM Base'!D:F,3,0)</f>
        <v>Meter</v>
      </c>
      <c r="D4">
        <f>VLOOKUP(A4,'RM Base'!$D:$F,2,0)</f>
        <v>156.19999999999999</v>
      </c>
    </row>
    <row r="5" spans="1:4">
      <c r="A5" t="s">
        <v>809</v>
      </c>
      <c r="C5" t="str">
        <f>VLOOKUP(A5,'RM Base'!D:F,3,0)</f>
        <v>Meter</v>
      </c>
      <c r="D5">
        <f>VLOOKUP(A5,'RM Base'!$D:$F,2,0)</f>
        <v>184.7</v>
      </c>
    </row>
    <row r="6" spans="1:4">
      <c r="A6" t="s">
        <v>810</v>
      </c>
      <c r="C6" t="str">
        <f>VLOOKUP(A6,'RM Base'!D:F,3,0)</f>
        <v>Meter</v>
      </c>
      <c r="D6">
        <f>VLOOKUP(A6,'RM Base'!$D:$F,2,0)</f>
        <v>65.099999999999994</v>
      </c>
    </row>
    <row r="7" spans="1:4">
      <c r="A7" t="s">
        <v>811</v>
      </c>
      <c r="C7" t="str">
        <f>VLOOKUP(A7,'RM Base'!D:F,3,0)</f>
        <v>Meter</v>
      </c>
      <c r="D7">
        <f>VLOOKUP(A7,'RM Base'!$D:$F,2,0)</f>
        <v>61.5</v>
      </c>
    </row>
    <row r="8" spans="1:4">
      <c r="A8" t="s">
        <v>812</v>
      </c>
      <c r="C8" t="str">
        <f>VLOOKUP(A8,'RM Base'!D:F,3,0)</f>
        <v>Meter</v>
      </c>
      <c r="D8">
        <f>VLOOKUP(A8,'RM Base'!$D:$F,2,0)</f>
        <v>80</v>
      </c>
    </row>
    <row r="9" spans="1:4">
      <c r="A9" t="s">
        <v>813</v>
      </c>
      <c r="C9" t="str">
        <f>VLOOKUP(A9,'RM Base'!D:F,3,0)</f>
        <v>Meter</v>
      </c>
      <c r="D9">
        <f>VLOOKUP(A9,'RM Base'!$D:$F,2,0)</f>
        <v>121</v>
      </c>
    </row>
    <row r="10" spans="1:4">
      <c r="A10" t="s">
        <v>814</v>
      </c>
      <c r="C10" t="str">
        <f>VLOOKUP(A10,'RM Base'!D:F,3,0)</f>
        <v>Meter</v>
      </c>
      <c r="D10">
        <f>VLOOKUP(A10,'RM Base'!$D:$F,2,0)</f>
        <v>40.299999999999997</v>
      </c>
    </row>
    <row r="11" spans="1:4">
      <c r="A11" t="s">
        <v>815</v>
      </c>
      <c r="C11" t="str">
        <f>VLOOKUP(A11,'RM Base'!D:F,3,0)</f>
        <v>Meter</v>
      </c>
      <c r="D11">
        <f>VLOOKUP(A11,'RM Base'!$D:$F,2,0)</f>
        <v>51.8</v>
      </c>
    </row>
    <row r="12" spans="1:4">
      <c r="A12" t="s">
        <v>816</v>
      </c>
      <c r="C12" t="str">
        <f>VLOOKUP(A12,'RM Base'!D:F,3,0)</f>
        <v>Meter</v>
      </c>
      <c r="D12">
        <f>VLOOKUP(A12,'RM Base'!$D:$F,2,0)</f>
        <v>63.3</v>
      </c>
    </row>
    <row r="13" spans="1:4">
      <c r="A13" t="s">
        <v>817</v>
      </c>
      <c r="C13" t="str">
        <f>VLOOKUP(A13,'RM Base'!D:F,3,0)</f>
        <v>Meter</v>
      </c>
      <c r="D13">
        <f>VLOOKUP(A13,'RM Base'!$D:$F,2,0)</f>
        <v>74.8</v>
      </c>
    </row>
    <row r="14" spans="1:4">
      <c r="A14" t="s">
        <v>818</v>
      </c>
      <c r="C14" t="str">
        <f>VLOOKUP(A14,'RM Base'!D:F,3,0)</f>
        <v>Meter</v>
      </c>
      <c r="D14">
        <f>VLOOKUP(A14,'RM Base'!$D:$F,2,0)</f>
        <v>86.3</v>
      </c>
    </row>
    <row r="15" spans="1:4">
      <c r="A15" t="s">
        <v>819</v>
      </c>
      <c r="C15" t="str">
        <f>VLOOKUP(A15,'RM Base'!D:F,3,0)</f>
        <v>kg</v>
      </c>
      <c r="D15">
        <f>VLOOKUP(A15,'RM Base'!$D:$F,2,0)</f>
        <v>97.25</v>
      </c>
    </row>
    <row r="16" spans="1:4">
      <c r="A16" t="s">
        <v>820</v>
      </c>
      <c r="C16" t="str">
        <f>VLOOKUP(A16,'RM Base'!D:F,3,0)</f>
        <v>kg</v>
      </c>
      <c r="D16">
        <f>VLOOKUP(A16,'RM Base'!$D:$F,2,0)</f>
        <v>236.02</v>
      </c>
    </row>
    <row r="17" spans="1:4">
      <c r="A17" t="s">
        <v>821</v>
      </c>
      <c r="C17" t="str">
        <f>VLOOKUP(A17,'RM Base'!D:F,3,0)</f>
        <v>Kg</v>
      </c>
      <c r="D17">
        <f>VLOOKUP(A17,'RM Base'!$D:$F,2,0)</f>
        <v>73</v>
      </c>
    </row>
    <row r="18" spans="1:4">
      <c r="A18" t="s">
        <v>822</v>
      </c>
      <c r="C18" t="e">
        <f>VLOOKUP(A18,'RM Base'!D:F,3,0)</f>
        <v>#N/A</v>
      </c>
      <c r="D18" t="e">
        <f>VLOOKUP(A18,'RM Base'!$D:$F,2,0)</f>
        <v>#N/A</v>
      </c>
    </row>
    <row r="19" spans="1:4">
      <c r="A19" t="s">
        <v>823</v>
      </c>
      <c r="C19" t="str">
        <f>VLOOKUP(A19,'RM Base'!D:F,3,0)</f>
        <v>Meter</v>
      </c>
      <c r="D19">
        <f>VLOOKUP(A19,'RM Base'!$D:$F,2,0)</f>
        <v>144</v>
      </c>
    </row>
    <row r="20" spans="1:4">
      <c r="A20" t="s">
        <v>824</v>
      </c>
      <c r="C20" t="str">
        <f>VLOOKUP(A20,'RM Base'!D:F,3,0)</f>
        <v>Meter</v>
      </c>
      <c r="D20">
        <f>VLOOKUP(A20,'RM Base'!$D:$F,2,0)</f>
        <v>117</v>
      </c>
    </row>
    <row r="21" spans="1:4">
      <c r="A21" t="s">
        <v>825</v>
      </c>
      <c r="C21" t="str">
        <f>VLOOKUP(A21,'RM Base'!D:F,3,0)</f>
        <v>kg</v>
      </c>
      <c r="D21">
        <f>VLOOKUP(A21,'RM Base'!$D:$F,2,0)</f>
        <v>80</v>
      </c>
    </row>
    <row r="22" spans="1:4">
      <c r="A22" t="s">
        <v>826</v>
      </c>
      <c r="C22" t="str">
        <f>VLOOKUP(A22,'RM Base'!D:F,3,0)</f>
        <v>Meter</v>
      </c>
      <c r="D22">
        <f>VLOOKUP(A22,'RM Base'!$D:$F,2,0)</f>
        <v>95.4</v>
      </c>
    </row>
    <row r="23" spans="1:4">
      <c r="A23" t="s">
        <v>827</v>
      </c>
      <c r="C23" t="str">
        <f>VLOOKUP(A23,'RM Base'!D:F,3,0)</f>
        <v>Meter</v>
      </c>
      <c r="D23">
        <f>VLOOKUP(A23,'RM Base'!$D:$F,2,0)</f>
        <v>104.84</v>
      </c>
    </row>
    <row r="24" spans="1:4">
      <c r="A24" t="s">
        <v>828</v>
      </c>
      <c r="C24" t="str">
        <f>VLOOKUP(A24,'RM Base'!D:F,3,0)</f>
        <v>kg</v>
      </c>
      <c r="D24">
        <f>VLOOKUP(A24,'RM Base'!$D:$F,2,0)</f>
        <v>98</v>
      </c>
    </row>
    <row r="25" spans="1:4">
      <c r="A25" t="s">
        <v>829</v>
      </c>
      <c r="C25" t="str">
        <f>VLOOKUP(A25,'RM Base'!D:F,3,0)</f>
        <v>Meter</v>
      </c>
      <c r="D25">
        <f>VLOOKUP(A25,'RM Base'!$D:$F,2,0)</f>
        <v>26.3</v>
      </c>
    </row>
    <row r="26" spans="1:4">
      <c r="A26" t="s">
        <v>830</v>
      </c>
      <c r="C26" t="str">
        <f>VLOOKUP(A26,'RM Base'!D:F,3,0)</f>
        <v>Meter</v>
      </c>
      <c r="D26">
        <f>VLOOKUP(A26,'RM Base'!$D:$F,2,0)</f>
        <v>24.5</v>
      </c>
    </row>
    <row r="27" spans="1:4">
      <c r="A27" t="s">
        <v>831</v>
      </c>
      <c r="C27" t="str">
        <f>VLOOKUP(A27,'RM Base'!D:F,3,0)</f>
        <v>Meter</v>
      </c>
      <c r="D27">
        <f>VLOOKUP(A27,'RM Base'!$D:$F,2,0)</f>
        <v>33.31</v>
      </c>
    </row>
    <row r="28" spans="1:4">
      <c r="A28" t="s">
        <v>832</v>
      </c>
      <c r="C28" t="str">
        <f>VLOOKUP(A28,'RM Base'!D:F,3,0)</f>
        <v>Meter</v>
      </c>
      <c r="D28">
        <f>VLOOKUP(A28,'RM Base'!$D:$F,2,0)</f>
        <v>29.37</v>
      </c>
    </row>
    <row r="29" spans="1:4">
      <c r="A29" t="s">
        <v>833</v>
      </c>
      <c r="C29" t="str">
        <f>VLOOKUP(A29,'RM Base'!D:F,3,0)</f>
        <v>Meter</v>
      </c>
      <c r="D29">
        <f>VLOOKUP(A29,'RM Base'!$D:$F,2,0)</f>
        <v>590</v>
      </c>
    </row>
    <row r="30" spans="1:4">
      <c r="A30" t="s">
        <v>834</v>
      </c>
      <c r="C30" t="str">
        <f>VLOOKUP(A30,'RM Base'!D:F,3,0)</f>
        <v>Meter</v>
      </c>
      <c r="D30">
        <f>VLOOKUP(A30,'RM Base'!$D:$F,2,0)</f>
        <v>711</v>
      </c>
    </row>
    <row r="31" spans="1:4">
      <c r="A31" t="s">
        <v>835</v>
      </c>
      <c r="C31" t="str">
        <f>VLOOKUP(A31,'RM Base'!D:F,3,0)</f>
        <v>Meter</v>
      </c>
      <c r="D31">
        <f>VLOOKUP(A31,'RM Base'!$D:$F,2,0)</f>
        <v>831</v>
      </c>
    </row>
    <row r="32" spans="1:4">
      <c r="A32" t="s">
        <v>836</v>
      </c>
      <c r="C32" t="str">
        <f>VLOOKUP(A32,'RM Base'!D:F,3,0)</f>
        <v>Meter</v>
      </c>
      <c r="D32">
        <f>VLOOKUP(A32,'RM Base'!$D:$F,2,0)</f>
        <v>952</v>
      </c>
    </row>
    <row r="33" spans="1:4">
      <c r="A33" t="s">
        <v>837</v>
      </c>
      <c r="C33" t="str">
        <f>VLOOKUP(A33,'RM Base'!D:F,3,0)</f>
        <v>Meter</v>
      </c>
      <c r="D33">
        <f>VLOOKUP(A33,'RM Base'!$D:$F,2,0)</f>
        <v>355.9</v>
      </c>
    </row>
    <row r="34" spans="1:4">
      <c r="A34" t="s">
        <v>838</v>
      </c>
      <c r="C34" t="str">
        <f>VLOOKUP(A34,'RM Base'!D:F,3,0)</f>
        <v>Meter</v>
      </c>
      <c r="D34">
        <f>VLOOKUP(A34,'RM Base'!$D:$F,2,0)</f>
        <v>428.78</v>
      </c>
    </row>
    <row r="35" spans="1:4">
      <c r="A35" t="s">
        <v>839</v>
      </c>
      <c r="C35" t="str">
        <f>VLOOKUP(A35,'RM Base'!D:F,3,0)</f>
        <v>Meter</v>
      </c>
      <c r="D35">
        <f>VLOOKUP(A35,'RM Base'!$D:$F,2,0)</f>
        <v>501.69</v>
      </c>
    </row>
    <row r="36" spans="1:4">
      <c r="A36" t="s">
        <v>840</v>
      </c>
      <c r="C36" t="str">
        <f>VLOOKUP(A36,'RM Base'!D:F,3,0)</f>
        <v>Meter</v>
      </c>
      <c r="D36">
        <f>VLOOKUP(A36,'RM Base'!$D:$F,2,0)</f>
        <v>574.58000000000004</v>
      </c>
    </row>
    <row r="37" spans="1:4">
      <c r="A37" t="s">
        <v>841</v>
      </c>
      <c r="C37" t="str">
        <f>VLOOKUP(A37,'RM Base'!D:F,3,0)</f>
        <v>Meter</v>
      </c>
      <c r="D37">
        <f>VLOOKUP(A37,'RM Base'!$D:$F,2,0)</f>
        <v>480</v>
      </c>
    </row>
    <row r="38" spans="1:4">
      <c r="A38" t="s">
        <v>842</v>
      </c>
      <c r="C38" t="str">
        <f>VLOOKUP(A38,'RM Base'!D:F,3,0)</f>
        <v>Kg</v>
      </c>
      <c r="D38">
        <f>VLOOKUP(A38,'RM Base'!$D:$F,2,0)</f>
        <v>19</v>
      </c>
    </row>
    <row r="39" spans="1:4">
      <c r="A39" t="s">
        <v>843</v>
      </c>
      <c r="C39" t="str">
        <f>VLOOKUP(A39,'RM Base'!D:F,3,0)</f>
        <v>Kg</v>
      </c>
      <c r="D39">
        <f>VLOOKUP(A39,'RM Base'!$D:$F,2,0)</f>
        <v>32</v>
      </c>
    </row>
    <row r="40" spans="1:4">
      <c r="A40" t="s">
        <v>844</v>
      </c>
      <c r="C40" t="str">
        <f>VLOOKUP(A40,'RM Base'!D:F,3,0)</f>
        <v>Meter</v>
      </c>
      <c r="D40">
        <f>VLOOKUP(A40,'RM Base'!$D:$F,2,0)</f>
        <v>117</v>
      </c>
    </row>
    <row r="41" spans="1:4">
      <c r="A41" t="s">
        <v>845</v>
      </c>
      <c r="C41" t="str">
        <f>VLOOKUP(A41,'RM Base'!D:F,3,0)</f>
        <v>Meter</v>
      </c>
      <c r="D41">
        <f>VLOOKUP(A41,'RM Base'!$D:$F,2,0)</f>
        <v>26.02</v>
      </c>
    </row>
    <row r="42" spans="1:4">
      <c r="A42" t="s">
        <v>846</v>
      </c>
      <c r="C42" t="str">
        <f>VLOOKUP(A42,'RM Base'!D:F,3,0)</f>
        <v>Meter</v>
      </c>
      <c r="D42">
        <f>VLOOKUP(A42,'RM Base'!$D:$F,2,0)</f>
        <v>33.869999999999997</v>
      </c>
    </row>
    <row r="43" spans="1:4">
      <c r="A43" t="s">
        <v>847</v>
      </c>
      <c r="C43" t="str">
        <f>VLOOKUP(A43,'RM Base'!D:F,3,0)</f>
        <v>Meter</v>
      </c>
      <c r="D43">
        <f>VLOOKUP(A43,'RM Base'!$D:$F,2,0)</f>
        <v>51.87</v>
      </c>
    </row>
    <row r="44" spans="1:4">
      <c r="A44" t="s">
        <v>848</v>
      </c>
      <c r="C44" t="str">
        <f>VLOOKUP(A44,'RM Base'!D:F,3,0)</f>
        <v>Meter</v>
      </c>
      <c r="D44">
        <f>VLOOKUP(A44,'RM Base'!$D:$F,2,0)</f>
        <v>589.72</v>
      </c>
    </row>
    <row r="45" spans="1:4">
      <c r="A45" t="s">
        <v>849</v>
      </c>
      <c r="C45" t="str">
        <f>VLOOKUP(A45,'RM Base'!D:F,3,0)</f>
        <v>Meter</v>
      </c>
      <c r="D45">
        <f>VLOOKUP(A45,'RM Base'!$D:$F,2,0)</f>
        <v>710.5</v>
      </c>
    </row>
    <row r="46" spans="1:4">
      <c r="A46" t="s">
        <v>850</v>
      </c>
      <c r="C46" t="str">
        <f>VLOOKUP(A46,'RM Base'!D:F,3,0)</f>
        <v>Meter</v>
      </c>
      <c r="D46">
        <f>VLOOKUP(A46,'RM Base'!$D:$F,2,0)</f>
        <v>831.3</v>
      </c>
    </row>
    <row r="47" spans="1:4">
      <c r="A47" t="s">
        <v>851</v>
      </c>
      <c r="C47" t="str">
        <f>VLOOKUP(A47,'RM Base'!D:F,3,0)</f>
        <v>Meter</v>
      </c>
      <c r="D47">
        <f>VLOOKUP(A47,'RM Base'!$D:$F,2,0)</f>
        <v>952.08</v>
      </c>
    </row>
    <row r="48" spans="1:4">
      <c r="A48" t="s">
        <v>852</v>
      </c>
      <c r="C48" t="str">
        <f>VLOOKUP(A48,'RM Base'!D:F,3,0)</f>
        <v>Meter</v>
      </c>
      <c r="D48">
        <f>VLOOKUP(A48,'RM Base'!$D:$F,2,0)</f>
        <v>587.42999999999995</v>
      </c>
    </row>
    <row r="49" spans="1:4">
      <c r="A49" t="s">
        <v>853</v>
      </c>
      <c r="C49" t="str">
        <f>VLOOKUP(A49,'RM Base'!D:F,3,0)</f>
        <v>Meter</v>
      </c>
      <c r="D49">
        <f>VLOOKUP(A49,'RM Base'!$D:$F,2,0)</f>
        <v>707.74</v>
      </c>
    </row>
    <row r="50" spans="1:4">
      <c r="A50" t="s">
        <v>854</v>
      </c>
      <c r="C50" t="str">
        <f>VLOOKUP(A50,'RM Base'!D:F,3,0)</f>
        <v>Meter</v>
      </c>
      <c r="D50">
        <f>VLOOKUP(A50,'RM Base'!$D:$F,2,0)</f>
        <v>828.07</v>
      </c>
    </row>
    <row r="51" spans="1:4">
      <c r="A51" t="s">
        <v>855</v>
      </c>
      <c r="C51" t="str">
        <f>VLOOKUP(A51,'RM Base'!D:F,3,0)</f>
        <v>Meter</v>
      </c>
      <c r="D51">
        <f>VLOOKUP(A51,'RM Base'!$D:$F,2,0)</f>
        <v>948.38</v>
      </c>
    </row>
    <row r="52" spans="1:4">
      <c r="A52" t="s">
        <v>856</v>
      </c>
      <c r="C52" t="str">
        <f>VLOOKUP(A52,'RM Base'!D:F,3,0)</f>
        <v>Meter</v>
      </c>
      <c r="D52">
        <f>VLOOKUP(A52,'RM Base'!$D:$F,2,0)</f>
        <v>605.19000000000005</v>
      </c>
    </row>
    <row r="53" spans="1:4">
      <c r="A53" t="s">
        <v>857</v>
      </c>
      <c r="C53" t="str">
        <f>VLOOKUP(A53,'RM Base'!D:F,3,0)</f>
        <v>Meter</v>
      </c>
      <c r="D53">
        <f>VLOOKUP(A53,'RM Base'!$D:$F,2,0)</f>
        <v>729.14</v>
      </c>
    </row>
    <row r="54" spans="1:4">
      <c r="A54" t="s">
        <v>858</v>
      </c>
      <c r="C54" t="str">
        <f>VLOOKUP(A54,'RM Base'!D:F,3,0)</f>
        <v>Meter</v>
      </c>
      <c r="D54">
        <f>VLOOKUP(A54,'RM Base'!$D:$F,2,0)</f>
        <v>853.12</v>
      </c>
    </row>
    <row r="55" spans="1:4">
      <c r="A55" t="s">
        <v>859</v>
      </c>
      <c r="C55" t="str">
        <f>VLOOKUP(A55,'RM Base'!D:F,3,0)</f>
        <v>Meter</v>
      </c>
      <c r="D55">
        <f>VLOOKUP(A55,'RM Base'!$D:$F,2,0)</f>
        <v>977.06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"/>
  <dimension ref="A1:V371"/>
  <sheetViews>
    <sheetView zoomScaleNormal="100" workbookViewId="0">
      <selection activeCell="C39" sqref="C39"/>
    </sheetView>
  </sheetViews>
  <sheetFormatPr defaultRowHeight="15"/>
  <cols>
    <col min="1" max="1" width="3.42578125" customWidth="1"/>
    <col min="2" max="2" width="5.5703125" bestFit="1" customWidth="1"/>
    <col min="3" max="3" width="16.7109375" bestFit="1" customWidth="1"/>
    <col min="4" max="4" width="33.5703125" customWidth="1"/>
    <col min="5" max="5" width="10" bestFit="1" customWidth="1"/>
    <col min="6" max="6" width="6.85546875" bestFit="1" customWidth="1"/>
    <col min="7" max="7" width="20.85546875" customWidth="1"/>
    <col min="8" max="8" width="14" bestFit="1" customWidth="1"/>
    <col min="9" max="9" width="11.28515625" bestFit="1" customWidth="1"/>
    <col min="10" max="10" width="52.42578125" bestFit="1" customWidth="1"/>
    <col min="11" max="11" width="12" bestFit="1" customWidth="1"/>
    <col min="12" max="12" width="18.5703125" bestFit="1" customWidth="1"/>
    <col min="14" max="14" width="10.42578125" bestFit="1" customWidth="1"/>
    <col min="16" max="16" width="9.5703125" bestFit="1" customWidth="1"/>
  </cols>
  <sheetData>
    <row r="1" spans="1:22">
      <c r="A1" s="660">
        <v>1</v>
      </c>
      <c r="B1" s="661"/>
      <c r="C1" s="661"/>
      <c r="D1" s="661"/>
      <c r="E1" s="661"/>
      <c r="F1" s="661"/>
      <c r="G1" s="661"/>
      <c r="H1" s="662"/>
      <c r="I1" s="662"/>
      <c r="J1" s="661"/>
      <c r="K1" s="661"/>
      <c r="L1" s="661"/>
      <c r="M1" s="661"/>
      <c r="N1" s="661"/>
      <c r="O1" s="661"/>
      <c r="P1" s="722">
        <v>45632</v>
      </c>
      <c r="Q1" s="723">
        <v>0.49513888888888891</v>
      </c>
      <c r="R1" s="661"/>
      <c r="S1" s="661"/>
      <c r="T1" s="661"/>
      <c r="U1" s="661"/>
      <c r="V1" s="661"/>
    </row>
    <row r="2" spans="1:22">
      <c r="A2" s="661"/>
      <c r="B2" s="749" t="s">
        <v>860</v>
      </c>
      <c r="C2" s="750" t="s">
        <v>861</v>
      </c>
      <c r="D2" s="750" t="s">
        <v>210</v>
      </c>
      <c r="E2" s="750" t="s">
        <v>862</v>
      </c>
      <c r="F2" s="750" t="s">
        <v>84</v>
      </c>
      <c r="G2" s="750" t="s">
        <v>633</v>
      </c>
      <c r="H2" s="750" t="s">
        <v>863</v>
      </c>
      <c r="I2" s="750" t="s">
        <v>864</v>
      </c>
      <c r="J2" s="750" t="s">
        <v>865</v>
      </c>
      <c r="K2" s="750" t="s">
        <v>866</v>
      </c>
      <c r="L2" s="750" t="s">
        <v>863</v>
      </c>
      <c r="M2" s="751" t="s">
        <v>691</v>
      </c>
      <c r="N2" s="751" t="s">
        <v>1234</v>
      </c>
      <c r="O2" s="661"/>
      <c r="P2" s="661"/>
      <c r="Q2" s="661"/>
      <c r="R2" s="661"/>
      <c r="S2" s="661"/>
      <c r="T2" s="661"/>
      <c r="U2" s="661"/>
      <c r="V2" s="661"/>
    </row>
    <row r="3" spans="1:22">
      <c r="A3" s="661"/>
      <c r="B3" s="924">
        <v>1</v>
      </c>
      <c r="C3" s="751" t="s">
        <v>1203</v>
      </c>
      <c r="D3" s="751" t="s">
        <v>926</v>
      </c>
      <c r="E3" s="751">
        <v>53</v>
      </c>
      <c r="F3" s="751" t="s">
        <v>445</v>
      </c>
      <c r="G3" s="751" t="s">
        <v>1237</v>
      </c>
      <c r="H3" s="925">
        <v>45505</v>
      </c>
      <c r="I3" s="925">
        <v>45569</v>
      </c>
      <c r="J3" s="751" t="s">
        <v>1238</v>
      </c>
      <c r="K3" s="751">
        <v>30.5</v>
      </c>
      <c r="L3" s="925">
        <v>45569</v>
      </c>
      <c r="M3" s="751">
        <v>57</v>
      </c>
      <c r="N3" s="925">
        <v>45108</v>
      </c>
      <c r="O3" s="661"/>
      <c r="P3" s="661"/>
      <c r="Q3" s="661"/>
      <c r="R3" s="661"/>
      <c r="S3" s="661"/>
      <c r="T3" s="661"/>
      <c r="U3" s="661"/>
      <c r="V3" s="661"/>
    </row>
    <row r="4" spans="1:22">
      <c r="A4" s="661"/>
      <c r="B4" s="924">
        <v>2</v>
      </c>
      <c r="C4" s="751" t="s">
        <v>1203</v>
      </c>
      <c r="D4" s="751" t="s">
        <v>933</v>
      </c>
      <c r="E4" s="751">
        <v>53</v>
      </c>
      <c r="F4" s="751" t="s">
        <v>445</v>
      </c>
      <c r="G4" s="751" t="s">
        <v>1237</v>
      </c>
      <c r="H4" s="925">
        <v>45505</v>
      </c>
      <c r="I4" s="925">
        <v>45569</v>
      </c>
      <c r="J4" s="751" t="s">
        <v>1238</v>
      </c>
      <c r="K4" s="751">
        <v>30.5</v>
      </c>
      <c r="L4" s="925">
        <v>45569</v>
      </c>
      <c r="M4" s="751">
        <v>57</v>
      </c>
      <c r="N4" s="925">
        <v>45108</v>
      </c>
      <c r="O4" s="661"/>
      <c r="P4" s="661"/>
      <c r="Q4" s="661"/>
      <c r="R4" s="661"/>
      <c r="S4" s="661"/>
      <c r="T4" s="661"/>
      <c r="U4" s="661"/>
      <c r="V4" s="661"/>
    </row>
    <row r="5" spans="1:22">
      <c r="A5" s="661"/>
      <c r="B5" s="924">
        <v>3</v>
      </c>
      <c r="C5" s="751" t="s">
        <v>1203</v>
      </c>
      <c r="D5" s="751" t="s">
        <v>1239</v>
      </c>
      <c r="E5" s="751">
        <v>55</v>
      </c>
      <c r="F5" s="751" t="s">
        <v>445</v>
      </c>
      <c r="G5" s="751" t="s">
        <v>1237</v>
      </c>
      <c r="H5" s="925">
        <v>45505</v>
      </c>
      <c r="I5" s="925">
        <v>45569</v>
      </c>
      <c r="J5" s="751" t="s">
        <v>1238</v>
      </c>
      <c r="K5" s="751">
        <v>30.5</v>
      </c>
      <c r="L5" s="925">
        <v>45569</v>
      </c>
      <c r="M5" s="751">
        <v>59</v>
      </c>
      <c r="N5" s="925">
        <v>45108</v>
      </c>
      <c r="O5" s="661"/>
      <c r="P5" s="661"/>
      <c r="Q5" s="661"/>
      <c r="R5" s="661"/>
      <c r="S5" s="661"/>
      <c r="T5" s="661"/>
      <c r="U5" s="661"/>
      <c r="V5" s="661"/>
    </row>
    <row r="6" spans="1:22">
      <c r="A6" s="661"/>
      <c r="B6" s="924">
        <v>4</v>
      </c>
      <c r="C6" s="751" t="s">
        <v>1203</v>
      </c>
      <c r="D6" s="751" t="s">
        <v>929</v>
      </c>
      <c r="E6" s="751">
        <v>57</v>
      </c>
      <c r="F6" s="751" t="s">
        <v>445</v>
      </c>
      <c r="G6" s="751" t="s">
        <v>1237</v>
      </c>
      <c r="H6" s="925">
        <v>45505</v>
      </c>
      <c r="I6" s="925">
        <v>45569</v>
      </c>
      <c r="J6" s="751" t="s">
        <v>1238</v>
      </c>
      <c r="K6" s="751">
        <v>30.5</v>
      </c>
      <c r="L6" s="925">
        <v>45569</v>
      </c>
      <c r="M6" s="751">
        <v>61</v>
      </c>
      <c r="N6" s="925">
        <v>45108</v>
      </c>
      <c r="O6" s="661"/>
      <c r="P6" s="661"/>
      <c r="Q6" s="661"/>
      <c r="R6" s="661"/>
      <c r="S6" s="661"/>
      <c r="T6" s="661"/>
      <c r="U6" s="661"/>
      <c r="V6" s="661"/>
    </row>
    <row r="7" spans="1:22">
      <c r="A7" s="661"/>
      <c r="B7" s="924">
        <v>5</v>
      </c>
      <c r="C7" s="751" t="s">
        <v>1203</v>
      </c>
      <c r="D7" s="751" t="s">
        <v>1240</v>
      </c>
      <c r="E7" s="751">
        <v>62.3</v>
      </c>
      <c r="F7" s="751" t="s">
        <v>445</v>
      </c>
      <c r="G7" s="751" t="s">
        <v>1237</v>
      </c>
      <c r="H7" s="925">
        <v>45505</v>
      </c>
      <c r="I7" s="925">
        <v>45569</v>
      </c>
      <c r="J7" s="751" t="s">
        <v>1238</v>
      </c>
      <c r="K7" s="751">
        <v>30.5</v>
      </c>
      <c r="L7" s="925">
        <v>45569</v>
      </c>
      <c r="M7" s="751">
        <v>66.3</v>
      </c>
      <c r="N7" s="925">
        <v>45108</v>
      </c>
      <c r="O7" s="661"/>
      <c r="P7" s="661"/>
      <c r="Q7" s="661"/>
      <c r="R7" s="661"/>
      <c r="S7" s="661"/>
      <c r="T7" s="661"/>
      <c r="U7" s="661"/>
      <c r="V7" s="661"/>
    </row>
    <row r="8" spans="1:22">
      <c r="A8" s="661"/>
      <c r="B8" s="924">
        <v>6</v>
      </c>
      <c r="C8" s="751" t="s">
        <v>1203</v>
      </c>
      <c r="D8" s="751" t="s">
        <v>930</v>
      </c>
      <c r="E8" s="751">
        <v>58</v>
      </c>
      <c r="F8" s="751" t="s">
        <v>445</v>
      </c>
      <c r="G8" s="751" t="s">
        <v>1237</v>
      </c>
      <c r="H8" s="925">
        <v>45505</v>
      </c>
      <c r="I8" s="925">
        <v>45569</v>
      </c>
      <c r="J8" s="751" t="s">
        <v>1238</v>
      </c>
      <c r="K8" s="751">
        <v>30.5</v>
      </c>
      <c r="L8" s="925">
        <v>45569</v>
      </c>
      <c r="M8" s="751">
        <v>62</v>
      </c>
      <c r="N8" s="925">
        <v>45108</v>
      </c>
      <c r="O8" s="661"/>
      <c r="P8" s="661"/>
      <c r="Q8" s="661"/>
      <c r="R8" s="661"/>
      <c r="S8" s="661"/>
      <c r="T8" s="661"/>
      <c r="U8" s="661"/>
      <c r="V8" s="661"/>
    </row>
    <row r="9" spans="1:22">
      <c r="A9" s="661"/>
      <c r="B9" s="924">
        <v>7</v>
      </c>
      <c r="C9" s="751" t="s">
        <v>1203</v>
      </c>
      <c r="D9" s="751" t="s">
        <v>931</v>
      </c>
      <c r="E9" s="751">
        <v>61</v>
      </c>
      <c r="F9" s="751" t="s">
        <v>445</v>
      </c>
      <c r="G9" s="751" t="s">
        <v>1237</v>
      </c>
      <c r="H9" s="925">
        <v>45505</v>
      </c>
      <c r="I9" s="925">
        <v>45569</v>
      </c>
      <c r="J9" s="751" t="s">
        <v>1238</v>
      </c>
      <c r="K9" s="751">
        <v>30.5</v>
      </c>
      <c r="L9" s="925">
        <v>45569</v>
      </c>
      <c r="M9" s="751">
        <v>65</v>
      </c>
      <c r="N9" s="925">
        <v>45108</v>
      </c>
      <c r="O9" s="661"/>
      <c r="P9" s="661"/>
      <c r="Q9" s="661"/>
      <c r="R9" s="661"/>
      <c r="S9" s="661"/>
      <c r="T9" s="661"/>
      <c r="U9" s="661"/>
      <c r="V9" s="661"/>
    </row>
    <row r="10" spans="1:22">
      <c r="A10" s="661"/>
      <c r="B10" s="924">
        <v>8</v>
      </c>
      <c r="C10" s="751" t="s">
        <v>1203</v>
      </c>
      <c r="D10" s="751" t="s">
        <v>1241</v>
      </c>
      <c r="E10" s="751">
        <v>54</v>
      </c>
      <c r="F10" s="751" t="s">
        <v>445</v>
      </c>
      <c r="G10" s="751" t="s">
        <v>1237</v>
      </c>
      <c r="H10" s="925">
        <v>45505</v>
      </c>
      <c r="I10" s="925">
        <v>45569</v>
      </c>
      <c r="J10" s="751" t="s">
        <v>1238</v>
      </c>
      <c r="K10" s="751">
        <v>30.5</v>
      </c>
      <c r="L10" s="925">
        <v>45569</v>
      </c>
      <c r="M10" s="751">
        <v>58</v>
      </c>
      <c r="N10" s="925">
        <v>45108</v>
      </c>
      <c r="O10" s="661"/>
      <c r="P10" s="661"/>
      <c r="Q10" s="661"/>
      <c r="R10" s="661"/>
      <c r="S10" s="661"/>
      <c r="T10" s="661"/>
      <c r="U10" s="661"/>
      <c r="V10" s="661"/>
    </row>
    <row r="11" spans="1:22">
      <c r="A11" s="661"/>
      <c r="B11" s="924">
        <v>9</v>
      </c>
      <c r="C11" s="751" t="s">
        <v>1203</v>
      </c>
      <c r="D11" s="751" t="s">
        <v>936</v>
      </c>
      <c r="E11" s="751">
        <v>59</v>
      </c>
      <c r="F11" s="751" t="s">
        <v>445</v>
      </c>
      <c r="G11" s="751" t="s">
        <v>1237</v>
      </c>
      <c r="H11" s="925">
        <v>45505</v>
      </c>
      <c r="I11" s="925">
        <v>45569</v>
      </c>
      <c r="J11" s="751" t="s">
        <v>1238</v>
      </c>
      <c r="K11" s="751">
        <v>30.5</v>
      </c>
      <c r="L11" s="925">
        <v>45569</v>
      </c>
      <c r="M11" s="751">
        <v>63</v>
      </c>
      <c r="N11" s="925">
        <v>45108</v>
      </c>
      <c r="O11" s="661"/>
      <c r="P11" s="661"/>
      <c r="Q11" s="661"/>
      <c r="R11" s="661"/>
      <c r="S11" s="661"/>
      <c r="T11" s="661"/>
      <c r="U11" s="661"/>
      <c r="V11" s="661"/>
    </row>
    <row r="12" spans="1:22">
      <c r="A12" s="661"/>
      <c r="B12" s="924">
        <v>10</v>
      </c>
      <c r="C12" s="751" t="s">
        <v>1203</v>
      </c>
      <c r="D12" s="751" t="s">
        <v>942</v>
      </c>
      <c r="E12" s="751">
        <v>61</v>
      </c>
      <c r="F12" s="751" t="s">
        <v>445</v>
      </c>
      <c r="G12" s="751" t="s">
        <v>1237</v>
      </c>
      <c r="H12" s="925">
        <v>45505</v>
      </c>
      <c r="I12" s="925">
        <v>45569</v>
      </c>
      <c r="J12" s="751" t="s">
        <v>1238</v>
      </c>
      <c r="K12" s="751">
        <v>30.5</v>
      </c>
      <c r="L12" s="925">
        <v>45569</v>
      </c>
      <c r="M12" s="751">
        <v>65</v>
      </c>
      <c r="N12" s="925">
        <v>45108</v>
      </c>
      <c r="O12" s="661"/>
      <c r="P12" s="661"/>
      <c r="Q12" s="661"/>
      <c r="R12" s="661"/>
      <c r="S12" s="661"/>
      <c r="T12" s="661"/>
      <c r="U12" s="661"/>
      <c r="V12" s="661"/>
    </row>
    <row r="13" spans="1:22">
      <c r="A13" s="661"/>
      <c r="B13" s="924">
        <v>11</v>
      </c>
      <c r="C13" s="751" t="s">
        <v>1203</v>
      </c>
      <c r="D13" s="751" t="s">
        <v>945</v>
      </c>
      <c r="E13" s="751">
        <v>63</v>
      </c>
      <c r="F13" s="751" t="s">
        <v>445</v>
      </c>
      <c r="G13" s="751" t="s">
        <v>1237</v>
      </c>
      <c r="H13" s="925">
        <v>45505</v>
      </c>
      <c r="I13" s="925">
        <v>45569</v>
      </c>
      <c r="J13" s="751" t="s">
        <v>1238</v>
      </c>
      <c r="K13" s="751">
        <v>30.5</v>
      </c>
      <c r="L13" s="925">
        <v>45569</v>
      </c>
      <c r="M13" s="751">
        <v>67</v>
      </c>
      <c r="N13" s="925">
        <v>45108</v>
      </c>
      <c r="O13" s="661"/>
      <c r="P13" s="661"/>
      <c r="Q13" s="661"/>
      <c r="R13" s="661"/>
      <c r="S13" s="661"/>
      <c r="T13" s="661"/>
      <c r="U13" s="661"/>
      <c r="V13" s="661"/>
    </row>
    <row r="14" spans="1:22">
      <c r="A14" s="661"/>
      <c r="B14" s="924">
        <v>12</v>
      </c>
      <c r="C14" s="751" t="s">
        <v>1203</v>
      </c>
      <c r="D14" s="751" t="s">
        <v>1242</v>
      </c>
      <c r="E14" s="751">
        <v>65</v>
      </c>
      <c r="F14" s="751" t="s">
        <v>445</v>
      </c>
      <c r="G14" s="751" t="s">
        <v>1237</v>
      </c>
      <c r="H14" s="925">
        <v>45505</v>
      </c>
      <c r="I14" s="925">
        <v>45569</v>
      </c>
      <c r="J14" s="751" t="s">
        <v>1238</v>
      </c>
      <c r="K14" s="751">
        <v>30.5</v>
      </c>
      <c r="L14" s="925">
        <v>45569</v>
      </c>
      <c r="M14" s="751">
        <v>69</v>
      </c>
      <c r="N14" s="925">
        <v>45108</v>
      </c>
      <c r="O14" s="661"/>
      <c r="P14" s="661"/>
      <c r="Q14" s="661"/>
      <c r="R14" s="661"/>
      <c r="S14" s="661"/>
      <c r="T14" s="661"/>
      <c r="U14" s="661"/>
      <c r="V14" s="661"/>
    </row>
    <row r="15" spans="1:22">
      <c r="A15" s="661"/>
      <c r="B15" s="924">
        <v>13</v>
      </c>
      <c r="C15" s="751" t="s">
        <v>1203</v>
      </c>
      <c r="D15" s="751" t="s">
        <v>1243</v>
      </c>
      <c r="E15" s="751">
        <v>67</v>
      </c>
      <c r="F15" s="751" t="s">
        <v>445</v>
      </c>
      <c r="G15" s="751" t="s">
        <v>1237</v>
      </c>
      <c r="H15" s="925">
        <v>45505</v>
      </c>
      <c r="I15" s="925">
        <v>45569</v>
      </c>
      <c r="J15" s="751" t="s">
        <v>1238</v>
      </c>
      <c r="K15" s="751">
        <v>30.5</v>
      </c>
      <c r="L15" s="925">
        <v>45569</v>
      </c>
      <c r="M15" s="751">
        <v>71</v>
      </c>
      <c r="N15" s="925">
        <v>45108</v>
      </c>
      <c r="O15" s="661"/>
      <c r="P15" s="661"/>
      <c r="Q15" s="661"/>
      <c r="R15" s="661"/>
      <c r="S15" s="661"/>
      <c r="T15" s="661"/>
      <c r="U15" s="661"/>
      <c r="V15" s="661"/>
    </row>
    <row r="16" spans="1:22">
      <c r="A16" s="661"/>
      <c r="B16" s="924">
        <v>14</v>
      </c>
      <c r="C16" s="751" t="s">
        <v>1203</v>
      </c>
      <c r="D16" s="751" t="s">
        <v>947</v>
      </c>
      <c r="E16" s="751">
        <v>67</v>
      </c>
      <c r="F16" s="751" t="s">
        <v>445</v>
      </c>
      <c r="G16" s="751" t="s">
        <v>1237</v>
      </c>
      <c r="H16" s="925">
        <v>45505</v>
      </c>
      <c r="I16" s="925">
        <v>45569</v>
      </c>
      <c r="J16" s="751" t="s">
        <v>1238</v>
      </c>
      <c r="K16" s="751">
        <v>30.5</v>
      </c>
      <c r="L16" s="925">
        <v>45569</v>
      </c>
      <c r="M16" s="751">
        <v>71</v>
      </c>
      <c r="N16" s="925">
        <v>45108</v>
      </c>
      <c r="O16" s="661"/>
      <c r="P16" s="661"/>
      <c r="Q16" s="661"/>
      <c r="R16" s="661"/>
      <c r="S16" s="661"/>
      <c r="T16" s="661"/>
      <c r="U16" s="661"/>
      <c r="V16" s="661"/>
    </row>
    <row r="17" spans="1:22">
      <c r="A17" s="661"/>
      <c r="B17" s="924">
        <v>15</v>
      </c>
      <c r="C17" s="751" t="s">
        <v>1203</v>
      </c>
      <c r="D17" s="751" t="s">
        <v>1244</v>
      </c>
      <c r="E17" s="751">
        <v>73</v>
      </c>
      <c r="F17" s="751" t="s">
        <v>445</v>
      </c>
      <c r="G17" s="751" t="s">
        <v>1237</v>
      </c>
      <c r="H17" s="925">
        <v>45505</v>
      </c>
      <c r="I17" s="925">
        <v>45569</v>
      </c>
      <c r="J17" s="751" t="s">
        <v>1238</v>
      </c>
      <c r="K17" s="751">
        <v>30.5</v>
      </c>
      <c r="L17" s="925">
        <v>45569</v>
      </c>
      <c r="M17" s="751">
        <v>77</v>
      </c>
      <c r="N17" s="925">
        <v>45108</v>
      </c>
      <c r="O17" s="661"/>
      <c r="P17" s="661"/>
      <c r="Q17" s="661"/>
      <c r="R17" s="661"/>
      <c r="S17" s="661"/>
      <c r="T17" s="661"/>
      <c r="U17" s="661"/>
      <c r="V17" s="661"/>
    </row>
    <row r="18" spans="1:22">
      <c r="A18" s="661"/>
      <c r="B18" s="924">
        <v>16</v>
      </c>
      <c r="C18" s="751" t="s">
        <v>1203</v>
      </c>
      <c r="D18" s="751" t="s">
        <v>1245</v>
      </c>
      <c r="E18" s="751">
        <v>65</v>
      </c>
      <c r="F18" s="751" t="s">
        <v>445</v>
      </c>
      <c r="G18" s="751" t="s">
        <v>1237</v>
      </c>
      <c r="H18" s="925">
        <v>45505</v>
      </c>
      <c r="I18" s="925">
        <v>45569</v>
      </c>
      <c r="J18" s="751" t="s">
        <v>1238</v>
      </c>
      <c r="K18" s="751">
        <v>30.5</v>
      </c>
      <c r="L18" s="925">
        <v>45569</v>
      </c>
      <c r="M18" s="751">
        <v>69</v>
      </c>
      <c r="N18" s="925">
        <v>45108</v>
      </c>
      <c r="O18" s="661"/>
      <c r="P18" s="661"/>
      <c r="Q18" s="661"/>
      <c r="R18" s="661"/>
      <c r="S18" s="661"/>
      <c r="T18" s="661"/>
      <c r="U18" s="661"/>
      <c r="V18" s="661"/>
    </row>
    <row r="19" spans="1:22">
      <c r="A19" s="661"/>
      <c r="B19" s="924">
        <v>17</v>
      </c>
      <c r="C19" s="751" t="s">
        <v>1203</v>
      </c>
      <c r="D19" s="751" t="s">
        <v>1246</v>
      </c>
      <c r="E19" s="751">
        <v>153</v>
      </c>
      <c r="F19" s="751" t="s">
        <v>445</v>
      </c>
      <c r="G19" s="751" t="s">
        <v>1237</v>
      </c>
      <c r="H19" s="925">
        <v>45505</v>
      </c>
      <c r="I19" s="925">
        <v>45569</v>
      </c>
      <c r="J19" s="751" t="s">
        <v>1238</v>
      </c>
      <c r="K19" s="751">
        <v>30.5</v>
      </c>
      <c r="L19" s="925">
        <v>45569</v>
      </c>
      <c r="M19" s="751">
        <v>157</v>
      </c>
      <c r="N19" s="925">
        <v>45108</v>
      </c>
      <c r="O19" s="661"/>
      <c r="P19" s="661"/>
      <c r="Q19" s="661"/>
      <c r="R19" s="661"/>
      <c r="S19" s="661"/>
      <c r="T19" s="661"/>
      <c r="U19" s="661"/>
      <c r="V19" s="661"/>
    </row>
    <row r="20" spans="1:22">
      <c r="A20" s="661"/>
      <c r="B20" s="924">
        <v>18</v>
      </c>
      <c r="C20" s="751" t="s">
        <v>1203</v>
      </c>
      <c r="D20" s="751" t="s">
        <v>821</v>
      </c>
      <c r="E20" s="751">
        <v>73</v>
      </c>
      <c r="F20" s="751" t="s">
        <v>445</v>
      </c>
      <c r="G20" s="751" t="s">
        <v>1237</v>
      </c>
      <c r="H20" s="925">
        <v>45505</v>
      </c>
      <c r="I20" s="925">
        <v>45569</v>
      </c>
      <c r="J20" s="751" t="s">
        <v>1238</v>
      </c>
      <c r="K20" s="751">
        <v>30.5</v>
      </c>
      <c r="L20" s="925">
        <v>45569</v>
      </c>
      <c r="M20" s="751">
        <v>77</v>
      </c>
      <c r="N20" s="925">
        <v>45108</v>
      </c>
      <c r="O20" s="661"/>
      <c r="P20" s="661"/>
      <c r="Q20" s="661"/>
      <c r="R20" s="661"/>
      <c r="S20" s="661"/>
      <c r="T20" s="661"/>
      <c r="U20" s="661"/>
      <c r="V20" s="661"/>
    </row>
    <row r="21" spans="1:22">
      <c r="A21" s="661"/>
      <c r="B21" s="924">
        <v>19</v>
      </c>
      <c r="C21" s="751" t="s">
        <v>1203</v>
      </c>
      <c r="D21" s="751" t="s">
        <v>1247</v>
      </c>
      <c r="E21" s="751">
        <v>68.099999999999994</v>
      </c>
      <c r="F21" s="751" t="s">
        <v>445</v>
      </c>
      <c r="G21" s="751" t="s">
        <v>1237</v>
      </c>
      <c r="H21" s="925">
        <v>45505</v>
      </c>
      <c r="I21" s="925">
        <v>45569</v>
      </c>
      <c r="J21" s="751" t="s">
        <v>1238</v>
      </c>
      <c r="K21" s="751">
        <v>30.5</v>
      </c>
      <c r="L21" s="925">
        <v>45569</v>
      </c>
      <c r="M21" s="751">
        <v>72.099999999999994</v>
      </c>
      <c r="N21" s="925">
        <v>45108</v>
      </c>
      <c r="O21" s="661"/>
      <c r="P21" s="661"/>
      <c r="Q21" s="661"/>
      <c r="R21" s="661"/>
      <c r="S21" s="661"/>
      <c r="T21" s="661"/>
      <c r="U21" s="661"/>
      <c r="V21" s="661"/>
    </row>
    <row r="22" spans="1:22">
      <c r="A22" s="661"/>
      <c r="B22" s="924">
        <v>20</v>
      </c>
      <c r="C22" s="751" t="s">
        <v>1203</v>
      </c>
      <c r="D22" s="751" t="s">
        <v>1248</v>
      </c>
      <c r="E22" s="751">
        <v>57</v>
      </c>
      <c r="F22" s="751" t="s">
        <v>445</v>
      </c>
      <c r="G22" s="751" t="s">
        <v>1237</v>
      </c>
      <c r="H22" s="925">
        <v>45505</v>
      </c>
      <c r="I22" s="925">
        <v>45569</v>
      </c>
      <c r="J22" s="751" t="s">
        <v>1238</v>
      </c>
      <c r="K22" s="751">
        <v>30.5</v>
      </c>
      <c r="L22" s="925">
        <v>45569</v>
      </c>
      <c r="M22" s="751">
        <v>61</v>
      </c>
      <c r="N22" s="925">
        <v>45108</v>
      </c>
      <c r="O22" s="661"/>
      <c r="P22" s="661"/>
      <c r="Q22" s="661"/>
      <c r="R22" s="661"/>
      <c r="S22" s="661"/>
      <c r="T22" s="661"/>
      <c r="U22" s="661"/>
      <c r="V22" s="661"/>
    </row>
    <row r="23" spans="1:22">
      <c r="A23" s="661"/>
      <c r="B23" s="924">
        <v>21</v>
      </c>
      <c r="C23" s="751" t="s">
        <v>1203</v>
      </c>
      <c r="D23" s="751" t="s">
        <v>1249</v>
      </c>
      <c r="E23" s="751">
        <v>64.5</v>
      </c>
      <c r="F23" s="751" t="s">
        <v>445</v>
      </c>
      <c r="G23" s="751" t="s">
        <v>1237</v>
      </c>
      <c r="H23" s="925">
        <v>45505</v>
      </c>
      <c r="I23" s="925">
        <v>45569</v>
      </c>
      <c r="J23" s="751" t="s">
        <v>1238</v>
      </c>
      <c r="K23" s="751">
        <v>30.5</v>
      </c>
      <c r="L23" s="925">
        <v>45569</v>
      </c>
      <c r="M23" s="751">
        <v>68.5</v>
      </c>
      <c r="N23" s="925">
        <v>45108</v>
      </c>
      <c r="O23" s="661"/>
      <c r="P23" s="661"/>
      <c r="Q23" s="661"/>
      <c r="R23" s="661"/>
      <c r="S23" s="661"/>
      <c r="T23" s="661"/>
      <c r="U23" s="661"/>
      <c r="V23" s="661"/>
    </row>
    <row r="24" spans="1:22">
      <c r="A24" s="661"/>
      <c r="B24" s="924">
        <v>22</v>
      </c>
      <c r="C24" s="751" t="s">
        <v>1203</v>
      </c>
      <c r="D24" s="751" t="s">
        <v>1250</v>
      </c>
      <c r="E24" s="751">
        <v>87.4</v>
      </c>
      <c r="F24" s="751" t="s">
        <v>445</v>
      </c>
      <c r="G24" s="751" t="s">
        <v>1237</v>
      </c>
      <c r="H24" s="925">
        <v>45505</v>
      </c>
      <c r="I24" s="925">
        <v>45569</v>
      </c>
      <c r="J24" s="751" t="s">
        <v>1238</v>
      </c>
      <c r="K24" s="751">
        <v>30.5</v>
      </c>
      <c r="L24" s="925">
        <v>45569</v>
      </c>
      <c r="M24" s="751">
        <v>91.4</v>
      </c>
      <c r="N24" s="925">
        <v>45108</v>
      </c>
      <c r="O24" s="661"/>
      <c r="P24" s="661"/>
      <c r="Q24" s="661"/>
      <c r="R24" s="661"/>
      <c r="S24" s="661"/>
      <c r="T24" s="661"/>
      <c r="U24" s="661"/>
      <c r="V24" s="661"/>
    </row>
    <row r="25" spans="1:22">
      <c r="A25" s="661"/>
      <c r="B25" s="924">
        <v>23</v>
      </c>
      <c r="C25" s="751" t="s">
        <v>1203</v>
      </c>
      <c r="D25" s="751" t="s">
        <v>1251</v>
      </c>
      <c r="E25" s="751">
        <v>127.2</v>
      </c>
      <c r="F25" s="751" t="s">
        <v>445</v>
      </c>
      <c r="G25" s="751" t="s">
        <v>1237</v>
      </c>
      <c r="H25" s="925">
        <v>45505</v>
      </c>
      <c r="I25" s="925">
        <v>45569</v>
      </c>
      <c r="J25" s="751" t="s">
        <v>1238</v>
      </c>
      <c r="K25" s="751">
        <v>30.5</v>
      </c>
      <c r="L25" s="925">
        <v>45569</v>
      </c>
      <c r="M25" s="751">
        <v>131.19999999999999</v>
      </c>
      <c r="N25" s="925">
        <v>45108</v>
      </c>
      <c r="O25" s="661"/>
      <c r="P25" s="661"/>
      <c r="Q25" s="661"/>
      <c r="R25" s="661"/>
      <c r="S25" s="661"/>
      <c r="T25" s="661"/>
      <c r="U25" s="661"/>
      <c r="V25" s="661"/>
    </row>
    <row r="26" spans="1:22">
      <c r="A26" s="661"/>
      <c r="B26" s="924">
        <v>24</v>
      </c>
      <c r="C26" s="751" t="s">
        <v>1203</v>
      </c>
      <c r="D26" s="751" t="s">
        <v>1252</v>
      </c>
      <c r="E26" s="751">
        <v>30.5</v>
      </c>
      <c r="F26" s="751" t="s">
        <v>445</v>
      </c>
      <c r="G26" s="751" t="s">
        <v>1237</v>
      </c>
      <c r="H26" s="925">
        <v>45505</v>
      </c>
      <c r="I26" s="925">
        <v>45569</v>
      </c>
      <c r="J26" s="751" t="s">
        <v>1238</v>
      </c>
      <c r="K26" s="751">
        <v>30.5</v>
      </c>
      <c r="L26" s="925">
        <v>45569</v>
      </c>
      <c r="M26" s="751">
        <v>34</v>
      </c>
      <c r="N26" s="925">
        <v>45108</v>
      </c>
      <c r="O26" s="661"/>
      <c r="P26" s="661"/>
      <c r="Q26" s="661"/>
      <c r="R26" s="661"/>
      <c r="S26" s="661"/>
      <c r="T26" s="661"/>
      <c r="U26" s="661"/>
      <c r="V26" s="661"/>
    </row>
    <row r="27" spans="1:22">
      <c r="A27" s="661"/>
      <c r="B27" s="924">
        <v>25</v>
      </c>
      <c r="C27" s="751" t="s">
        <v>1203</v>
      </c>
      <c r="D27" s="751" t="s">
        <v>1253</v>
      </c>
      <c r="E27" s="751">
        <v>64</v>
      </c>
      <c r="F27" s="751" t="s">
        <v>445</v>
      </c>
      <c r="G27" s="751" t="s">
        <v>1237</v>
      </c>
      <c r="H27" s="925">
        <v>45505</v>
      </c>
      <c r="I27" s="925">
        <v>45569</v>
      </c>
      <c r="J27" s="751" t="s">
        <v>1238</v>
      </c>
      <c r="K27" s="751">
        <v>30.5</v>
      </c>
      <c r="L27" s="925">
        <v>45569</v>
      </c>
      <c r="M27" s="751">
        <v>68</v>
      </c>
      <c r="N27" s="925">
        <v>45108</v>
      </c>
      <c r="O27" s="661"/>
      <c r="P27" s="661"/>
      <c r="Q27" s="661"/>
      <c r="R27" s="661"/>
      <c r="S27" s="661"/>
      <c r="T27" s="661"/>
      <c r="U27" s="661"/>
      <c r="V27" s="661"/>
    </row>
    <row r="28" spans="1:22">
      <c r="A28" s="661"/>
      <c r="B28" s="924">
        <v>26</v>
      </c>
      <c r="C28" s="751" t="s">
        <v>1203</v>
      </c>
      <c r="D28" s="751" t="s">
        <v>1254</v>
      </c>
      <c r="E28" s="751">
        <v>72</v>
      </c>
      <c r="F28" s="751" t="s">
        <v>1255</v>
      </c>
      <c r="G28" s="751" t="s">
        <v>1237</v>
      </c>
      <c r="H28" s="925">
        <v>45505</v>
      </c>
      <c r="I28" s="925">
        <v>45569</v>
      </c>
      <c r="J28" s="751" t="s">
        <v>1256</v>
      </c>
      <c r="K28" s="751">
        <v>30.5</v>
      </c>
      <c r="L28" s="925">
        <v>45569</v>
      </c>
      <c r="M28" s="751">
        <v>76</v>
      </c>
      <c r="N28" s="925">
        <v>45108</v>
      </c>
      <c r="O28" s="661"/>
      <c r="P28" s="661"/>
      <c r="Q28" s="661"/>
      <c r="R28" s="661"/>
      <c r="S28" s="661"/>
      <c r="T28" s="661"/>
      <c r="U28" s="661"/>
      <c r="V28" s="661"/>
    </row>
    <row r="29" spans="1:22">
      <c r="A29" s="661"/>
      <c r="B29" s="924">
        <v>27</v>
      </c>
      <c r="C29" s="751" t="s">
        <v>1203</v>
      </c>
      <c r="D29" s="751" t="s">
        <v>1257</v>
      </c>
      <c r="E29" s="751">
        <v>77.5</v>
      </c>
      <c r="F29" s="751" t="s">
        <v>1255</v>
      </c>
      <c r="G29" s="751" t="s">
        <v>1237</v>
      </c>
      <c r="H29" s="925">
        <v>45505</v>
      </c>
      <c r="I29" s="925">
        <v>45569</v>
      </c>
      <c r="J29" s="751" t="s">
        <v>1256</v>
      </c>
      <c r="K29" s="751">
        <v>30.5</v>
      </c>
      <c r="L29" s="925">
        <v>45569</v>
      </c>
      <c r="M29" s="751">
        <v>81.5</v>
      </c>
      <c r="N29" s="925">
        <v>45108</v>
      </c>
      <c r="O29" s="661"/>
      <c r="P29" s="661"/>
      <c r="Q29" s="661"/>
      <c r="R29" s="661"/>
      <c r="S29" s="661"/>
      <c r="T29" s="661"/>
      <c r="U29" s="661"/>
      <c r="V29" s="661"/>
    </row>
    <row r="30" spans="1:22">
      <c r="A30" s="661"/>
      <c r="B30" s="924">
        <v>28</v>
      </c>
      <c r="C30" s="751" t="s">
        <v>1258</v>
      </c>
      <c r="D30" s="751" t="s">
        <v>1259</v>
      </c>
      <c r="E30" s="926">
        <v>71.67</v>
      </c>
      <c r="F30" s="751" t="s">
        <v>445</v>
      </c>
      <c r="G30" s="751" t="s">
        <v>1237</v>
      </c>
      <c r="H30" s="925">
        <v>45505</v>
      </c>
      <c r="I30" s="925">
        <v>45569</v>
      </c>
      <c r="J30" s="751" t="s">
        <v>1238</v>
      </c>
      <c r="K30" s="751">
        <v>30.5</v>
      </c>
      <c r="L30" s="925">
        <v>45569</v>
      </c>
      <c r="M30" s="751">
        <v>75.67</v>
      </c>
      <c r="N30" s="925">
        <v>45108</v>
      </c>
      <c r="O30" s="661"/>
      <c r="P30" s="661"/>
      <c r="Q30" s="661"/>
      <c r="R30" s="661"/>
      <c r="S30" s="661"/>
      <c r="T30" s="661"/>
      <c r="U30" s="661"/>
      <c r="V30" s="661"/>
    </row>
    <row r="31" spans="1:22">
      <c r="A31" s="661"/>
      <c r="B31" s="924">
        <v>29</v>
      </c>
      <c r="C31" s="751" t="s">
        <v>1258</v>
      </c>
      <c r="D31" s="751" t="s">
        <v>1260</v>
      </c>
      <c r="E31" s="926">
        <v>78.06</v>
      </c>
      <c r="F31" s="751" t="s">
        <v>445</v>
      </c>
      <c r="G31" s="751" t="s">
        <v>1237</v>
      </c>
      <c r="H31" s="925">
        <v>45505</v>
      </c>
      <c r="I31" s="925">
        <v>45569</v>
      </c>
      <c r="J31" s="751" t="s">
        <v>1238</v>
      </c>
      <c r="K31" s="751">
        <v>30.5</v>
      </c>
      <c r="L31" s="925">
        <v>45569</v>
      </c>
      <c r="M31" s="751">
        <v>82.06</v>
      </c>
      <c r="N31" s="925">
        <v>45108</v>
      </c>
      <c r="O31" s="661"/>
      <c r="P31" s="661"/>
      <c r="Q31" s="661"/>
      <c r="R31" s="661"/>
      <c r="S31" s="661"/>
      <c r="T31" s="661"/>
      <c r="U31" s="661"/>
      <c r="V31" s="661"/>
    </row>
    <row r="32" spans="1:22">
      <c r="A32" s="661"/>
      <c r="B32" s="924">
        <v>30</v>
      </c>
      <c r="C32" s="751" t="s">
        <v>1258</v>
      </c>
      <c r="D32" s="751" t="s">
        <v>1261</v>
      </c>
      <c r="E32" s="926">
        <v>84.06</v>
      </c>
      <c r="F32" s="751" t="s">
        <v>445</v>
      </c>
      <c r="G32" s="751" t="s">
        <v>1237</v>
      </c>
      <c r="H32" s="925">
        <v>45505</v>
      </c>
      <c r="I32" s="925">
        <v>45569</v>
      </c>
      <c r="J32" s="751" t="s">
        <v>1238</v>
      </c>
      <c r="K32" s="751">
        <v>30.5</v>
      </c>
      <c r="L32" s="925">
        <v>45569</v>
      </c>
      <c r="M32" s="751">
        <v>88.06</v>
      </c>
      <c r="N32" s="925">
        <v>45108</v>
      </c>
      <c r="O32" s="661"/>
      <c r="P32" s="661"/>
      <c r="Q32" s="661"/>
      <c r="R32" s="661"/>
      <c r="S32" s="661"/>
      <c r="T32" s="661"/>
      <c r="U32" s="661"/>
      <c r="V32" s="661"/>
    </row>
    <row r="33" spans="1:22">
      <c r="A33" s="661"/>
      <c r="B33" s="924">
        <v>31</v>
      </c>
      <c r="C33" s="751" t="s">
        <v>1258</v>
      </c>
      <c r="D33" s="751" t="s">
        <v>1262</v>
      </c>
      <c r="E33" s="751" t="s">
        <v>1238</v>
      </c>
      <c r="F33" s="751" t="s">
        <v>1238</v>
      </c>
      <c r="G33" s="751" t="s">
        <v>1238</v>
      </c>
      <c r="H33" s="751" t="s">
        <v>1238</v>
      </c>
      <c r="I33" s="751" t="s">
        <v>1238</v>
      </c>
      <c r="J33" s="751" t="s">
        <v>1238</v>
      </c>
      <c r="K33" s="751">
        <v>30.5</v>
      </c>
      <c r="L33" s="925">
        <v>45569</v>
      </c>
      <c r="M33" s="751">
        <v>0</v>
      </c>
      <c r="N33" s="925">
        <v>45108</v>
      </c>
      <c r="O33" s="661"/>
      <c r="P33" s="661"/>
      <c r="Q33" s="661"/>
      <c r="R33" s="661"/>
      <c r="S33" s="661"/>
      <c r="T33" s="661"/>
      <c r="U33" s="661"/>
      <c r="V33" s="661"/>
    </row>
    <row r="34" spans="1:22">
      <c r="A34" s="661"/>
      <c r="B34" s="924">
        <v>32</v>
      </c>
      <c r="C34" s="751" t="s">
        <v>1258</v>
      </c>
      <c r="D34" s="751" t="s">
        <v>1263</v>
      </c>
      <c r="E34" s="926">
        <v>68.06</v>
      </c>
      <c r="F34" s="751" t="s">
        <v>445</v>
      </c>
      <c r="G34" s="751" t="s">
        <v>1237</v>
      </c>
      <c r="H34" s="925">
        <v>45413</v>
      </c>
      <c r="I34" s="925">
        <v>45569</v>
      </c>
      <c r="J34" s="751" t="s">
        <v>1238</v>
      </c>
      <c r="K34" s="751">
        <v>30.5</v>
      </c>
      <c r="L34" s="925">
        <v>45569</v>
      </c>
      <c r="M34" s="751">
        <v>72.06</v>
      </c>
      <c r="N34" s="925">
        <v>45108</v>
      </c>
      <c r="O34" s="661"/>
      <c r="P34" s="661"/>
      <c r="Q34" s="661"/>
      <c r="R34" s="661"/>
      <c r="S34" s="661"/>
      <c r="T34" s="661"/>
      <c r="U34" s="661"/>
      <c r="V34" s="661"/>
    </row>
    <row r="35" spans="1:22">
      <c r="A35" s="661"/>
      <c r="B35" s="924">
        <v>33</v>
      </c>
      <c r="C35" s="751" t="s">
        <v>1258</v>
      </c>
      <c r="D35" s="751" t="s">
        <v>1264</v>
      </c>
      <c r="E35" s="926">
        <v>76.17</v>
      </c>
      <c r="F35" s="751" t="s">
        <v>445</v>
      </c>
      <c r="G35" s="751" t="s">
        <v>1237</v>
      </c>
      <c r="H35" s="925">
        <v>45413</v>
      </c>
      <c r="I35" s="925">
        <v>45569</v>
      </c>
      <c r="J35" s="751" t="s">
        <v>1238</v>
      </c>
      <c r="K35" s="751">
        <v>30.5</v>
      </c>
      <c r="L35" s="925">
        <v>45569</v>
      </c>
      <c r="M35" s="751">
        <v>80.17</v>
      </c>
      <c r="N35" s="925">
        <v>45108</v>
      </c>
      <c r="O35" s="661"/>
      <c r="P35" s="661"/>
      <c r="Q35" s="661"/>
      <c r="R35" s="661"/>
      <c r="S35" s="661"/>
      <c r="T35" s="661"/>
      <c r="U35" s="661"/>
      <c r="V35" s="661"/>
    </row>
    <row r="36" spans="1:22">
      <c r="A36" s="661"/>
      <c r="B36" s="924">
        <v>34</v>
      </c>
      <c r="C36" s="751" t="s">
        <v>1258</v>
      </c>
      <c r="D36" s="751" t="s">
        <v>1265</v>
      </c>
      <c r="E36" s="926">
        <v>78.38</v>
      </c>
      <c r="F36" s="751" t="s">
        <v>445</v>
      </c>
      <c r="G36" s="751" t="s">
        <v>1266</v>
      </c>
      <c r="H36" s="925">
        <v>45413</v>
      </c>
      <c r="I36" s="925">
        <v>45569</v>
      </c>
      <c r="J36" s="751" t="s">
        <v>1238</v>
      </c>
      <c r="K36" s="751">
        <v>30.5</v>
      </c>
      <c r="L36" s="925">
        <v>45569</v>
      </c>
      <c r="M36" s="751">
        <v>82.38</v>
      </c>
      <c r="N36" s="925">
        <v>45108</v>
      </c>
      <c r="O36" s="661"/>
      <c r="P36" s="661"/>
      <c r="Q36" s="661"/>
      <c r="R36" s="661"/>
      <c r="S36" s="661"/>
      <c r="T36" s="661"/>
      <c r="U36" s="661"/>
      <c r="V36" s="661"/>
    </row>
    <row r="37" spans="1:22">
      <c r="A37" s="661"/>
      <c r="B37" s="924">
        <v>35</v>
      </c>
      <c r="C37" s="751" t="s">
        <v>1258</v>
      </c>
      <c r="D37" s="751" t="s">
        <v>1267</v>
      </c>
      <c r="E37" s="926">
        <v>74.17</v>
      </c>
      <c r="F37" s="751" t="s">
        <v>445</v>
      </c>
      <c r="G37" s="751" t="s">
        <v>1237</v>
      </c>
      <c r="H37" s="925">
        <v>45413</v>
      </c>
      <c r="I37" s="925">
        <v>45569</v>
      </c>
      <c r="J37" s="751" t="s">
        <v>1238</v>
      </c>
      <c r="K37" s="751">
        <v>30.5</v>
      </c>
      <c r="L37" s="925">
        <v>45569</v>
      </c>
      <c r="M37" s="751">
        <v>78.17</v>
      </c>
      <c r="N37" s="925">
        <v>45108</v>
      </c>
      <c r="O37" s="661"/>
      <c r="P37" s="661"/>
      <c r="Q37" s="661"/>
      <c r="R37" s="661"/>
      <c r="S37" s="661"/>
      <c r="T37" s="661"/>
      <c r="U37" s="661"/>
      <c r="V37" s="661"/>
    </row>
    <row r="38" spans="1:22">
      <c r="A38" s="661"/>
      <c r="B38" s="924">
        <v>36</v>
      </c>
      <c r="C38" s="751" t="s">
        <v>1258</v>
      </c>
      <c r="D38" s="751" t="s">
        <v>1268</v>
      </c>
      <c r="E38" s="926">
        <v>78.38</v>
      </c>
      <c r="F38" s="751" t="s">
        <v>445</v>
      </c>
      <c r="G38" s="751" t="s">
        <v>1266</v>
      </c>
      <c r="H38" s="925">
        <v>45413</v>
      </c>
      <c r="I38" s="925">
        <v>45569</v>
      </c>
      <c r="J38" s="751" t="s">
        <v>1238</v>
      </c>
      <c r="K38" s="751">
        <v>30.5</v>
      </c>
      <c r="L38" s="925">
        <v>45569</v>
      </c>
      <c r="M38" s="751">
        <v>82.38</v>
      </c>
      <c r="N38" s="925">
        <v>45108</v>
      </c>
      <c r="O38" s="661"/>
      <c r="P38" s="661"/>
      <c r="Q38" s="661"/>
      <c r="R38" s="661"/>
      <c r="S38" s="661"/>
      <c r="T38" s="661"/>
      <c r="U38" s="661"/>
      <c r="V38" s="661"/>
    </row>
    <row r="39" spans="1:22">
      <c r="A39" s="661"/>
      <c r="B39" s="924">
        <v>37</v>
      </c>
      <c r="C39" s="751" t="s">
        <v>318</v>
      </c>
      <c r="D39" s="751" t="s">
        <v>1269</v>
      </c>
      <c r="E39" s="751">
        <v>77.8</v>
      </c>
      <c r="F39" s="751" t="s">
        <v>445</v>
      </c>
      <c r="G39" s="751" t="s">
        <v>1237</v>
      </c>
      <c r="H39" s="925">
        <v>45505</v>
      </c>
      <c r="I39" s="925">
        <v>45569</v>
      </c>
      <c r="J39" s="751" t="s">
        <v>1238</v>
      </c>
      <c r="K39" s="751">
        <v>25</v>
      </c>
      <c r="L39" s="925">
        <v>45505</v>
      </c>
      <c r="M39" s="751">
        <v>79.3</v>
      </c>
      <c r="N39" s="925">
        <v>45505</v>
      </c>
      <c r="O39" s="661"/>
      <c r="P39" s="661"/>
      <c r="Q39" s="661"/>
      <c r="R39" s="661"/>
      <c r="S39" s="661"/>
      <c r="T39" s="661"/>
      <c r="U39" s="661"/>
      <c r="V39" s="661"/>
    </row>
    <row r="40" spans="1:22">
      <c r="A40" s="661"/>
      <c r="B40" s="924">
        <v>38</v>
      </c>
      <c r="C40" s="751" t="s">
        <v>318</v>
      </c>
      <c r="D40" s="751" t="s">
        <v>1270</v>
      </c>
      <c r="E40" s="751">
        <v>81.3</v>
      </c>
      <c r="F40" s="751" t="s">
        <v>445</v>
      </c>
      <c r="G40" s="751" t="s">
        <v>1237</v>
      </c>
      <c r="H40" s="925">
        <v>45505</v>
      </c>
      <c r="I40" s="925">
        <v>45569</v>
      </c>
      <c r="J40" s="751" t="s">
        <v>1238</v>
      </c>
      <c r="K40" s="751">
        <v>25</v>
      </c>
      <c r="L40" s="925">
        <v>45505</v>
      </c>
      <c r="M40" s="751">
        <v>82.8</v>
      </c>
      <c r="N40" s="925">
        <v>45505</v>
      </c>
      <c r="O40" s="661"/>
      <c r="P40" s="661"/>
      <c r="Q40" s="661"/>
      <c r="R40" s="661"/>
      <c r="S40" s="661"/>
      <c r="T40" s="661"/>
      <c r="U40" s="661"/>
      <c r="V40" s="661"/>
    </row>
    <row r="41" spans="1:22">
      <c r="A41" s="661"/>
      <c r="B41" s="924">
        <v>39</v>
      </c>
      <c r="C41" s="751" t="s">
        <v>318</v>
      </c>
      <c r="D41" s="751" t="s">
        <v>1271</v>
      </c>
      <c r="E41" s="751">
        <v>80.8</v>
      </c>
      <c r="F41" s="751" t="s">
        <v>445</v>
      </c>
      <c r="G41" s="751" t="s">
        <v>1237</v>
      </c>
      <c r="H41" s="925">
        <v>45505</v>
      </c>
      <c r="I41" s="925">
        <v>45569</v>
      </c>
      <c r="J41" s="751" t="s">
        <v>1238</v>
      </c>
      <c r="K41" s="751">
        <v>25</v>
      </c>
      <c r="L41" s="925">
        <v>45505</v>
      </c>
      <c r="M41" s="751">
        <v>82.3</v>
      </c>
      <c r="N41" s="925">
        <v>45505</v>
      </c>
      <c r="O41" s="661"/>
      <c r="P41" s="661"/>
      <c r="Q41" s="661"/>
      <c r="R41" s="661"/>
      <c r="S41" s="661"/>
      <c r="T41" s="661"/>
      <c r="U41" s="661"/>
      <c r="V41" s="661"/>
    </row>
    <row r="42" spans="1:22">
      <c r="A42" s="661"/>
      <c r="B42" s="924">
        <v>40</v>
      </c>
      <c r="C42" s="751" t="s">
        <v>318</v>
      </c>
      <c r="D42" s="751" t="s">
        <v>1272</v>
      </c>
      <c r="E42" s="751">
        <v>83.3</v>
      </c>
      <c r="F42" s="751" t="s">
        <v>445</v>
      </c>
      <c r="G42" s="751" t="s">
        <v>1237</v>
      </c>
      <c r="H42" s="925">
        <v>45505</v>
      </c>
      <c r="I42" s="925">
        <v>45569</v>
      </c>
      <c r="J42" s="751" t="s">
        <v>1238</v>
      </c>
      <c r="K42" s="751">
        <v>25</v>
      </c>
      <c r="L42" s="925">
        <v>45505</v>
      </c>
      <c r="M42" s="751">
        <v>84.8</v>
      </c>
      <c r="N42" s="925">
        <v>45505</v>
      </c>
      <c r="O42" s="661"/>
      <c r="P42" s="661"/>
      <c r="Q42" s="661"/>
      <c r="R42" s="661"/>
      <c r="S42" s="661"/>
      <c r="T42" s="661"/>
      <c r="U42" s="661"/>
      <c r="V42" s="661"/>
    </row>
    <row r="43" spans="1:22">
      <c r="A43" s="661"/>
      <c r="B43" s="924">
        <v>41</v>
      </c>
      <c r="C43" s="751" t="s">
        <v>318</v>
      </c>
      <c r="D43" s="751" t="s">
        <v>1273</v>
      </c>
      <c r="E43" s="751">
        <v>81.3</v>
      </c>
      <c r="F43" s="751" t="s">
        <v>445</v>
      </c>
      <c r="G43" s="751" t="s">
        <v>1237</v>
      </c>
      <c r="H43" s="925">
        <v>45505</v>
      </c>
      <c r="I43" s="925">
        <v>45569</v>
      </c>
      <c r="J43" s="751" t="s">
        <v>1238</v>
      </c>
      <c r="K43" s="751">
        <v>25</v>
      </c>
      <c r="L43" s="925">
        <v>45505</v>
      </c>
      <c r="M43" s="751">
        <v>82.8</v>
      </c>
      <c r="N43" s="925">
        <v>45505</v>
      </c>
      <c r="O43" s="661"/>
      <c r="P43" s="661"/>
      <c r="Q43" s="661"/>
      <c r="R43" s="661"/>
      <c r="S43" s="661"/>
      <c r="T43" s="661"/>
      <c r="U43" s="661"/>
      <c r="V43" s="661"/>
    </row>
    <row r="44" spans="1:22">
      <c r="A44" s="661"/>
      <c r="B44" s="924">
        <v>42</v>
      </c>
      <c r="C44" s="751" t="s">
        <v>318</v>
      </c>
      <c r="D44" s="751" t="s">
        <v>1274</v>
      </c>
      <c r="E44" s="751">
        <v>80.8</v>
      </c>
      <c r="F44" s="751" t="s">
        <v>445</v>
      </c>
      <c r="G44" s="751" t="s">
        <v>1237</v>
      </c>
      <c r="H44" s="925">
        <v>45505</v>
      </c>
      <c r="I44" s="925">
        <v>45569</v>
      </c>
      <c r="J44" s="751" t="s">
        <v>1238</v>
      </c>
      <c r="K44" s="751">
        <v>25</v>
      </c>
      <c r="L44" s="925">
        <v>45505</v>
      </c>
      <c r="M44" s="751">
        <v>82.3</v>
      </c>
      <c r="N44" s="925">
        <v>45505</v>
      </c>
      <c r="O44" s="661"/>
      <c r="P44" s="661"/>
      <c r="Q44" s="661"/>
      <c r="R44" s="661"/>
      <c r="S44" s="661"/>
      <c r="T44" s="661"/>
      <c r="U44" s="661"/>
      <c r="V44" s="661"/>
    </row>
    <row r="45" spans="1:22">
      <c r="A45" s="661"/>
      <c r="B45" s="924">
        <v>43</v>
      </c>
      <c r="C45" s="751" t="s">
        <v>318</v>
      </c>
      <c r="D45" s="751" t="s">
        <v>1275</v>
      </c>
      <c r="E45" s="751">
        <v>83.3</v>
      </c>
      <c r="F45" s="751" t="s">
        <v>445</v>
      </c>
      <c r="G45" s="751" t="s">
        <v>1237</v>
      </c>
      <c r="H45" s="925">
        <v>45505</v>
      </c>
      <c r="I45" s="925">
        <v>45569</v>
      </c>
      <c r="J45" s="751" t="s">
        <v>1238</v>
      </c>
      <c r="K45" s="751">
        <v>25</v>
      </c>
      <c r="L45" s="925">
        <v>45505</v>
      </c>
      <c r="M45" s="751">
        <v>84.8</v>
      </c>
      <c r="N45" s="925">
        <v>45505</v>
      </c>
      <c r="O45" s="661"/>
      <c r="P45" s="661"/>
      <c r="Q45" s="661"/>
      <c r="R45" s="661"/>
      <c r="S45" s="661"/>
      <c r="T45" s="661"/>
      <c r="U45" s="661"/>
      <c r="V45" s="661"/>
    </row>
    <row r="46" spans="1:22">
      <c r="A46" s="661"/>
      <c r="B46" s="924">
        <v>44</v>
      </c>
      <c r="C46" s="751" t="s">
        <v>318</v>
      </c>
      <c r="D46" s="751" t="s">
        <v>1276</v>
      </c>
      <c r="E46" s="751">
        <v>81.3</v>
      </c>
      <c r="F46" s="751" t="s">
        <v>445</v>
      </c>
      <c r="G46" s="751" t="s">
        <v>1237</v>
      </c>
      <c r="H46" s="925">
        <v>45505</v>
      </c>
      <c r="I46" s="925">
        <v>45569</v>
      </c>
      <c r="J46" s="751" t="s">
        <v>1238</v>
      </c>
      <c r="K46" s="751">
        <v>25</v>
      </c>
      <c r="L46" s="925">
        <v>45505</v>
      </c>
      <c r="M46" s="751">
        <v>82.8</v>
      </c>
      <c r="N46" s="925">
        <v>45505</v>
      </c>
      <c r="O46" s="661"/>
      <c r="P46" s="661"/>
      <c r="Q46" s="661"/>
      <c r="R46" s="661"/>
      <c r="S46" s="661"/>
      <c r="T46" s="661"/>
      <c r="U46" s="661"/>
      <c r="V46" s="661"/>
    </row>
    <row r="47" spans="1:22">
      <c r="A47" s="661"/>
      <c r="B47" s="924">
        <v>45</v>
      </c>
      <c r="C47" s="751" t="s">
        <v>318</v>
      </c>
      <c r="D47" s="751" t="s">
        <v>1277</v>
      </c>
      <c r="E47" s="751">
        <v>80.8</v>
      </c>
      <c r="F47" s="751" t="s">
        <v>445</v>
      </c>
      <c r="G47" s="751" t="s">
        <v>1237</v>
      </c>
      <c r="H47" s="925">
        <v>45505</v>
      </c>
      <c r="I47" s="925">
        <v>45569</v>
      </c>
      <c r="J47" s="751" t="s">
        <v>1238</v>
      </c>
      <c r="K47" s="751">
        <v>25</v>
      </c>
      <c r="L47" s="925">
        <v>45505</v>
      </c>
      <c r="M47" s="751">
        <v>82.3</v>
      </c>
      <c r="N47" s="925">
        <v>45505</v>
      </c>
      <c r="O47" s="661"/>
      <c r="P47" s="661"/>
      <c r="Q47" s="661"/>
      <c r="R47" s="661"/>
      <c r="S47" s="661"/>
      <c r="T47" s="661"/>
      <c r="U47" s="661"/>
      <c r="V47" s="661"/>
    </row>
    <row r="48" spans="1:22">
      <c r="A48" s="661"/>
      <c r="B48" s="924">
        <v>46</v>
      </c>
      <c r="C48" s="751" t="s">
        <v>318</v>
      </c>
      <c r="D48" s="751" t="s">
        <v>1278</v>
      </c>
      <c r="E48" s="751">
        <v>83.3</v>
      </c>
      <c r="F48" s="751" t="s">
        <v>445</v>
      </c>
      <c r="G48" s="751" t="s">
        <v>1237</v>
      </c>
      <c r="H48" s="925">
        <v>45505</v>
      </c>
      <c r="I48" s="925">
        <v>45569</v>
      </c>
      <c r="J48" s="751" t="s">
        <v>1238</v>
      </c>
      <c r="K48" s="751">
        <v>25</v>
      </c>
      <c r="L48" s="925">
        <v>45505</v>
      </c>
      <c r="M48" s="751">
        <v>84.8</v>
      </c>
      <c r="N48" s="925">
        <v>45505</v>
      </c>
      <c r="O48" s="661"/>
      <c r="P48" s="661"/>
      <c r="Q48" s="661"/>
      <c r="R48" s="661"/>
      <c r="S48" s="661"/>
      <c r="T48" s="661"/>
      <c r="U48" s="661"/>
      <c r="V48" s="661"/>
    </row>
    <row r="49" spans="1:22">
      <c r="A49" s="661"/>
      <c r="B49" s="924">
        <v>47</v>
      </c>
      <c r="C49" s="751" t="s">
        <v>318</v>
      </c>
      <c r="D49" s="751" t="s">
        <v>1279</v>
      </c>
      <c r="E49" s="751">
        <v>82.3</v>
      </c>
      <c r="F49" s="751" t="s">
        <v>445</v>
      </c>
      <c r="G49" s="751" t="s">
        <v>1237</v>
      </c>
      <c r="H49" s="925">
        <v>45505</v>
      </c>
      <c r="I49" s="925">
        <v>45569</v>
      </c>
      <c r="J49" s="751" t="s">
        <v>1238</v>
      </c>
      <c r="K49" s="751">
        <v>25</v>
      </c>
      <c r="L49" s="925">
        <v>45505</v>
      </c>
      <c r="M49" s="751">
        <v>83.8</v>
      </c>
      <c r="N49" s="925">
        <v>45505</v>
      </c>
      <c r="O49" s="661"/>
      <c r="P49" s="661"/>
      <c r="Q49" s="661"/>
      <c r="R49" s="661"/>
      <c r="S49" s="661"/>
      <c r="T49" s="661"/>
      <c r="U49" s="661"/>
      <c r="V49" s="661"/>
    </row>
    <row r="50" spans="1:22">
      <c r="A50" s="661"/>
      <c r="B50" s="924">
        <v>48</v>
      </c>
      <c r="C50" s="751" t="s">
        <v>318</v>
      </c>
      <c r="D50" s="751" t="s">
        <v>1280</v>
      </c>
      <c r="E50" s="751">
        <v>80.8</v>
      </c>
      <c r="F50" s="751" t="s">
        <v>445</v>
      </c>
      <c r="G50" s="751" t="s">
        <v>1237</v>
      </c>
      <c r="H50" s="925">
        <v>45505</v>
      </c>
      <c r="I50" s="925">
        <v>45569</v>
      </c>
      <c r="J50" s="751" t="s">
        <v>1238</v>
      </c>
      <c r="K50" s="751">
        <v>25</v>
      </c>
      <c r="L50" s="925">
        <v>45505</v>
      </c>
      <c r="M50" s="751">
        <v>82.3</v>
      </c>
      <c r="N50" s="925">
        <v>45505</v>
      </c>
      <c r="O50" s="661"/>
      <c r="P50" s="661"/>
      <c r="Q50" s="661"/>
      <c r="R50" s="661"/>
      <c r="S50" s="661"/>
      <c r="T50" s="661"/>
      <c r="U50" s="661"/>
      <c r="V50" s="661"/>
    </row>
    <row r="51" spans="1:22">
      <c r="A51" s="661"/>
      <c r="B51" s="924">
        <v>49</v>
      </c>
      <c r="C51" s="751" t="s">
        <v>318</v>
      </c>
      <c r="D51" s="751" t="s">
        <v>1281</v>
      </c>
      <c r="E51" s="751">
        <v>84.3</v>
      </c>
      <c r="F51" s="751" t="s">
        <v>445</v>
      </c>
      <c r="G51" s="751" t="s">
        <v>1237</v>
      </c>
      <c r="H51" s="925">
        <v>45505</v>
      </c>
      <c r="I51" s="925">
        <v>45569</v>
      </c>
      <c r="J51" s="751" t="s">
        <v>1238</v>
      </c>
      <c r="K51" s="751">
        <v>25</v>
      </c>
      <c r="L51" s="925">
        <v>45505</v>
      </c>
      <c r="M51" s="751">
        <v>85.8</v>
      </c>
      <c r="N51" s="925">
        <v>45505</v>
      </c>
      <c r="O51" s="661"/>
      <c r="P51" s="661"/>
      <c r="Q51" s="661"/>
      <c r="R51" s="661"/>
      <c r="S51" s="661"/>
      <c r="T51" s="661"/>
      <c r="U51" s="661"/>
      <c r="V51" s="661"/>
    </row>
    <row r="52" spans="1:22">
      <c r="A52" s="661"/>
      <c r="B52" s="924">
        <v>50</v>
      </c>
      <c r="C52" s="751" t="s">
        <v>318</v>
      </c>
      <c r="D52" s="751" t="s">
        <v>1282</v>
      </c>
      <c r="E52" s="751">
        <v>85.8</v>
      </c>
      <c r="F52" s="751" t="s">
        <v>445</v>
      </c>
      <c r="G52" s="751" t="s">
        <v>1237</v>
      </c>
      <c r="H52" s="925">
        <v>45505</v>
      </c>
      <c r="I52" s="925">
        <v>45569</v>
      </c>
      <c r="J52" s="751" t="s">
        <v>1238</v>
      </c>
      <c r="K52" s="751">
        <v>25</v>
      </c>
      <c r="L52" s="925">
        <v>45505</v>
      </c>
      <c r="M52" s="751">
        <v>87.3</v>
      </c>
      <c r="N52" s="925">
        <v>45505</v>
      </c>
      <c r="O52" s="661"/>
      <c r="P52" s="661"/>
      <c r="Q52" s="661"/>
      <c r="R52" s="661"/>
      <c r="S52" s="661"/>
      <c r="T52" s="661"/>
      <c r="U52" s="661"/>
      <c r="V52" s="661"/>
    </row>
    <row r="53" spans="1:22">
      <c r="A53" s="661"/>
      <c r="B53" s="924">
        <v>51</v>
      </c>
      <c r="C53" s="751" t="s">
        <v>318</v>
      </c>
      <c r="D53" s="751" t="s">
        <v>1283</v>
      </c>
      <c r="E53" s="751">
        <v>85.3</v>
      </c>
      <c r="F53" s="751" t="s">
        <v>445</v>
      </c>
      <c r="G53" s="751" t="s">
        <v>1237</v>
      </c>
      <c r="H53" s="925">
        <v>45505</v>
      </c>
      <c r="I53" s="925">
        <v>45569</v>
      </c>
      <c r="J53" s="751" t="s">
        <v>1238</v>
      </c>
      <c r="K53" s="751">
        <v>25</v>
      </c>
      <c r="L53" s="925">
        <v>45505</v>
      </c>
      <c r="M53" s="751">
        <v>86.8</v>
      </c>
      <c r="N53" s="925">
        <v>45505</v>
      </c>
      <c r="O53" s="661"/>
      <c r="P53" s="661"/>
      <c r="Q53" s="661"/>
      <c r="R53" s="661"/>
      <c r="S53" s="661"/>
      <c r="T53" s="661"/>
      <c r="U53" s="661"/>
      <c r="V53" s="661"/>
    </row>
    <row r="54" spans="1:22">
      <c r="A54" s="661"/>
      <c r="B54" s="924">
        <v>52</v>
      </c>
      <c r="C54" s="751" t="s">
        <v>318</v>
      </c>
      <c r="D54" s="751" t="s">
        <v>1284</v>
      </c>
      <c r="E54" s="751">
        <v>84.8</v>
      </c>
      <c r="F54" s="751" t="s">
        <v>445</v>
      </c>
      <c r="G54" s="751" t="s">
        <v>1237</v>
      </c>
      <c r="H54" s="925">
        <v>45505</v>
      </c>
      <c r="I54" s="925">
        <v>45569</v>
      </c>
      <c r="J54" s="751" t="s">
        <v>1238</v>
      </c>
      <c r="K54" s="751">
        <v>25</v>
      </c>
      <c r="L54" s="925">
        <v>45505</v>
      </c>
      <c r="M54" s="751">
        <v>86.3</v>
      </c>
      <c r="N54" s="925">
        <v>45505</v>
      </c>
      <c r="O54" s="661"/>
      <c r="P54" s="661"/>
      <c r="Q54" s="661"/>
      <c r="R54" s="661"/>
      <c r="S54" s="661"/>
      <c r="T54" s="661"/>
      <c r="U54" s="661"/>
      <c r="V54" s="661"/>
    </row>
    <row r="55" spans="1:22">
      <c r="A55" s="661"/>
      <c r="B55" s="924">
        <v>53</v>
      </c>
      <c r="C55" s="751" t="s">
        <v>318</v>
      </c>
      <c r="D55" s="751" t="s">
        <v>1285</v>
      </c>
      <c r="E55" s="751">
        <v>86.3</v>
      </c>
      <c r="F55" s="751" t="s">
        <v>445</v>
      </c>
      <c r="G55" s="751" t="s">
        <v>1237</v>
      </c>
      <c r="H55" s="925">
        <v>45505</v>
      </c>
      <c r="I55" s="925">
        <v>45569</v>
      </c>
      <c r="J55" s="751" t="s">
        <v>1238</v>
      </c>
      <c r="K55" s="751">
        <v>25</v>
      </c>
      <c r="L55" s="925">
        <v>45505</v>
      </c>
      <c r="M55" s="751">
        <v>87.8</v>
      </c>
      <c r="N55" s="925">
        <v>45505</v>
      </c>
      <c r="O55" s="661"/>
      <c r="P55" s="661"/>
      <c r="Q55" s="661"/>
      <c r="R55" s="661"/>
      <c r="S55" s="661"/>
      <c r="T55" s="661"/>
      <c r="U55" s="661"/>
      <c r="V55" s="661"/>
    </row>
    <row r="56" spans="1:22">
      <c r="A56" s="661"/>
      <c r="B56" s="924">
        <v>54</v>
      </c>
      <c r="C56" s="751" t="s">
        <v>318</v>
      </c>
      <c r="D56" s="751" t="s">
        <v>1286</v>
      </c>
      <c r="E56" s="751">
        <v>85.8</v>
      </c>
      <c r="F56" s="751" t="s">
        <v>445</v>
      </c>
      <c r="G56" s="751" t="s">
        <v>1237</v>
      </c>
      <c r="H56" s="925">
        <v>45505</v>
      </c>
      <c r="I56" s="925">
        <v>45569</v>
      </c>
      <c r="J56" s="751" t="s">
        <v>1238</v>
      </c>
      <c r="K56" s="751">
        <v>25</v>
      </c>
      <c r="L56" s="925">
        <v>45505</v>
      </c>
      <c r="M56" s="751">
        <v>87.3</v>
      </c>
      <c r="N56" s="925">
        <v>45505</v>
      </c>
      <c r="O56" s="661"/>
      <c r="P56" s="661"/>
      <c r="Q56" s="661"/>
      <c r="R56" s="661"/>
      <c r="S56" s="661"/>
      <c r="T56" s="661"/>
      <c r="U56" s="661"/>
      <c r="V56" s="661"/>
    </row>
    <row r="57" spans="1:22">
      <c r="A57" s="661"/>
      <c r="B57" s="924">
        <v>55</v>
      </c>
      <c r="C57" s="751" t="s">
        <v>318</v>
      </c>
      <c r="D57" s="751" t="s">
        <v>1287</v>
      </c>
      <c r="E57" s="751">
        <v>85.3</v>
      </c>
      <c r="F57" s="751" t="s">
        <v>445</v>
      </c>
      <c r="G57" s="751" t="s">
        <v>1237</v>
      </c>
      <c r="H57" s="925">
        <v>45505</v>
      </c>
      <c r="I57" s="925">
        <v>45569</v>
      </c>
      <c r="J57" s="751" t="s">
        <v>1238</v>
      </c>
      <c r="K57" s="751">
        <v>25</v>
      </c>
      <c r="L57" s="925">
        <v>45505</v>
      </c>
      <c r="M57" s="751">
        <v>86.8</v>
      </c>
      <c r="N57" s="925">
        <v>45505</v>
      </c>
      <c r="O57" s="661"/>
      <c r="P57" s="661"/>
      <c r="Q57" s="661"/>
      <c r="R57" s="661"/>
      <c r="S57" s="661"/>
      <c r="T57" s="661"/>
      <c r="U57" s="661"/>
      <c r="V57" s="661"/>
    </row>
    <row r="58" spans="1:22">
      <c r="A58" s="661"/>
      <c r="B58" s="924">
        <v>56</v>
      </c>
      <c r="C58" s="751" t="s">
        <v>318</v>
      </c>
      <c r="D58" s="751" t="s">
        <v>1288</v>
      </c>
      <c r="E58" s="751">
        <v>84.8</v>
      </c>
      <c r="F58" s="751" t="s">
        <v>445</v>
      </c>
      <c r="G58" s="751" t="s">
        <v>1237</v>
      </c>
      <c r="H58" s="925">
        <v>45505</v>
      </c>
      <c r="I58" s="925">
        <v>45569</v>
      </c>
      <c r="J58" s="751" t="s">
        <v>1238</v>
      </c>
      <c r="K58" s="751">
        <v>25</v>
      </c>
      <c r="L58" s="925">
        <v>45505</v>
      </c>
      <c r="M58" s="751">
        <v>86.3</v>
      </c>
      <c r="N58" s="925">
        <v>45505</v>
      </c>
      <c r="O58" s="661"/>
      <c r="P58" s="661"/>
      <c r="Q58" s="661"/>
      <c r="R58" s="661"/>
      <c r="S58" s="661"/>
      <c r="T58" s="661"/>
      <c r="U58" s="661"/>
      <c r="V58" s="661"/>
    </row>
    <row r="59" spans="1:22">
      <c r="A59" s="661"/>
      <c r="B59" s="924">
        <v>57</v>
      </c>
      <c r="C59" s="751" t="s">
        <v>318</v>
      </c>
      <c r="D59" s="751" t="s">
        <v>1289</v>
      </c>
      <c r="E59" s="751">
        <v>86.3</v>
      </c>
      <c r="F59" s="751" t="s">
        <v>445</v>
      </c>
      <c r="G59" s="751" t="s">
        <v>1237</v>
      </c>
      <c r="H59" s="925">
        <v>45505</v>
      </c>
      <c r="I59" s="925">
        <v>45569</v>
      </c>
      <c r="J59" s="751" t="s">
        <v>1238</v>
      </c>
      <c r="K59" s="751">
        <v>25</v>
      </c>
      <c r="L59" s="925">
        <v>45505</v>
      </c>
      <c r="M59" s="751">
        <v>87.8</v>
      </c>
      <c r="N59" s="925">
        <v>45505</v>
      </c>
      <c r="O59" s="661"/>
      <c r="P59" s="661"/>
      <c r="Q59" s="661"/>
      <c r="R59" s="661"/>
      <c r="S59" s="661"/>
      <c r="T59" s="661"/>
      <c r="U59" s="661"/>
      <c r="V59" s="661"/>
    </row>
    <row r="60" spans="1:22">
      <c r="A60" s="661"/>
      <c r="B60" s="924">
        <v>58</v>
      </c>
      <c r="C60" s="751" t="s">
        <v>318</v>
      </c>
      <c r="D60" s="751" t="s">
        <v>1290</v>
      </c>
      <c r="E60" s="751">
        <v>85.8</v>
      </c>
      <c r="F60" s="751" t="s">
        <v>445</v>
      </c>
      <c r="G60" s="751" t="s">
        <v>1237</v>
      </c>
      <c r="H60" s="925">
        <v>45505</v>
      </c>
      <c r="I60" s="925">
        <v>45569</v>
      </c>
      <c r="J60" s="751" t="s">
        <v>1238</v>
      </c>
      <c r="K60" s="751">
        <v>25</v>
      </c>
      <c r="L60" s="925">
        <v>45505</v>
      </c>
      <c r="M60" s="751">
        <v>87.3</v>
      </c>
      <c r="N60" s="925">
        <v>45505</v>
      </c>
      <c r="O60" s="661"/>
      <c r="P60" s="661"/>
      <c r="Q60" s="661"/>
      <c r="R60" s="661"/>
      <c r="S60" s="661"/>
      <c r="T60" s="661"/>
      <c r="U60" s="661"/>
      <c r="V60" s="661"/>
    </row>
    <row r="61" spans="1:22">
      <c r="A61" s="661"/>
      <c r="B61" s="924">
        <v>59</v>
      </c>
      <c r="C61" s="751" t="s">
        <v>318</v>
      </c>
      <c r="D61" s="751" t="s">
        <v>1291</v>
      </c>
      <c r="E61" s="751">
        <v>85.3</v>
      </c>
      <c r="F61" s="751" t="s">
        <v>445</v>
      </c>
      <c r="G61" s="751" t="s">
        <v>1237</v>
      </c>
      <c r="H61" s="925">
        <v>45505</v>
      </c>
      <c r="I61" s="925">
        <v>45569</v>
      </c>
      <c r="J61" s="751" t="s">
        <v>1238</v>
      </c>
      <c r="K61" s="751">
        <v>25</v>
      </c>
      <c r="L61" s="925">
        <v>45505</v>
      </c>
      <c r="M61" s="751">
        <v>86.8</v>
      </c>
      <c r="N61" s="925">
        <v>45505</v>
      </c>
      <c r="O61" s="661"/>
      <c r="P61" s="661"/>
      <c r="Q61" s="661"/>
      <c r="R61" s="661"/>
      <c r="S61" s="661"/>
      <c r="T61" s="661"/>
      <c r="U61" s="661"/>
      <c r="V61" s="661"/>
    </row>
    <row r="62" spans="1:22">
      <c r="A62" s="661"/>
      <c r="B62" s="924">
        <v>60</v>
      </c>
      <c r="C62" s="751" t="s">
        <v>318</v>
      </c>
      <c r="D62" s="751" t="s">
        <v>1292</v>
      </c>
      <c r="E62" s="751">
        <v>84.8</v>
      </c>
      <c r="F62" s="751" t="s">
        <v>445</v>
      </c>
      <c r="G62" s="751" t="s">
        <v>1237</v>
      </c>
      <c r="H62" s="925">
        <v>45505</v>
      </c>
      <c r="I62" s="925">
        <v>45569</v>
      </c>
      <c r="J62" s="751" t="s">
        <v>1238</v>
      </c>
      <c r="K62" s="751">
        <v>25</v>
      </c>
      <c r="L62" s="925">
        <v>45505</v>
      </c>
      <c r="M62" s="751">
        <v>86.3</v>
      </c>
      <c r="N62" s="925">
        <v>45505</v>
      </c>
      <c r="O62" s="661"/>
      <c r="P62" s="661"/>
      <c r="Q62" s="661"/>
      <c r="R62" s="661"/>
      <c r="S62" s="661"/>
      <c r="T62" s="661"/>
      <c r="U62" s="661"/>
      <c r="V62" s="661"/>
    </row>
    <row r="63" spans="1:22">
      <c r="A63" s="661"/>
      <c r="B63" s="924">
        <v>61</v>
      </c>
      <c r="C63" s="751" t="s">
        <v>318</v>
      </c>
      <c r="D63" s="751" t="s">
        <v>1293</v>
      </c>
      <c r="E63" s="751">
        <v>86.3</v>
      </c>
      <c r="F63" s="751" t="s">
        <v>445</v>
      </c>
      <c r="G63" s="751" t="s">
        <v>1237</v>
      </c>
      <c r="H63" s="925">
        <v>45505</v>
      </c>
      <c r="I63" s="925">
        <v>45569</v>
      </c>
      <c r="J63" s="751" t="s">
        <v>1238</v>
      </c>
      <c r="K63" s="751">
        <v>25</v>
      </c>
      <c r="L63" s="925">
        <v>45505</v>
      </c>
      <c r="M63" s="751">
        <v>87.8</v>
      </c>
      <c r="N63" s="925">
        <v>45505</v>
      </c>
      <c r="O63" s="661"/>
      <c r="P63" s="661"/>
      <c r="Q63" s="661"/>
      <c r="R63" s="661"/>
      <c r="S63" s="661"/>
      <c r="T63" s="661"/>
      <c r="U63" s="661"/>
      <c r="V63" s="661"/>
    </row>
    <row r="64" spans="1:22">
      <c r="A64" s="661"/>
      <c r="B64" s="924">
        <v>62</v>
      </c>
      <c r="C64" s="751" t="s">
        <v>318</v>
      </c>
      <c r="D64" s="751" t="s">
        <v>1294</v>
      </c>
      <c r="E64" s="751">
        <v>88.8</v>
      </c>
      <c r="F64" s="751" t="s">
        <v>445</v>
      </c>
      <c r="G64" s="751" t="s">
        <v>1237</v>
      </c>
      <c r="H64" s="925">
        <v>45505</v>
      </c>
      <c r="I64" s="925">
        <v>45569</v>
      </c>
      <c r="J64" s="751" t="s">
        <v>1238</v>
      </c>
      <c r="K64" s="751">
        <v>25</v>
      </c>
      <c r="L64" s="925">
        <v>45505</v>
      </c>
      <c r="M64" s="751">
        <v>90.3</v>
      </c>
      <c r="N64" s="925">
        <v>45505</v>
      </c>
      <c r="O64" s="661"/>
      <c r="P64" s="661"/>
      <c r="Q64" s="661"/>
      <c r="R64" s="661"/>
      <c r="S64" s="661"/>
      <c r="T64" s="661"/>
      <c r="U64" s="661"/>
      <c r="V64" s="661"/>
    </row>
    <row r="65" spans="1:22">
      <c r="A65" s="661"/>
      <c r="B65" s="924">
        <v>63</v>
      </c>
      <c r="C65" s="751" t="s">
        <v>318</v>
      </c>
      <c r="D65" s="751" t="s">
        <v>1295</v>
      </c>
      <c r="E65" s="751">
        <v>88.3</v>
      </c>
      <c r="F65" s="751" t="s">
        <v>445</v>
      </c>
      <c r="G65" s="751" t="s">
        <v>1237</v>
      </c>
      <c r="H65" s="925">
        <v>45505</v>
      </c>
      <c r="I65" s="925">
        <v>45569</v>
      </c>
      <c r="J65" s="751" t="s">
        <v>1238</v>
      </c>
      <c r="K65" s="751">
        <v>25</v>
      </c>
      <c r="L65" s="925">
        <v>45505</v>
      </c>
      <c r="M65" s="751">
        <v>89.8</v>
      </c>
      <c r="N65" s="925">
        <v>45505</v>
      </c>
      <c r="O65" s="661"/>
      <c r="P65" s="661"/>
      <c r="Q65" s="661"/>
      <c r="R65" s="661"/>
      <c r="S65" s="661"/>
      <c r="T65" s="661"/>
      <c r="U65" s="661"/>
      <c r="V65" s="661"/>
    </row>
    <row r="66" spans="1:22">
      <c r="A66" s="661"/>
      <c r="B66" s="924">
        <v>64</v>
      </c>
      <c r="C66" s="751" t="s">
        <v>318</v>
      </c>
      <c r="D66" s="751" t="s">
        <v>1296</v>
      </c>
      <c r="E66" s="751">
        <v>87.8</v>
      </c>
      <c r="F66" s="751" t="s">
        <v>445</v>
      </c>
      <c r="G66" s="751" t="s">
        <v>1237</v>
      </c>
      <c r="H66" s="925">
        <v>45505</v>
      </c>
      <c r="I66" s="925">
        <v>45569</v>
      </c>
      <c r="J66" s="751" t="s">
        <v>1238</v>
      </c>
      <c r="K66" s="751">
        <v>25</v>
      </c>
      <c r="L66" s="925">
        <v>45505</v>
      </c>
      <c r="M66" s="751">
        <v>89.3</v>
      </c>
      <c r="N66" s="925">
        <v>45505</v>
      </c>
      <c r="O66" s="661"/>
      <c r="P66" s="661"/>
      <c r="Q66" s="661"/>
      <c r="R66" s="661"/>
      <c r="S66" s="661"/>
      <c r="T66" s="661"/>
      <c r="U66" s="661"/>
      <c r="V66" s="661"/>
    </row>
    <row r="67" spans="1:22">
      <c r="A67" s="661"/>
      <c r="B67" s="924">
        <v>65</v>
      </c>
      <c r="C67" s="751" t="s">
        <v>318</v>
      </c>
      <c r="D67" s="751" t="s">
        <v>1297</v>
      </c>
      <c r="E67" s="751">
        <v>88.8</v>
      </c>
      <c r="F67" s="751" t="s">
        <v>445</v>
      </c>
      <c r="G67" s="751" t="s">
        <v>1237</v>
      </c>
      <c r="H67" s="925">
        <v>45505</v>
      </c>
      <c r="I67" s="925">
        <v>45569</v>
      </c>
      <c r="J67" s="751" t="s">
        <v>1238</v>
      </c>
      <c r="K67" s="751">
        <v>25</v>
      </c>
      <c r="L67" s="925">
        <v>45505</v>
      </c>
      <c r="M67" s="751">
        <v>90.3</v>
      </c>
      <c r="N67" s="925">
        <v>45505</v>
      </c>
      <c r="O67" s="661"/>
      <c r="P67" s="661"/>
      <c r="Q67" s="661"/>
      <c r="R67" s="661"/>
      <c r="S67" s="661"/>
      <c r="T67" s="661"/>
      <c r="U67" s="661"/>
      <c r="V67" s="661"/>
    </row>
    <row r="68" spans="1:22">
      <c r="A68" s="661"/>
      <c r="B68" s="924">
        <v>66</v>
      </c>
      <c r="C68" s="751" t="s">
        <v>318</v>
      </c>
      <c r="D68" s="751" t="s">
        <v>1298</v>
      </c>
      <c r="E68" s="751">
        <v>88.3</v>
      </c>
      <c r="F68" s="751" t="s">
        <v>445</v>
      </c>
      <c r="G68" s="751" t="s">
        <v>1237</v>
      </c>
      <c r="H68" s="925">
        <v>45505</v>
      </c>
      <c r="I68" s="925">
        <v>45569</v>
      </c>
      <c r="J68" s="751" t="s">
        <v>1238</v>
      </c>
      <c r="K68" s="751">
        <v>25</v>
      </c>
      <c r="L68" s="925">
        <v>45505</v>
      </c>
      <c r="M68" s="751">
        <v>89.8</v>
      </c>
      <c r="N68" s="925">
        <v>45505</v>
      </c>
      <c r="O68" s="661"/>
      <c r="P68" s="661"/>
      <c r="Q68" s="661"/>
      <c r="R68" s="661"/>
      <c r="S68" s="661"/>
      <c r="T68" s="661"/>
      <c r="U68" s="661"/>
      <c r="V68" s="661"/>
    </row>
    <row r="69" spans="1:22">
      <c r="A69" s="661"/>
      <c r="B69" s="924">
        <v>67</v>
      </c>
      <c r="C69" s="751" t="s">
        <v>318</v>
      </c>
      <c r="D69" s="751" t="s">
        <v>1299</v>
      </c>
      <c r="E69" s="751">
        <v>87.8</v>
      </c>
      <c r="F69" s="751" t="s">
        <v>445</v>
      </c>
      <c r="G69" s="751" t="s">
        <v>1237</v>
      </c>
      <c r="H69" s="925">
        <v>45505</v>
      </c>
      <c r="I69" s="925">
        <v>45569</v>
      </c>
      <c r="J69" s="751" t="s">
        <v>1238</v>
      </c>
      <c r="K69" s="751">
        <v>25</v>
      </c>
      <c r="L69" s="925">
        <v>45505</v>
      </c>
      <c r="M69" s="751">
        <v>89.3</v>
      </c>
      <c r="N69" s="925">
        <v>45505</v>
      </c>
      <c r="O69" s="661"/>
      <c r="P69" s="661"/>
      <c r="Q69" s="661"/>
      <c r="R69" s="661"/>
      <c r="S69" s="661"/>
      <c r="T69" s="661"/>
      <c r="U69" s="661"/>
      <c r="V69" s="661"/>
    </row>
    <row r="70" spans="1:22">
      <c r="A70" s="661"/>
      <c r="B70" s="924">
        <v>68</v>
      </c>
      <c r="C70" s="751" t="s">
        <v>318</v>
      </c>
      <c r="D70" s="751" t="s">
        <v>1300</v>
      </c>
      <c r="E70" s="751">
        <v>111.1</v>
      </c>
      <c r="F70" s="751" t="s">
        <v>445</v>
      </c>
      <c r="G70" s="751" t="s">
        <v>1237</v>
      </c>
      <c r="H70" s="925">
        <v>45505</v>
      </c>
      <c r="I70" s="925">
        <v>45569</v>
      </c>
      <c r="J70" s="751" t="s">
        <v>1238</v>
      </c>
      <c r="K70" s="751">
        <v>25</v>
      </c>
      <c r="L70" s="925">
        <v>45505</v>
      </c>
      <c r="M70" s="751">
        <v>109.57</v>
      </c>
      <c r="N70" s="925">
        <v>45505</v>
      </c>
      <c r="O70" s="661"/>
      <c r="P70" s="661"/>
      <c r="Q70" s="661"/>
      <c r="R70" s="661"/>
      <c r="S70" s="661"/>
      <c r="T70" s="661"/>
      <c r="U70" s="661"/>
      <c r="V70" s="661"/>
    </row>
    <row r="71" spans="1:22">
      <c r="A71" s="661"/>
      <c r="B71" s="924">
        <v>69</v>
      </c>
      <c r="C71" s="751" t="s">
        <v>318</v>
      </c>
      <c r="D71" s="751" t="s">
        <v>1301</v>
      </c>
      <c r="E71" s="751">
        <v>108.8</v>
      </c>
      <c r="F71" s="751" t="s">
        <v>445</v>
      </c>
      <c r="G71" s="751" t="s">
        <v>1237</v>
      </c>
      <c r="H71" s="925">
        <v>45505</v>
      </c>
      <c r="I71" s="925">
        <v>45569</v>
      </c>
      <c r="J71" s="751" t="s">
        <v>1238</v>
      </c>
      <c r="K71" s="751">
        <v>25</v>
      </c>
      <c r="L71" s="925">
        <v>45505</v>
      </c>
      <c r="M71" s="751">
        <v>107.27</v>
      </c>
      <c r="N71" s="925">
        <v>45505</v>
      </c>
      <c r="O71" s="661"/>
      <c r="P71" s="661"/>
      <c r="Q71" s="661"/>
      <c r="R71" s="661"/>
      <c r="S71" s="661"/>
      <c r="T71" s="661"/>
      <c r="U71" s="661"/>
      <c r="V71" s="661"/>
    </row>
    <row r="72" spans="1:22">
      <c r="A72" s="661"/>
      <c r="B72" s="924">
        <v>70</v>
      </c>
      <c r="C72" s="751" t="s">
        <v>318</v>
      </c>
      <c r="D72" s="751" t="s">
        <v>1302</v>
      </c>
      <c r="E72" s="751">
        <v>108.3</v>
      </c>
      <c r="F72" s="751" t="s">
        <v>445</v>
      </c>
      <c r="G72" s="751" t="s">
        <v>1237</v>
      </c>
      <c r="H72" s="925">
        <v>45505</v>
      </c>
      <c r="I72" s="925">
        <v>45569</v>
      </c>
      <c r="J72" s="751" t="s">
        <v>1238</v>
      </c>
      <c r="K72" s="751">
        <v>25</v>
      </c>
      <c r="L72" s="925">
        <v>45505</v>
      </c>
      <c r="M72" s="751">
        <v>106.77</v>
      </c>
      <c r="N72" s="925">
        <v>45505</v>
      </c>
      <c r="O72" s="661"/>
      <c r="P72" s="661"/>
      <c r="Q72" s="661"/>
      <c r="R72" s="661"/>
      <c r="S72" s="661"/>
      <c r="T72" s="661"/>
      <c r="U72" s="661"/>
      <c r="V72" s="661"/>
    </row>
    <row r="73" spans="1:22">
      <c r="A73" s="661"/>
      <c r="B73" s="924">
        <v>71</v>
      </c>
      <c r="C73" s="751" t="s">
        <v>318</v>
      </c>
      <c r="D73" s="751" t="s">
        <v>1303</v>
      </c>
      <c r="E73" s="751">
        <v>85.8</v>
      </c>
      <c r="F73" s="751" t="s">
        <v>445</v>
      </c>
      <c r="G73" s="751" t="s">
        <v>1237</v>
      </c>
      <c r="H73" s="925">
        <v>45505</v>
      </c>
      <c r="I73" s="925">
        <v>45569</v>
      </c>
      <c r="J73" s="751" t="s">
        <v>1238</v>
      </c>
      <c r="K73" s="751">
        <v>25</v>
      </c>
      <c r="L73" s="925">
        <v>45505</v>
      </c>
      <c r="M73" s="751">
        <v>87.3</v>
      </c>
      <c r="N73" s="925">
        <v>45505</v>
      </c>
      <c r="O73" s="661"/>
      <c r="P73" s="661"/>
      <c r="Q73" s="661"/>
      <c r="R73" s="661"/>
      <c r="S73" s="661"/>
      <c r="T73" s="661"/>
      <c r="U73" s="661"/>
      <c r="V73" s="661"/>
    </row>
    <row r="74" spans="1:22">
      <c r="A74" s="661"/>
      <c r="B74" s="924">
        <v>72</v>
      </c>
      <c r="C74" s="751" t="s">
        <v>318</v>
      </c>
      <c r="D74" s="751" t="s">
        <v>1304</v>
      </c>
      <c r="E74" s="751">
        <v>101.8</v>
      </c>
      <c r="F74" s="751" t="s">
        <v>445</v>
      </c>
      <c r="G74" s="751" t="s">
        <v>1237</v>
      </c>
      <c r="H74" s="925">
        <v>45505</v>
      </c>
      <c r="I74" s="925">
        <v>45569</v>
      </c>
      <c r="J74" s="751" t="s">
        <v>1238</v>
      </c>
      <c r="K74" s="751">
        <v>25</v>
      </c>
      <c r="L74" s="925">
        <v>45505</v>
      </c>
      <c r="M74" s="751">
        <v>103.3</v>
      </c>
      <c r="N74" s="925">
        <v>45505</v>
      </c>
      <c r="O74" s="661"/>
      <c r="P74" s="661"/>
      <c r="Q74" s="661"/>
      <c r="R74" s="661"/>
      <c r="S74" s="661"/>
      <c r="T74" s="661"/>
      <c r="U74" s="661"/>
      <c r="V74" s="661"/>
    </row>
    <row r="75" spans="1:22">
      <c r="A75" s="661"/>
      <c r="B75" s="924">
        <v>73</v>
      </c>
      <c r="C75" s="751" t="s">
        <v>318</v>
      </c>
      <c r="D75" s="751" t="s">
        <v>1305</v>
      </c>
      <c r="E75" s="751">
        <v>78.599999999999994</v>
      </c>
      <c r="F75" s="751" t="s">
        <v>445</v>
      </c>
      <c r="G75" s="751" t="s">
        <v>1237</v>
      </c>
      <c r="H75" s="925">
        <v>45505</v>
      </c>
      <c r="I75" s="925">
        <v>45569</v>
      </c>
      <c r="J75" s="751" t="s">
        <v>1238</v>
      </c>
      <c r="K75" s="751">
        <v>25</v>
      </c>
      <c r="L75" s="925">
        <v>45505</v>
      </c>
      <c r="M75" s="751">
        <v>80.05</v>
      </c>
      <c r="N75" s="925">
        <v>45505</v>
      </c>
      <c r="O75" s="661"/>
      <c r="P75" s="661"/>
      <c r="Q75" s="661"/>
      <c r="R75" s="661"/>
      <c r="S75" s="661"/>
      <c r="T75" s="661"/>
      <c r="U75" s="661"/>
      <c r="V75" s="661"/>
    </row>
    <row r="76" spans="1:22">
      <c r="A76" s="661"/>
      <c r="B76" s="924">
        <v>74</v>
      </c>
      <c r="C76" s="751" t="s">
        <v>318</v>
      </c>
      <c r="D76" s="751" t="s">
        <v>1306</v>
      </c>
      <c r="E76" s="751">
        <v>77.099999999999994</v>
      </c>
      <c r="F76" s="751" t="s">
        <v>445</v>
      </c>
      <c r="G76" s="751" t="s">
        <v>1237</v>
      </c>
      <c r="H76" s="925">
        <v>45505</v>
      </c>
      <c r="I76" s="925">
        <v>45569</v>
      </c>
      <c r="J76" s="751" t="s">
        <v>1238</v>
      </c>
      <c r="K76" s="751">
        <v>25</v>
      </c>
      <c r="L76" s="925">
        <v>45505</v>
      </c>
      <c r="M76" s="751">
        <v>78.55</v>
      </c>
      <c r="N76" s="925">
        <v>45505</v>
      </c>
      <c r="O76" s="661"/>
      <c r="P76" s="661"/>
      <c r="Q76" s="661"/>
      <c r="R76" s="661"/>
      <c r="S76" s="661"/>
      <c r="T76" s="661"/>
      <c r="U76" s="661"/>
      <c r="V76" s="661"/>
    </row>
    <row r="77" spans="1:22">
      <c r="A77" s="661"/>
      <c r="B77" s="924">
        <v>75</v>
      </c>
      <c r="C77" s="751" t="s">
        <v>318</v>
      </c>
      <c r="D77" s="751" t="s">
        <v>1305</v>
      </c>
      <c r="E77" s="751">
        <v>78.599999999999994</v>
      </c>
      <c r="F77" s="751" t="s">
        <v>445</v>
      </c>
      <c r="G77" s="751" t="s">
        <v>1237</v>
      </c>
      <c r="H77" s="925">
        <v>45505</v>
      </c>
      <c r="I77" s="925">
        <v>45569</v>
      </c>
      <c r="J77" s="751" t="s">
        <v>1238</v>
      </c>
      <c r="K77" s="751">
        <v>25</v>
      </c>
      <c r="L77" s="925">
        <v>45505</v>
      </c>
      <c r="M77" s="751">
        <v>80.05</v>
      </c>
      <c r="N77" s="925">
        <v>45505</v>
      </c>
      <c r="O77" s="661"/>
      <c r="P77" s="661"/>
      <c r="Q77" s="661"/>
      <c r="R77" s="661"/>
      <c r="S77" s="661"/>
      <c r="T77" s="661"/>
      <c r="U77" s="661"/>
      <c r="V77" s="661"/>
    </row>
    <row r="78" spans="1:22">
      <c r="A78" s="661"/>
      <c r="B78" s="924">
        <v>76</v>
      </c>
      <c r="C78" s="751" t="s">
        <v>318</v>
      </c>
      <c r="D78" s="751" t="s">
        <v>1307</v>
      </c>
      <c r="E78" s="751">
        <v>201</v>
      </c>
      <c r="F78" s="751" t="s">
        <v>445</v>
      </c>
      <c r="G78" s="751" t="s">
        <v>1237</v>
      </c>
      <c r="H78" s="925">
        <v>45505</v>
      </c>
      <c r="I78" s="925">
        <v>45569</v>
      </c>
      <c r="J78" s="751" t="s">
        <v>1238</v>
      </c>
      <c r="K78" s="751">
        <v>20</v>
      </c>
      <c r="L78" s="925">
        <v>45505</v>
      </c>
      <c r="M78" s="751">
        <v>208.25</v>
      </c>
      <c r="N78" s="925">
        <v>45505</v>
      </c>
      <c r="O78" s="661"/>
      <c r="P78" s="661"/>
      <c r="Q78" s="661"/>
      <c r="R78" s="661"/>
      <c r="S78" s="661"/>
      <c r="T78" s="661"/>
      <c r="U78" s="661"/>
      <c r="V78" s="661"/>
    </row>
    <row r="79" spans="1:22">
      <c r="A79" s="661"/>
      <c r="B79" s="924">
        <v>77</v>
      </c>
      <c r="C79" s="751" t="s">
        <v>318</v>
      </c>
      <c r="D79" s="751" t="s">
        <v>1308</v>
      </c>
      <c r="E79" s="751">
        <v>262.8</v>
      </c>
      <c r="F79" s="751" t="s">
        <v>445</v>
      </c>
      <c r="G79" s="751" t="s">
        <v>1237</v>
      </c>
      <c r="H79" s="925">
        <v>45139</v>
      </c>
      <c r="I79" s="925">
        <v>45139</v>
      </c>
      <c r="J79" s="751" t="s">
        <v>1238</v>
      </c>
      <c r="K79" s="751">
        <v>20</v>
      </c>
      <c r="L79" s="925">
        <v>45139</v>
      </c>
      <c r="M79" s="751">
        <v>275</v>
      </c>
      <c r="N79" s="925">
        <v>45139</v>
      </c>
      <c r="O79" s="661"/>
      <c r="P79" s="661"/>
      <c r="Q79" s="661"/>
      <c r="R79" s="661"/>
      <c r="S79" s="661"/>
      <c r="T79" s="661"/>
      <c r="U79" s="661"/>
      <c r="V79" s="661"/>
    </row>
    <row r="80" spans="1:22">
      <c r="A80" s="661"/>
      <c r="B80" s="924">
        <v>78</v>
      </c>
      <c r="C80" s="751" t="s">
        <v>318</v>
      </c>
      <c r="D80" s="751" t="s">
        <v>1309</v>
      </c>
      <c r="E80" s="751">
        <v>89.1</v>
      </c>
      <c r="F80" s="751" t="s">
        <v>445</v>
      </c>
      <c r="G80" s="751" t="s">
        <v>1237</v>
      </c>
      <c r="H80" s="925">
        <v>45505</v>
      </c>
      <c r="I80" s="925">
        <v>45569</v>
      </c>
      <c r="J80" s="751" t="s">
        <v>1238</v>
      </c>
      <c r="K80" s="751">
        <v>25</v>
      </c>
      <c r="L80" s="925">
        <v>45505</v>
      </c>
      <c r="M80" s="751">
        <v>90.55</v>
      </c>
      <c r="N80" s="925">
        <v>45505</v>
      </c>
      <c r="O80" s="661"/>
      <c r="P80" s="661"/>
      <c r="Q80" s="661"/>
      <c r="R80" s="661"/>
      <c r="S80" s="661"/>
      <c r="T80" s="661"/>
      <c r="U80" s="661"/>
      <c r="V80" s="661"/>
    </row>
    <row r="81" spans="1:22">
      <c r="A81" s="661"/>
      <c r="B81" s="924">
        <v>79</v>
      </c>
      <c r="C81" s="751" t="s">
        <v>318</v>
      </c>
      <c r="D81" s="751" t="s">
        <v>1310</v>
      </c>
      <c r="E81" s="751">
        <v>85.1</v>
      </c>
      <c r="F81" s="751" t="s">
        <v>445</v>
      </c>
      <c r="G81" s="751" t="s">
        <v>1237</v>
      </c>
      <c r="H81" s="925">
        <v>45505</v>
      </c>
      <c r="I81" s="925">
        <v>45569</v>
      </c>
      <c r="J81" s="751" t="s">
        <v>1238</v>
      </c>
      <c r="K81" s="751">
        <v>25</v>
      </c>
      <c r="L81" s="925">
        <v>45505</v>
      </c>
      <c r="M81" s="751">
        <v>25</v>
      </c>
      <c r="N81" s="925">
        <v>45505</v>
      </c>
      <c r="O81" s="661"/>
      <c r="P81" s="661"/>
      <c r="Q81" s="661"/>
      <c r="R81" s="661"/>
      <c r="S81" s="661"/>
      <c r="T81" s="661"/>
      <c r="U81" s="661"/>
      <c r="V81" s="661"/>
    </row>
    <row r="82" spans="1:22">
      <c r="A82" s="661"/>
      <c r="B82" s="924">
        <v>80</v>
      </c>
      <c r="C82" s="751" t="s">
        <v>318</v>
      </c>
      <c r="D82" s="751" t="s">
        <v>1311</v>
      </c>
      <c r="E82" s="751">
        <v>25</v>
      </c>
      <c r="F82" s="751" t="s">
        <v>445</v>
      </c>
      <c r="G82" s="751" t="s">
        <v>1237</v>
      </c>
      <c r="H82" s="925">
        <v>45505</v>
      </c>
      <c r="I82" s="925">
        <v>45569</v>
      </c>
      <c r="J82" s="751" t="s">
        <v>1238</v>
      </c>
      <c r="K82" s="751">
        <v>25</v>
      </c>
      <c r="L82" s="925">
        <v>45505</v>
      </c>
      <c r="M82" s="751">
        <v>25</v>
      </c>
      <c r="N82" s="925">
        <v>45505</v>
      </c>
      <c r="O82" s="661"/>
      <c r="P82" s="661"/>
      <c r="Q82" s="661"/>
      <c r="R82" s="661"/>
      <c r="S82" s="661"/>
      <c r="T82" s="661"/>
      <c r="U82" s="661"/>
      <c r="V82" s="661"/>
    </row>
    <row r="83" spans="1:22">
      <c r="A83" s="661"/>
      <c r="B83" s="924">
        <v>81</v>
      </c>
      <c r="C83" s="751" t="s">
        <v>1312</v>
      </c>
      <c r="D83" s="751" t="s">
        <v>1313</v>
      </c>
      <c r="E83" s="751">
        <v>124.2</v>
      </c>
      <c r="F83" s="751" t="s">
        <v>445</v>
      </c>
      <c r="G83" s="751" t="s">
        <v>1237</v>
      </c>
      <c r="H83" s="925">
        <v>45505</v>
      </c>
      <c r="I83" s="925">
        <v>45569</v>
      </c>
      <c r="J83" s="751" t="s">
        <v>1238</v>
      </c>
      <c r="K83" s="751">
        <v>25</v>
      </c>
      <c r="L83" s="925">
        <v>45505</v>
      </c>
      <c r="M83" s="751">
        <v>132.63</v>
      </c>
      <c r="N83" s="925">
        <v>45505</v>
      </c>
      <c r="O83" s="661"/>
      <c r="P83" s="661"/>
      <c r="Q83" s="661"/>
      <c r="R83" s="661"/>
      <c r="S83" s="661"/>
      <c r="T83" s="661"/>
      <c r="U83" s="661"/>
      <c r="V83" s="661"/>
    </row>
    <row r="84" spans="1:22">
      <c r="A84" s="661"/>
      <c r="B84" s="924">
        <v>82</v>
      </c>
      <c r="C84" s="751" t="s">
        <v>1312</v>
      </c>
      <c r="D84" s="751" t="s">
        <v>1314</v>
      </c>
      <c r="E84" s="751">
        <v>81.099999999999994</v>
      </c>
      <c r="F84" s="751" t="s">
        <v>445</v>
      </c>
      <c r="G84" s="751" t="s">
        <v>1237</v>
      </c>
      <c r="H84" s="925">
        <v>45505</v>
      </c>
      <c r="I84" s="925">
        <v>45569</v>
      </c>
      <c r="J84" s="751" t="s">
        <v>1238</v>
      </c>
      <c r="K84" s="751">
        <v>25</v>
      </c>
      <c r="L84" s="925">
        <v>45505</v>
      </c>
      <c r="M84" s="751">
        <v>82.95</v>
      </c>
      <c r="N84" s="925">
        <v>45505</v>
      </c>
      <c r="O84" s="661"/>
      <c r="P84" s="661"/>
      <c r="Q84" s="661"/>
      <c r="R84" s="661"/>
      <c r="S84" s="661"/>
      <c r="T84" s="661"/>
      <c r="U84" s="661"/>
      <c r="V84" s="661"/>
    </row>
    <row r="85" spans="1:22">
      <c r="A85" s="661"/>
      <c r="B85" s="924">
        <v>83</v>
      </c>
      <c r="C85" s="751" t="s">
        <v>1312</v>
      </c>
      <c r="D85" s="751" t="s">
        <v>1315</v>
      </c>
      <c r="E85" s="751">
        <v>76.8</v>
      </c>
      <c r="F85" s="751" t="s">
        <v>445</v>
      </c>
      <c r="G85" s="751" t="s">
        <v>1237</v>
      </c>
      <c r="H85" s="925">
        <v>45505</v>
      </c>
      <c r="I85" s="925">
        <v>45569</v>
      </c>
      <c r="J85" s="751" t="s">
        <v>1238</v>
      </c>
      <c r="K85" s="751">
        <v>25</v>
      </c>
      <c r="L85" s="925">
        <v>45505</v>
      </c>
      <c r="M85" s="751">
        <v>76.05</v>
      </c>
      <c r="N85" s="925">
        <v>45505</v>
      </c>
      <c r="O85" s="661"/>
      <c r="P85" s="661"/>
      <c r="Q85" s="661"/>
      <c r="R85" s="661"/>
      <c r="S85" s="661"/>
      <c r="T85" s="661"/>
      <c r="U85" s="661"/>
      <c r="V85" s="661"/>
    </row>
    <row r="86" spans="1:22">
      <c r="A86" s="661"/>
      <c r="B86" s="924">
        <v>84</v>
      </c>
      <c r="C86" s="751" t="s">
        <v>1312</v>
      </c>
      <c r="D86" s="751" t="s">
        <v>1316</v>
      </c>
      <c r="E86" s="751">
        <v>76.8</v>
      </c>
      <c r="F86" s="751" t="s">
        <v>445</v>
      </c>
      <c r="G86" s="751" t="s">
        <v>1237</v>
      </c>
      <c r="H86" s="925">
        <v>45505</v>
      </c>
      <c r="I86" s="925">
        <v>45569</v>
      </c>
      <c r="J86" s="751" t="s">
        <v>1238</v>
      </c>
      <c r="K86" s="751">
        <v>25</v>
      </c>
      <c r="L86" s="925">
        <v>45505</v>
      </c>
      <c r="M86" s="751">
        <v>76.05</v>
      </c>
      <c r="N86" s="925">
        <v>45505</v>
      </c>
      <c r="O86" s="661"/>
      <c r="P86" s="661"/>
      <c r="Q86" s="661"/>
      <c r="R86" s="661"/>
      <c r="S86" s="661"/>
      <c r="T86" s="661"/>
      <c r="U86" s="661"/>
      <c r="V86" s="661"/>
    </row>
    <row r="87" spans="1:22">
      <c r="A87" s="661"/>
      <c r="B87" s="924">
        <v>85</v>
      </c>
      <c r="C87" s="751" t="s">
        <v>1312</v>
      </c>
      <c r="D87" s="751" t="s">
        <v>1317</v>
      </c>
      <c r="E87" s="751">
        <v>79.8</v>
      </c>
      <c r="F87" s="751" t="s">
        <v>445</v>
      </c>
      <c r="G87" s="751" t="s">
        <v>1237</v>
      </c>
      <c r="H87" s="925">
        <v>45505</v>
      </c>
      <c r="I87" s="925">
        <v>45569</v>
      </c>
      <c r="J87" s="751" t="s">
        <v>1238</v>
      </c>
      <c r="K87" s="751">
        <v>25</v>
      </c>
      <c r="L87" s="925">
        <v>45505</v>
      </c>
      <c r="M87" s="751">
        <v>79.05</v>
      </c>
      <c r="N87" s="925">
        <v>45505</v>
      </c>
      <c r="O87" s="661"/>
      <c r="P87" s="661"/>
      <c r="Q87" s="661"/>
      <c r="R87" s="661"/>
      <c r="S87" s="661"/>
      <c r="T87" s="661"/>
      <c r="U87" s="661"/>
      <c r="V87" s="661"/>
    </row>
    <row r="88" spans="1:22">
      <c r="A88" s="661"/>
      <c r="B88" s="924">
        <v>86</v>
      </c>
      <c r="C88" s="751" t="s">
        <v>1312</v>
      </c>
      <c r="D88" s="751" t="s">
        <v>1318</v>
      </c>
      <c r="E88" s="751">
        <v>76.8</v>
      </c>
      <c r="F88" s="751" t="s">
        <v>445</v>
      </c>
      <c r="G88" s="751" t="s">
        <v>1237</v>
      </c>
      <c r="H88" s="925">
        <v>45505</v>
      </c>
      <c r="I88" s="925">
        <v>45569</v>
      </c>
      <c r="J88" s="751" t="s">
        <v>1238</v>
      </c>
      <c r="K88" s="751">
        <v>25</v>
      </c>
      <c r="L88" s="925">
        <v>45505</v>
      </c>
      <c r="M88" s="751">
        <v>76.05</v>
      </c>
      <c r="N88" s="925">
        <v>45505</v>
      </c>
      <c r="O88" s="661"/>
      <c r="P88" s="661"/>
      <c r="Q88" s="661"/>
      <c r="R88" s="661"/>
      <c r="S88" s="661"/>
      <c r="T88" s="661"/>
      <c r="U88" s="661"/>
      <c r="V88" s="661"/>
    </row>
    <row r="89" spans="1:22">
      <c r="A89" s="661"/>
      <c r="B89" s="924">
        <v>87</v>
      </c>
      <c r="C89" s="751" t="s">
        <v>1312</v>
      </c>
      <c r="D89" s="751" t="s">
        <v>1319</v>
      </c>
      <c r="E89" s="751">
        <v>74.3</v>
      </c>
      <c r="F89" s="751" t="s">
        <v>445</v>
      </c>
      <c r="G89" s="751" t="s">
        <v>1237</v>
      </c>
      <c r="H89" s="925">
        <v>45505</v>
      </c>
      <c r="I89" s="925">
        <v>45569</v>
      </c>
      <c r="J89" s="751" t="s">
        <v>1238</v>
      </c>
      <c r="K89" s="751">
        <v>25</v>
      </c>
      <c r="L89" s="925">
        <v>45505</v>
      </c>
      <c r="M89" s="751">
        <v>73.55</v>
      </c>
      <c r="N89" s="925">
        <v>45505</v>
      </c>
      <c r="O89" s="661"/>
      <c r="P89" s="661"/>
      <c r="Q89" s="661"/>
      <c r="R89" s="661"/>
      <c r="S89" s="661"/>
      <c r="T89" s="661"/>
      <c r="U89" s="661"/>
      <c r="V89" s="661"/>
    </row>
    <row r="90" spans="1:22">
      <c r="A90" s="661"/>
      <c r="B90" s="924">
        <v>88</v>
      </c>
      <c r="C90" s="751" t="s">
        <v>1312</v>
      </c>
      <c r="D90" s="751" t="s">
        <v>1320</v>
      </c>
      <c r="E90" s="751">
        <v>89.3</v>
      </c>
      <c r="F90" s="751" t="s">
        <v>445</v>
      </c>
      <c r="G90" s="751" t="s">
        <v>1237</v>
      </c>
      <c r="H90" s="925">
        <v>45505</v>
      </c>
      <c r="I90" s="925">
        <v>45569</v>
      </c>
      <c r="J90" s="751" t="s">
        <v>1238</v>
      </c>
      <c r="K90" s="751">
        <v>25</v>
      </c>
      <c r="L90" s="925">
        <v>45505</v>
      </c>
      <c r="M90" s="751">
        <v>88.52</v>
      </c>
      <c r="N90" s="925">
        <v>45505</v>
      </c>
      <c r="O90" s="661"/>
      <c r="P90" s="661"/>
      <c r="Q90" s="661"/>
      <c r="R90" s="661"/>
      <c r="S90" s="661"/>
      <c r="T90" s="661"/>
      <c r="U90" s="661"/>
      <c r="V90" s="661"/>
    </row>
    <row r="91" spans="1:22">
      <c r="A91" s="661"/>
      <c r="B91" s="924">
        <v>89</v>
      </c>
      <c r="C91" s="751" t="s">
        <v>1312</v>
      </c>
      <c r="D91" s="751" t="s">
        <v>1321</v>
      </c>
      <c r="E91" s="751">
        <v>77.8</v>
      </c>
      <c r="F91" s="751" t="s">
        <v>445</v>
      </c>
      <c r="G91" s="751" t="s">
        <v>1237</v>
      </c>
      <c r="H91" s="925">
        <v>45505</v>
      </c>
      <c r="I91" s="925">
        <v>45569</v>
      </c>
      <c r="J91" s="751" t="s">
        <v>1238</v>
      </c>
      <c r="K91" s="751">
        <v>25</v>
      </c>
      <c r="L91" s="925">
        <v>45505</v>
      </c>
      <c r="M91" s="751">
        <v>77.05</v>
      </c>
      <c r="N91" s="925">
        <v>45505</v>
      </c>
      <c r="O91" s="661"/>
      <c r="P91" s="661"/>
      <c r="Q91" s="661"/>
      <c r="R91" s="661"/>
      <c r="S91" s="661"/>
      <c r="T91" s="661"/>
      <c r="U91" s="661"/>
      <c r="V91" s="661"/>
    </row>
    <row r="92" spans="1:22">
      <c r="A92" s="661"/>
      <c r="B92" s="924">
        <v>90</v>
      </c>
      <c r="C92" s="751" t="s">
        <v>1312</v>
      </c>
      <c r="D92" s="751" t="s">
        <v>1322</v>
      </c>
      <c r="E92" s="751">
        <v>77.8</v>
      </c>
      <c r="F92" s="751" t="s">
        <v>445</v>
      </c>
      <c r="G92" s="751" t="s">
        <v>1237</v>
      </c>
      <c r="H92" s="925">
        <v>45505</v>
      </c>
      <c r="I92" s="925">
        <v>45569</v>
      </c>
      <c r="J92" s="751" t="s">
        <v>1238</v>
      </c>
      <c r="K92" s="751">
        <v>25</v>
      </c>
      <c r="L92" s="925">
        <v>45505</v>
      </c>
      <c r="M92" s="751">
        <v>77.05</v>
      </c>
      <c r="N92" s="925">
        <v>45505</v>
      </c>
      <c r="O92" s="661"/>
      <c r="P92" s="661"/>
      <c r="Q92" s="661"/>
      <c r="R92" s="661"/>
      <c r="S92" s="661"/>
      <c r="T92" s="661"/>
      <c r="U92" s="661"/>
      <c r="V92" s="661"/>
    </row>
    <row r="93" spans="1:22">
      <c r="A93" s="661"/>
      <c r="B93" s="924">
        <v>91</v>
      </c>
      <c r="C93" s="751" t="s">
        <v>1312</v>
      </c>
      <c r="D93" s="751" t="s">
        <v>1323</v>
      </c>
      <c r="E93" s="751">
        <v>80.8</v>
      </c>
      <c r="F93" s="751" t="s">
        <v>445</v>
      </c>
      <c r="G93" s="751" t="s">
        <v>1237</v>
      </c>
      <c r="H93" s="925">
        <v>45505</v>
      </c>
      <c r="I93" s="925">
        <v>45569</v>
      </c>
      <c r="J93" s="751" t="s">
        <v>1238</v>
      </c>
      <c r="K93" s="751">
        <v>25</v>
      </c>
      <c r="L93" s="925">
        <v>45505</v>
      </c>
      <c r="M93" s="751">
        <v>80.05</v>
      </c>
      <c r="N93" s="925">
        <v>45505</v>
      </c>
      <c r="O93" s="661"/>
      <c r="P93" s="661"/>
      <c r="Q93" s="661"/>
      <c r="R93" s="661"/>
      <c r="S93" s="661"/>
      <c r="T93" s="661"/>
      <c r="U93" s="661"/>
      <c r="V93" s="661"/>
    </row>
    <row r="94" spans="1:22">
      <c r="A94" s="661"/>
      <c r="B94" s="924">
        <v>92</v>
      </c>
      <c r="C94" s="751" t="s">
        <v>1312</v>
      </c>
      <c r="D94" s="751" t="s">
        <v>1324</v>
      </c>
      <c r="E94" s="751">
        <v>73.3</v>
      </c>
      <c r="F94" s="751" t="s">
        <v>445</v>
      </c>
      <c r="G94" s="751" t="s">
        <v>1237</v>
      </c>
      <c r="H94" s="925">
        <v>45505</v>
      </c>
      <c r="I94" s="925">
        <v>45569</v>
      </c>
      <c r="J94" s="751"/>
      <c r="K94" s="751">
        <v>25</v>
      </c>
      <c r="L94" s="925">
        <v>45505</v>
      </c>
      <c r="M94" s="751">
        <v>72.55</v>
      </c>
      <c r="N94" s="925">
        <v>45505</v>
      </c>
      <c r="O94" s="661"/>
      <c r="P94" s="661"/>
      <c r="Q94" s="661"/>
      <c r="R94" s="661"/>
      <c r="S94" s="661"/>
      <c r="T94" s="661"/>
      <c r="U94" s="661"/>
      <c r="V94" s="661"/>
    </row>
    <row r="95" spans="1:22">
      <c r="A95" s="661"/>
      <c r="B95" s="924">
        <v>93</v>
      </c>
      <c r="C95" s="751" t="s">
        <v>1312</v>
      </c>
      <c r="D95" s="751" t="s">
        <v>1325</v>
      </c>
      <c r="E95" s="751">
        <v>73.8</v>
      </c>
      <c r="F95" s="751" t="s">
        <v>445</v>
      </c>
      <c r="G95" s="751" t="s">
        <v>1237</v>
      </c>
      <c r="H95" s="925">
        <v>45505</v>
      </c>
      <c r="I95" s="925">
        <v>45569</v>
      </c>
      <c r="J95" s="751" t="s">
        <v>1238</v>
      </c>
      <c r="K95" s="751">
        <v>25</v>
      </c>
      <c r="L95" s="925">
        <v>45505</v>
      </c>
      <c r="M95" s="751">
        <v>73.05</v>
      </c>
      <c r="N95" s="925">
        <v>45505</v>
      </c>
      <c r="O95" s="661"/>
      <c r="P95" s="661"/>
      <c r="Q95" s="661"/>
      <c r="R95" s="661"/>
      <c r="S95" s="661"/>
      <c r="T95" s="661"/>
      <c r="U95" s="661"/>
      <c r="V95" s="661"/>
    </row>
    <row r="96" spans="1:22">
      <c r="A96" s="661"/>
      <c r="B96" s="924">
        <v>94</v>
      </c>
      <c r="C96" s="751" t="s">
        <v>1312</v>
      </c>
      <c r="D96" s="751" t="s">
        <v>1326</v>
      </c>
      <c r="E96" s="751">
        <v>73.8</v>
      </c>
      <c r="F96" s="751" t="s">
        <v>445</v>
      </c>
      <c r="G96" s="751" t="s">
        <v>1237</v>
      </c>
      <c r="H96" s="925">
        <v>45505</v>
      </c>
      <c r="I96" s="925">
        <v>45569</v>
      </c>
      <c r="J96" s="751" t="s">
        <v>1238</v>
      </c>
      <c r="K96" s="751">
        <v>25</v>
      </c>
      <c r="L96" s="925">
        <v>45505</v>
      </c>
      <c r="M96" s="751">
        <v>73.05</v>
      </c>
      <c r="N96" s="925">
        <v>45505</v>
      </c>
      <c r="O96" s="661"/>
      <c r="P96" s="661"/>
      <c r="Q96" s="661"/>
      <c r="R96" s="661"/>
      <c r="S96" s="661"/>
      <c r="T96" s="661"/>
      <c r="U96" s="661"/>
      <c r="V96" s="661"/>
    </row>
    <row r="97" spans="1:22">
      <c r="A97" s="661"/>
      <c r="B97" s="924">
        <v>95</v>
      </c>
      <c r="C97" s="751" t="s">
        <v>1312</v>
      </c>
      <c r="D97" s="751" t="s">
        <v>1325</v>
      </c>
      <c r="E97" s="751">
        <v>73.8</v>
      </c>
      <c r="F97" s="751" t="s">
        <v>445</v>
      </c>
      <c r="G97" s="751" t="s">
        <v>1237</v>
      </c>
      <c r="H97" s="925">
        <v>45505</v>
      </c>
      <c r="I97" s="925">
        <v>45569</v>
      </c>
      <c r="J97" s="751" t="s">
        <v>1238</v>
      </c>
      <c r="K97" s="751">
        <v>25</v>
      </c>
      <c r="L97" s="925">
        <v>45505</v>
      </c>
      <c r="M97" s="751">
        <v>73.05</v>
      </c>
      <c r="N97" s="925">
        <v>45505</v>
      </c>
      <c r="O97" s="661"/>
      <c r="P97" s="661"/>
      <c r="Q97" s="661"/>
      <c r="R97" s="661"/>
      <c r="S97" s="661"/>
      <c r="T97" s="661"/>
      <c r="U97" s="661"/>
      <c r="V97" s="661"/>
    </row>
    <row r="98" spans="1:22">
      <c r="A98" s="661"/>
      <c r="B98" s="924">
        <v>96</v>
      </c>
      <c r="C98" s="751" t="s">
        <v>1312</v>
      </c>
      <c r="D98" s="751" t="s">
        <v>1327</v>
      </c>
      <c r="E98" s="751">
        <v>81.8</v>
      </c>
      <c r="F98" s="751" t="s">
        <v>445</v>
      </c>
      <c r="G98" s="751" t="s">
        <v>1237</v>
      </c>
      <c r="H98" s="925">
        <v>45505</v>
      </c>
      <c r="I98" s="925">
        <v>45569</v>
      </c>
      <c r="J98" s="751" t="s">
        <v>1238</v>
      </c>
      <c r="K98" s="751">
        <v>25</v>
      </c>
      <c r="L98" s="925">
        <v>45505</v>
      </c>
      <c r="M98" s="751">
        <v>81.05</v>
      </c>
      <c r="N98" s="925">
        <v>45505</v>
      </c>
      <c r="O98" s="661"/>
      <c r="P98" s="661"/>
      <c r="Q98" s="661"/>
      <c r="R98" s="661"/>
      <c r="S98" s="661"/>
      <c r="T98" s="661"/>
      <c r="U98" s="661"/>
      <c r="V98" s="661"/>
    </row>
    <row r="99" spans="1:22">
      <c r="A99" s="661"/>
      <c r="B99" s="924">
        <v>97</v>
      </c>
      <c r="C99" s="751" t="s">
        <v>1312</v>
      </c>
      <c r="D99" s="751" t="s">
        <v>1328</v>
      </c>
      <c r="E99" s="751">
        <v>81.8</v>
      </c>
      <c r="F99" s="751" t="s">
        <v>445</v>
      </c>
      <c r="G99" s="751" t="s">
        <v>1237</v>
      </c>
      <c r="H99" s="925">
        <v>45505</v>
      </c>
      <c r="I99" s="925">
        <v>45569</v>
      </c>
      <c r="J99" s="751" t="s">
        <v>1238</v>
      </c>
      <c r="K99" s="751">
        <v>25</v>
      </c>
      <c r="L99" s="925">
        <v>45505</v>
      </c>
      <c r="M99" s="751">
        <v>81.05</v>
      </c>
      <c r="N99" s="925">
        <v>45505</v>
      </c>
      <c r="O99" s="661"/>
      <c r="P99" s="661"/>
      <c r="Q99" s="661"/>
      <c r="R99" s="661"/>
      <c r="S99" s="661"/>
      <c r="T99" s="661"/>
      <c r="U99" s="661"/>
      <c r="V99" s="661"/>
    </row>
    <row r="100" spans="1:22">
      <c r="A100" s="661"/>
      <c r="B100" s="924">
        <v>98</v>
      </c>
      <c r="C100" s="751" t="s">
        <v>1312</v>
      </c>
      <c r="D100" s="751" t="s">
        <v>1329</v>
      </c>
      <c r="E100" s="751">
        <v>100.8</v>
      </c>
      <c r="F100" s="751" t="s">
        <v>445</v>
      </c>
      <c r="G100" s="751" t="s">
        <v>1237</v>
      </c>
      <c r="H100" s="925">
        <v>45505</v>
      </c>
      <c r="I100" s="925">
        <v>45569</v>
      </c>
      <c r="J100" s="751" t="s">
        <v>1238</v>
      </c>
      <c r="K100" s="751">
        <v>25</v>
      </c>
      <c r="L100" s="925">
        <v>45505</v>
      </c>
      <c r="M100" s="751">
        <v>100.05</v>
      </c>
      <c r="N100" s="925">
        <v>45505</v>
      </c>
      <c r="O100" s="661"/>
      <c r="P100" s="661"/>
      <c r="Q100" s="661"/>
      <c r="R100" s="661"/>
      <c r="S100" s="661"/>
      <c r="T100" s="661"/>
      <c r="U100" s="661"/>
      <c r="V100" s="661"/>
    </row>
    <row r="101" spans="1:22">
      <c r="A101" s="661"/>
      <c r="B101" s="924">
        <v>99</v>
      </c>
      <c r="C101" s="751" t="s">
        <v>1312</v>
      </c>
      <c r="D101" s="751" t="s">
        <v>1330</v>
      </c>
      <c r="E101" s="751">
        <v>100.8</v>
      </c>
      <c r="F101" s="751" t="s">
        <v>445</v>
      </c>
      <c r="G101" s="751" t="s">
        <v>1237</v>
      </c>
      <c r="H101" s="925">
        <v>45505</v>
      </c>
      <c r="I101" s="925">
        <v>45569</v>
      </c>
      <c r="J101" s="751" t="s">
        <v>1238</v>
      </c>
      <c r="K101" s="751">
        <v>25</v>
      </c>
      <c r="L101" s="925">
        <v>45505</v>
      </c>
      <c r="M101" s="751">
        <v>100.05</v>
      </c>
      <c r="N101" s="925">
        <v>45505</v>
      </c>
      <c r="O101" s="661"/>
      <c r="P101" s="661"/>
      <c r="Q101" s="661"/>
      <c r="R101" s="661"/>
      <c r="S101" s="661"/>
      <c r="T101" s="661"/>
      <c r="U101" s="661"/>
      <c r="V101" s="661"/>
    </row>
    <row r="102" spans="1:22">
      <c r="A102" s="661"/>
      <c r="B102" s="924">
        <v>100</v>
      </c>
      <c r="C102" s="751" t="s">
        <v>1312</v>
      </c>
      <c r="D102" s="751" t="s">
        <v>1329</v>
      </c>
      <c r="E102" s="751">
        <v>100.8</v>
      </c>
      <c r="F102" s="751" t="s">
        <v>445</v>
      </c>
      <c r="G102" s="751" t="s">
        <v>1237</v>
      </c>
      <c r="H102" s="925">
        <v>45505</v>
      </c>
      <c r="I102" s="925">
        <v>45569</v>
      </c>
      <c r="J102" s="751" t="s">
        <v>1238</v>
      </c>
      <c r="K102" s="751">
        <v>25</v>
      </c>
      <c r="L102" s="925">
        <v>45505</v>
      </c>
      <c r="M102" s="751">
        <v>100.05</v>
      </c>
      <c r="N102" s="925">
        <v>45505</v>
      </c>
      <c r="O102" s="661"/>
      <c r="P102" s="661"/>
      <c r="Q102" s="661"/>
      <c r="R102" s="661"/>
      <c r="S102" s="661"/>
      <c r="T102" s="661"/>
      <c r="U102" s="661"/>
      <c r="V102" s="661"/>
    </row>
    <row r="103" spans="1:22">
      <c r="A103" s="661"/>
      <c r="B103" s="924">
        <v>101</v>
      </c>
      <c r="C103" s="751" t="s">
        <v>1312</v>
      </c>
      <c r="D103" s="751" t="s">
        <v>1330</v>
      </c>
      <c r="E103" s="751">
        <v>100.8</v>
      </c>
      <c r="F103" s="751" t="s">
        <v>445</v>
      </c>
      <c r="G103" s="751" t="s">
        <v>1237</v>
      </c>
      <c r="H103" s="925">
        <v>45505</v>
      </c>
      <c r="I103" s="925">
        <v>45569</v>
      </c>
      <c r="J103" s="751" t="s">
        <v>1238</v>
      </c>
      <c r="K103" s="751">
        <v>25</v>
      </c>
      <c r="L103" s="925">
        <v>45505</v>
      </c>
      <c r="M103" s="751">
        <v>100.05</v>
      </c>
      <c r="N103" s="925">
        <v>45505</v>
      </c>
      <c r="O103" s="661"/>
      <c r="P103" s="661"/>
      <c r="Q103" s="661"/>
      <c r="R103" s="661"/>
      <c r="S103" s="661"/>
      <c r="T103" s="661"/>
      <c r="U103" s="661"/>
      <c r="V103" s="661"/>
    </row>
    <row r="104" spans="1:22">
      <c r="A104" s="661"/>
      <c r="B104" s="924">
        <v>102</v>
      </c>
      <c r="C104" s="751" t="s">
        <v>1312</v>
      </c>
      <c r="D104" s="751" t="s">
        <v>1331</v>
      </c>
      <c r="E104" s="751">
        <v>96.3</v>
      </c>
      <c r="F104" s="751" t="s">
        <v>445</v>
      </c>
      <c r="G104" s="751" t="s">
        <v>1237</v>
      </c>
      <c r="H104" s="925">
        <v>45505</v>
      </c>
      <c r="I104" s="925">
        <v>45569</v>
      </c>
      <c r="J104" s="751" t="s">
        <v>1238</v>
      </c>
      <c r="K104" s="751">
        <v>25</v>
      </c>
      <c r="L104" s="925">
        <v>45505</v>
      </c>
      <c r="M104" s="751">
        <v>95.55</v>
      </c>
      <c r="N104" s="925">
        <v>45505</v>
      </c>
      <c r="O104" s="661"/>
      <c r="P104" s="661"/>
      <c r="Q104" s="661"/>
      <c r="R104" s="661"/>
      <c r="S104" s="661"/>
      <c r="T104" s="661"/>
      <c r="U104" s="661"/>
      <c r="V104" s="661"/>
    </row>
    <row r="105" spans="1:22">
      <c r="A105" s="661"/>
      <c r="B105" s="924">
        <v>103</v>
      </c>
      <c r="C105" s="751" t="s">
        <v>1312</v>
      </c>
      <c r="D105" s="751" t="s">
        <v>1332</v>
      </c>
      <c r="E105" s="751">
        <v>168.1</v>
      </c>
      <c r="F105" s="751" t="s">
        <v>445</v>
      </c>
      <c r="G105" s="751" t="s">
        <v>1237</v>
      </c>
      <c r="H105" s="925">
        <v>45139</v>
      </c>
      <c r="I105" s="925">
        <v>45139</v>
      </c>
      <c r="J105" s="751" t="s">
        <v>1238</v>
      </c>
      <c r="K105" s="751">
        <v>20</v>
      </c>
      <c r="L105" s="925">
        <v>45139</v>
      </c>
      <c r="M105" s="751">
        <v>166.3</v>
      </c>
      <c r="N105" s="925">
        <v>45139</v>
      </c>
      <c r="O105" s="661"/>
      <c r="P105" s="661"/>
      <c r="Q105" s="661"/>
      <c r="R105" s="661"/>
      <c r="S105" s="661"/>
      <c r="T105" s="661"/>
      <c r="U105" s="661"/>
      <c r="V105" s="661"/>
    </row>
    <row r="106" spans="1:22">
      <c r="A106" s="661"/>
      <c r="B106" s="924">
        <v>104</v>
      </c>
      <c r="C106" s="751" t="s">
        <v>1312</v>
      </c>
      <c r="D106" s="751" t="s">
        <v>1333</v>
      </c>
      <c r="E106" s="751">
        <v>104.5</v>
      </c>
      <c r="F106" s="751" t="s">
        <v>445</v>
      </c>
      <c r="G106" s="751" t="s">
        <v>1237</v>
      </c>
      <c r="H106" s="925">
        <v>45505</v>
      </c>
      <c r="I106" s="925">
        <v>45569</v>
      </c>
      <c r="J106" s="751" t="s">
        <v>1238</v>
      </c>
      <c r="K106" s="751">
        <v>25</v>
      </c>
      <c r="L106" s="925">
        <v>45505</v>
      </c>
      <c r="M106" s="751">
        <v>109.3</v>
      </c>
      <c r="N106" s="925">
        <v>45505</v>
      </c>
      <c r="O106" s="661"/>
      <c r="P106" s="661"/>
      <c r="Q106" s="661"/>
      <c r="R106" s="661"/>
      <c r="S106" s="661"/>
      <c r="T106" s="661"/>
      <c r="U106" s="661"/>
      <c r="V106" s="661"/>
    </row>
    <row r="107" spans="1:22">
      <c r="A107" s="661"/>
      <c r="B107" s="924">
        <v>105</v>
      </c>
      <c r="C107" s="751" t="s">
        <v>1312</v>
      </c>
      <c r="D107" s="751" t="s">
        <v>1334</v>
      </c>
      <c r="E107" s="751">
        <v>85.1</v>
      </c>
      <c r="F107" s="751" t="s">
        <v>445</v>
      </c>
      <c r="G107" s="751" t="s">
        <v>1237</v>
      </c>
      <c r="H107" s="925">
        <v>45505</v>
      </c>
      <c r="I107" s="925">
        <v>45569</v>
      </c>
      <c r="J107" s="751" t="s">
        <v>1238</v>
      </c>
      <c r="K107" s="751">
        <v>25</v>
      </c>
      <c r="L107" s="925">
        <v>45505</v>
      </c>
      <c r="M107" s="751">
        <v>84.3</v>
      </c>
      <c r="N107" s="925">
        <v>45505</v>
      </c>
      <c r="O107" s="661"/>
      <c r="P107" s="661"/>
      <c r="Q107" s="661"/>
      <c r="R107" s="661"/>
      <c r="S107" s="661"/>
      <c r="T107" s="661"/>
      <c r="U107" s="661"/>
      <c r="V107" s="661"/>
    </row>
    <row r="108" spans="1:22">
      <c r="A108" s="661"/>
      <c r="B108" s="924">
        <v>106</v>
      </c>
      <c r="C108" s="751" t="s">
        <v>1312</v>
      </c>
      <c r="D108" s="751" t="s">
        <v>1335</v>
      </c>
      <c r="E108" s="751">
        <v>25</v>
      </c>
      <c r="F108" s="751" t="s">
        <v>445</v>
      </c>
      <c r="G108" s="751" t="s">
        <v>1237</v>
      </c>
      <c r="H108" s="925">
        <v>45505</v>
      </c>
      <c r="I108" s="925">
        <v>45569</v>
      </c>
      <c r="J108" s="751" t="s">
        <v>1238</v>
      </c>
      <c r="K108" s="751">
        <v>25</v>
      </c>
      <c r="L108" s="925">
        <v>45505</v>
      </c>
      <c r="M108" s="751">
        <v>22.75</v>
      </c>
      <c r="N108" s="925">
        <v>45505</v>
      </c>
      <c r="O108" s="661"/>
      <c r="P108" s="661"/>
      <c r="Q108" s="661"/>
      <c r="R108" s="661"/>
      <c r="S108" s="661"/>
      <c r="T108" s="661"/>
      <c r="U108" s="661"/>
      <c r="V108" s="661"/>
    </row>
    <row r="109" spans="1:22">
      <c r="A109" s="661"/>
      <c r="B109" s="924">
        <v>107</v>
      </c>
      <c r="C109" s="751" t="s">
        <v>1312</v>
      </c>
      <c r="D109" s="751" t="s">
        <v>1336</v>
      </c>
      <c r="E109" s="751" t="s">
        <v>1238</v>
      </c>
      <c r="F109" s="751" t="s">
        <v>445</v>
      </c>
      <c r="G109" s="751" t="s">
        <v>1238</v>
      </c>
      <c r="H109" s="751" t="s">
        <v>1238</v>
      </c>
      <c r="I109" s="751" t="s">
        <v>1238</v>
      </c>
      <c r="J109" s="751" t="s">
        <v>1238</v>
      </c>
      <c r="K109" s="751">
        <v>25</v>
      </c>
      <c r="L109" s="925">
        <v>44835</v>
      </c>
      <c r="M109" s="751">
        <v>41.25</v>
      </c>
      <c r="N109" s="925">
        <v>43886</v>
      </c>
      <c r="O109" s="661"/>
      <c r="P109" s="661"/>
      <c r="Q109" s="661"/>
      <c r="R109" s="661"/>
      <c r="S109" s="661"/>
      <c r="T109" s="661"/>
      <c r="U109" s="661"/>
      <c r="V109" s="661"/>
    </row>
    <row r="110" spans="1:22">
      <c r="A110" s="661"/>
      <c r="B110" s="924">
        <v>108</v>
      </c>
      <c r="C110" s="751" t="s">
        <v>1312</v>
      </c>
      <c r="D110" s="751" t="s">
        <v>1337</v>
      </c>
      <c r="E110" s="751" t="s">
        <v>1238</v>
      </c>
      <c r="F110" s="751" t="s">
        <v>445</v>
      </c>
      <c r="G110" s="751" t="s">
        <v>1238</v>
      </c>
      <c r="H110" s="751" t="s">
        <v>1238</v>
      </c>
      <c r="I110" s="751" t="s">
        <v>1238</v>
      </c>
      <c r="J110" s="751" t="s">
        <v>1238</v>
      </c>
      <c r="K110" s="751">
        <v>25</v>
      </c>
      <c r="L110" s="925">
        <v>44835</v>
      </c>
      <c r="M110" s="751">
        <v>43.05</v>
      </c>
      <c r="N110" s="925">
        <v>43886</v>
      </c>
      <c r="O110" s="661"/>
      <c r="P110" s="661"/>
      <c r="Q110" s="661"/>
      <c r="R110" s="661"/>
      <c r="S110" s="661"/>
      <c r="T110" s="661"/>
      <c r="U110" s="661"/>
      <c r="V110" s="661"/>
    </row>
    <row r="111" spans="1:22">
      <c r="A111" s="661"/>
      <c r="B111" s="924">
        <v>109</v>
      </c>
      <c r="C111" s="751" t="s">
        <v>1312</v>
      </c>
      <c r="D111" s="751" t="s">
        <v>1338</v>
      </c>
      <c r="E111" s="751">
        <v>63.8</v>
      </c>
      <c r="F111" s="751" t="s">
        <v>445</v>
      </c>
      <c r="G111" s="751" t="s">
        <v>1339</v>
      </c>
      <c r="H111" s="925">
        <v>45505</v>
      </c>
      <c r="I111" s="925">
        <v>45569</v>
      </c>
      <c r="J111" s="751" t="s">
        <v>1340</v>
      </c>
      <c r="K111" s="751">
        <v>25</v>
      </c>
      <c r="L111" s="925">
        <v>45505</v>
      </c>
      <c r="M111" s="751">
        <v>39.549999999999997</v>
      </c>
      <c r="N111" s="925">
        <v>43886</v>
      </c>
      <c r="O111" s="661"/>
      <c r="P111" s="661"/>
      <c r="Q111" s="661"/>
      <c r="R111" s="661"/>
      <c r="S111" s="661"/>
      <c r="T111" s="661"/>
      <c r="U111" s="661"/>
      <c r="V111" s="661"/>
    </row>
    <row r="112" spans="1:22">
      <c r="A112" s="661"/>
      <c r="B112" s="924">
        <v>110</v>
      </c>
      <c r="C112" s="751" t="s">
        <v>1312</v>
      </c>
      <c r="D112" s="751" t="s">
        <v>1341</v>
      </c>
      <c r="E112" s="751" t="s">
        <v>1238</v>
      </c>
      <c r="F112" s="751" t="s">
        <v>445</v>
      </c>
      <c r="G112" s="751" t="s">
        <v>1238</v>
      </c>
      <c r="H112" s="751" t="s">
        <v>1238</v>
      </c>
      <c r="I112" s="751" t="s">
        <v>1238</v>
      </c>
      <c r="J112" s="751" t="s">
        <v>1238</v>
      </c>
      <c r="K112" s="751">
        <v>25</v>
      </c>
      <c r="L112" s="925">
        <v>44835</v>
      </c>
      <c r="M112" s="751">
        <v>52.11</v>
      </c>
      <c r="N112" s="925">
        <v>43886</v>
      </c>
      <c r="O112" s="661"/>
      <c r="P112" s="661"/>
      <c r="Q112" s="661"/>
      <c r="R112" s="661"/>
      <c r="S112" s="661"/>
      <c r="T112" s="661"/>
      <c r="U112" s="661"/>
      <c r="V112" s="661"/>
    </row>
    <row r="113" spans="1:22">
      <c r="A113" s="661"/>
      <c r="B113" s="924">
        <v>111</v>
      </c>
      <c r="C113" s="751" t="s">
        <v>1312</v>
      </c>
      <c r="D113" s="751">
        <v>4124</v>
      </c>
      <c r="E113" s="751" t="s">
        <v>1238</v>
      </c>
      <c r="F113" s="751" t="s">
        <v>445</v>
      </c>
      <c r="G113" s="751" t="s">
        <v>1238</v>
      </c>
      <c r="H113" s="751" t="s">
        <v>1238</v>
      </c>
      <c r="I113" s="751" t="s">
        <v>1238</v>
      </c>
      <c r="J113" s="751" t="s">
        <v>1238</v>
      </c>
      <c r="K113" s="751">
        <v>25</v>
      </c>
      <c r="L113" s="925">
        <v>44835</v>
      </c>
      <c r="M113" s="751">
        <v>55.89</v>
      </c>
      <c r="N113" s="925">
        <v>43886</v>
      </c>
      <c r="O113" s="661"/>
      <c r="P113" s="661"/>
      <c r="Q113" s="661"/>
      <c r="R113" s="661"/>
      <c r="S113" s="661"/>
      <c r="T113" s="661"/>
      <c r="U113" s="661"/>
      <c r="V113" s="661"/>
    </row>
    <row r="114" spans="1:22">
      <c r="A114" s="661"/>
      <c r="B114" s="924">
        <v>112</v>
      </c>
      <c r="C114" s="751" t="s">
        <v>1312</v>
      </c>
      <c r="D114" s="751" t="s">
        <v>1342</v>
      </c>
      <c r="E114" s="751" t="s">
        <v>1238</v>
      </c>
      <c r="F114" s="751" t="s">
        <v>445</v>
      </c>
      <c r="G114" s="751" t="s">
        <v>1238</v>
      </c>
      <c r="H114" s="751" t="s">
        <v>1238</v>
      </c>
      <c r="I114" s="751" t="s">
        <v>1238</v>
      </c>
      <c r="J114" s="751" t="s">
        <v>1238</v>
      </c>
      <c r="K114" s="751">
        <v>25</v>
      </c>
      <c r="L114" s="925">
        <v>44835</v>
      </c>
      <c r="M114" s="751">
        <v>45.3</v>
      </c>
      <c r="N114" s="925">
        <v>43886</v>
      </c>
      <c r="O114" s="661"/>
      <c r="P114" s="661"/>
      <c r="Q114" s="661"/>
      <c r="R114" s="661"/>
      <c r="S114" s="661"/>
      <c r="T114" s="661"/>
      <c r="U114" s="661"/>
      <c r="V114" s="661"/>
    </row>
    <row r="115" spans="1:22">
      <c r="A115" s="661"/>
      <c r="B115" s="924">
        <v>113</v>
      </c>
      <c r="C115" s="751" t="s">
        <v>104</v>
      </c>
      <c r="D115" s="751" t="s">
        <v>1343</v>
      </c>
      <c r="E115" s="751">
        <v>90.9</v>
      </c>
      <c r="F115" s="751" t="s">
        <v>445</v>
      </c>
      <c r="G115" s="751" t="s">
        <v>1238</v>
      </c>
      <c r="H115" s="925">
        <v>45505</v>
      </c>
      <c r="I115" s="925">
        <v>45569</v>
      </c>
      <c r="J115" s="751" t="s">
        <v>1238</v>
      </c>
      <c r="K115" s="751">
        <v>30.5</v>
      </c>
      <c r="L115" s="925">
        <v>45569</v>
      </c>
      <c r="M115" s="751">
        <v>90</v>
      </c>
      <c r="N115" s="751" t="s">
        <v>1238</v>
      </c>
      <c r="O115" s="661"/>
      <c r="P115" s="661"/>
      <c r="Q115" s="661"/>
      <c r="R115" s="661"/>
      <c r="S115" s="661"/>
      <c r="T115" s="661"/>
      <c r="U115" s="661"/>
      <c r="V115" s="661"/>
    </row>
    <row r="116" spans="1:22">
      <c r="A116" s="661"/>
      <c r="B116" s="924">
        <v>114</v>
      </c>
      <c r="C116" s="751" t="s">
        <v>104</v>
      </c>
      <c r="D116" s="751" t="s">
        <v>1344</v>
      </c>
      <c r="E116" s="751">
        <v>90.9</v>
      </c>
      <c r="F116" s="751" t="s">
        <v>445</v>
      </c>
      <c r="G116" s="751" t="s">
        <v>1238</v>
      </c>
      <c r="H116" s="925">
        <v>45505</v>
      </c>
      <c r="I116" s="925">
        <v>45569</v>
      </c>
      <c r="J116" s="751" t="s">
        <v>1238</v>
      </c>
      <c r="K116" s="751">
        <v>30.5</v>
      </c>
      <c r="L116" s="925">
        <v>45569</v>
      </c>
      <c r="M116" s="751">
        <v>90</v>
      </c>
      <c r="N116" s="751" t="s">
        <v>1238</v>
      </c>
      <c r="O116" s="661"/>
      <c r="P116" s="661"/>
      <c r="Q116" s="661"/>
      <c r="R116" s="661"/>
      <c r="S116" s="661"/>
      <c r="T116" s="661"/>
      <c r="U116" s="661"/>
      <c r="V116" s="661"/>
    </row>
    <row r="117" spans="1:22">
      <c r="A117" s="661"/>
      <c r="B117" s="924">
        <v>115</v>
      </c>
      <c r="C117" s="751" t="s">
        <v>104</v>
      </c>
      <c r="D117" s="751" t="s">
        <v>1345</v>
      </c>
      <c r="E117" s="751">
        <v>104.3</v>
      </c>
      <c r="F117" s="751" t="s">
        <v>445</v>
      </c>
      <c r="G117" s="751" t="s">
        <v>1237</v>
      </c>
      <c r="H117" s="925">
        <v>45505</v>
      </c>
      <c r="I117" s="925">
        <v>45569</v>
      </c>
      <c r="J117" s="751" t="s">
        <v>1238</v>
      </c>
      <c r="K117" s="751">
        <v>30.5</v>
      </c>
      <c r="L117" s="925">
        <v>45569</v>
      </c>
      <c r="M117" s="751">
        <v>102</v>
      </c>
      <c r="N117" s="751" t="s">
        <v>1238</v>
      </c>
      <c r="O117" s="661"/>
      <c r="P117" s="661"/>
      <c r="Q117" s="661"/>
      <c r="R117" s="661"/>
      <c r="S117" s="661"/>
      <c r="T117" s="661"/>
      <c r="U117" s="661"/>
      <c r="V117" s="661"/>
    </row>
    <row r="118" spans="1:22">
      <c r="A118" s="661"/>
      <c r="B118" s="924">
        <v>116</v>
      </c>
      <c r="C118" s="751" t="s">
        <v>104</v>
      </c>
      <c r="D118" s="751" t="s">
        <v>1346</v>
      </c>
      <c r="E118" s="751">
        <v>107.3</v>
      </c>
      <c r="F118" s="751" t="s">
        <v>445</v>
      </c>
      <c r="G118" s="751" t="s">
        <v>1237</v>
      </c>
      <c r="H118" s="925">
        <v>45505</v>
      </c>
      <c r="I118" s="925">
        <v>45569</v>
      </c>
      <c r="J118" s="751" t="s">
        <v>1238</v>
      </c>
      <c r="K118" s="751">
        <v>30.5</v>
      </c>
      <c r="L118" s="925">
        <v>45569</v>
      </c>
      <c r="M118" s="751">
        <v>105</v>
      </c>
      <c r="N118" s="751" t="s">
        <v>1238</v>
      </c>
      <c r="O118" s="661"/>
      <c r="P118" s="661"/>
      <c r="Q118" s="661"/>
      <c r="R118" s="661"/>
      <c r="S118" t="s">
        <v>1238</v>
      </c>
      <c r="T118" t="s">
        <v>1347</v>
      </c>
      <c r="U118" t="s">
        <v>1348</v>
      </c>
      <c r="V118" t="s">
        <v>1238</v>
      </c>
    </row>
    <row r="119" spans="1:22">
      <c r="A119" s="661"/>
      <c r="B119" s="924">
        <v>117</v>
      </c>
      <c r="C119" s="751" t="s">
        <v>104</v>
      </c>
      <c r="D119" s="751" t="s">
        <v>1349</v>
      </c>
      <c r="E119" s="751">
        <v>107.3</v>
      </c>
      <c r="F119" s="751" t="s">
        <v>445</v>
      </c>
      <c r="G119" s="751" t="s">
        <v>1237</v>
      </c>
      <c r="H119" s="925">
        <v>45505</v>
      </c>
      <c r="I119" s="925">
        <v>45569</v>
      </c>
      <c r="J119" s="751" t="s">
        <v>1238</v>
      </c>
      <c r="K119" s="751">
        <v>30.5</v>
      </c>
      <c r="L119" s="925">
        <v>45569</v>
      </c>
      <c r="M119" s="751">
        <v>105</v>
      </c>
      <c r="N119" s="751" t="s">
        <v>1238</v>
      </c>
      <c r="O119" s="661"/>
      <c r="P119" s="661"/>
      <c r="Q119" s="661"/>
      <c r="R119" s="661"/>
      <c r="S119" t="s">
        <v>1350</v>
      </c>
      <c r="T119">
        <v>-2.15</v>
      </c>
      <c r="U119">
        <v>-1.93</v>
      </c>
      <c r="V119" t="s">
        <v>1351</v>
      </c>
    </row>
    <row r="120" spans="1:22">
      <c r="A120" s="661"/>
      <c r="B120" s="924">
        <v>118</v>
      </c>
      <c r="C120" s="751" t="s">
        <v>104</v>
      </c>
      <c r="D120" s="751" t="s">
        <v>1352</v>
      </c>
      <c r="E120" s="751">
        <v>156.4</v>
      </c>
      <c r="F120" s="751" t="s">
        <v>445</v>
      </c>
      <c r="G120" s="751" t="s">
        <v>1237</v>
      </c>
      <c r="H120" s="925">
        <v>44280</v>
      </c>
      <c r="I120" s="925">
        <v>44296</v>
      </c>
      <c r="J120" s="751" t="s">
        <v>1353</v>
      </c>
      <c r="K120" s="751">
        <v>32.799999999999997</v>
      </c>
      <c r="L120" s="925">
        <v>45200</v>
      </c>
      <c r="M120" s="751">
        <v>156.4</v>
      </c>
      <c r="N120" s="751" t="s">
        <v>1238</v>
      </c>
      <c r="O120" s="661"/>
      <c r="P120" s="661"/>
      <c r="Q120" s="661"/>
      <c r="R120" s="661"/>
      <c r="S120" t="s">
        <v>1354</v>
      </c>
      <c r="T120">
        <v>-1.87</v>
      </c>
      <c r="U120">
        <v>-0.88</v>
      </c>
      <c r="V120" t="s">
        <v>1351</v>
      </c>
    </row>
    <row r="121" spans="1:22">
      <c r="A121" s="661"/>
      <c r="B121" s="924">
        <v>119</v>
      </c>
      <c r="C121" s="751" t="s">
        <v>104</v>
      </c>
      <c r="D121" s="751" t="s">
        <v>1355</v>
      </c>
      <c r="E121" s="751">
        <v>30.5</v>
      </c>
      <c r="F121" s="751" t="s">
        <v>445</v>
      </c>
      <c r="G121" s="751" t="s">
        <v>1238</v>
      </c>
      <c r="H121" s="925">
        <v>45505</v>
      </c>
      <c r="I121" s="925">
        <v>45569</v>
      </c>
      <c r="J121" s="751" t="s">
        <v>1238</v>
      </c>
      <c r="K121" s="751">
        <v>30.5</v>
      </c>
      <c r="L121" s="925">
        <v>45569</v>
      </c>
      <c r="M121" s="751">
        <v>32.799999999999997</v>
      </c>
      <c r="N121" s="751" t="s">
        <v>1238</v>
      </c>
      <c r="O121" s="661"/>
      <c r="P121" s="661"/>
      <c r="Q121" s="661"/>
      <c r="R121" s="661"/>
      <c r="S121" t="s">
        <v>1356</v>
      </c>
      <c r="T121">
        <v>3</v>
      </c>
      <c r="U121">
        <v>3</v>
      </c>
      <c r="V121" t="s">
        <v>1357</v>
      </c>
    </row>
    <row r="122" spans="1:22">
      <c r="A122" s="661"/>
      <c r="B122" s="924">
        <v>120</v>
      </c>
      <c r="C122" s="751" t="s">
        <v>104</v>
      </c>
      <c r="D122" s="751" t="s">
        <v>1358</v>
      </c>
      <c r="E122" s="751">
        <v>76</v>
      </c>
      <c r="F122" s="751" t="s">
        <v>445</v>
      </c>
      <c r="G122" s="751" t="s">
        <v>1238</v>
      </c>
      <c r="H122" s="925">
        <v>43886</v>
      </c>
      <c r="I122" s="925">
        <v>43886</v>
      </c>
      <c r="J122" s="751" t="s">
        <v>1238</v>
      </c>
      <c r="K122" s="751" t="s">
        <v>1238</v>
      </c>
      <c r="L122" s="751" t="s">
        <v>1238</v>
      </c>
      <c r="M122" s="751">
        <v>76</v>
      </c>
      <c r="N122" s="751" t="s">
        <v>1238</v>
      </c>
      <c r="O122" s="661"/>
      <c r="P122" s="661"/>
      <c r="Q122" s="661"/>
      <c r="R122" s="661"/>
      <c r="S122" t="s">
        <v>1359</v>
      </c>
      <c r="T122">
        <v>-0.98</v>
      </c>
      <c r="U122">
        <v>-0.27</v>
      </c>
      <c r="V122" t="s">
        <v>1351</v>
      </c>
    </row>
    <row r="123" spans="1:22">
      <c r="A123" s="661"/>
      <c r="B123" s="924">
        <v>121</v>
      </c>
      <c r="C123" s="751" t="s">
        <v>104</v>
      </c>
      <c r="D123" s="751" t="s">
        <v>1360</v>
      </c>
      <c r="E123" s="751">
        <v>26.5</v>
      </c>
      <c r="F123" s="751" t="s">
        <v>445</v>
      </c>
      <c r="G123" s="751" t="s">
        <v>1238</v>
      </c>
      <c r="H123" s="925">
        <v>42583</v>
      </c>
      <c r="I123" s="925">
        <v>42583</v>
      </c>
      <c r="J123" s="751" t="s">
        <v>1238</v>
      </c>
      <c r="K123" s="751" t="s">
        <v>1238</v>
      </c>
      <c r="L123" s="751" t="s">
        <v>1238</v>
      </c>
      <c r="M123" s="751">
        <v>26.5</v>
      </c>
      <c r="N123" s="751" t="s">
        <v>1238</v>
      </c>
      <c r="O123" s="661"/>
      <c r="P123" s="661"/>
      <c r="Q123" s="661"/>
      <c r="R123" s="661"/>
      <c r="S123" t="s">
        <v>1361</v>
      </c>
      <c r="T123">
        <v>2.15</v>
      </c>
      <c r="U123">
        <v>0.99</v>
      </c>
      <c r="V123" t="s">
        <v>1351</v>
      </c>
    </row>
    <row r="124" spans="1:22">
      <c r="A124" s="661"/>
      <c r="B124" s="924">
        <v>122</v>
      </c>
      <c r="C124" s="751" t="s">
        <v>104</v>
      </c>
      <c r="D124" s="751" t="s">
        <v>1362</v>
      </c>
      <c r="E124" s="751">
        <v>327.9</v>
      </c>
      <c r="F124" s="751" t="s">
        <v>445</v>
      </c>
      <c r="G124" s="751" t="s">
        <v>1238</v>
      </c>
      <c r="H124" s="925">
        <v>42583</v>
      </c>
      <c r="I124" s="925">
        <v>42583</v>
      </c>
      <c r="J124" s="751" t="s">
        <v>1238</v>
      </c>
      <c r="K124" s="751" t="s">
        <v>1238</v>
      </c>
      <c r="L124" s="751" t="s">
        <v>1238</v>
      </c>
      <c r="M124" s="751">
        <v>327.9</v>
      </c>
      <c r="N124" s="751" t="s">
        <v>1238</v>
      </c>
      <c r="O124" s="661"/>
      <c r="P124" s="661"/>
      <c r="Q124" s="661"/>
      <c r="R124" s="661"/>
      <c r="S124" s="661"/>
      <c r="T124" s="661">
        <f>SUBTOTAL(9,T120:T123)</f>
        <v>2.2999999999999998</v>
      </c>
      <c r="U124" s="661">
        <f>SUBTOTAL(9,U120:U123)</f>
        <v>2.84</v>
      </c>
      <c r="V124" s="661"/>
    </row>
    <row r="125" spans="1:22">
      <c r="A125" s="661"/>
      <c r="B125" s="924">
        <v>123</v>
      </c>
      <c r="C125" s="751" t="s">
        <v>104</v>
      </c>
      <c r="D125" s="751" t="s">
        <v>1363</v>
      </c>
      <c r="E125" s="751">
        <v>1203</v>
      </c>
      <c r="F125" s="751" t="s">
        <v>445</v>
      </c>
      <c r="G125" s="751" t="s">
        <v>1238</v>
      </c>
      <c r="H125" s="925">
        <v>42583</v>
      </c>
      <c r="I125" s="925">
        <v>42583</v>
      </c>
      <c r="J125" s="751" t="s">
        <v>1238</v>
      </c>
      <c r="K125" s="751" t="s">
        <v>1238</v>
      </c>
      <c r="L125" s="751" t="s">
        <v>1238</v>
      </c>
      <c r="M125" s="751">
        <v>1203</v>
      </c>
      <c r="N125" s="751" t="s">
        <v>1238</v>
      </c>
      <c r="O125" s="661"/>
      <c r="P125" s="661"/>
      <c r="Q125" s="661"/>
      <c r="R125" s="661"/>
      <c r="S125" s="661"/>
      <c r="T125" s="661"/>
      <c r="U125" s="661"/>
      <c r="V125" s="661"/>
    </row>
    <row r="126" spans="1:22">
      <c r="A126" s="661"/>
      <c r="B126" s="924">
        <v>124</v>
      </c>
      <c r="C126" s="751" t="s">
        <v>104</v>
      </c>
      <c r="D126" s="751" t="s">
        <v>1364</v>
      </c>
      <c r="E126" s="751">
        <v>158</v>
      </c>
      <c r="F126" s="751" t="s">
        <v>445</v>
      </c>
      <c r="G126" s="751" t="s">
        <v>1238</v>
      </c>
      <c r="H126" s="925">
        <v>42583</v>
      </c>
      <c r="I126" s="925">
        <v>42583</v>
      </c>
      <c r="J126" s="751" t="s">
        <v>1238</v>
      </c>
      <c r="K126" s="751" t="s">
        <v>1238</v>
      </c>
      <c r="L126" s="751" t="s">
        <v>1238</v>
      </c>
      <c r="M126" s="751">
        <v>158</v>
      </c>
      <c r="N126" s="751" t="s">
        <v>1238</v>
      </c>
      <c r="O126" s="661"/>
      <c r="P126" s="661"/>
      <c r="Q126" s="661"/>
      <c r="R126" s="661"/>
      <c r="S126" s="661"/>
      <c r="T126" s="661"/>
      <c r="U126" s="661"/>
      <c r="V126" s="661"/>
    </row>
    <row r="127" spans="1:22">
      <c r="A127" s="661"/>
      <c r="B127" s="924">
        <v>125</v>
      </c>
      <c r="C127" s="751" t="s">
        <v>104</v>
      </c>
      <c r="D127" s="751" t="s">
        <v>1365</v>
      </c>
      <c r="E127" s="751">
        <v>4.9000000000000004</v>
      </c>
      <c r="F127" s="751" t="s">
        <v>445</v>
      </c>
      <c r="G127" s="751" t="s">
        <v>1238</v>
      </c>
      <c r="H127" s="925">
        <v>42583</v>
      </c>
      <c r="I127" s="925">
        <v>42583</v>
      </c>
      <c r="J127" s="751" t="s">
        <v>1238</v>
      </c>
      <c r="K127" s="751" t="s">
        <v>1238</v>
      </c>
      <c r="L127" s="751" t="s">
        <v>1238</v>
      </c>
      <c r="M127" s="751">
        <v>4.8499999999999996</v>
      </c>
      <c r="N127" s="751" t="s">
        <v>1238</v>
      </c>
      <c r="O127" s="661"/>
      <c r="P127" s="661"/>
      <c r="Q127" s="661"/>
      <c r="R127" s="661"/>
      <c r="S127" s="661"/>
      <c r="T127" s="661"/>
      <c r="U127" s="661"/>
      <c r="V127" s="661"/>
    </row>
    <row r="128" spans="1:22">
      <c r="A128" s="661"/>
      <c r="B128" s="924">
        <v>126</v>
      </c>
      <c r="C128" s="751" t="s">
        <v>104</v>
      </c>
      <c r="D128" s="751" t="s">
        <v>1366</v>
      </c>
      <c r="E128" s="751">
        <v>17.600000000000001</v>
      </c>
      <c r="F128" s="751" t="s">
        <v>445</v>
      </c>
      <c r="G128" s="751" t="s">
        <v>1238</v>
      </c>
      <c r="H128" s="925">
        <v>42583</v>
      </c>
      <c r="I128" s="925">
        <v>42583</v>
      </c>
      <c r="J128" s="751" t="s">
        <v>1238</v>
      </c>
      <c r="K128" s="751" t="s">
        <v>1238</v>
      </c>
      <c r="L128" s="751" t="s">
        <v>1238</v>
      </c>
      <c r="M128" s="751">
        <v>17.55</v>
      </c>
      <c r="N128" s="751" t="s">
        <v>1238</v>
      </c>
      <c r="O128" s="661"/>
      <c r="P128" s="661"/>
      <c r="Q128" s="661"/>
      <c r="R128" s="661"/>
      <c r="S128" s="661"/>
      <c r="T128" s="661"/>
      <c r="U128" s="661"/>
      <c r="V128" s="661"/>
    </row>
    <row r="129" spans="1:22">
      <c r="A129" s="661"/>
      <c r="B129" s="924">
        <v>127</v>
      </c>
      <c r="C129" s="751" t="s">
        <v>104</v>
      </c>
      <c r="D129" s="751" t="s">
        <v>1367</v>
      </c>
      <c r="E129" s="751">
        <v>51.5</v>
      </c>
      <c r="F129" s="751" t="s">
        <v>445</v>
      </c>
      <c r="G129" s="751" t="s">
        <v>1238</v>
      </c>
      <c r="H129" s="925">
        <v>42583</v>
      </c>
      <c r="I129" s="925">
        <v>42583</v>
      </c>
      <c r="J129" s="751" t="s">
        <v>1238</v>
      </c>
      <c r="K129" s="751" t="s">
        <v>1238</v>
      </c>
      <c r="L129" s="751" t="s">
        <v>1238</v>
      </c>
      <c r="M129" s="751">
        <v>51.52384</v>
      </c>
      <c r="N129" s="751" t="s">
        <v>1238</v>
      </c>
      <c r="O129" s="661"/>
      <c r="P129" s="661"/>
      <c r="Q129" s="661"/>
      <c r="R129" s="661"/>
      <c r="S129" s="661"/>
      <c r="T129" s="661"/>
      <c r="U129" s="661"/>
      <c r="V129" s="661"/>
    </row>
    <row r="130" spans="1:22">
      <c r="A130" s="661"/>
      <c r="B130" s="924">
        <v>128</v>
      </c>
      <c r="C130" s="751" t="s">
        <v>104</v>
      </c>
      <c r="D130" s="751" t="s">
        <v>1368</v>
      </c>
      <c r="E130" s="751">
        <v>26</v>
      </c>
      <c r="F130" s="751" t="s">
        <v>445</v>
      </c>
      <c r="G130" s="751" t="s">
        <v>1238</v>
      </c>
      <c r="H130" s="925">
        <v>42583</v>
      </c>
      <c r="I130" s="925">
        <v>42583</v>
      </c>
      <c r="J130" s="751" t="s">
        <v>1238</v>
      </c>
      <c r="K130" s="751" t="s">
        <v>1238</v>
      </c>
      <c r="L130" s="751" t="s">
        <v>1238</v>
      </c>
      <c r="M130" s="751">
        <v>26</v>
      </c>
      <c r="N130" s="751" t="s">
        <v>1238</v>
      </c>
      <c r="O130" s="661"/>
      <c r="P130" s="661"/>
      <c r="Q130" s="661"/>
      <c r="R130" s="661"/>
      <c r="S130" s="661"/>
      <c r="T130" s="661"/>
      <c r="U130" s="661"/>
      <c r="V130" s="661"/>
    </row>
    <row r="131" spans="1:22">
      <c r="A131" s="661"/>
      <c r="B131" s="924">
        <v>129</v>
      </c>
      <c r="C131" s="751" t="s">
        <v>104</v>
      </c>
      <c r="D131" s="751" t="s">
        <v>1369</v>
      </c>
      <c r="E131" s="751">
        <v>158</v>
      </c>
      <c r="F131" s="751" t="s">
        <v>445</v>
      </c>
      <c r="G131" s="751" t="s">
        <v>1238</v>
      </c>
      <c r="H131" s="925">
        <v>42583</v>
      </c>
      <c r="I131" s="925">
        <v>42583</v>
      </c>
      <c r="J131" s="751" t="s">
        <v>1238</v>
      </c>
      <c r="K131" s="751" t="s">
        <v>1238</v>
      </c>
      <c r="L131" s="751" t="s">
        <v>1238</v>
      </c>
      <c r="M131" s="751">
        <v>158</v>
      </c>
      <c r="N131" s="751" t="s">
        <v>1238</v>
      </c>
      <c r="O131" s="661"/>
      <c r="P131" s="661"/>
      <c r="Q131" s="661"/>
      <c r="R131" s="661"/>
      <c r="S131" s="661"/>
      <c r="T131" s="661"/>
      <c r="U131" s="661"/>
      <c r="V131" s="661"/>
    </row>
    <row r="132" spans="1:22">
      <c r="A132" s="661"/>
      <c r="B132" s="924">
        <v>130</v>
      </c>
      <c r="C132" s="751" t="s">
        <v>104</v>
      </c>
      <c r="D132" s="751" t="s">
        <v>1370</v>
      </c>
      <c r="E132" s="751">
        <v>70</v>
      </c>
      <c r="F132" s="751" t="s">
        <v>445</v>
      </c>
      <c r="G132" s="751" t="s">
        <v>1238</v>
      </c>
      <c r="H132" s="925">
        <v>42583</v>
      </c>
      <c r="I132" s="925">
        <v>42583</v>
      </c>
      <c r="J132" s="751" t="s">
        <v>1238</v>
      </c>
      <c r="K132" s="751" t="s">
        <v>1238</v>
      </c>
      <c r="L132" s="751" t="s">
        <v>1238</v>
      </c>
      <c r="M132" s="751">
        <v>70</v>
      </c>
      <c r="N132" s="751" t="s">
        <v>1238</v>
      </c>
      <c r="O132" s="661"/>
      <c r="P132" s="661"/>
      <c r="Q132" s="661"/>
      <c r="R132" s="661"/>
      <c r="S132" s="661"/>
      <c r="T132" s="661"/>
      <c r="U132" s="661"/>
      <c r="V132" s="661"/>
    </row>
    <row r="133" spans="1:22">
      <c r="A133" s="661"/>
      <c r="B133" s="924">
        <v>131</v>
      </c>
      <c r="C133" s="751" t="s">
        <v>104</v>
      </c>
      <c r="D133" s="751" t="s">
        <v>1371</v>
      </c>
      <c r="E133" s="751">
        <v>55</v>
      </c>
      <c r="F133" s="751" t="s">
        <v>445</v>
      </c>
      <c r="G133" s="751" t="s">
        <v>1238</v>
      </c>
      <c r="H133" s="925">
        <v>42583</v>
      </c>
      <c r="I133" s="925">
        <v>42583</v>
      </c>
      <c r="J133" s="751" t="s">
        <v>1238</v>
      </c>
      <c r="K133" s="751" t="s">
        <v>1238</v>
      </c>
      <c r="L133" s="751" t="s">
        <v>1238</v>
      </c>
      <c r="M133" s="751">
        <v>55</v>
      </c>
      <c r="N133" s="751" t="s">
        <v>1238</v>
      </c>
      <c r="O133" s="661"/>
      <c r="P133" s="661"/>
      <c r="Q133" s="661"/>
      <c r="R133" s="661"/>
      <c r="S133" s="661"/>
      <c r="T133" s="661"/>
      <c r="U133" s="661"/>
      <c r="V133" s="661"/>
    </row>
    <row r="134" spans="1:22">
      <c r="A134" s="661"/>
      <c r="B134" s="924">
        <v>132</v>
      </c>
      <c r="C134" s="751" t="s">
        <v>104</v>
      </c>
      <c r="D134" s="751" t="s">
        <v>1372</v>
      </c>
      <c r="E134" s="751">
        <v>73</v>
      </c>
      <c r="F134" s="751" t="s">
        <v>445</v>
      </c>
      <c r="G134" s="751" t="s">
        <v>1238</v>
      </c>
      <c r="H134" s="925">
        <v>42583</v>
      </c>
      <c r="I134" s="925">
        <v>42583</v>
      </c>
      <c r="J134" s="751" t="s">
        <v>1238</v>
      </c>
      <c r="K134" s="751" t="s">
        <v>1238</v>
      </c>
      <c r="L134" s="751" t="s">
        <v>1238</v>
      </c>
      <c r="M134" s="751">
        <v>73</v>
      </c>
      <c r="N134" s="751" t="s">
        <v>1238</v>
      </c>
      <c r="O134" s="661"/>
      <c r="P134" s="661"/>
      <c r="Q134" s="661"/>
      <c r="R134" s="661"/>
      <c r="S134" s="661"/>
      <c r="T134" s="661"/>
      <c r="U134" s="661"/>
      <c r="V134" s="661"/>
    </row>
    <row r="135" spans="1:22">
      <c r="A135" s="661"/>
      <c r="B135" s="924">
        <v>133</v>
      </c>
      <c r="C135" s="751" t="s">
        <v>104</v>
      </c>
      <c r="D135" s="751" t="s">
        <v>1373</v>
      </c>
      <c r="E135" s="751">
        <v>84.6</v>
      </c>
      <c r="F135" s="751" t="s">
        <v>445</v>
      </c>
      <c r="G135" s="751" t="s">
        <v>1238</v>
      </c>
      <c r="H135" s="925">
        <v>42583</v>
      </c>
      <c r="I135" s="925">
        <v>42583</v>
      </c>
      <c r="J135" s="751" t="s">
        <v>1238</v>
      </c>
      <c r="K135" s="751" t="s">
        <v>1238</v>
      </c>
      <c r="L135" s="751" t="s">
        <v>1238</v>
      </c>
      <c r="M135" s="751">
        <v>84.620800000000003</v>
      </c>
      <c r="N135" s="751" t="s">
        <v>1238</v>
      </c>
      <c r="O135" s="661"/>
      <c r="P135" s="661"/>
      <c r="Q135" s="661"/>
      <c r="R135" s="661"/>
      <c r="S135" s="661"/>
      <c r="T135" s="661"/>
      <c r="U135" s="661"/>
      <c r="V135" s="661"/>
    </row>
    <row r="136" spans="1:22">
      <c r="A136" s="661"/>
      <c r="B136" s="924">
        <v>134</v>
      </c>
      <c r="C136" s="751" t="s">
        <v>104</v>
      </c>
      <c r="D136" s="751" t="s">
        <v>1374</v>
      </c>
      <c r="E136" s="751">
        <v>137</v>
      </c>
      <c r="F136" s="751" t="s">
        <v>445</v>
      </c>
      <c r="G136" s="751" t="s">
        <v>1375</v>
      </c>
      <c r="H136" s="925">
        <v>43324</v>
      </c>
      <c r="I136" s="925">
        <v>43324</v>
      </c>
      <c r="J136" s="751" t="s">
        <v>1238</v>
      </c>
      <c r="K136" s="751" t="s">
        <v>1238</v>
      </c>
      <c r="L136" s="751" t="s">
        <v>1238</v>
      </c>
      <c r="M136" s="751">
        <v>137</v>
      </c>
      <c r="N136" s="751" t="s">
        <v>1238</v>
      </c>
      <c r="O136" s="661"/>
      <c r="P136" s="661"/>
      <c r="Q136" s="661"/>
      <c r="R136" s="661"/>
      <c r="S136" s="661"/>
      <c r="T136" s="661"/>
      <c r="U136" s="661"/>
      <c r="V136" s="661"/>
    </row>
    <row r="137" spans="1:22">
      <c r="A137" s="661"/>
      <c r="B137" s="924">
        <v>135</v>
      </c>
      <c r="C137" s="751" t="s">
        <v>1376</v>
      </c>
      <c r="D137" s="751" t="s">
        <v>1377</v>
      </c>
      <c r="E137" s="751">
        <v>58.3</v>
      </c>
      <c r="F137" s="751" t="s">
        <v>445</v>
      </c>
      <c r="G137" s="751" t="s">
        <v>1238</v>
      </c>
      <c r="H137" s="925">
        <v>43886</v>
      </c>
      <c r="I137" s="925">
        <v>43886</v>
      </c>
      <c r="J137" s="751" t="s">
        <v>1238</v>
      </c>
      <c r="K137" s="751" t="s">
        <v>1238</v>
      </c>
      <c r="L137" s="751" t="s">
        <v>1238</v>
      </c>
      <c r="M137" s="751">
        <v>58.3</v>
      </c>
      <c r="N137" s="751" t="s">
        <v>1238</v>
      </c>
      <c r="O137" s="661"/>
      <c r="P137" s="661"/>
      <c r="Q137" s="661"/>
      <c r="R137" s="661"/>
      <c r="S137" s="661"/>
      <c r="T137" s="661"/>
      <c r="U137" s="661"/>
      <c r="V137" s="661"/>
    </row>
    <row r="138" spans="1:22">
      <c r="A138" s="661"/>
      <c r="B138" s="924">
        <v>136</v>
      </c>
      <c r="C138" s="751" t="s">
        <v>1203</v>
      </c>
      <c r="D138" s="751" t="s">
        <v>1378</v>
      </c>
      <c r="E138" s="751">
        <v>65</v>
      </c>
      <c r="F138" s="751" t="s">
        <v>445</v>
      </c>
      <c r="G138" s="751" t="s">
        <v>1379</v>
      </c>
      <c r="H138" s="925">
        <v>45505</v>
      </c>
      <c r="I138" s="925">
        <v>45569</v>
      </c>
      <c r="J138" s="751" t="s">
        <v>1238</v>
      </c>
      <c r="K138" s="751">
        <v>30.5</v>
      </c>
      <c r="L138" s="925">
        <v>45569</v>
      </c>
      <c r="M138" s="751">
        <v>72</v>
      </c>
      <c r="N138" s="751" t="s">
        <v>1238</v>
      </c>
      <c r="O138" s="661"/>
      <c r="P138" s="661"/>
      <c r="Q138" s="661"/>
      <c r="R138" s="661"/>
      <c r="S138" s="661"/>
      <c r="T138" s="661"/>
      <c r="U138" s="661"/>
      <c r="V138" s="661"/>
    </row>
    <row r="139" spans="1:22">
      <c r="A139" s="661"/>
      <c r="B139" s="924">
        <v>137</v>
      </c>
      <c r="C139" s="751" t="s">
        <v>1203</v>
      </c>
      <c r="D139" s="751" t="s">
        <v>1380</v>
      </c>
      <c r="E139" s="751">
        <v>64</v>
      </c>
      <c r="F139" s="751" t="s">
        <v>445</v>
      </c>
      <c r="G139" s="751" t="s">
        <v>1379</v>
      </c>
      <c r="H139" s="925">
        <v>45505</v>
      </c>
      <c r="I139" s="925">
        <v>45569</v>
      </c>
      <c r="J139" s="751" t="s">
        <v>1238</v>
      </c>
      <c r="K139" s="751">
        <v>30.5</v>
      </c>
      <c r="L139" s="925">
        <v>45569</v>
      </c>
      <c r="M139" s="751">
        <v>71</v>
      </c>
      <c r="N139" s="751" t="s">
        <v>1238</v>
      </c>
      <c r="O139" s="661"/>
      <c r="P139" s="661"/>
      <c r="Q139" s="661"/>
      <c r="R139" s="661"/>
      <c r="S139" s="661"/>
      <c r="T139" s="661"/>
      <c r="U139" s="661"/>
      <c r="V139" s="661"/>
    </row>
    <row r="140" spans="1:22">
      <c r="A140" s="661"/>
      <c r="B140" s="924">
        <v>138</v>
      </c>
      <c r="C140" s="751" t="s">
        <v>1258</v>
      </c>
      <c r="D140" s="751" t="s">
        <v>1381</v>
      </c>
      <c r="E140" s="926">
        <v>70.67</v>
      </c>
      <c r="F140" s="751" t="s">
        <v>445</v>
      </c>
      <c r="G140" s="751" t="s">
        <v>1237</v>
      </c>
      <c r="H140" s="925">
        <v>45413</v>
      </c>
      <c r="I140" s="925">
        <v>45569</v>
      </c>
      <c r="J140" s="751" t="s">
        <v>1238</v>
      </c>
      <c r="K140" s="751">
        <v>30.5</v>
      </c>
      <c r="L140" s="925">
        <v>45569</v>
      </c>
      <c r="M140" s="751">
        <v>74.67</v>
      </c>
      <c r="N140" s="751" t="s">
        <v>1238</v>
      </c>
      <c r="O140" s="661"/>
      <c r="P140" s="661"/>
      <c r="Q140" s="661"/>
      <c r="R140" s="661"/>
      <c r="S140" s="661"/>
      <c r="T140" s="661"/>
      <c r="U140" s="661"/>
      <c r="V140" s="661"/>
    </row>
    <row r="141" spans="1:22">
      <c r="A141" s="661"/>
      <c r="B141" s="924">
        <v>139</v>
      </c>
      <c r="C141" s="751" t="s">
        <v>1258</v>
      </c>
      <c r="D141" s="751" t="s">
        <v>1382</v>
      </c>
      <c r="E141" s="926">
        <v>68.17</v>
      </c>
      <c r="F141" s="751" t="s">
        <v>445</v>
      </c>
      <c r="G141" s="751" t="s">
        <v>1237</v>
      </c>
      <c r="H141" s="925">
        <v>45413</v>
      </c>
      <c r="I141" s="925">
        <v>45569</v>
      </c>
      <c r="J141" s="751" t="s">
        <v>1238</v>
      </c>
      <c r="K141" s="751">
        <v>30.5</v>
      </c>
      <c r="L141" s="925">
        <v>45569</v>
      </c>
      <c r="M141" s="751">
        <v>72.17</v>
      </c>
      <c r="N141" s="751" t="s">
        <v>1238</v>
      </c>
      <c r="O141" s="661"/>
      <c r="P141" s="661"/>
      <c r="Q141" s="661"/>
      <c r="R141" s="661"/>
      <c r="S141" s="661"/>
      <c r="T141" s="661"/>
      <c r="U141" s="661"/>
      <c r="V141" s="661"/>
    </row>
    <row r="142" spans="1:22">
      <c r="A142" s="661"/>
      <c r="B142" s="924">
        <v>140</v>
      </c>
      <c r="C142" s="751" t="s">
        <v>1383</v>
      </c>
      <c r="D142" s="751" t="s">
        <v>1384</v>
      </c>
      <c r="E142" s="926">
        <v>350</v>
      </c>
      <c r="F142" s="751" t="s">
        <v>445</v>
      </c>
      <c r="G142" s="751" t="s">
        <v>1237</v>
      </c>
      <c r="H142" s="925">
        <v>45961</v>
      </c>
      <c r="I142" s="925">
        <v>45978</v>
      </c>
      <c r="J142" s="751" t="s">
        <v>1238</v>
      </c>
      <c r="K142" s="751">
        <v>100</v>
      </c>
      <c r="L142" s="925">
        <v>45413</v>
      </c>
      <c r="M142" s="751">
        <v>296.5</v>
      </c>
      <c r="N142" s="751" t="s">
        <v>1238</v>
      </c>
      <c r="O142" s="661"/>
      <c r="P142" s="661"/>
      <c r="Q142" s="661"/>
      <c r="R142" s="661"/>
      <c r="S142" s="661"/>
      <c r="T142" s="661"/>
      <c r="U142" s="661"/>
      <c r="V142" s="661"/>
    </row>
    <row r="143" spans="1:22">
      <c r="A143" s="661"/>
      <c r="B143" s="924">
        <v>140</v>
      </c>
      <c r="C143" s="751" t="s">
        <v>1383</v>
      </c>
      <c r="D143" s="751" t="s">
        <v>1385</v>
      </c>
      <c r="E143" s="926">
        <v>322</v>
      </c>
      <c r="F143" s="751" t="s">
        <v>445</v>
      </c>
      <c r="G143" s="751" t="s">
        <v>1237</v>
      </c>
      <c r="H143" s="925">
        <v>45961</v>
      </c>
      <c r="I143" s="925">
        <v>45978</v>
      </c>
      <c r="J143" s="751" t="s">
        <v>1238</v>
      </c>
      <c r="K143" s="751">
        <v>100</v>
      </c>
      <c r="L143" s="925">
        <v>45413</v>
      </c>
      <c r="M143" s="751">
        <v>296.5</v>
      </c>
      <c r="N143" s="751" t="s">
        <v>1238</v>
      </c>
      <c r="O143" s="661"/>
      <c r="P143" s="661"/>
      <c r="Q143" s="661"/>
      <c r="R143" s="661"/>
      <c r="S143" s="661"/>
      <c r="T143" s="661"/>
      <c r="U143" s="661"/>
      <c r="V143" s="661"/>
    </row>
    <row r="144" spans="1:22">
      <c r="A144" s="661"/>
      <c r="B144" s="924">
        <v>141</v>
      </c>
      <c r="C144" s="751" t="s">
        <v>1383</v>
      </c>
      <c r="D144" s="751" t="s">
        <v>1386</v>
      </c>
      <c r="E144" s="926">
        <v>289.8</v>
      </c>
      <c r="F144" s="751" t="s">
        <v>445</v>
      </c>
      <c r="G144" s="751" t="s">
        <v>1237</v>
      </c>
      <c r="H144" s="925">
        <v>45413</v>
      </c>
      <c r="I144" s="925">
        <v>45413</v>
      </c>
      <c r="J144" s="751" t="s">
        <v>1238</v>
      </c>
      <c r="K144" s="751">
        <v>100</v>
      </c>
      <c r="L144" s="925">
        <v>45413</v>
      </c>
      <c r="M144" s="751">
        <v>289.8</v>
      </c>
      <c r="N144" s="751" t="s">
        <v>1238</v>
      </c>
      <c r="O144" s="661"/>
      <c r="P144" s="661"/>
      <c r="Q144" s="661"/>
      <c r="R144" s="661"/>
      <c r="S144" s="661"/>
      <c r="T144" s="661"/>
      <c r="U144" s="661"/>
      <c r="V144" s="661"/>
    </row>
    <row r="145" spans="1:22">
      <c r="A145" s="661"/>
      <c r="B145" s="924">
        <v>142</v>
      </c>
      <c r="C145" s="751" t="s">
        <v>1383</v>
      </c>
      <c r="D145" s="751" t="s">
        <v>1387</v>
      </c>
      <c r="E145" s="751">
        <v>100</v>
      </c>
      <c r="F145" s="751" t="s">
        <v>1255</v>
      </c>
      <c r="G145" s="751" t="s">
        <v>1237</v>
      </c>
      <c r="H145" s="925">
        <v>45078</v>
      </c>
      <c r="I145" s="925">
        <v>45078</v>
      </c>
      <c r="J145" s="751" t="s">
        <v>1238</v>
      </c>
      <c r="K145" s="751">
        <v>100</v>
      </c>
      <c r="L145" s="925">
        <v>45078</v>
      </c>
      <c r="M145" s="751">
        <v>100</v>
      </c>
      <c r="N145" s="751" t="s">
        <v>1238</v>
      </c>
      <c r="O145" s="661"/>
      <c r="P145" s="661"/>
      <c r="Q145" s="661"/>
      <c r="R145" s="661"/>
      <c r="S145" s="661"/>
      <c r="T145" s="661"/>
      <c r="U145" s="661"/>
      <c r="V145" s="661"/>
    </row>
    <row r="146" spans="1:22">
      <c r="A146" s="661"/>
      <c r="B146" s="924">
        <v>143</v>
      </c>
      <c r="C146" s="751" t="s">
        <v>1383</v>
      </c>
      <c r="D146" s="751" t="s">
        <v>1388</v>
      </c>
      <c r="E146" s="751">
        <v>204</v>
      </c>
      <c r="F146" s="751" t="s">
        <v>445</v>
      </c>
      <c r="G146" s="751" t="s">
        <v>1237</v>
      </c>
      <c r="H146" s="925">
        <v>45078</v>
      </c>
      <c r="I146" s="925">
        <v>45078</v>
      </c>
      <c r="J146" s="751" t="s">
        <v>1238</v>
      </c>
      <c r="K146" s="751">
        <v>100</v>
      </c>
      <c r="L146" s="925">
        <v>45078</v>
      </c>
      <c r="M146" s="751">
        <v>204</v>
      </c>
      <c r="N146" s="751" t="s">
        <v>1238</v>
      </c>
      <c r="O146" s="661"/>
      <c r="P146" s="661"/>
      <c r="Q146" s="661"/>
      <c r="R146" s="661"/>
      <c r="S146" s="661"/>
      <c r="T146" s="661"/>
      <c r="U146" s="661"/>
      <c r="V146" s="661"/>
    </row>
    <row r="147" spans="1:22">
      <c r="A147" s="661"/>
      <c r="B147" s="924">
        <v>144</v>
      </c>
      <c r="C147" s="751" t="s">
        <v>1383</v>
      </c>
      <c r="D147" s="751" t="s">
        <v>1389</v>
      </c>
      <c r="E147" s="751">
        <v>169</v>
      </c>
      <c r="F147" s="751" t="s">
        <v>445</v>
      </c>
      <c r="G147" s="751" t="s">
        <v>1390</v>
      </c>
      <c r="H147" s="925">
        <v>43140</v>
      </c>
      <c r="I147" s="925">
        <v>43140</v>
      </c>
      <c r="J147" s="751" t="s">
        <v>1238</v>
      </c>
      <c r="K147" s="751">
        <v>100</v>
      </c>
      <c r="L147" s="925">
        <v>45078</v>
      </c>
      <c r="M147" s="751">
        <v>169</v>
      </c>
      <c r="N147" s="751" t="s">
        <v>1238</v>
      </c>
      <c r="O147" s="661"/>
      <c r="P147" s="661"/>
      <c r="Q147" s="661"/>
      <c r="R147" s="661"/>
      <c r="S147" s="661"/>
      <c r="T147" s="661"/>
      <c r="U147" s="661"/>
      <c r="V147" s="661"/>
    </row>
    <row r="148" spans="1:22">
      <c r="A148" s="661"/>
      <c r="B148" s="924">
        <v>145</v>
      </c>
      <c r="C148" s="751" t="s">
        <v>1383</v>
      </c>
      <c r="D148" s="751" t="s">
        <v>1391</v>
      </c>
      <c r="E148" s="751">
        <v>204</v>
      </c>
      <c r="F148" s="751" t="s">
        <v>445</v>
      </c>
      <c r="G148" s="751" t="s">
        <v>1237</v>
      </c>
      <c r="H148" s="925">
        <v>45078</v>
      </c>
      <c r="I148" s="925">
        <v>45078</v>
      </c>
      <c r="J148" s="751" t="s">
        <v>1238</v>
      </c>
      <c r="K148" s="751">
        <v>100</v>
      </c>
      <c r="L148" s="925">
        <v>45078</v>
      </c>
      <c r="M148" s="751">
        <v>204</v>
      </c>
      <c r="N148" s="751" t="s">
        <v>1238</v>
      </c>
      <c r="O148" s="661"/>
      <c r="P148" s="661"/>
      <c r="Q148" s="661"/>
      <c r="R148" s="661"/>
      <c r="S148" s="661"/>
      <c r="T148" s="661"/>
      <c r="U148" s="661"/>
      <c r="V148" s="661"/>
    </row>
    <row r="149" spans="1:22">
      <c r="A149" s="661"/>
      <c r="B149" s="924">
        <v>146</v>
      </c>
      <c r="C149" s="751" t="s">
        <v>1383</v>
      </c>
      <c r="D149" s="751" t="s">
        <v>1392</v>
      </c>
      <c r="E149" s="751">
        <v>245</v>
      </c>
      <c r="F149" s="751" t="s">
        <v>445</v>
      </c>
      <c r="G149" s="751" t="s">
        <v>1237</v>
      </c>
      <c r="H149" s="925">
        <v>45078</v>
      </c>
      <c r="I149" s="925">
        <v>45078</v>
      </c>
      <c r="J149" s="751" t="s">
        <v>1238</v>
      </c>
      <c r="K149" s="751">
        <v>100</v>
      </c>
      <c r="L149" s="925">
        <v>45078</v>
      </c>
      <c r="M149" s="751">
        <v>245</v>
      </c>
      <c r="N149" s="751" t="s">
        <v>1238</v>
      </c>
      <c r="O149" s="661"/>
      <c r="P149" s="661"/>
      <c r="Q149" s="661"/>
      <c r="R149" s="661"/>
      <c r="S149" s="661"/>
      <c r="T149" s="661"/>
      <c r="U149" s="661"/>
      <c r="V149" s="661"/>
    </row>
    <row r="150" spans="1:22">
      <c r="A150" s="661"/>
      <c r="B150" s="924">
        <v>147</v>
      </c>
      <c r="C150" s="751" t="s">
        <v>1383</v>
      </c>
      <c r="D150" s="751" t="s">
        <v>1393</v>
      </c>
      <c r="E150" s="751">
        <v>109.2</v>
      </c>
      <c r="F150" s="751" t="s">
        <v>445</v>
      </c>
      <c r="G150" s="751" t="s">
        <v>1394</v>
      </c>
      <c r="H150" s="925">
        <v>43324</v>
      </c>
      <c r="I150" s="925">
        <v>43324</v>
      </c>
      <c r="J150" s="751" t="s">
        <v>1238</v>
      </c>
      <c r="K150" s="751">
        <v>100</v>
      </c>
      <c r="L150" s="925">
        <v>45078</v>
      </c>
      <c r="M150" s="751">
        <v>109.20424</v>
      </c>
      <c r="N150" s="751" t="s">
        <v>1238</v>
      </c>
      <c r="O150" s="661"/>
      <c r="P150" s="661"/>
      <c r="Q150" s="661"/>
      <c r="R150" s="661"/>
      <c r="S150" s="661"/>
      <c r="T150" s="661"/>
      <c r="U150" s="661"/>
      <c r="V150" s="661"/>
    </row>
    <row r="151" spans="1:22">
      <c r="A151" s="661"/>
      <c r="B151" s="924">
        <v>148</v>
      </c>
      <c r="C151" s="751" t="s">
        <v>1395</v>
      </c>
      <c r="D151" s="927" t="s">
        <v>806</v>
      </c>
      <c r="E151" s="751">
        <v>99.4</v>
      </c>
      <c r="F151" s="751" t="s">
        <v>1396</v>
      </c>
      <c r="G151" s="751" t="s">
        <v>1237</v>
      </c>
      <c r="H151" s="925">
        <v>45108</v>
      </c>
      <c r="I151" s="925">
        <v>45108</v>
      </c>
      <c r="J151" s="751" t="s">
        <v>1397</v>
      </c>
      <c r="K151" s="751">
        <v>32</v>
      </c>
      <c r="L151" s="925">
        <v>45108</v>
      </c>
      <c r="M151" s="751">
        <v>99.38</v>
      </c>
      <c r="N151" s="751" t="s">
        <v>1238</v>
      </c>
      <c r="O151" s="661"/>
      <c r="P151" s="661"/>
      <c r="Q151" s="661"/>
      <c r="R151" s="661"/>
      <c r="S151" s="661"/>
      <c r="T151" s="661"/>
      <c r="U151" s="661"/>
      <c r="V151" s="661"/>
    </row>
    <row r="152" spans="1:22">
      <c r="A152" s="661"/>
      <c r="B152" s="924">
        <v>149</v>
      </c>
      <c r="C152" s="751" t="s">
        <v>1395</v>
      </c>
      <c r="D152" s="927" t="s">
        <v>807</v>
      </c>
      <c r="E152" s="751">
        <v>127.8</v>
      </c>
      <c r="F152" s="751" t="s">
        <v>1396</v>
      </c>
      <c r="G152" s="751" t="s">
        <v>1237</v>
      </c>
      <c r="H152" s="925">
        <v>45108</v>
      </c>
      <c r="I152" s="925">
        <v>45108</v>
      </c>
      <c r="J152" s="751" t="s">
        <v>1397</v>
      </c>
      <c r="K152" s="751">
        <v>32</v>
      </c>
      <c r="L152" s="925">
        <v>45108</v>
      </c>
      <c r="M152" s="751">
        <v>127.76</v>
      </c>
      <c r="N152" s="751" t="s">
        <v>1238</v>
      </c>
      <c r="O152" s="661"/>
      <c r="P152" s="661"/>
      <c r="Q152" s="661"/>
      <c r="R152" s="661"/>
      <c r="S152" s="661"/>
      <c r="T152" s="661"/>
      <c r="U152" s="661"/>
      <c r="V152" s="661"/>
    </row>
    <row r="153" spans="1:22">
      <c r="A153" s="661"/>
      <c r="B153" s="924">
        <v>150</v>
      </c>
      <c r="C153" s="751" t="s">
        <v>1395</v>
      </c>
      <c r="D153" s="927" t="s">
        <v>808</v>
      </c>
      <c r="E153" s="751">
        <v>156.19999999999999</v>
      </c>
      <c r="F153" s="751" t="s">
        <v>1396</v>
      </c>
      <c r="G153" s="751" t="s">
        <v>1237</v>
      </c>
      <c r="H153" s="925">
        <v>45108</v>
      </c>
      <c r="I153" s="925">
        <v>45108</v>
      </c>
      <c r="J153" s="751" t="s">
        <v>1397</v>
      </c>
      <c r="K153" s="751">
        <v>32</v>
      </c>
      <c r="L153" s="925">
        <v>45108</v>
      </c>
      <c r="M153" s="751">
        <v>156.22999999999999</v>
      </c>
      <c r="N153" s="751" t="s">
        <v>1238</v>
      </c>
      <c r="O153" s="661"/>
      <c r="P153" s="661"/>
      <c r="Q153" s="661"/>
      <c r="R153" s="661"/>
      <c r="S153" s="661"/>
      <c r="T153" s="661"/>
      <c r="U153" s="661"/>
      <c r="V153" s="661"/>
    </row>
    <row r="154" spans="1:22">
      <c r="A154" s="661"/>
      <c r="B154" s="924">
        <v>151</v>
      </c>
      <c r="C154" s="751" t="s">
        <v>1395</v>
      </c>
      <c r="D154" s="751" t="s">
        <v>809</v>
      </c>
      <c r="E154" s="751">
        <v>184.7</v>
      </c>
      <c r="F154" s="751" t="s">
        <v>1396</v>
      </c>
      <c r="G154" s="751" t="s">
        <v>1237</v>
      </c>
      <c r="H154" s="925">
        <v>44531</v>
      </c>
      <c r="I154" s="925">
        <v>44531</v>
      </c>
      <c r="J154" s="751" t="s">
        <v>1238</v>
      </c>
      <c r="K154" s="751" t="s">
        <v>1238</v>
      </c>
      <c r="L154" s="751" t="s">
        <v>1238</v>
      </c>
      <c r="M154" s="751">
        <v>184.66</v>
      </c>
      <c r="N154" s="751" t="s">
        <v>1238</v>
      </c>
      <c r="O154" s="661"/>
      <c r="P154" s="661"/>
      <c r="Q154" s="661"/>
      <c r="R154" s="661"/>
      <c r="S154" s="661"/>
      <c r="T154" s="661"/>
      <c r="U154" s="661"/>
      <c r="V154" s="661"/>
    </row>
    <row r="155" spans="1:22">
      <c r="A155" s="661"/>
      <c r="B155" s="924">
        <v>152</v>
      </c>
      <c r="C155" s="751" t="s">
        <v>1395</v>
      </c>
      <c r="D155" s="751" t="s">
        <v>810</v>
      </c>
      <c r="E155" s="751">
        <v>65.099999999999994</v>
      </c>
      <c r="F155" s="751" t="s">
        <v>1396</v>
      </c>
      <c r="G155" s="751" t="s">
        <v>1237</v>
      </c>
      <c r="H155" s="925">
        <v>44531</v>
      </c>
      <c r="I155" s="925">
        <v>44531</v>
      </c>
      <c r="J155" s="751" t="s">
        <v>1238</v>
      </c>
      <c r="K155" s="751" t="s">
        <v>1238</v>
      </c>
      <c r="L155" s="751" t="s">
        <v>1238</v>
      </c>
      <c r="M155" s="751">
        <v>65.13</v>
      </c>
      <c r="N155" s="751" t="s">
        <v>1238</v>
      </c>
      <c r="O155" s="661"/>
      <c r="P155" s="661"/>
      <c r="Q155" s="661"/>
      <c r="R155" s="661"/>
      <c r="S155" s="661"/>
      <c r="T155" s="661"/>
      <c r="U155" s="661"/>
      <c r="V155" s="661"/>
    </row>
    <row r="156" spans="1:22">
      <c r="A156" s="661"/>
      <c r="B156" s="924">
        <v>153</v>
      </c>
      <c r="C156" s="751" t="s">
        <v>1395</v>
      </c>
      <c r="D156" s="751" t="s">
        <v>811</v>
      </c>
      <c r="E156" s="751">
        <v>61.5</v>
      </c>
      <c r="F156" s="751" t="s">
        <v>1396</v>
      </c>
      <c r="G156" s="751" t="s">
        <v>1237</v>
      </c>
      <c r="H156" s="925">
        <v>45108</v>
      </c>
      <c r="I156" s="925">
        <v>45108</v>
      </c>
      <c r="J156" s="751" t="s">
        <v>1238</v>
      </c>
      <c r="K156" s="751">
        <v>19</v>
      </c>
      <c r="L156" s="925">
        <v>45108</v>
      </c>
      <c r="M156" s="751">
        <v>61.49</v>
      </c>
      <c r="N156" s="751" t="s">
        <v>1238</v>
      </c>
      <c r="O156" s="661"/>
      <c r="P156" s="661"/>
      <c r="Q156" s="661"/>
      <c r="R156" s="661"/>
      <c r="S156" s="661"/>
      <c r="T156" s="661"/>
      <c r="U156" s="661"/>
      <c r="V156" s="661"/>
    </row>
    <row r="157" spans="1:22">
      <c r="A157" s="661"/>
      <c r="B157" s="924">
        <v>154</v>
      </c>
      <c r="C157" s="751" t="s">
        <v>1395</v>
      </c>
      <c r="D157" s="751" t="s">
        <v>812</v>
      </c>
      <c r="E157" s="751">
        <v>80</v>
      </c>
      <c r="F157" s="751" t="s">
        <v>1396</v>
      </c>
      <c r="G157" s="751" t="s">
        <v>1237</v>
      </c>
      <c r="H157" s="925">
        <v>45108</v>
      </c>
      <c r="I157" s="925">
        <v>45108</v>
      </c>
      <c r="J157" s="751" t="s">
        <v>1238</v>
      </c>
      <c r="K157" s="751">
        <v>19</v>
      </c>
      <c r="L157" s="925">
        <v>45108</v>
      </c>
      <c r="M157" s="751">
        <v>80.040000000000006</v>
      </c>
      <c r="N157" s="751" t="s">
        <v>1238</v>
      </c>
      <c r="O157" s="661"/>
      <c r="P157" s="661"/>
      <c r="Q157" s="661"/>
      <c r="R157" s="661"/>
      <c r="S157" s="661"/>
      <c r="T157" s="661"/>
      <c r="U157" s="661"/>
      <c r="V157" s="661"/>
    </row>
    <row r="158" spans="1:22">
      <c r="A158" s="661"/>
      <c r="B158" s="924">
        <v>155</v>
      </c>
      <c r="C158" s="751" t="s">
        <v>1395</v>
      </c>
      <c r="D158" s="751" t="s">
        <v>813</v>
      </c>
      <c r="E158" s="751">
        <v>121</v>
      </c>
      <c r="F158" s="751" t="s">
        <v>1396</v>
      </c>
      <c r="G158" s="751" t="s">
        <v>1237</v>
      </c>
      <c r="H158" s="925">
        <v>44531</v>
      </c>
      <c r="I158" s="925">
        <v>44531</v>
      </c>
      <c r="J158" s="751" t="s">
        <v>1238</v>
      </c>
      <c r="K158" s="751" t="s">
        <v>1238</v>
      </c>
      <c r="L158" s="751" t="s">
        <v>1238</v>
      </c>
      <c r="M158" s="751">
        <v>121.02</v>
      </c>
      <c r="N158" s="751" t="s">
        <v>1238</v>
      </c>
      <c r="O158" s="661"/>
      <c r="P158" s="661"/>
      <c r="Q158" s="661"/>
      <c r="R158" s="661"/>
      <c r="S158" s="661"/>
      <c r="T158" s="661"/>
      <c r="U158" s="661"/>
      <c r="V158" s="661"/>
    </row>
    <row r="159" spans="1:22">
      <c r="A159" s="661"/>
      <c r="B159" s="924">
        <v>156</v>
      </c>
      <c r="C159" s="751" t="s">
        <v>1395</v>
      </c>
      <c r="D159" s="751" t="s">
        <v>814</v>
      </c>
      <c r="E159" s="751">
        <v>40.299999999999997</v>
      </c>
      <c r="F159" s="751" t="s">
        <v>1396</v>
      </c>
      <c r="G159" s="751" t="s">
        <v>1237</v>
      </c>
      <c r="H159" s="925">
        <v>44531</v>
      </c>
      <c r="I159" s="925">
        <v>44531</v>
      </c>
      <c r="J159" s="751" t="s">
        <v>1238</v>
      </c>
      <c r="K159" s="751" t="s">
        <v>1238</v>
      </c>
      <c r="L159" s="751" t="s">
        <v>1238</v>
      </c>
      <c r="M159" s="751">
        <v>40.26</v>
      </c>
      <c r="N159" s="751" t="s">
        <v>1238</v>
      </c>
      <c r="O159" s="661"/>
      <c r="P159" s="661"/>
      <c r="Q159" s="661"/>
      <c r="R159" s="661"/>
      <c r="S159" s="661"/>
      <c r="T159" s="661"/>
      <c r="U159" s="661"/>
      <c r="V159" s="661"/>
    </row>
    <row r="160" spans="1:22">
      <c r="A160" s="661"/>
      <c r="B160" s="924">
        <v>157</v>
      </c>
      <c r="C160" s="751" t="s">
        <v>1395</v>
      </c>
      <c r="D160" s="751" t="s">
        <v>815</v>
      </c>
      <c r="E160" s="751">
        <v>51.8</v>
      </c>
      <c r="F160" s="751" t="s">
        <v>1396</v>
      </c>
      <c r="G160" s="751" t="s">
        <v>1237</v>
      </c>
      <c r="H160" s="925">
        <v>44531</v>
      </c>
      <c r="I160" s="925">
        <v>44531</v>
      </c>
      <c r="J160" s="751" t="s">
        <v>1238</v>
      </c>
      <c r="K160" s="751" t="s">
        <v>1238</v>
      </c>
      <c r="L160" s="751" t="s">
        <v>1238</v>
      </c>
      <c r="M160" s="751">
        <v>51.75</v>
      </c>
      <c r="N160" s="751" t="s">
        <v>1238</v>
      </c>
      <c r="O160" s="661"/>
      <c r="P160" s="661"/>
      <c r="Q160" s="661"/>
      <c r="R160" s="661"/>
      <c r="S160" s="661"/>
      <c r="T160" s="661"/>
      <c r="U160" s="661"/>
      <c r="V160" s="661"/>
    </row>
    <row r="161" spans="1:22">
      <c r="A161" s="661"/>
      <c r="B161" s="924">
        <v>158</v>
      </c>
      <c r="C161" s="751" t="s">
        <v>1395</v>
      </c>
      <c r="D161" s="751" t="s">
        <v>816</v>
      </c>
      <c r="E161" s="751">
        <v>63.3</v>
      </c>
      <c r="F161" s="751" t="s">
        <v>1396</v>
      </c>
      <c r="G161" s="751" t="s">
        <v>1237</v>
      </c>
      <c r="H161" s="925">
        <v>44531</v>
      </c>
      <c r="I161" s="925">
        <v>44531</v>
      </c>
      <c r="J161" s="751" t="s">
        <v>1238</v>
      </c>
      <c r="K161" s="751" t="s">
        <v>1238</v>
      </c>
      <c r="L161" s="751" t="s">
        <v>1238</v>
      </c>
      <c r="M161" s="751">
        <v>63.29</v>
      </c>
      <c r="N161" s="751" t="s">
        <v>1238</v>
      </c>
      <c r="O161" s="661"/>
      <c r="P161" s="661"/>
      <c r="Q161" s="661"/>
      <c r="R161" s="661"/>
      <c r="S161" s="661"/>
      <c r="T161" s="661"/>
      <c r="U161" s="661"/>
      <c r="V161" s="661"/>
    </row>
    <row r="162" spans="1:22">
      <c r="A162" s="661"/>
      <c r="B162" s="924">
        <v>159</v>
      </c>
      <c r="C162" s="751" t="s">
        <v>1395</v>
      </c>
      <c r="D162" s="751" t="s">
        <v>817</v>
      </c>
      <c r="E162" s="751">
        <v>74.8</v>
      </c>
      <c r="F162" s="751" t="s">
        <v>1396</v>
      </c>
      <c r="G162" s="751" t="s">
        <v>1237</v>
      </c>
      <c r="H162" s="925">
        <v>44531</v>
      </c>
      <c r="I162" s="925">
        <v>44531</v>
      </c>
      <c r="J162" s="751" t="s">
        <v>1238</v>
      </c>
      <c r="K162" s="751" t="s">
        <v>1238</v>
      </c>
      <c r="L162" s="751" t="s">
        <v>1238</v>
      </c>
      <c r="M162" s="751">
        <v>74.8</v>
      </c>
      <c r="N162" s="751" t="s">
        <v>1238</v>
      </c>
      <c r="O162" s="661"/>
      <c r="P162" s="661"/>
      <c r="Q162" s="661"/>
      <c r="R162" s="661"/>
      <c r="S162" s="661"/>
      <c r="T162" s="661"/>
      <c r="U162" s="661"/>
      <c r="V162" s="661"/>
    </row>
    <row r="163" spans="1:22">
      <c r="A163" s="661"/>
      <c r="B163" s="924">
        <v>160</v>
      </c>
      <c r="C163" s="751" t="s">
        <v>1395</v>
      </c>
      <c r="D163" s="751" t="s">
        <v>818</v>
      </c>
      <c r="E163" s="751">
        <v>86.3</v>
      </c>
      <c r="F163" s="751" t="s">
        <v>1396</v>
      </c>
      <c r="G163" s="751" t="s">
        <v>1237</v>
      </c>
      <c r="H163" s="925">
        <v>44531</v>
      </c>
      <c r="I163" s="925">
        <v>44531</v>
      </c>
      <c r="J163" s="751" t="s">
        <v>1238</v>
      </c>
      <c r="K163" s="751" t="s">
        <v>1238</v>
      </c>
      <c r="L163" s="751" t="s">
        <v>1238</v>
      </c>
      <c r="M163" s="751">
        <v>86.31</v>
      </c>
      <c r="N163" s="751" t="s">
        <v>1238</v>
      </c>
      <c r="O163" s="661"/>
      <c r="P163" s="661"/>
      <c r="Q163" s="661"/>
      <c r="R163" s="661"/>
      <c r="S163" s="661"/>
      <c r="T163" s="661"/>
      <c r="U163" s="661"/>
      <c r="V163" s="661"/>
    </row>
    <row r="164" spans="1:22">
      <c r="A164" s="661"/>
      <c r="B164" s="924">
        <v>161</v>
      </c>
      <c r="C164" s="751" t="s">
        <v>881</v>
      </c>
      <c r="D164" s="751" t="s">
        <v>1398</v>
      </c>
      <c r="E164" s="751">
        <v>10</v>
      </c>
      <c r="F164" s="751" t="s">
        <v>1396</v>
      </c>
      <c r="G164" s="751" t="s">
        <v>1390</v>
      </c>
      <c r="H164" s="925">
        <v>43140</v>
      </c>
      <c r="I164" s="925">
        <v>43140</v>
      </c>
      <c r="J164" s="751" t="s">
        <v>1238</v>
      </c>
      <c r="K164" s="751" t="s">
        <v>1238</v>
      </c>
      <c r="L164" s="751" t="s">
        <v>1238</v>
      </c>
      <c r="M164" s="751">
        <v>9.9700000000000006</v>
      </c>
      <c r="N164" s="751" t="s">
        <v>1238</v>
      </c>
      <c r="O164" s="661"/>
      <c r="P164" s="661"/>
      <c r="Q164" s="661"/>
      <c r="R164" s="661"/>
      <c r="S164" s="661"/>
      <c r="T164" s="661"/>
      <c r="U164" s="661"/>
      <c r="V164" s="661"/>
    </row>
    <row r="165" spans="1:22">
      <c r="A165" s="661"/>
      <c r="B165" s="924">
        <v>162</v>
      </c>
      <c r="C165" s="751" t="s">
        <v>881</v>
      </c>
      <c r="D165" s="751" t="s">
        <v>1399</v>
      </c>
      <c r="E165" s="751">
        <v>14</v>
      </c>
      <c r="F165" s="751" t="s">
        <v>1396</v>
      </c>
      <c r="G165" s="751" t="s">
        <v>1390</v>
      </c>
      <c r="H165" s="925">
        <v>43140</v>
      </c>
      <c r="I165" s="925">
        <v>43140</v>
      </c>
      <c r="J165" s="751" t="s">
        <v>1238</v>
      </c>
      <c r="K165" s="751" t="s">
        <v>1238</v>
      </c>
      <c r="L165" s="751" t="s">
        <v>1238</v>
      </c>
      <c r="M165" s="751">
        <v>13.97</v>
      </c>
      <c r="N165" s="751" t="s">
        <v>1238</v>
      </c>
      <c r="O165" s="661"/>
      <c r="P165" s="661"/>
      <c r="Q165" s="661"/>
      <c r="R165" s="661"/>
      <c r="S165" s="661"/>
      <c r="T165" s="661"/>
      <c r="U165" s="661"/>
      <c r="V165" s="661"/>
    </row>
    <row r="166" spans="1:22">
      <c r="A166" s="661"/>
      <c r="B166" s="924">
        <v>163</v>
      </c>
      <c r="C166" s="751" t="s">
        <v>881</v>
      </c>
      <c r="D166" s="751" t="s">
        <v>1400</v>
      </c>
      <c r="E166" s="751">
        <v>22.5</v>
      </c>
      <c r="F166" s="751" t="s">
        <v>1396</v>
      </c>
      <c r="G166" s="751" t="s">
        <v>1390</v>
      </c>
      <c r="H166" s="925">
        <v>43140</v>
      </c>
      <c r="I166" s="925">
        <v>43140</v>
      </c>
      <c r="J166" s="751" t="s">
        <v>1238</v>
      </c>
      <c r="K166" s="751" t="s">
        <v>1238</v>
      </c>
      <c r="L166" s="751" t="s">
        <v>1238</v>
      </c>
      <c r="M166" s="751">
        <v>22.47</v>
      </c>
      <c r="N166" s="751" t="s">
        <v>1238</v>
      </c>
      <c r="O166" s="661"/>
      <c r="P166" s="661"/>
      <c r="Q166" s="661"/>
      <c r="R166" s="661"/>
      <c r="S166" s="661"/>
      <c r="T166" s="661"/>
      <c r="U166" s="661"/>
      <c r="V166" s="661"/>
    </row>
    <row r="167" spans="1:22">
      <c r="A167" s="661"/>
      <c r="B167" s="924">
        <v>164</v>
      </c>
      <c r="C167" s="751" t="s">
        <v>881</v>
      </c>
      <c r="D167" s="751" t="s">
        <v>1401</v>
      </c>
      <c r="E167" s="751">
        <v>31.4</v>
      </c>
      <c r="F167" s="751" t="s">
        <v>1396</v>
      </c>
      <c r="G167" s="751" t="s">
        <v>1390</v>
      </c>
      <c r="H167" s="925">
        <v>43140</v>
      </c>
      <c r="I167" s="925">
        <v>43140</v>
      </c>
      <c r="J167" s="751" t="s">
        <v>1238</v>
      </c>
      <c r="K167" s="751" t="s">
        <v>1238</v>
      </c>
      <c r="L167" s="751" t="s">
        <v>1238</v>
      </c>
      <c r="M167" s="751">
        <v>31.42</v>
      </c>
      <c r="N167" s="751" t="s">
        <v>1238</v>
      </c>
      <c r="O167" s="661"/>
      <c r="P167" s="661"/>
      <c r="Q167" s="661"/>
      <c r="R167" s="661"/>
      <c r="S167" s="661"/>
      <c r="T167" s="661"/>
      <c r="U167" s="661"/>
      <c r="V167" s="661"/>
    </row>
    <row r="168" spans="1:22">
      <c r="A168" s="661"/>
      <c r="B168" s="924">
        <v>165</v>
      </c>
      <c r="C168" s="751" t="s">
        <v>881</v>
      </c>
      <c r="D168" s="751" t="s">
        <v>1402</v>
      </c>
      <c r="E168" s="751">
        <v>40.4</v>
      </c>
      <c r="F168" s="751" t="s">
        <v>1396</v>
      </c>
      <c r="G168" s="751" t="s">
        <v>1390</v>
      </c>
      <c r="H168" s="925">
        <v>43140</v>
      </c>
      <c r="I168" s="925">
        <v>43140</v>
      </c>
      <c r="J168" s="751" t="s">
        <v>1238</v>
      </c>
      <c r="K168" s="751" t="s">
        <v>1238</v>
      </c>
      <c r="L168" s="751" t="s">
        <v>1238</v>
      </c>
      <c r="M168" s="751">
        <v>40.43</v>
      </c>
      <c r="N168" s="751" t="s">
        <v>1238</v>
      </c>
      <c r="O168" s="661"/>
      <c r="P168" s="661"/>
      <c r="Q168" s="661"/>
      <c r="R168" s="661"/>
      <c r="S168" s="661"/>
      <c r="T168" s="661"/>
      <c r="U168" s="661"/>
      <c r="V168" s="661"/>
    </row>
    <row r="169" spans="1:22">
      <c r="A169" s="661"/>
      <c r="B169" s="924">
        <v>166</v>
      </c>
      <c r="C169" s="751" t="s">
        <v>881</v>
      </c>
      <c r="D169" s="751" t="s">
        <v>1403</v>
      </c>
      <c r="E169" s="751">
        <v>55.9</v>
      </c>
      <c r="F169" s="751" t="s">
        <v>1396</v>
      </c>
      <c r="G169" s="751" t="s">
        <v>1390</v>
      </c>
      <c r="H169" s="925">
        <v>43140</v>
      </c>
      <c r="I169" s="925">
        <v>43140</v>
      </c>
      <c r="J169" s="751" t="s">
        <v>1238</v>
      </c>
      <c r="K169" s="751" t="s">
        <v>1238</v>
      </c>
      <c r="L169" s="751" t="s">
        <v>1238</v>
      </c>
      <c r="M169" s="751">
        <v>55.91</v>
      </c>
      <c r="N169" s="751" t="s">
        <v>1238</v>
      </c>
      <c r="O169" s="661"/>
      <c r="P169" s="661"/>
      <c r="Q169" s="661"/>
      <c r="R169" s="661"/>
      <c r="S169" s="661"/>
      <c r="T169" s="661"/>
      <c r="U169" s="661"/>
      <c r="V169" s="661"/>
    </row>
    <row r="170" spans="1:22">
      <c r="A170" s="661"/>
      <c r="B170" s="924">
        <v>167</v>
      </c>
      <c r="C170" s="751" t="s">
        <v>881</v>
      </c>
      <c r="D170" s="751" t="s">
        <v>1404</v>
      </c>
      <c r="E170" s="751">
        <v>4.8</v>
      </c>
      <c r="F170" s="751" t="s">
        <v>1396</v>
      </c>
      <c r="G170" s="751" t="s">
        <v>1390</v>
      </c>
      <c r="H170" s="925">
        <v>43140</v>
      </c>
      <c r="I170" s="925">
        <v>43140</v>
      </c>
      <c r="J170" s="751" t="s">
        <v>1238</v>
      </c>
      <c r="K170" s="751" t="s">
        <v>1238</v>
      </c>
      <c r="L170" s="751" t="s">
        <v>1238</v>
      </c>
      <c r="M170" s="751">
        <v>4.8</v>
      </c>
      <c r="N170" s="751" t="s">
        <v>1238</v>
      </c>
      <c r="O170" s="661"/>
      <c r="P170" s="661"/>
      <c r="Q170" s="661"/>
      <c r="R170" s="661"/>
      <c r="S170" s="661"/>
      <c r="T170" s="661"/>
      <c r="U170" s="661"/>
      <c r="V170" s="661"/>
    </row>
    <row r="171" spans="1:22">
      <c r="A171" s="661"/>
      <c r="B171" s="924">
        <v>168</v>
      </c>
      <c r="C171" s="751" t="s">
        <v>881</v>
      </c>
      <c r="D171" s="751" t="s">
        <v>1405</v>
      </c>
      <c r="E171" s="751">
        <v>5.5</v>
      </c>
      <c r="F171" s="751" t="s">
        <v>1396</v>
      </c>
      <c r="G171" s="751" t="s">
        <v>1390</v>
      </c>
      <c r="H171" s="925">
        <v>43140</v>
      </c>
      <c r="I171" s="925">
        <v>43140</v>
      </c>
      <c r="J171" s="751" t="s">
        <v>1238</v>
      </c>
      <c r="K171" s="751" t="s">
        <v>1238</v>
      </c>
      <c r="L171" s="751" t="s">
        <v>1238</v>
      </c>
      <c r="M171" s="751">
        <v>5.46</v>
      </c>
      <c r="N171" s="751" t="s">
        <v>1238</v>
      </c>
      <c r="O171" s="661"/>
      <c r="P171" s="661"/>
      <c r="Q171" s="661"/>
      <c r="R171" s="661"/>
      <c r="S171" s="661"/>
      <c r="T171" s="661"/>
      <c r="U171" s="661"/>
      <c r="V171" s="661"/>
    </row>
    <row r="172" spans="1:22">
      <c r="A172" s="661"/>
      <c r="B172" s="924">
        <v>169</v>
      </c>
      <c r="C172" s="751" t="s">
        <v>881</v>
      </c>
      <c r="D172" s="751" t="s">
        <v>1406</v>
      </c>
      <c r="E172" s="751">
        <v>5.5</v>
      </c>
      <c r="F172" s="751" t="s">
        <v>1396</v>
      </c>
      <c r="G172" s="751" t="s">
        <v>1390</v>
      </c>
      <c r="H172" s="925">
        <v>43140</v>
      </c>
      <c r="I172" s="925">
        <v>43140</v>
      </c>
      <c r="J172" s="751" t="s">
        <v>1238</v>
      </c>
      <c r="K172" s="751" t="s">
        <v>1238</v>
      </c>
      <c r="L172" s="751" t="s">
        <v>1238</v>
      </c>
      <c r="M172" s="751">
        <v>5.46</v>
      </c>
      <c r="N172" s="751" t="s">
        <v>1238</v>
      </c>
      <c r="O172" s="661"/>
      <c r="P172" s="661"/>
      <c r="Q172" s="661"/>
      <c r="R172" s="661"/>
      <c r="S172" s="661"/>
      <c r="T172" s="661"/>
      <c r="U172" s="661"/>
      <c r="V172" s="661"/>
    </row>
    <row r="173" spans="1:22">
      <c r="A173" s="661"/>
      <c r="B173" s="924">
        <v>170</v>
      </c>
      <c r="C173" s="751" t="s">
        <v>881</v>
      </c>
      <c r="D173" s="751" t="s">
        <v>1407</v>
      </c>
      <c r="E173" s="751">
        <v>6.7</v>
      </c>
      <c r="F173" s="751" t="s">
        <v>1396</v>
      </c>
      <c r="G173" s="751" t="s">
        <v>1390</v>
      </c>
      <c r="H173" s="925">
        <v>43140</v>
      </c>
      <c r="I173" s="925">
        <v>43140</v>
      </c>
      <c r="J173" s="751" t="s">
        <v>1238</v>
      </c>
      <c r="K173" s="751" t="s">
        <v>1238</v>
      </c>
      <c r="L173" s="751" t="s">
        <v>1238</v>
      </c>
      <c r="M173" s="751">
        <v>6.68</v>
      </c>
      <c r="N173" s="751" t="s">
        <v>1238</v>
      </c>
      <c r="O173" s="661"/>
      <c r="P173" s="661"/>
      <c r="Q173" s="661"/>
      <c r="R173" s="661"/>
      <c r="S173" s="661"/>
      <c r="T173" s="661"/>
      <c r="U173" s="661"/>
      <c r="V173" s="661"/>
    </row>
    <row r="174" spans="1:22">
      <c r="A174" s="661"/>
      <c r="B174" s="924">
        <v>171</v>
      </c>
      <c r="C174" s="751" t="s">
        <v>881</v>
      </c>
      <c r="D174" s="751" t="s">
        <v>1408</v>
      </c>
      <c r="E174" s="751">
        <v>8</v>
      </c>
      <c r="F174" s="751" t="s">
        <v>1396</v>
      </c>
      <c r="G174" s="751" t="s">
        <v>1390</v>
      </c>
      <c r="H174" s="925">
        <v>43140</v>
      </c>
      <c r="I174" s="925">
        <v>43140</v>
      </c>
      <c r="J174" s="751" t="s">
        <v>1238</v>
      </c>
      <c r="K174" s="751" t="s">
        <v>1238</v>
      </c>
      <c r="L174" s="751" t="s">
        <v>1238</v>
      </c>
      <c r="M174" s="751">
        <v>8</v>
      </c>
      <c r="N174" s="751" t="s">
        <v>1238</v>
      </c>
      <c r="O174" s="661"/>
      <c r="P174" s="661"/>
      <c r="Q174" s="661"/>
      <c r="R174" s="661"/>
      <c r="S174" s="661"/>
      <c r="T174" s="661"/>
      <c r="U174" s="661"/>
      <c r="V174" s="661"/>
    </row>
    <row r="175" spans="1:22">
      <c r="A175" s="661"/>
      <c r="B175" s="924">
        <v>172</v>
      </c>
      <c r="C175" s="751" t="s">
        <v>881</v>
      </c>
      <c r="D175" s="751" t="s">
        <v>1409</v>
      </c>
      <c r="E175" s="751">
        <v>15.1</v>
      </c>
      <c r="F175" s="751" t="s">
        <v>1396</v>
      </c>
      <c r="G175" s="751" t="s">
        <v>1390</v>
      </c>
      <c r="H175" s="925">
        <v>43140</v>
      </c>
      <c r="I175" s="925">
        <v>43140</v>
      </c>
      <c r="J175" s="751" t="s">
        <v>1238</v>
      </c>
      <c r="K175" s="751" t="s">
        <v>1238</v>
      </c>
      <c r="L175" s="751" t="s">
        <v>1238</v>
      </c>
      <c r="M175" s="751">
        <v>15.06</v>
      </c>
      <c r="N175" s="751" t="s">
        <v>1238</v>
      </c>
      <c r="O175" s="661"/>
      <c r="P175" s="661"/>
      <c r="Q175" s="661"/>
      <c r="R175" s="661"/>
      <c r="S175" s="661"/>
      <c r="T175" s="661"/>
      <c r="U175" s="661"/>
      <c r="V175" s="661"/>
    </row>
    <row r="176" spans="1:22">
      <c r="A176" s="661"/>
      <c r="B176" s="924">
        <v>173</v>
      </c>
      <c r="C176" s="751" t="s">
        <v>881</v>
      </c>
      <c r="D176" s="751" t="s">
        <v>1410</v>
      </c>
      <c r="E176" s="751">
        <v>14.2</v>
      </c>
      <c r="F176" s="751" t="s">
        <v>1396</v>
      </c>
      <c r="G176" s="751" t="s">
        <v>1390</v>
      </c>
      <c r="H176" s="925">
        <v>43140</v>
      </c>
      <c r="I176" s="925">
        <v>43140</v>
      </c>
      <c r="J176" s="751" t="s">
        <v>1238</v>
      </c>
      <c r="K176" s="751" t="s">
        <v>1238</v>
      </c>
      <c r="L176" s="751" t="s">
        <v>1238</v>
      </c>
      <c r="M176" s="751">
        <v>14.22</v>
      </c>
      <c r="N176" s="751" t="s">
        <v>1238</v>
      </c>
      <c r="O176" s="661"/>
      <c r="P176" s="661"/>
      <c r="Q176" s="661"/>
      <c r="R176" s="661"/>
      <c r="S176" s="661"/>
      <c r="T176" s="661"/>
      <c r="U176" s="661"/>
      <c r="V176" s="661"/>
    </row>
    <row r="177" spans="1:22">
      <c r="A177" s="661"/>
      <c r="B177" s="924">
        <v>174</v>
      </c>
      <c r="C177" s="751" t="s">
        <v>881</v>
      </c>
      <c r="D177" s="751" t="s">
        <v>1411</v>
      </c>
      <c r="E177" s="751">
        <v>24.1</v>
      </c>
      <c r="F177" s="751" t="s">
        <v>1396</v>
      </c>
      <c r="G177" s="751" t="s">
        <v>1390</v>
      </c>
      <c r="H177" s="925">
        <v>43140</v>
      </c>
      <c r="I177" s="925">
        <v>43140</v>
      </c>
      <c r="J177" s="751" t="s">
        <v>1238</v>
      </c>
      <c r="K177" s="751" t="s">
        <v>1238</v>
      </c>
      <c r="L177" s="751" t="s">
        <v>1238</v>
      </c>
      <c r="M177" s="751">
        <v>24.1</v>
      </c>
      <c r="N177" s="751" t="s">
        <v>1238</v>
      </c>
      <c r="O177" s="661"/>
      <c r="P177" s="661"/>
      <c r="Q177" s="661"/>
      <c r="R177" s="661"/>
      <c r="S177" s="661"/>
      <c r="T177" s="661"/>
      <c r="U177" s="661"/>
      <c r="V177" s="661"/>
    </row>
    <row r="178" spans="1:22">
      <c r="A178" s="661"/>
      <c r="B178" s="924">
        <v>175</v>
      </c>
      <c r="C178" s="751" t="s">
        <v>881</v>
      </c>
      <c r="D178" s="751" t="s">
        <v>1412</v>
      </c>
      <c r="E178" s="751">
        <v>26.1</v>
      </c>
      <c r="F178" s="751" t="s">
        <v>1396</v>
      </c>
      <c r="G178" s="751" t="s">
        <v>1390</v>
      </c>
      <c r="H178" s="925">
        <v>43140</v>
      </c>
      <c r="I178" s="925">
        <v>43140</v>
      </c>
      <c r="J178" s="751" t="s">
        <v>1238</v>
      </c>
      <c r="K178" s="751" t="s">
        <v>1238</v>
      </c>
      <c r="L178" s="751" t="s">
        <v>1238</v>
      </c>
      <c r="M178" s="751">
        <v>26.1</v>
      </c>
      <c r="N178" s="751" t="s">
        <v>1238</v>
      </c>
      <c r="O178" s="661"/>
      <c r="P178" s="661"/>
      <c r="Q178" s="661"/>
      <c r="R178" s="661"/>
      <c r="S178" s="661"/>
      <c r="T178" s="661"/>
      <c r="U178" s="661"/>
      <c r="V178" s="661"/>
    </row>
    <row r="179" spans="1:22">
      <c r="A179" s="661"/>
      <c r="B179" s="924">
        <v>176</v>
      </c>
      <c r="C179" s="751" t="s">
        <v>881</v>
      </c>
      <c r="D179" s="751" t="s">
        <v>1413</v>
      </c>
      <c r="E179" s="751">
        <v>0.2</v>
      </c>
      <c r="F179" s="751" t="s">
        <v>449</v>
      </c>
      <c r="G179" s="751" t="s">
        <v>1390</v>
      </c>
      <c r="H179" s="925">
        <v>43140</v>
      </c>
      <c r="I179" s="925">
        <v>43140</v>
      </c>
      <c r="J179" s="751" t="s">
        <v>1238</v>
      </c>
      <c r="K179" s="751" t="s">
        <v>1238</v>
      </c>
      <c r="L179" s="751" t="s">
        <v>1238</v>
      </c>
      <c r="M179" s="751">
        <v>0.24</v>
      </c>
      <c r="N179" s="751" t="s">
        <v>1238</v>
      </c>
      <c r="O179" s="661"/>
      <c r="P179" s="661"/>
      <c r="Q179" s="661"/>
      <c r="R179" s="661"/>
      <c r="S179" s="661"/>
      <c r="T179" s="661"/>
      <c r="U179" s="661"/>
      <c r="V179" s="661"/>
    </row>
    <row r="180" spans="1:22">
      <c r="A180" s="661"/>
      <c r="B180" s="924">
        <v>177</v>
      </c>
      <c r="C180" s="751" t="s">
        <v>881</v>
      </c>
      <c r="D180" s="751" t="s">
        <v>1414</v>
      </c>
      <c r="E180" s="751">
        <v>0.3</v>
      </c>
      <c r="F180" s="751" t="s">
        <v>449</v>
      </c>
      <c r="G180" s="751" t="s">
        <v>1390</v>
      </c>
      <c r="H180" s="925">
        <v>43140</v>
      </c>
      <c r="I180" s="925">
        <v>43140</v>
      </c>
      <c r="J180" s="751" t="s">
        <v>1238</v>
      </c>
      <c r="K180" s="751" t="s">
        <v>1238</v>
      </c>
      <c r="L180" s="751" t="s">
        <v>1238</v>
      </c>
      <c r="M180" s="751">
        <v>0.3</v>
      </c>
      <c r="N180" s="751" t="s">
        <v>1238</v>
      </c>
      <c r="O180" s="661"/>
      <c r="P180" s="661"/>
      <c r="Q180" s="661"/>
      <c r="R180" s="661"/>
      <c r="S180" s="661"/>
      <c r="T180" s="661"/>
      <c r="U180" s="661"/>
      <c r="V180" s="661"/>
    </row>
    <row r="181" spans="1:22">
      <c r="A181" s="661"/>
      <c r="B181" s="924">
        <v>178</v>
      </c>
      <c r="C181" s="751" t="s">
        <v>881</v>
      </c>
      <c r="D181" s="751" t="s">
        <v>1415</v>
      </c>
      <c r="E181" s="751">
        <v>0.3</v>
      </c>
      <c r="F181" s="751" t="s">
        <v>449</v>
      </c>
      <c r="G181" s="751" t="s">
        <v>1390</v>
      </c>
      <c r="H181" s="925">
        <v>43140</v>
      </c>
      <c r="I181" s="925">
        <v>43140</v>
      </c>
      <c r="J181" s="751" t="s">
        <v>1238</v>
      </c>
      <c r="K181" s="751" t="s">
        <v>1238</v>
      </c>
      <c r="L181" s="751" t="s">
        <v>1238</v>
      </c>
      <c r="M181" s="751">
        <v>0.3</v>
      </c>
      <c r="N181" s="751" t="s">
        <v>1238</v>
      </c>
      <c r="O181" s="661"/>
      <c r="P181" s="661"/>
      <c r="Q181" s="661"/>
      <c r="R181" s="661"/>
      <c r="S181" s="661"/>
      <c r="T181" s="661"/>
      <c r="U181" s="661"/>
      <c r="V181" s="661"/>
    </row>
    <row r="182" spans="1:22">
      <c r="A182" s="661"/>
      <c r="B182" s="924">
        <v>179</v>
      </c>
      <c r="C182" s="751" t="s">
        <v>881</v>
      </c>
      <c r="D182" s="751" t="s">
        <v>1416</v>
      </c>
      <c r="E182" s="751">
        <v>0.4</v>
      </c>
      <c r="F182" s="751" t="s">
        <v>449</v>
      </c>
      <c r="G182" s="751" t="s">
        <v>1390</v>
      </c>
      <c r="H182" s="925">
        <v>43140</v>
      </c>
      <c r="I182" s="925">
        <v>43140</v>
      </c>
      <c r="J182" s="751" t="s">
        <v>1238</v>
      </c>
      <c r="K182" s="751" t="s">
        <v>1238</v>
      </c>
      <c r="L182" s="751" t="s">
        <v>1238</v>
      </c>
      <c r="M182" s="751">
        <v>0.4</v>
      </c>
      <c r="N182" s="751" t="s">
        <v>1238</v>
      </c>
      <c r="O182" s="661"/>
      <c r="P182" s="661"/>
      <c r="Q182" s="661"/>
      <c r="R182" s="661"/>
      <c r="S182" s="661"/>
      <c r="T182" s="661"/>
      <c r="U182" s="661"/>
      <c r="V182" s="661"/>
    </row>
    <row r="183" spans="1:22">
      <c r="A183" s="661"/>
      <c r="B183" s="924">
        <v>180</v>
      </c>
      <c r="C183" s="751" t="s">
        <v>881</v>
      </c>
      <c r="D183" s="751" t="s">
        <v>1417</v>
      </c>
      <c r="E183" s="751">
        <v>0.4</v>
      </c>
      <c r="F183" s="751" t="s">
        <v>449</v>
      </c>
      <c r="G183" s="751" t="s">
        <v>1390</v>
      </c>
      <c r="H183" s="925">
        <v>43140</v>
      </c>
      <c r="I183" s="925">
        <v>43140</v>
      </c>
      <c r="J183" s="751" t="s">
        <v>1238</v>
      </c>
      <c r="K183" s="751" t="s">
        <v>1238</v>
      </c>
      <c r="L183" s="751" t="s">
        <v>1238</v>
      </c>
      <c r="M183" s="751">
        <v>0.4</v>
      </c>
      <c r="N183" s="751" t="s">
        <v>1238</v>
      </c>
      <c r="O183" s="661"/>
      <c r="P183" s="661"/>
      <c r="Q183" s="928"/>
      <c r="R183" s="661"/>
      <c r="S183" s="661"/>
      <c r="T183" s="661"/>
      <c r="U183" s="661"/>
      <c r="V183" s="661"/>
    </row>
    <row r="184" spans="1:22">
      <c r="A184" s="661"/>
      <c r="B184" s="924">
        <v>181</v>
      </c>
      <c r="C184" s="751" t="s">
        <v>881</v>
      </c>
      <c r="D184" s="751" t="s">
        <v>1418</v>
      </c>
      <c r="E184" s="929">
        <v>18.28</v>
      </c>
      <c r="F184" s="751" t="s">
        <v>1396</v>
      </c>
      <c r="G184" s="751" t="s">
        <v>1237</v>
      </c>
      <c r="H184" s="925">
        <v>44652</v>
      </c>
      <c r="I184" s="925">
        <v>44652</v>
      </c>
      <c r="J184" s="751" t="s">
        <v>1238</v>
      </c>
      <c r="K184" s="751" t="s">
        <v>1238</v>
      </c>
      <c r="L184" s="751" t="s">
        <v>1238</v>
      </c>
      <c r="M184" s="751">
        <v>20.95</v>
      </c>
      <c r="N184" s="751" t="s">
        <v>1238</v>
      </c>
      <c r="O184" s="661"/>
      <c r="P184" s="661"/>
      <c r="Q184" s="928"/>
      <c r="R184" s="661"/>
      <c r="S184" s="661"/>
      <c r="T184" s="661"/>
      <c r="U184" s="661"/>
      <c r="V184" s="661"/>
    </row>
    <row r="185" spans="1:22">
      <c r="A185" s="661"/>
      <c r="B185" s="924">
        <v>182</v>
      </c>
      <c r="C185" s="751" t="s">
        <v>881</v>
      </c>
      <c r="D185" s="751" t="s">
        <v>1419</v>
      </c>
      <c r="E185" s="929">
        <v>25.6</v>
      </c>
      <c r="F185" s="751" t="s">
        <v>1396</v>
      </c>
      <c r="G185" s="751" t="s">
        <v>1237</v>
      </c>
      <c r="H185" s="925">
        <v>44652</v>
      </c>
      <c r="I185" s="925">
        <v>44652</v>
      </c>
      <c r="J185" s="751" t="s">
        <v>1238</v>
      </c>
      <c r="K185" s="751" t="s">
        <v>1238</v>
      </c>
      <c r="L185" s="751" t="s">
        <v>1238</v>
      </c>
      <c r="M185" s="751">
        <v>29.33</v>
      </c>
      <c r="N185" s="751" t="s">
        <v>1238</v>
      </c>
      <c r="O185" s="661"/>
      <c r="P185" s="661"/>
      <c r="Q185" s="928"/>
      <c r="R185" s="661"/>
      <c r="S185" s="661"/>
      <c r="T185" s="661"/>
      <c r="U185" s="661"/>
      <c r="V185" s="661"/>
    </row>
    <row r="186" spans="1:22">
      <c r="A186" s="661"/>
      <c r="B186" s="924">
        <v>183</v>
      </c>
      <c r="C186" s="751" t="s">
        <v>881</v>
      </c>
      <c r="D186" s="751" t="s">
        <v>1420</v>
      </c>
      <c r="E186" s="929">
        <v>41.14</v>
      </c>
      <c r="F186" s="751" t="s">
        <v>1396</v>
      </c>
      <c r="G186" s="751" t="s">
        <v>1237</v>
      </c>
      <c r="H186" s="925">
        <v>44652</v>
      </c>
      <c r="I186" s="925">
        <v>44652</v>
      </c>
      <c r="J186" s="751" t="s">
        <v>1238</v>
      </c>
      <c r="K186" s="751" t="s">
        <v>1238</v>
      </c>
      <c r="L186" s="751" t="s">
        <v>1238</v>
      </c>
      <c r="M186" s="751">
        <v>47.13</v>
      </c>
      <c r="N186" s="751" t="s">
        <v>1238</v>
      </c>
      <c r="O186" s="661"/>
      <c r="P186" s="661"/>
      <c r="Q186" s="928"/>
      <c r="R186" s="661"/>
      <c r="S186" s="661"/>
      <c r="T186" s="661"/>
      <c r="U186" s="661"/>
      <c r="V186" s="661"/>
    </row>
    <row r="187" spans="1:22">
      <c r="A187" s="661"/>
      <c r="B187" s="924">
        <v>184</v>
      </c>
      <c r="C187" s="751" t="s">
        <v>881</v>
      </c>
      <c r="D187" s="751" t="s">
        <v>1421</v>
      </c>
      <c r="E187" s="929">
        <v>41.69</v>
      </c>
      <c r="F187" s="751" t="s">
        <v>1396</v>
      </c>
      <c r="G187" s="751" t="s">
        <v>1237</v>
      </c>
      <c r="H187" s="925">
        <v>44652</v>
      </c>
      <c r="I187" s="925">
        <v>44652</v>
      </c>
      <c r="J187" s="751" t="s">
        <v>1238</v>
      </c>
      <c r="K187" s="751" t="s">
        <v>1238</v>
      </c>
      <c r="L187" s="751" t="s">
        <v>1238</v>
      </c>
      <c r="M187" s="751">
        <v>47.83</v>
      </c>
      <c r="N187" s="751" t="s">
        <v>1238</v>
      </c>
      <c r="O187" s="661"/>
      <c r="P187" s="661"/>
      <c r="Q187" s="928"/>
      <c r="R187" s="661"/>
      <c r="S187" s="661"/>
      <c r="T187" s="661"/>
      <c r="U187" s="661"/>
      <c r="V187" s="661"/>
    </row>
    <row r="188" spans="1:22">
      <c r="A188" s="661"/>
      <c r="B188" s="924">
        <v>185</v>
      </c>
      <c r="C188" s="751" t="s">
        <v>881</v>
      </c>
      <c r="D188" s="751" t="s">
        <v>1422</v>
      </c>
      <c r="E188" s="929">
        <v>74.05</v>
      </c>
      <c r="F188" s="751" t="s">
        <v>1396</v>
      </c>
      <c r="G188" s="751" t="s">
        <v>1237</v>
      </c>
      <c r="H188" s="925">
        <v>44652</v>
      </c>
      <c r="I188" s="925">
        <v>44652</v>
      </c>
      <c r="J188" s="751">
        <v>1067.6731930000001</v>
      </c>
      <c r="K188" s="751" t="s">
        <v>1238</v>
      </c>
      <c r="L188" s="751" t="s">
        <v>1238</v>
      </c>
      <c r="M188" s="751">
        <v>84.86</v>
      </c>
      <c r="N188" s="751" t="s">
        <v>1238</v>
      </c>
      <c r="O188" s="661"/>
      <c r="P188" s="661"/>
      <c r="Q188" s="928"/>
      <c r="R188" s="661"/>
      <c r="S188" s="661"/>
      <c r="T188" s="661"/>
      <c r="U188" s="661"/>
      <c r="V188" s="661"/>
    </row>
    <row r="189" spans="1:22">
      <c r="A189" s="661"/>
      <c r="B189" s="924">
        <v>186</v>
      </c>
      <c r="C189" s="751" t="s">
        <v>881</v>
      </c>
      <c r="D189" s="751" t="s">
        <v>1423</v>
      </c>
      <c r="E189" s="929">
        <v>98.45</v>
      </c>
      <c r="F189" s="751" t="s">
        <v>1396</v>
      </c>
      <c r="G189" s="751" t="s">
        <v>1237</v>
      </c>
      <c r="H189" s="925">
        <v>44652</v>
      </c>
      <c r="I189" s="925">
        <v>44652</v>
      </c>
      <c r="J189" s="751" t="s">
        <v>1238</v>
      </c>
      <c r="K189" s="751" t="s">
        <v>1238</v>
      </c>
      <c r="L189" s="751" t="s">
        <v>1238</v>
      </c>
      <c r="M189" s="751">
        <v>112.98</v>
      </c>
      <c r="N189" s="751" t="s">
        <v>1238</v>
      </c>
      <c r="O189" s="661"/>
      <c r="P189" s="661"/>
      <c r="Q189" s="928"/>
      <c r="R189" s="661"/>
      <c r="S189" s="661"/>
      <c r="T189" s="661"/>
      <c r="U189" s="661"/>
      <c r="V189" s="661"/>
    </row>
    <row r="190" spans="1:22">
      <c r="A190" s="661"/>
      <c r="B190" s="924">
        <v>187</v>
      </c>
      <c r="C190" s="751" t="s">
        <v>881</v>
      </c>
      <c r="D190" s="751" t="s">
        <v>1424</v>
      </c>
      <c r="E190" s="929">
        <v>32.909999999999997</v>
      </c>
      <c r="F190" s="751" t="s">
        <v>1396</v>
      </c>
      <c r="G190" s="751" t="s">
        <v>1237</v>
      </c>
      <c r="H190" s="925">
        <v>44652</v>
      </c>
      <c r="I190" s="925">
        <v>44652</v>
      </c>
      <c r="J190" s="751" t="s">
        <v>1238</v>
      </c>
      <c r="K190" s="751" t="s">
        <v>1238</v>
      </c>
      <c r="L190" s="751" t="s">
        <v>1238</v>
      </c>
      <c r="M190" s="751">
        <v>37.71</v>
      </c>
      <c r="N190" s="751" t="s">
        <v>1238</v>
      </c>
      <c r="O190" s="661"/>
      <c r="P190" s="661"/>
      <c r="Q190" s="928"/>
      <c r="R190" s="661"/>
      <c r="S190" s="661"/>
      <c r="T190" s="661"/>
      <c r="U190" s="661"/>
      <c r="V190" s="661"/>
    </row>
    <row r="191" spans="1:22">
      <c r="A191" s="661"/>
      <c r="B191" s="924">
        <v>188</v>
      </c>
      <c r="C191" s="751" t="s">
        <v>881</v>
      </c>
      <c r="D191" s="751" t="s">
        <v>1425</v>
      </c>
      <c r="E191" s="929">
        <v>57.59</v>
      </c>
      <c r="F191" s="751" t="s">
        <v>1396</v>
      </c>
      <c r="G191" s="751" t="s">
        <v>1237</v>
      </c>
      <c r="H191" s="925">
        <v>44652</v>
      </c>
      <c r="I191" s="925">
        <v>44652</v>
      </c>
      <c r="J191" s="751" t="s">
        <v>1238</v>
      </c>
      <c r="K191" s="751" t="s">
        <v>1238</v>
      </c>
      <c r="L191" s="751" t="s">
        <v>1238</v>
      </c>
      <c r="M191" s="751">
        <v>65.98</v>
      </c>
      <c r="N191" s="751" t="s">
        <v>1238</v>
      </c>
      <c r="O191" s="661"/>
      <c r="P191" s="661"/>
      <c r="Q191" s="928"/>
      <c r="R191" s="661"/>
      <c r="S191" s="661"/>
      <c r="T191" s="661"/>
      <c r="U191" s="661"/>
      <c r="V191" s="661"/>
    </row>
    <row r="192" spans="1:22">
      <c r="A192" s="661"/>
      <c r="B192" s="924">
        <v>189</v>
      </c>
      <c r="C192" s="751" t="s">
        <v>881</v>
      </c>
      <c r="D192" s="751" t="s">
        <v>1426</v>
      </c>
      <c r="E192" s="929">
        <v>63.08</v>
      </c>
      <c r="F192" s="751" t="s">
        <v>1396</v>
      </c>
      <c r="G192" s="751" t="s">
        <v>1237</v>
      </c>
      <c r="H192" s="925">
        <v>44652</v>
      </c>
      <c r="I192" s="925">
        <v>44652</v>
      </c>
      <c r="J192" s="751" t="s">
        <v>1238</v>
      </c>
      <c r="K192" s="751" t="s">
        <v>1238</v>
      </c>
      <c r="L192" s="751" t="s">
        <v>1238</v>
      </c>
      <c r="M192" s="751">
        <v>72.28</v>
      </c>
      <c r="N192" s="751" t="s">
        <v>1238</v>
      </c>
      <c r="O192" s="661"/>
      <c r="P192" s="661"/>
      <c r="Q192" s="928"/>
      <c r="R192" s="661"/>
      <c r="S192" s="661"/>
      <c r="T192" s="661"/>
      <c r="U192" s="661"/>
      <c r="V192" s="661"/>
    </row>
    <row r="193" spans="1:22">
      <c r="A193" s="661"/>
      <c r="B193" s="924">
        <v>190</v>
      </c>
      <c r="C193" s="751" t="s">
        <v>881</v>
      </c>
      <c r="D193" s="751" t="s">
        <v>1427</v>
      </c>
      <c r="E193" s="929">
        <v>55.49</v>
      </c>
      <c r="F193" s="751" t="s">
        <v>1396</v>
      </c>
      <c r="G193" s="751" t="s">
        <v>1237</v>
      </c>
      <c r="H193" s="925">
        <v>44652</v>
      </c>
      <c r="I193" s="925">
        <v>44652</v>
      </c>
      <c r="J193" s="751" t="s">
        <v>1238</v>
      </c>
      <c r="K193" s="751" t="s">
        <v>1238</v>
      </c>
      <c r="L193" s="751" t="s">
        <v>1238</v>
      </c>
      <c r="M193" s="751">
        <v>63.63</v>
      </c>
      <c r="N193" s="751" t="s">
        <v>1238</v>
      </c>
      <c r="O193" s="661"/>
      <c r="P193" s="661"/>
      <c r="Q193" s="661"/>
      <c r="R193" s="661"/>
      <c r="S193" s="661"/>
      <c r="T193" s="661"/>
      <c r="U193" s="661"/>
      <c r="V193" s="661"/>
    </row>
    <row r="194" spans="1:22">
      <c r="A194" s="661"/>
      <c r="B194" s="924">
        <v>191</v>
      </c>
      <c r="C194" s="751" t="s">
        <v>881</v>
      </c>
      <c r="D194" s="751" t="s">
        <v>1428</v>
      </c>
      <c r="E194" s="751">
        <v>70.400000000000006</v>
      </c>
      <c r="F194" s="751" t="s">
        <v>1396</v>
      </c>
      <c r="G194" s="751" t="s">
        <v>1390</v>
      </c>
      <c r="H194" s="925">
        <v>43140</v>
      </c>
      <c r="I194" s="925">
        <v>43140</v>
      </c>
      <c r="J194" s="751" t="s">
        <v>1238</v>
      </c>
      <c r="K194" s="751" t="s">
        <v>1238</v>
      </c>
      <c r="L194" s="751" t="s">
        <v>1238</v>
      </c>
      <c r="M194" s="751">
        <v>70.400000000000006</v>
      </c>
      <c r="N194" s="751" t="s">
        <v>1238</v>
      </c>
      <c r="O194" s="661"/>
      <c r="P194" s="661"/>
      <c r="Q194" s="661"/>
      <c r="R194" s="661"/>
      <c r="S194" s="661"/>
      <c r="T194" s="661"/>
      <c r="U194" s="661"/>
      <c r="V194" s="661"/>
    </row>
    <row r="195" spans="1:22">
      <c r="A195" s="661"/>
      <c r="B195" s="924">
        <v>192</v>
      </c>
      <c r="C195" s="751" t="s">
        <v>881</v>
      </c>
      <c r="D195" s="751" t="s">
        <v>1429</v>
      </c>
      <c r="E195" s="751">
        <v>78.3</v>
      </c>
      <c r="F195" s="751" t="s">
        <v>1396</v>
      </c>
      <c r="G195" s="751" t="s">
        <v>1390</v>
      </c>
      <c r="H195" s="925">
        <v>43140</v>
      </c>
      <c r="I195" s="925">
        <v>43140</v>
      </c>
      <c r="J195" s="751" t="s">
        <v>1238</v>
      </c>
      <c r="K195" s="751" t="s">
        <v>1238</v>
      </c>
      <c r="L195" s="751" t="s">
        <v>1238</v>
      </c>
      <c r="M195" s="751">
        <v>78.3</v>
      </c>
      <c r="N195" s="751" t="s">
        <v>1238</v>
      </c>
      <c r="O195" s="661"/>
      <c r="P195" s="661"/>
      <c r="Q195" s="661"/>
      <c r="R195" s="661"/>
      <c r="S195" s="661"/>
      <c r="T195" s="661"/>
      <c r="U195" s="661"/>
      <c r="V195" s="661"/>
    </row>
    <row r="196" spans="1:22">
      <c r="A196" s="661"/>
      <c r="B196" s="924">
        <v>193</v>
      </c>
      <c r="C196" s="751" t="s">
        <v>881</v>
      </c>
      <c r="D196" s="751" t="s">
        <v>1430</v>
      </c>
      <c r="E196" s="751">
        <v>0.6</v>
      </c>
      <c r="F196" s="751" t="s">
        <v>449</v>
      </c>
      <c r="G196" s="751" t="s">
        <v>1390</v>
      </c>
      <c r="H196" s="925">
        <v>43313</v>
      </c>
      <c r="I196" s="925">
        <v>43313</v>
      </c>
      <c r="J196" s="751" t="s">
        <v>1238</v>
      </c>
      <c r="K196" s="751" t="s">
        <v>1238</v>
      </c>
      <c r="L196" s="751" t="s">
        <v>1238</v>
      </c>
      <c r="M196" s="751">
        <v>0.6</v>
      </c>
      <c r="N196" s="751" t="s">
        <v>1238</v>
      </c>
      <c r="O196" s="661"/>
      <c r="P196" s="661"/>
      <c r="Q196" s="661"/>
      <c r="R196" s="661"/>
      <c r="S196" s="661"/>
      <c r="T196" s="661"/>
      <c r="U196" s="661"/>
      <c r="V196" s="661"/>
    </row>
    <row r="197" spans="1:22">
      <c r="A197" s="661"/>
      <c r="B197" s="924">
        <v>194</v>
      </c>
      <c r="C197" s="751" t="s">
        <v>881</v>
      </c>
      <c r="D197" s="751" t="s">
        <v>1431</v>
      </c>
      <c r="E197" s="751">
        <v>5</v>
      </c>
      <c r="F197" s="751" t="s">
        <v>1396</v>
      </c>
      <c r="G197" s="751" t="s">
        <v>1390</v>
      </c>
      <c r="H197" s="925">
        <v>43313</v>
      </c>
      <c r="I197" s="925">
        <v>43313</v>
      </c>
      <c r="J197" s="751" t="s">
        <v>1238</v>
      </c>
      <c r="K197" s="751" t="s">
        <v>1238</v>
      </c>
      <c r="L197" s="751" t="s">
        <v>1238</v>
      </c>
      <c r="M197" s="751">
        <v>5</v>
      </c>
      <c r="N197" s="751" t="s">
        <v>1238</v>
      </c>
      <c r="O197" s="661"/>
      <c r="P197" s="661"/>
      <c r="Q197" s="661"/>
      <c r="R197" s="661"/>
      <c r="S197" s="661"/>
      <c r="T197" s="661"/>
      <c r="U197" s="661"/>
      <c r="V197" s="661"/>
    </row>
    <row r="198" spans="1:22">
      <c r="A198" s="661"/>
      <c r="B198" s="924">
        <v>195</v>
      </c>
      <c r="C198" s="751" t="s">
        <v>881</v>
      </c>
      <c r="D198" s="751" t="s">
        <v>1432</v>
      </c>
      <c r="E198" s="751">
        <v>400</v>
      </c>
      <c r="F198" s="751" t="s">
        <v>445</v>
      </c>
      <c r="G198" s="751" t="s">
        <v>1237</v>
      </c>
      <c r="H198" s="925">
        <v>45448</v>
      </c>
      <c r="I198" s="925">
        <v>45448</v>
      </c>
      <c r="J198" s="751" t="s">
        <v>1238</v>
      </c>
      <c r="K198" s="751" t="s">
        <v>1238</v>
      </c>
      <c r="L198" s="751" t="s">
        <v>1238</v>
      </c>
      <c r="M198" s="751">
        <v>400</v>
      </c>
      <c r="N198" s="751" t="s">
        <v>1238</v>
      </c>
      <c r="O198" s="661"/>
      <c r="P198" s="661"/>
      <c r="Q198" s="661"/>
      <c r="R198" s="661"/>
      <c r="S198" s="661"/>
      <c r="T198" s="661"/>
      <c r="U198" s="661"/>
      <c r="V198" s="661"/>
    </row>
    <row r="199" spans="1:22">
      <c r="A199" s="661"/>
      <c r="B199" s="924">
        <v>196</v>
      </c>
      <c r="C199" s="751" t="s">
        <v>1433</v>
      </c>
      <c r="D199" s="751" t="s">
        <v>658</v>
      </c>
      <c r="E199" s="926">
        <v>243</v>
      </c>
      <c r="F199" s="751" t="s">
        <v>1255</v>
      </c>
      <c r="G199" s="751" t="s">
        <v>1237</v>
      </c>
      <c r="H199" s="925">
        <v>45413</v>
      </c>
      <c r="I199" s="925">
        <v>45413</v>
      </c>
      <c r="J199" s="751" t="s">
        <v>1238</v>
      </c>
      <c r="K199" s="751">
        <v>35</v>
      </c>
      <c r="L199" s="925">
        <v>45413</v>
      </c>
      <c r="M199" s="751">
        <v>243</v>
      </c>
      <c r="N199" s="751" t="s">
        <v>1238</v>
      </c>
      <c r="O199" s="661"/>
      <c r="P199" s="661"/>
      <c r="Q199" s="661"/>
      <c r="R199" s="661"/>
      <c r="S199" s="661"/>
      <c r="T199" s="661"/>
      <c r="U199" s="661"/>
      <c r="V199" s="661"/>
    </row>
    <row r="200" spans="1:22">
      <c r="A200" s="661"/>
      <c r="B200" s="924">
        <v>197</v>
      </c>
      <c r="C200" s="751" t="s">
        <v>1433</v>
      </c>
      <c r="D200" s="751" t="s">
        <v>659</v>
      </c>
      <c r="E200" s="926">
        <v>35</v>
      </c>
      <c r="F200" s="751" t="s">
        <v>1255</v>
      </c>
      <c r="G200" s="751" t="s">
        <v>1237</v>
      </c>
      <c r="H200" s="925">
        <v>45413</v>
      </c>
      <c r="I200" s="925">
        <v>45413</v>
      </c>
      <c r="J200" s="751" t="s">
        <v>1238</v>
      </c>
      <c r="K200" s="751">
        <v>35</v>
      </c>
      <c r="L200" s="925">
        <v>45413</v>
      </c>
      <c r="M200" s="751">
        <v>35</v>
      </c>
      <c r="N200" s="751" t="s">
        <v>1238</v>
      </c>
      <c r="O200" s="661"/>
      <c r="P200" s="661"/>
      <c r="Q200" s="661"/>
      <c r="R200" s="661"/>
      <c r="S200" s="661"/>
      <c r="T200" s="661"/>
      <c r="U200" s="661"/>
      <c r="V200" s="661"/>
    </row>
    <row r="201" spans="1:22">
      <c r="A201" s="661"/>
      <c r="B201" s="924">
        <v>198</v>
      </c>
      <c r="C201" s="751" t="s">
        <v>1433</v>
      </c>
      <c r="D201" s="751" t="s">
        <v>660</v>
      </c>
      <c r="E201" s="926">
        <v>254</v>
      </c>
      <c r="F201" s="751" t="s">
        <v>1255</v>
      </c>
      <c r="G201" s="751" t="s">
        <v>1237</v>
      </c>
      <c r="H201" s="925">
        <v>45413</v>
      </c>
      <c r="I201" s="925">
        <v>45413</v>
      </c>
      <c r="J201" s="751" t="s">
        <v>1238</v>
      </c>
      <c r="K201" s="751">
        <v>0</v>
      </c>
      <c r="L201" s="925">
        <v>45413</v>
      </c>
      <c r="M201" s="751">
        <v>254</v>
      </c>
      <c r="N201" s="751" t="s">
        <v>1238</v>
      </c>
      <c r="O201" s="661"/>
      <c r="P201" s="661"/>
      <c r="Q201" s="661"/>
      <c r="R201" s="661"/>
      <c r="S201" s="661"/>
      <c r="T201" s="661"/>
      <c r="U201" s="661"/>
      <c r="V201" s="661"/>
    </row>
    <row r="202" spans="1:22">
      <c r="A202" s="661"/>
      <c r="B202" s="924">
        <v>199</v>
      </c>
      <c r="C202" s="751" t="s">
        <v>1433</v>
      </c>
      <c r="D202" s="751" t="s">
        <v>662</v>
      </c>
      <c r="E202" s="751">
        <v>230</v>
      </c>
      <c r="F202" s="751" t="s">
        <v>1255</v>
      </c>
      <c r="G202" s="751" t="s">
        <v>638</v>
      </c>
      <c r="H202" s="925">
        <v>44713</v>
      </c>
      <c r="I202" s="925">
        <v>44713</v>
      </c>
      <c r="J202" s="751" t="s">
        <v>1238</v>
      </c>
      <c r="K202" s="751" t="s">
        <v>1238</v>
      </c>
      <c r="L202" s="751" t="s">
        <v>1238</v>
      </c>
      <c r="M202" s="751">
        <v>230</v>
      </c>
      <c r="N202" s="751" t="s">
        <v>1238</v>
      </c>
      <c r="O202" s="661"/>
      <c r="P202" s="661"/>
      <c r="Q202" s="661"/>
      <c r="R202" s="661"/>
      <c r="S202" s="661"/>
      <c r="T202" s="661"/>
      <c r="U202" s="661"/>
      <c r="V202" s="661"/>
    </row>
    <row r="203" spans="1:22">
      <c r="A203" s="661"/>
      <c r="B203" s="924">
        <v>200</v>
      </c>
      <c r="C203" s="751" t="s">
        <v>1433</v>
      </c>
      <c r="D203" s="751" t="s">
        <v>663</v>
      </c>
      <c r="E203" s="751">
        <v>190</v>
      </c>
      <c r="F203" s="751" t="s">
        <v>1255</v>
      </c>
      <c r="G203" s="751" t="s">
        <v>1434</v>
      </c>
      <c r="H203" s="925">
        <v>44713</v>
      </c>
      <c r="I203" s="925">
        <v>44713</v>
      </c>
      <c r="J203" s="751" t="s">
        <v>1238</v>
      </c>
      <c r="K203" s="751" t="s">
        <v>1238</v>
      </c>
      <c r="L203" s="751" t="s">
        <v>1238</v>
      </c>
      <c r="M203" s="751">
        <v>190</v>
      </c>
      <c r="N203" s="751" t="s">
        <v>1238</v>
      </c>
      <c r="O203" s="661"/>
      <c r="P203" s="661"/>
      <c r="Q203" s="661"/>
      <c r="R203" s="661"/>
      <c r="S203" s="661"/>
      <c r="T203" s="661"/>
      <c r="U203" s="661"/>
      <c r="V203" s="661"/>
    </row>
    <row r="204" spans="1:22">
      <c r="A204" s="661"/>
      <c r="B204" s="924">
        <v>201</v>
      </c>
      <c r="C204" s="751" t="s">
        <v>1433</v>
      </c>
      <c r="D204" s="751" t="s">
        <v>666</v>
      </c>
      <c r="E204" s="751">
        <v>265</v>
      </c>
      <c r="F204" s="751" t="s">
        <v>1255</v>
      </c>
      <c r="G204" s="751" t="s">
        <v>1434</v>
      </c>
      <c r="H204" s="925">
        <v>44713</v>
      </c>
      <c r="I204" s="925">
        <v>44713</v>
      </c>
      <c r="J204" s="751" t="s">
        <v>1238</v>
      </c>
      <c r="K204" s="751" t="s">
        <v>1238</v>
      </c>
      <c r="L204" s="751" t="s">
        <v>1238</v>
      </c>
      <c r="M204" s="751">
        <v>265</v>
      </c>
      <c r="N204" s="751" t="s">
        <v>1238</v>
      </c>
      <c r="O204" s="661"/>
      <c r="P204" s="661"/>
      <c r="Q204" s="661"/>
      <c r="R204" s="661"/>
      <c r="S204" s="661"/>
      <c r="T204" s="661"/>
      <c r="U204" s="661"/>
      <c r="V204" s="661"/>
    </row>
    <row r="205" spans="1:22">
      <c r="A205" s="661"/>
      <c r="B205" s="924">
        <v>202</v>
      </c>
      <c r="C205" s="751" t="s">
        <v>1433</v>
      </c>
      <c r="D205" s="751" t="s">
        <v>667</v>
      </c>
      <c r="E205" s="751">
        <v>94.4</v>
      </c>
      <c r="F205" s="751" t="s">
        <v>1255</v>
      </c>
      <c r="G205" s="751" t="s">
        <v>1435</v>
      </c>
      <c r="H205" s="925">
        <v>45078</v>
      </c>
      <c r="I205" s="925">
        <v>45078</v>
      </c>
      <c r="J205" s="751" t="s">
        <v>1238</v>
      </c>
      <c r="K205" s="751" t="s">
        <v>1238</v>
      </c>
      <c r="L205" s="751" t="s">
        <v>1238</v>
      </c>
      <c r="M205" s="751">
        <v>94.4</v>
      </c>
      <c r="N205" s="751" t="s">
        <v>1238</v>
      </c>
      <c r="O205" s="661"/>
      <c r="P205" s="661"/>
      <c r="Q205" s="661"/>
      <c r="R205" s="661"/>
      <c r="S205" s="661"/>
      <c r="T205" s="661"/>
      <c r="U205" s="661"/>
      <c r="V205" s="661"/>
    </row>
    <row r="206" spans="1:22">
      <c r="A206" s="661"/>
      <c r="B206" s="924">
        <v>203</v>
      </c>
      <c r="C206" s="751" t="s">
        <v>1433</v>
      </c>
      <c r="D206" s="751" t="s">
        <v>668</v>
      </c>
      <c r="E206" s="751">
        <v>139.4</v>
      </c>
      <c r="F206" s="751" t="s">
        <v>1255</v>
      </c>
      <c r="G206" s="751" t="s">
        <v>1434</v>
      </c>
      <c r="H206" s="925">
        <v>45078</v>
      </c>
      <c r="I206" s="925">
        <v>45078</v>
      </c>
      <c r="J206" s="751" t="s">
        <v>1238</v>
      </c>
      <c r="K206" s="751" t="s">
        <v>1238</v>
      </c>
      <c r="L206" s="751" t="s">
        <v>1238</v>
      </c>
      <c r="M206" s="751">
        <v>139.4</v>
      </c>
      <c r="N206" s="751" t="s">
        <v>1238</v>
      </c>
      <c r="O206" s="661"/>
      <c r="P206" s="661"/>
      <c r="Q206" s="661"/>
      <c r="R206" s="661"/>
      <c r="S206" s="661"/>
      <c r="T206" s="661"/>
      <c r="U206" s="661"/>
      <c r="V206" s="661"/>
    </row>
    <row r="207" spans="1:22">
      <c r="A207" s="661"/>
      <c r="B207" s="924">
        <v>204</v>
      </c>
      <c r="C207" s="751" t="s">
        <v>1433</v>
      </c>
      <c r="D207" s="751" t="s">
        <v>669</v>
      </c>
      <c r="E207" s="751">
        <v>109.4</v>
      </c>
      <c r="F207" s="751" t="s">
        <v>1255</v>
      </c>
      <c r="G207" s="751" t="s">
        <v>1434</v>
      </c>
      <c r="H207" s="925">
        <v>45078</v>
      </c>
      <c r="I207" s="925">
        <v>45078</v>
      </c>
      <c r="J207" s="751" t="s">
        <v>1238</v>
      </c>
      <c r="K207" s="751" t="s">
        <v>1238</v>
      </c>
      <c r="L207" s="751" t="s">
        <v>1238</v>
      </c>
      <c r="M207" s="751">
        <v>109.4</v>
      </c>
      <c r="N207" s="751" t="s">
        <v>1238</v>
      </c>
      <c r="O207" s="661"/>
      <c r="P207" s="661"/>
      <c r="Q207" s="661"/>
      <c r="R207" s="661"/>
      <c r="S207" s="661"/>
      <c r="T207" s="661"/>
      <c r="U207" s="661"/>
      <c r="V207" s="661"/>
    </row>
    <row r="208" spans="1:22">
      <c r="A208" s="661"/>
      <c r="B208" s="924">
        <v>205</v>
      </c>
      <c r="C208" s="751" t="s">
        <v>1433</v>
      </c>
      <c r="D208" s="751" t="s">
        <v>670</v>
      </c>
      <c r="E208" s="751">
        <v>102.7</v>
      </c>
      <c r="F208" s="751" t="s">
        <v>1255</v>
      </c>
      <c r="G208" s="751" t="s">
        <v>1237</v>
      </c>
      <c r="H208" s="925">
        <v>45078</v>
      </c>
      <c r="I208" s="925">
        <v>45078</v>
      </c>
      <c r="J208" s="751" t="s">
        <v>1238</v>
      </c>
      <c r="K208" s="751" t="s">
        <v>1238</v>
      </c>
      <c r="L208" s="751" t="s">
        <v>1238</v>
      </c>
      <c r="M208" s="751">
        <v>102.7</v>
      </c>
      <c r="N208" s="751" t="s">
        <v>1238</v>
      </c>
      <c r="O208" s="661"/>
      <c r="P208" s="661"/>
      <c r="Q208" s="661"/>
      <c r="R208" s="661"/>
      <c r="S208" s="661"/>
      <c r="T208" s="661"/>
      <c r="U208" s="661"/>
      <c r="V208" s="661"/>
    </row>
    <row r="209" spans="1:22">
      <c r="A209" s="661"/>
      <c r="B209" s="924">
        <v>206</v>
      </c>
      <c r="C209" s="751" t="s">
        <v>1433</v>
      </c>
      <c r="D209" s="751" t="s">
        <v>671</v>
      </c>
      <c r="E209" s="751">
        <v>125</v>
      </c>
      <c r="F209" s="751" t="s">
        <v>445</v>
      </c>
      <c r="G209" s="751" t="s">
        <v>1390</v>
      </c>
      <c r="H209" s="925">
        <v>43313</v>
      </c>
      <c r="I209" s="925">
        <v>43313</v>
      </c>
      <c r="J209" s="751" t="s">
        <v>1238</v>
      </c>
      <c r="K209" s="751" t="s">
        <v>1238</v>
      </c>
      <c r="L209" s="751" t="s">
        <v>1238</v>
      </c>
      <c r="M209" s="751">
        <v>125</v>
      </c>
      <c r="N209" s="751" t="s">
        <v>1238</v>
      </c>
      <c r="O209" s="661"/>
      <c r="P209" s="661"/>
      <c r="Q209" s="661"/>
      <c r="R209" s="661"/>
      <c r="S209" s="661"/>
      <c r="T209" s="661"/>
      <c r="U209" s="661"/>
      <c r="V209" s="661"/>
    </row>
    <row r="210" spans="1:22">
      <c r="A210" s="661"/>
      <c r="B210" s="924">
        <v>207</v>
      </c>
      <c r="C210" s="751" t="s">
        <v>1433</v>
      </c>
      <c r="D210" s="751" t="s">
        <v>672</v>
      </c>
      <c r="E210" s="751">
        <v>115</v>
      </c>
      <c r="F210" s="751" t="s">
        <v>445</v>
      </c>
      <c r="G210" s="751" t="s">
        <v>1390</v>
      </c>
      <c r="H210" s="925">
        <v>43313</v>
      </c>
      <c r="I210" s="925">
        <v>43313</v>
      </c>
      <c r="J210" s="751" t="s">
        <v>1238</v>
      </c>
      <c r="K210" s="751" t="s">
        <v>1238</v>
      </c>
      <c r="L210" s="751" t="s">
        <v>1238</v>
      </c>
      <c r="M210" s="751">
        <v>115</v>
      </c>
      <c r="N210" s="751" t="s">
        <v>1238</v>
      </c>
      <c r="O210" s="661"/>
      <c r="P210" s="661"/>
      <c r="Q210" s="661"/>
      <c r="R210" s="661"/>
      <c r="S210" s="661"/>
      <c r="T210" s="661"/>
      <c r="U210" s="661"/>
      <c r="V210" s="661"/>
    </row>
    <row r="211" spans="1:22">
      <c r="A211" s="661"/>
      <c r="B211" s="924">
        <v>208</v>
      </c>
      <c r="C211" s="751" t="s">
        <v>1433</v>
      </c>
      <c r="D211" s="751" t="s">
        <v>673</v>
      </c>
      <c r="E211" s="751">
        <v>125</v>
      </c>
      <c r="F211" s="751" t="s">
        <v>445</v>
      </c>
      <c r="G211" s="751" t="s">
        <v>1390</v>
      </c>
      <c r="H211" s="925">
        <v>43313</v>
      </c>
      <c r="I211" s="925">
        <v>43313</v>
      </c>
      <c r="J211" s="751" t="s">
        <v>1238</v>
      </c>
      <c r="K211" s="751" t="s">
        <v>1238</v>
      </c>
      <c r="L211" s="751" t="s">
        <v>1238</v>
      </c>
      <c r="M211" s="751">
        <v>125</v>
      </c>
      <c r="N211" s="751" t="s">
        <v>1238</v>
      </c>
      <c r="O211" s="661"/>
      <c r="P211" s="661"/>
      <c r="Q211" s="661"/>
      <c r="R211" s="661"/>
      <c r="S211" s="661"/>
      <c r="T211" s="661"/>
      <c r="U211" s="661"/>
      <c r="V211" s="661"/>
    </row>
    <row r="212" spans="1:22">
      <c r="A212" s="661"/>
      <c r="B212" s="924">
        <v>209</v>
      </c>
      <c r="C212" s="751" t="s">
        <v>1433</v>
      </c>
      <c r="D212" s="751" t="s">
        <v>674</v>
      </c>
      <c r="E212" s="751">
        <v>115</v>
      </c>
      <c r="F212" s="751" t="s">
        <v>445</v>
      </c>
      <c r="G212" s="751" t="s">
        <v>1390</v>
      </c>
      <c r="H212" s="925">
        <v>43313</v>
      </c>
      <c r="I212" s="925">
        <v>43313</v>
      </c>
      <c r="J212" s="751" t="s">
        <v>1238</v>
      </c>
      <c r="K212" s="751" t="s">
        <v>1238</v>
      </c>
      <c r="L212" s="751" t="s">
        <v>1238</v>
      </c>
      <c r="M212" s="751">
        <v>115</v>
      </c>
      <c r="N212" s="751" t="s">
        <v>1238</v>
      </c>
      <c r="O212" s="661"/>
      <c r="P212" s="661"/>
      <c r="Q212" s="661"/>
      <c r="R212" s="661"/>
      <c r="S212" s="661"/>
      <c r="T212" s="661"/>
      <c r="U212" s="661"/>
      <c r="V212" s="661"/>
    </row>
    <row r="213" spans="1:22">
      <c r="A213" s="661"/>
      <c r="B213" s="924">
        <v>210</v>
      </c>
      <c r="C213" s="751" t="s">
        <v>1433</v>
      </c>
      <c r="D213" s="751" t="s">
        <v>675</v>
      </c>
      <c r="E213" s="751">
        <v>125</v>
      </c>
      <c r="F213" s="751" t="s">
        <v>445</v>
      </c>
      <c r="G213" s="751" t="s">
        <v>1390</v>
      </c>
      <c r="H213" s="925">
        <v>43313</v>
      </c>
      <c r="I213" s="925">
        <v>43313</v>
      </c>
      <c r="J213" s="751" t="s">
        <v>1238</v>
      </c>
      <c r="K213" s="751" t="s">
        <v>1238</v>
      </c>
      <c r="L213" s="751" t="s">
        <v>1238</v>
      </c>
      <c r="M213" s="751">
        <v>125</v>
      </c>
      <c r="N213" s="751" t="s">
        <v>1238</v>
      </c>
      <c r="O213" s="661"/>
      <c r="P213" s="661"/>
      <c r="Q213" s="661"/>
      <c r="R213" s="661"/>
      <c r="S213" s="661"/>
      <c r="T213" s="661"/>
      <c r="U213" s="661"/>
      <c r="V213" s="661"/>
    </row>
    <row r="214" spans="1:22">
      <c r="A214" s="661"/>
      <c r="B214" s="924">
        <v>211</v>
      </c>
      <c r="C214" s="751" t="s">
        <v>1433</v>
      </c>
      <c r="D214" s="751" t="s">
        <v>676</v>
      </c>
      <c r="E214" s="751">
        <v>130</v>
      </c>
      <c r="F214" s="751" t="s">
        <v>445</v>
      </c>
      <c r="G214" s="751" t="s">
        <v>1436</v>
      </c>
      <c r="H214" s="925">
        <v>43313</v>
      </c>
      <c r="I214" s="925">
        <v>43313</v>
      </c>
      <c r="J214" s="751" t="s">
        <v>1238</v>
      </c>
      <c r="K214" s="751" t="s">
        <v>1238</v>
      </c>
      <c r="L214" s="751" t="s">
        <v>1238</v>
      </c>
      <c r="M214" s="751">
        <v>130</v>
      </c>
      <c r="N214" s="751" t="s">
        <v>1238</v>
      </c>
      <c r="O214" s="661"/>
      <c r="P214" s="661"/>
      <c r="Q214" s="661"/>
      <c r="R214" s="661"/>
      <c r="S214" s="661"/>
      <c r="T214" s="661"/>
      <c r="U214" s="661"/>
      <c r="V214" s="661"/>
    </row>
    <row r="215" spans="1:22">
      <c r="A215" s="661"/>
      <c r="B215" s="924">
        <v>212</v>
      </c>
      <c r="C215" s="751" t="s">
        <v>1433</v>
      </c>
      <c r="D215" s="751" t="s">
        <v>677</v>
      </c>
      <c r="E215" s="751">
        <v>180</v>
      </c>
      <c r="F215" s="751" t="s">
        <v>445</v>
      </c>
      <c r="G215" s="751" t="s">
        <v>1437</v>
      </c>
      <c r="H215" s="925">
        <v>43313</v>
      </c>
      <c r="I215" s="925">
        <v>43313</v>
      </c>
      <c r="J215" s="751" t="s">
        <v>1238</v>
      </c>
      <c r="K215" s="751" t="s">
        <v>1238</v>
      </c>
      <c r="L215" s="751" t="s">
        <v>1238</v>
      </c>
      <c r="M215" s="751">
        <v>180</v>
      </c>
      <c r="N215" s="751" t="s">
        <v>1238</v>
      </c>
      <c r="O215" s="661"/>
      <c r="P215" s="661"/>
      <c r="Q215" s="661"/>
      <c r="R215" s="661"/>
      <c r="S215" s="661"/>
      <c r="T215" s="661"/>
      <c r="U215" s="661"/>
      <c r="V215" s="661"/>
    </row>
    <row r="216" spans="1:22">
      <c r="A216" s="661"/>
      <c r="B216" s="924">
        <v>213</v>
      </c>
      <c r="C216" s="751" t="s">
        <v>1433</v>
      </c>
      <c r="D216" s="751" t="s">
        <v>678</v>
      </c>
      <c r="E216" s="751">
        <v>210</v>
      </c>
      <c r="F216" s="751" t="s">
        <v>445</v>
      </c>
      <c r="G216" s="751" t="s">
        <v>1390</v>
      </c>
      <c r="H216" s="925">
        <v>43140</v>
      </c>
      <c r="I216" s="925">
        <v>43140</v>
      </c>
      <c r="J216" s="751" t="s">
        <v>1238</v>
      </c>
      <c r="K216" s="751" t="s">
        <v>1238</v>
      </c>
      <c r="L216" s="751" t="s">
        <v>1238</v>
      </c>
      <c r="M216" s="751">
        <v>210</v>
      </c>
      <c r="N216" s="751" t="s">
        <v>1238</v>
      </c>
      <c r="O216" s="661"/>
      <c r="P216" s="661"/>
      <c r="Q216" s="661"/>
      <c r="R216" s="661"/>
      <c r="S216" s="661"/>
      <c r="T216" s="661"/>
      <c r="U216" s="661"/>
      <c r="V216" s="661"/>
    </row>
    <row r="217" spans="1:22">
      <c r="A217" s="661"/>
      <c r="B217" s="924">
        <v>214</v>
      </c>
      <c r="C217" s="751" t="s">
        <v>1433</v>
      </c>
      <c r="D217" s="751" t="s">
        <v>679</v>
      </c>
      <c r="E217" s="751">
        <v>145</v>
      </c>
      <c r="F217" s="751" t="s">
        <v>445</v>
      </c>
      <c r="G217" s="751" t="s">
        <v>1438</v>
      </c>
      <c r="H217" s="925">
        <v>43313</v>
      </c>
      <c r="I217" s="925">
        <v>43313</v>
      </c>
      <c r="J217" s="751" t="s">
        <v>1238</v>
      </c>
      <c r="K217" s="751" t="s">
        <v>1238</v>
      </c>
      <c r="L217" s="751" t="s">
        <v>1238</v>
      </c>
      <c r="M217" s="751">
        <v>145</v>
      </c>
      <c r="N217" s="751" t="s">
        <v>1238</v>
      </c>
      <c r="O217" s="661"/>
      <c r="P217" s="661"/>
      <c r="Q217" s="661"/>
      <c r="R217" s="661"/>
      <c r="S217" s="661"/>
      <c r="T217" s="661"/>
      <c r="U217" s="661"/>
      <c r="V217" s="661"/>
    </row>
    <row r="218" spans="1:22">
      <c r="A218" s="661"/>
      <c r="B218" s="924">
        <v>215</v>
      </c>
      <c r="C218" s="751" t="s">
        <v>1433</v>
      </c>
      <c r="D218" s="751" t="s">
        <v>680</v>
      </c>
      <c r="E218" s="751">
        <v>115</v>
      </c>
      <c r="F218" s="751" t="s">
        <v>445</v>
      </c>
      <c r="G218" s="751" t="s">
        <v>1438</v>
      </c>
      <c r="H218" s="925">
        <v>43313</v>
      </c>
      <c r="I218" s="925">
        <v>43313</v>
      </c>
      <c r="J218" s="751" t="s">
        <v>1238</v>
      </c>
      <c r="K218" s="751" t="s">
        <v>1238</v>
      </c>
      <c r="L218" s="751" t="s">
        <v>1238</v>
      </c>
      <c r="M218" s="751">
        <v>115</v>
      </c>
      <c r="N218" s="751" t="s">
        <v>1238</v>
      </c>
      <c r="O218" s="661"/>
      <c r="P218" s="661"/>
      <c r="Q218" s="661"/>
      <c r="R218" s="661"/>
      <c r="S218" s="661"/>
      <c r="T218" s="661"/>
      <c r="U218" s="661"/>
      <c r="V218" s="661"/>
    </row>
    <row r="219" spans="1:22">
      <c r="A219" s="661"/>
      <c r="B219" s="924">
        <v>216</v>
      </c>
      <c r="C219" s="751" t="s">
        <v>1433</v>
      </c>
      <c r="D219" s="751" t="s">
        <v>681</v>
      </c>
      <c r="E219" s="751">
        <v>169</v>
      </c>
      <c r="F219" s="751" t="s">
        <v>445</v>
      </c>
      <c r="G219" s="751" t="s">
        <v>1438</v>
      </c>
      <c r="H219" s="925">
        <v>43313</v>
      </c>
      <c r="I219" s="925">
        <v>43313</v>
      </c>
      <c r="J219" s="751" t="s">
        <v>1238</v>
      </c>
      <c r="K219" s="751" t="s">
        <v>1238</v>
      </c>
      <c r="L219" s="751" t="s">
        <v>1238</v>
      </c>
      <c r="M219" s="751">
        <v>169</v>
      </c>
      <c r="N219" s="751" t="s">
        <v>1238</v>
      </c>
      <c r="O219" s="661"/>
      <c r="P219" s="661"/>
      <c r="Q219" s="661"/>
      <c r="R219" s="661"/>
      <c r="S219" s="661"/>
      <c r="T219" s="661"/>
      <c r="U219" s="661"/>
      <c r="V219" s="661"/>
    </row>
    <row r="220" spans="1:22">
      <c r="A220" s="661"/>
      <c r="B220" s="924">
        <v>217</v>
      </c>
      <c r="C220" s="751" t="s">
        <v>1433</v>
      </c>
      <c r="D220" s="751" t="s">
        <v>682</v>
      </c>
      <c r="E220" s="751">
        <v>210</v>
      </c>
      <c r="F220" s="751" t="s">
        <v>445</v>
      </c>
      <c r="G220" s="751" t="s">
        <v>1438</v>
      </c>
      <c r="H220" s="925">
        <v>43313</v>
      </c>
      <c r="I220" s="925">
        <v>43313</v>
      </c>
      <c r="J220" s="751" t="s">
        <v>1238</v>
      </c>
      <c r="K220" s="751" t="s">
        <v>1238</v>
      </c>
      <c r="L220" s="751" t="s">
        <v>1238</v>
      </c>
      <c r="M220" s="751">
        <v>210</v>
      </c>
      <c r="N220" s="751" t="s">
        <v>1238</v>
      </c>
      <c r="O220" s="661"/>
      <c r="P220" s="661"/>
      <c r="Q220" s="661"/>
      <c r="R220" s="661"/>
      <c r="S220" s="661"/>
      <c r="T220" s="661"/>
      <c r="U220" s="661"/>
      <c r="V220" s="661"/>
    </row>
    <row r="221" spans="1:22">
      <c r="A221" s="661"/>
      <c r="B221" s="924">
        <v>218</v>
      </c>
      <c r="C221" s="751" t="s">
        <v>1433</v>
      </c>
      <c r="D221" s="751" t="s">
        <v>683</v>
      </c>
      <c r="E221" s="751">
        <v>275</v>
      </c>
      <c r="F221" s="751" t="s">
        <v>445</v>
      </c>
      <c r="G221" s="751" t="s">
        <v>1438</v>
      </c>
      <c r="H221" s="925">
        <v>43313</v>
      </c>
      <c r="I221" s="925">
        <v>43313</v>
      </c>
      <c r="J221" s="751" t="s">
        <v>1238</v>
      </c>
      <c r="K221" s="751" t="s">
        <v>1238</v>
      </c>
      <c r="L221" s="751" t="s">
        <v>1238</v>
      </c>
      <c r="M221" s="751">
        <v>275</v>
      </c>
      <c r="N221" s="751" t="s">
        <v>1238</v>
      </c>
      <c r="O221" s="661"/>
      <c r="P221" s="661"/>
      <c r="Q221" s="661"/>
      <c r="R221" s="661"/>
      <c r="S221" s="661"/>
      <c r="T221" s="661"/>
      <c r="U221" s="661"/>
      <c r="V221" s="661"/>
    </row>
    <row r="222" spans="1:22">
      <c r="A222" s="661"/>
      <c r="B222" s="924">
        <v>219</v>
      </c>
      <c r="C222" s="751" t="s">
        <v>1433</v>
      </c>
      <c r="D222" s="751" t="s">
        <v>684</v>
      </c>
      <c r="E222" s="751">
        <v>1100</v>
      </c>
      <c r="F222" s="751" t="s">
        <v>445</v>
      </c>
      <c r="G222" s="751" t="s">
        <v>1438</v>
      </c>
      <c r="H222" s="925">
        <v>43313</v>
      </c>
      <c r="I222" s="925">
        <v>43313</v>
      </c>
      <c r="J222" s="751" t="s">
        <v>1238</v>
      </c>
      <c r="K222" s="751" t="s">
        <v>1238</v>
      </c>
      <c r="L222" s="751" t="s">
        <v>1238</v>
      </c>
      <c r="M222" s="751">
        <v>1100</v>
      </c>
      <c r="N222" s="751" t="s">
        <v>1238</v>
      </c>
      <c r="O222" s="661"/>
      <c r="P222" s="661"/>
      <c r="Q222" s="661"/>
      <c r="R222" s="661"/>
      <c r="S222" s="661"/>
      <c r="T222" s="661"/>
      <c r="U222" s="661"/>
      <c r="V222" s="661"/>
    </row>
    <row r="223" spans="1:22">
      <c r="A223" s="661"/>
      <c r="B223" s="924">
        <v>220</v>
      </c>
      <c r="C223" s="751" t="s">
        <v>1433</v>
      </c>
      <c r="D223" s="751" t="s">
        <v>685</v>
      </c>
      <c r="E223" s="751">
        <v>5</v>
      </c>
      <c r="F223" s="751" t="s">
        <v>445</v>
      </c>
      <c r="G223" s="751" t="s">
        <v>1438</v>
      </c>
      <c r="H223" s="925">
        <v>43313</v>
      </c>
      <c r="I223" s="925">
        <v>43313</v>
      </c>
      <c r="J223" s="751" t="s">
        <v>1238</v>
      </c>
      <c r="K223" s="751" t="s">
        <v>1238</v>
      </c>
      <c r="L223" s="751" t="s">
        <v>1238</v>
      </c>
      <c r="M223" s="751">
        <v>5</v>
      </c>
      <c r="N223" s="751" t="s">
        <v>1238</v>
      </c>
      <c r="O223" s="661"/>
      <c r="P223" s="661"/>
      <c r="Q223" s="661"/>
      <c r="R223" s="661"/>
      <c r="S223" s="661"/>
      <c r="T223" s="661"/>
      <c r="U223" s="661"/>
      <c r="V223" s="661"/>
    </row>
    <row r="224" spans="1:22">
      <c r="A224" s="661"/>
      <c r="B224" s="924">
        <v>221</v>
      </c>
      <c r="C224" s="751" t="s">
        <v>885</v>
      </c>
      <c r="D224" s="751" t="s">
        <v>1439</v>
      </c>
      <c r="E224" s="751">
        <v>198</v>
      </c>
      <c r="F224" s="751" t="s">
        <v>1440</v>
      </c>
      <c r="G224" s="751" t="s">
        <v>1390</v>
      </c>
      <c r="H224" s="925">
        <v>43313</v>
      </c>
      <c r="I224" s="925">
        <v>43313</v>
      </c>
      <c r="J224" s="751" t="s">
        <v>1441</v>
      </c>
      <c r="K224" s="751" t="s">
        <v>1238</v>
      </c>
      <c r="L224" s="751" t="s">
        <v>1238</v>
      </c>
      <c r="M224" s="751">
        <v>396</v>
      </c>
      <c r="N224" s="751"/>
      <c r="O224" s="661"/>
      <c r="P224" s="661"/>
      <c r="Q224" s="661"/>
      <c r="R224" s="661"/>
      <c r="S224" s="661"/>
      <c r="T224" s="661"/>
      <c r="U224" s="661"/>
      <c r="V224" s="661"/>
    </row>
    <row r="225" spans="1:22">
      <c r="A225" s="661"/>
      <c r="B225" s="924">
        <v>222</v>
      </c>
      <c r="C225" s="751" t="s">
        <v>885</v>
      </c>
      <c r="D225" s="751" t="s">
        <v>1442</v>
      </c>
      <c r="E225" s="751">
        <v>396</v>
      </c>
      <c r="F225" s="751" t="s">
        <v>1440</v>
      </c>
      <c r="G225" s="751" t="s">
        <v>1390</v>
      </c>
      <c r="H225" s="925">
        <v>43313</v>
      </c>
      <c r="I225" s="925">
        <v>43313</v>
      </c>
      <c r="J225" s="751" t="s">
        <v>1441</v>
      </c>
      <c r="K225" s="751" t="s">
        <v>1238</v>
      </c>
      <c r="L225" s="751" t="s">
        <v>1238</v>
      </c>
      <c r="M225" s="751">
        <v>396</v>
      </c>
      <c r="N225" s="751" t="s">
        <v>1238</v>
      </c>
      <c r="O225" s="661"/>
      <c r="P225" s="661"/>
      <c r="Q225" s="661"/>
      <c r="R225" s="661"/>
      <c r="S225" s="661"/>
      <c r="T225" s="661"/>
      <c r="U225" s="661"/>
      <c r="V225" s="661"/>
    </row>
    <row r="226" spans="1:22">
      <c r="A226" s="661"/>
      <c r="B226" s="924">
        <v>223</v>
      </c>
      <c r="C226" s="751" t="s">
        <v>885</v>
      </c>
      <c r="D226" s="751" t="s">
        <v>1443</v>
      </c>
      <c r="E226" s="751">
        <v>792</v>
      </c>
      <c r="F226" s="751" t="s">
        <v>1440</v>
      </c>
      <c r="G226" s="751" t="s">
        <v>1390</v>
      </c>
      <c r="H226" s="925">
        <v>43313</v>
      </c>
      <c r="I226" s="925">
        <v>43313</v>
      </c>
      <c r="J226" s="751" t="s">
        <v>1441</v>
      </c>
      <c r="K226" s="751" t="s">
        <v>1238</v>
      </c>
      <c r="L226" s="751" t="s">
        <v>1238</v>
      </c>
      <c r="M226" s="751">
        <v>792</v>
      </c>
      <c r="N226" s="751" t="s">
        <v>1238</v>
      </c>
      <c r="O226" s="661"/>
      <c r="P226" s="661"/>
      <c r="Q226" s="661"/>
      <c r="R226" s="661"/>
      <c r="S226" s="661"/>
      <c r="T226" s="661"/>
      <c r="U226" s="661"/>
      <c r="V226" s="661"/>
    </row>
    <row r="227" spans="1:22">
      <c r="A227" s="661"/>
      <c r="B227" s="924">
        <v>224</v>
      </c>
      <c r="C227" s="751" t="s">
        <v>885</v>
      </c>
      <c r="D227" s="751" t="s">
        <v>1444</v>
      </c>
      <c r="E227" s="751">
        <v>1188</v>
      </c>
      <c r="F227" s="751" t="s">
        <v>1440</v>
      </c>
      <c r="G227" s="751" t="s">
        <v>1390</v>
      </c>
      <c r="H227" s="925">
        <v>43313</v>
      </c>
      <c r="I227" s="925">
        <v>43313</v>
      </c>
      <c r="J227" s="751" t="s">
        <v>1441</v>
      </c>
      <c r="K227" s="751" t="s">
        <v>1238</v>
      </c>
      <c r="L227" s="751" t="s">
        <v>1238</v>
      </c>
      <c r="M227" s="751">
        <v>1188</v>
      </c>
      <c r="N227" s="751" t="s">
        <v>1238</v>
      </c>
      <c r="O227" s="661"/>
      <c r="P227" s="661"/>
      <c r="Q227" s="661"/>
      <c r="R227" s="661"/>
      <c r="S227" s="661"/>
      <c r="T227" s="661"/>
      <c r="U227" s="661"/>
      <c r="V227" s="661"/>
    </row>
    <row r="228" spans="1:22">
      <c r="A228" s="661"/>
      <c r="B228" s="924">
        <v>225</v>
      </c>
      <c r="C228" s="751" t="s">
        <v>885</v>
      </c>
      <c r="D228" s="751" t="s">
        <v>1445</v>
      </c>
      <c r="E228" s="751">
        <v>30</v>
      </c>
      <c r="F228" s="751" t="s">
        <v>1440</v>
      </c>
      <c r="G228" s="751" t="s">
        <v>1390</v>
      </c>
      <c r="H228" s="925">
        <v>43313</v>
      </c>
      <c r="I228" s="925">
        <v>43313</v>
      </c>
      <c r="J228" s="751" t="s">
        <v>1238</v>
      </c>
      <c r="K228" s="751" t="s">
        <v>1238</v>
      </c>
      <c r="L228" s="751" t="s">
        <v>1238</v>
      </c>
      <c r="M228" s="751">
        <v>30</v>
      </c>
      <c r="N228" s="751" t="s">
        <v>1238</v>
      </c>
      <c r="O228" s="661"/>
      <c r="P228" s="661"/>
      <c r="Q228" s="661"/>
      <c r="R228" s="661"/>
      <c r="S228" s="661"/>
      <c r="T228" s="661"/>
      <c r="U228" s="661"/>
      <c r="V228" s="661"/>
    </row>
    <row r="229" spans="1:22">
      <c r="A229" s="661"/>
      <c r="B229" s="924">
        <v>226</v>
      </c>
      <c r="C229" s="751" t="s">
        <v>885</v>
      </c>
      <c r="D229" s="751" t="s">
        <v>1446</v>
      </c>
      <c r="E229" s="751">
        <v>95</v>
      </c>
      <c r="F229" s="751" t="s">
        <v>1440</v>
      </c>
      <c r="G229" s="751" t="s">
        <v>1390</v>
      </c>
      <c r="H229" s="925">
        <v>43313</v>
      </c>
      <c r="I229" s="925">
        <v>43313</v>
      </c>
      <c r="J229" s="751" t="s">
        <v>1238</v>
      </c>
      <c r="K229" s="751" t="s">
        <v>1238</v>
      </c>
      <c r="L229" s="751" t="s">
        <v>1238</v>
      </c>
      <c r="M229" s="751">
        <v>95</v>
      </c>
      <c r="N229" s="751" t="s">
        <v>1238</v>
      </c>
      <c r="O229" s="661"/>
      <c r="P229" s="661"/>
      <c r="Q229" s="661"/>
      <c r="R229" s="661"/>
      <c r="S229" s="661"/>
      <c r="T229" s="661"/>
      <c r="U229" s="661"/>
      <c r="V229" s="661"/>
    </row>
    <row r="230" spans="1:22">
      <c r="A230" s="661"/>
      <c r="B230" s="924">
        <v>227</v>
      </c>
      <c r="C230" s="751" t="s">
        <v>885</v>
      </c>
      <c r="D230" s="751" t="s">
        <v>1447</v>
      </c>
      <c r="E230" s="751">
        <v>550</v>
      </c>
      <c r="F230" s="751" t="s">
        <v>1440</v>
      </c>
      <c r="G230" s="751" t="s">
        <v>408</v>
      </c>
      <c r="H230" s="925">
        <v>43313</v>
      </c>
      <c r="I230" s="925">
        <v>43313</v>
      </c>
      <c r="J230" s="751" t="s">
        <v>1238</v>
      </c>
      <c r="K230" s="751" t="s">
        <v>1238</v>
      </c>
      <c r="L230" s="751" t="s">
        <v>1238</v>
      </c>
      <c r="M230" s="751">
        <v>550</v>
      </c>
      <c r="N230" s="751" t="s">
        <v>1238</v>
      </c>
      <c r="O230" s="661"/>
      <c r="P230" s="661"/>
      <c r="Q230" s="661"/>
      <c r="R230" s="661"/>
      <c r="S230" s="661"/>
      <c r="T230" s="661"/>
      <c r="U230" s="661"/>
      <c r="V230" s="661"/>
    </row>
    <row r="231" spans="1:22">
      <c r="A231" s="661"/>
      <c r="B231" s="924">
        <v>228</v>
      </c>
      <c r="C231" s="751" t="s">
        <v>1448</v>
      </c>
      <c r="D231" s="751" t="s">
        <v>1449</v>
      </c>
      <c r="E231" s="751">
        <v>440</v>
      </c>
      <c r="F231" s="751" t="s">
        <v>1440</v>
      </c>
      <c r="G231" s="751" t="s">
        <v>1237</v>
      </c>
      <c r="H231" s="925">
        <v>44713</v>
      </c>
      <c r="I231" s="925">
        <v>44713</v>
      </c>
      <c r="J231" s="751" t="s">
        <v>1238</v>
      </c>
      <c r="K231" s="751" t="s">
        <v>1238</v>
      </c>
      <c r="L231" s="751" t="s">
        <v>1238</v>
      </c>
      <c r="M231" s="751">
        <v>440</v>
      </c>
      <c r="N231" s="751" t="s">
        <v>1238</v>
      </c>
      <c r="O231" s="661"/>
      <c r="P231" s="661"/>
      <c r="Q231" s="661"/>
      <c r="R231" s="661"/>
      <c r="S231" s="661"/>
      <c r="T231" s="661"/>
      <c r="U231" s="661"/>
      <c r="V231" s="661"/>
    </row>
    <row r="232" spans="1:22">
      <c r="A232" s="661"/>
      <c r="B232" s="924">
        <v>229</v>
      </c>
      <c r="C232" s="751" t="s">
        <v>1448</v>
      </c>
      <c r="D232" s="751" t="s">
        <v>1450</v>
      </c>
      <c r="E232" s="751">
        <v>176</v>
      </c>
      <c r="F232" s="751" t="s">
        <v>445</v>
      </c>
      <c r="G232" s="751" t="s">
        <v>1390</v>
      </c>
      <c r="H232" s="925">
        <v>45448</v>
      </c>
      <c r="I232" s="925">
        <v>45448</v>
      </c>
      <c r="J232" s="751" t="s">
        <v>1238</v>
      </c>
      <c r="K232" s="751" t="s">
        <v>1238</v>
      </c>
      <c r="L232" s="751" t="s">
        <v>1238</v>
      </c>
      <c r="M232" s="751">
        <v>176</v>
      </c>
      <c r="N232" s="751" t="s">
        <v>1238</v>
      </c>
      <c r="O232" s="661"/>
      <c r="P232" s="661"/>
      <c r="Q232" s="661"/>
      <c r="R232" s="661"/>
      <c r="S232" s="661"/>
      <c r="T232" s="661"/>
      <c r="U232" s="661"/>
      <c r="V232" s="661"/>
    </row>
    <row r="233" spans="1:22" ht="30">
      <c r="A233" s="661"/>
      <c r="B233" s="924">
        <v>230</v>
      </c>
      <c r="C233" s="751" t="s">
        <v>1448</v>
      </c>
      <c r="D233" s="751" t="s">
        <v>689</v>
      </c>
      <c r="E233" s="751">
        <v>200</v>
      </c>
      <c r="F233" s="751" t="s">
        <v>445</v>
      </c>
      <c r="G233" s="751" t="s">
        <v>1435</v>
      </c>
      <c r="H233" s="925">
        <v>45448</v>
      </c>
      <c r="I233" s="925">
        <v>45448</v>
      </c>
      <c r="J233" s="930" t="s">
        <v>1451</v>
      </c>
      <c r="K233" s="751" t="s">
        <v>1238</v>
      </c>
      <c r="L233" s="751" t="s">
        <v>1238</v>
      </c>
      <c r="M233" s="751">
        <v>200</v>
      </c>
      <c r="N233" s="751" t="s">
        <v>1238</v>
      </c>
      <c r="O233" s="661"/>
      <c r="P233" s="661"/>
      <c r="Q233" s="661"/>
      <c r="R233" s="661"/>
      <c r="S233" s="661"/>
      <c r="T233" s="661"/>
      <c r="U233" s="661"/>
      <c r="V233" s="661"/>
    </row>
    <row r="234" spans="1:22">
      <c r="A234" s="661"/>
      <c r="B234" s="924">
        <v>231</v>
      </c>
      <c r="C234" s="751" t="s">
        <v>1448</v>
      </c>
      <c r="D234" s="751" t="s">
        <v>1452</v>
      </c>
      <c r="E234" s="751">
        <v>103.7</v>
      </c>
      <c r="F234" s="751" t="s">
        <v>445</v>
      </c>
      <c r="G234" s="751" t="s">
        <v>1390</v>
      </c>
      <c r="H234" s="925">
        <v>43313</v>
      </c>
      <c r="I234" s="925">
        <v>43313</v>
      </c>
      <c r="J234" s="751" t="s">
        <v>1238</v>
      </c>
      <c r="K234" s="751" t="s">
        <v>1238</v>
      </c>
      <c r="L234" s="751" t="s">
        <v>1238</v>
      </c>
      <c r="M234" s="751">
        <v>103.73</v>
      </c>
      <c r="N234" s="751" t="s">
        <v>1238</v>
      </c>
      <c r="O234" s="661"/>
      <c r="P234" s="661"/>
      <c r="Q234" s="661"/>
      <c r="R234" s="661"/>
      <c r="S234" s="661"/>
      <c r="T234" s="661"/>
      <c r="U234" s="661"/>
      <c r="V234" s="661"/>
    </row>
    <row r="235" spans="1:22">
      <c r="A235" s="661"/>
      <c r="B235" s="924">
        <v>232</v>
      </c>
      <c r="C235" s="751" t="s">
        <v>1448</v>
      </c>
      <c r="D235" s="751" t="s">
        <v>1453</v>
      </c>
      <c r="E235" s="751">
        <v>117.5</v>
      </c>
      <c r="F235" s="751" t="s">
        <v>445</v>
      </c>
      <c r="G235" s="751" t="s">
        <v>1454</v>
      </c>
      <c r="H235" s="925">
        <v>43313</v>
      </c>
      <c r="I235" s="925">
        <v>43313</v>
      </c>
      <c r="J235" s="751" t="s">
        <v>1238</v>
      </c>
      <c r="K235" s="751" t="s">
        <v>1238</v>
      </c>
      <c r="L235" s="751" t="s">
        <v>1238</v>
      </c>
      <c r="M235" s="751">
        <v>117.46</v>
      </c>
      <c r="N235" s="751" t="s">
        <v>1238</v>
      </c>
      <c r="O235" s="661"/>
      <c r="P235" s="661"/>
      <c r="Q235" s="661"/>
      <c r="R235" s="661"/>
      <c r="S235" s="661"/>
      <c r="T235" s="661"/>
      <c r="U235" s="661"/>
      <c r="V235" s="661"/>
    </row>
    <row r="236" spans="1:22">
      <c r="A236" s="661"/>
      <c r="B236" s="924">
        <v>233</v>
      </c>
      <c r="C236" s="751" t="s">
        <v>1448</v>
      </c>
      <c r="D236" s="751" t="s">
        <v>1455</v>
      </c>
      <c r="E236" s="751">
        <v>215</v>
      </c>
      <c r="F236" s="751" t="s">
        <v>445</v>
      </c>
      <c r="G236" s="751" t="s">
        <v>1390</v>
      </c>
      <c r="H236" s="925">
        <v>45566</v>
      </c>
      <c r="I236" s="925">
        <v>45880</v>
      </c>
      <c r="J236" s="751" t="s">
        <v>1238</v>
      </c>
      <c r="K236" s="751" t="s">
        <v>1238</v>
      </c>
      <c r="L236" s="751" t="s">
        <v>1238</v>
      </c>
      <c r="M236" s="751">
        <v>215</v>
      </c>
      <c r="N236" s="751" t="s">
        <v>1238</v>
      </c>
      <c r="O236" s="661"/>
      <c r="P236" s="661"/>
      <c r="Q236" s="661"/>
      <c r="R236" s="661"/>
      <c r="S236" s="661"/>
      <c r="T236" s="661"/>
      <c r="U236" s="661"/>
      <c r="V236" s="661"/>
    </row>
    <row r="237" spans="1:22">
      <c r="A237" s="661"/>
      <c r="B237" s="924">
        <v>234</v>
      </c>
      <c r="C237" s="751" t="s">
        <v>1448</v>
      </c>
      <c r="D237" s="751" t="s">
        <v>1456</v>
      </c>
      <c r="E237" s="751">
        <v>230</v>
      </c>
      <c r="F237" s="751" t="s">
        <v>445</v>
      </c>
      <c r="G237" s="751" t="s">
        <v>1390</v>
      </c>
      <c r="H237" s="925">
        <v>45364</v>
      </c>
      <c r="I237" s="925">
        <v>45364</v>
      </c>
      <c r="J237" s="751" t="s">
        <v>1238</v>
      </c>
      <c r="K237" s="751" t="s">
        <v>1238</v>
      </c>
      <c r="L237" s="751" t="s">
        <v>1238</v>
      </c>
      <c r="M237" s="751">
        <v>230</v>
      </c>
      <c r="N237" s="751" t="s">
        <v>1238</v>
      </c>
      <c r="O237" s="661"/>
      <c r="P237" s="661"/>
      <c r="Q237" s="661"/>
      <c r="R237" s="661"/>
      <c r="S237" s="661"/>
      <c r="T237" s="661"/>
      <c r="U237" s="661"/>
      <c r="V237" s="661"/>
    </row>
    <row r="238" spans="1:22">
      <c r="A238" s="661"/>
      <c r="B238" s="924">
        <v>235</v>
      </c>
      <c r="C238" s="751" t="s">
        <v>1448</v>
      </c>
      <c r="D238" s="751" t="s">
        <v>1457</v>
      </c>
      <c r="E238" s="751">
        <v>526</v>
      </c>
      <c r="F238" s="751" t="s">
        <v>1440</v>
      </c>
      <c r="G238" s="751" t="s">
        <v>1390</v>
      </c>
      <c r="H238" s="925">
        <v>43140</v>
      </c>
      <c r="I238" s="925">
        <v>43140</v>
      </c>
      <c r="J238" s="751" t="s">
        <v>1238</v>
      </c>
      <c r="K238" s="751" t="s">
        <v>1238</v>
      </c>
      <c r="L238" s="751" t="s">
        <v>1238</v>
      </c>
      <c r="M238" s="751">
        <v>526</v>
      </c>
      <c r="N238" s="751" t="s">
        <v>1238</v>
      </c>
      <c r="O238" s="661"/>
      <c r="P238" s="661"/>
      <c r="Q238" s="661"/>
      <c r="R238" s="661"/>
      <c r="S238" s="661"/>
      <c r="T238" s="661"/>
      <c r="U238" s="661"/>
      <c r="V238" s="661"/>
    </row>
    <row r="239" spans="1:22">
      <c r="A239" s="661"/>
      <c r="B239" s="924">
        <v>236</v>
      </c>
      <c r="C239" s="751" t="s">
        <v>1448</v>
      </c>
      <c r="D239" s="751" t="s">
        <v>1458</v>
      </c>
      <c r="E239" s="751">
        <v>66.2</v>
      </c>
      <c r="F239" s="751" t="s">
        <v>445</v>
      </c>
      <c r="G239" s="751" t="s">
        <v>1454</v>
      </c>
      <c r="H239" s="925">
        <v>43313</v>
      </c>
      <c r="I239" s="925">
        <v>43313</v>
      </c>
      <c r="J239" s="751" t="s">
        <v>1238</v>
      </c>
      <c r="K239" s="751" t="s">
        <v>1238</v>
      </c>
      <c r="L239" s="751" t="s">
        <v>1238</v>
      </c>
      <c r="M239" s="751">
        <v>66.23</v>
      </c>
      <c r="N239" s="751" t="s">
        <v>1238</v>
      </c>
      <c r="O239" s="661"/>
      <c r="P239" s="661"/>
      <c r="Q239" s="661"/>
      <c r="R239" s="661"/>
      <c r="S239" s="661"/>
      <c r="T239" s="661"/>
      <c r="U239" s="661"/>
      <c r="V239" s="661"/>
    </row>
    <row r="240" spans="1:22">
      <c r="A240" s="661"/>
      <c r="B240" s="924">
        <v>237</v>
      </c>
      <c r="C240" s="751" t="s">
        <v>1448</v>
      </c>
      <c r="D240" s="751" t="s">
        <v>1459</v>
      </c>
      <c r="E240" s="751">
        <v>92</v>
      </c>
      <c r="F240" s="751" t="s">
        <v>1440</v>
      </c>
      <c r="G240" s="751" t="s">
        <v>1237</v>
      </c>
      <c r="H240" s="925">
        <v>44713</v>
      </c>
      <c r="I240" s="925">
        <v>44713</v>
      </c>
      <c r="J240" s="751" t="s">
        <v>1238</v>
      </c>
      <c r="K240" s="751" t="s">
        <v>1238</v>
      </c>
      <c r="L240" s="751" t="s">
        <v>1238</v>
      </c>
      <c r="M240" s="751">
        <v>92</v>
      </c>
      <c r="N240" s="751" t="s">
        <v>1238</v>
      </c>
      <c r="O240" s="661"/>
      <c r="P240" s="661"/>
      <c r="Q240" s="661"/>
      <c r="R240" s="661"/>
      <c r="S240" s="661"/>
      <c r="T240" s="661"/>
      <c r="U240" s="661"/>
      <c r="V240" s="661"/>
    </row>
    <row r="241" spans="1:22">
      <c r="A241" s="661"/>
      <c r="B241" s="924">
        <v>238</v>
      </c>
      <c r="C241" s="751" t="s">
        <v>1448</v>
      </c>
      <c r="D241" s="751" t="s">
        <v>1460</v>
      </c>
      <c r="E241" s="751">
        <v>96</v>
      </c>
      <c r="F241" s="751" t="s">
        <v>1440</v>
      </c>
      <c r="G241" s="751" t="s">
        <v>1237</v>
      </c>
      <c r="H241" s="925">
        <v>44713</v>
      </c>
      <c r="I241" s="925">
        <v>44713</v>
      </c>
      <c r="J241" s="751" t="s">
        <v>1238</v>
      </c>
      <c r="K241" s="751" t="s">
        <v>1238</v>
      </c>
      <c r="L241" s="751" t="s">
        <v>1238</v>
      </c>
      <c r="M241" s="751">
        <v>96</v>
      </c>
      <c r="N241" s="751" t="s">
        <v>1238</v>
      </c>
      <c r="O241" s="661"/>
      <c r="P241" s="661"/>
      <c r="Q241" s="661"/>
      <c r="R241" s="661"/>
      <c r="S241" s="661"/>
      <c r="T241" s="661"/>
      <c r="U241" s="661"/>
      <c r="V241" s="661"/>
    </row>
    <row r="242" spans="1:22">
      <c r="A242" s="661"/>
      <c r="B242" s="924">
        <v>239</v>
      </c>
      <c r="C242" s="751" t="s">
        <v>104</v>
      </c>
      <c r="D242" s="751" t="s">
        <v>1461</v>
      </c>
      <c r="E242" s="751">
        <v>2.1</v>
      </c>
      <c r="F242" s="751" t="s">
        <v>445</v>
      </c>
      <c r="G242" s="751" t="s">
        <v>1238</v>
      </c>
      <c r="H242" s="925">
        <v>42583</v>
      </c>
      <c r="I242" s="925">
        <v>42583</v>
      </c>
      <c r="J242" s="751" t="s">
        <v>1238</v>
      </c>
      <c r="K242" s="751" t="s">
        <v>1238</v>
      </c>
      <c r="L242" s="751" t="s">
        <v>1238</v>
      </c>
      <c r="M242" s="751">
        <v>2.0499999999999998</v>
      </c>
      <c r="N242" s="751" t="s">
        <v>1238</v>
      </c>
      <c r="O242" s="661"/>
      <c r="P242" s="661"/>
      <c r="Q242" s="661"/>
      <c r="R242" s="661"/>
      <c r="S242" s="661"/>
      <c r="T242" s="661"/>
      <c r="U242" s="661"/>
      <c r="V242" s="661"/>
    </row>
    <row r="243" spans="1:22">
      <c r="A243" s="661"/>
      <c r="B243" s="924">
        <v>240</v>
      </c>
      <c r="C243" s="751" t="s">
        <v>1462</v>
      </c>
      <c r="D243" s="751" t="s">
        <v>1463</v>
      </c>
      <c r="E243" s="751">
        <v>156</v>
      </c>
      <c r="F243" s="751" t="s">
        <v>445</v>
      </c>
      <c r="G243" s="751" t="s">
        <v>1394</v>
      </c>
      <c r="H243" s="925">
        <v>43324</v>
      </c>
      <c r="I243" s="925">
        <v>43324</v>
      </c>
      <c r="J243" s="751" t="s">
        <v>1238</v>
      </c>
      <c r="K243" s="751" t="s">
        <v>1238</v>
      </c>
      <c r="L243" s="751" t="s">
        <v>1238</v>
      </c>
      <c r="M243" s="751">
        <v>156.02044000000001</v>
      </c>
      <c r="N243" s="751" t="s">
        <v>1238</v>
      </c>
      <c r="O243" s="661"/>
      <c r="P243" s="661"/>
      <c r="Q243" s="661"/>
      <c r="R243" s="661"/>
      <c r="S243" s="661"/>
      <c r="T243" s="661"/>
      <c r="U243" s="661"/>
      <c r="V243" s="661"/>
    </row>
    <row r="244" spans="1:22">
      <c r="A244" s="661"/>
      <c r="B244" s="924">
        <v>241</v>
      </c>
      <c r="C244" s="751" t="s">
        <v>1462</v>
      </c>
      <c r="D244" s="751" t="s">
        <v>109</v>
      </c>
      <c r="E244" s="751">
        <v>310.2</v>
      </c>
      <c r="F244" s="751" t="s">
        <v>445</v>
      </c>
      <c r="G244" s="751" t="s">
        <v>1394</v>
      </c>
      <c r="H244" s="925">
        <v>43324</v>
      </c>
      <c r="I244" s="925">
        <v>43324</v>
      </c>
      <c r="J244" s="751" t="s">
        <v>1238</v>
      </c>
      <c r="K244" s="751" t="s">
        <v>1238</v>
      </c>
      <c r="L244" s="751" t="s">
        <v>1238</v>
      </c>
      <c r="M244" s="751">
        <v>310.16152</v>
      </c>
      <c r="N244" s="751" t="s">
        <v>1238</v>
      </c>
      <c r="O244" s="661"/>
      <c r="P244" s="661"/>
      <c r="Q244" s="661"/>
      <c r="R244" s="661"/>
      <c r="S244" s="661"/>
      <c r="T244" s="661"/>
      <c r="U244" s="661"/>
      <c r="V244" s="661"/>
    </row>
    <row r="245" spans="1:22">
      <c r="A245" s="661"/>
      <c r="B245" s="924">
        <v>242</v>
      </c>
      <c r="C245" s="751" t="s">
        <v>1462</v>
      </c>
      <c r="D245" s="751" t="s">
        <v>1464</v>
      </c>
      <c r="E245" s="751">
        <v>126</v>
      </c>
      <c r="F245" s="751" t="s">
        <v>445</v>
      </c>
      <c r="G245" s="751" t="s">
        <v>1394</v>
      </c>
      <c r="H245" s="925">
        <v>43324</v>
      </c>
      <c r="I245" s="925">
        <v>43324</v>
      </c>
      <c r="J245" s="751" t="s">
        <v>1238</v>
      </c>
      <c r="K245" s="751" t="s">
        <v>1238</v>
      </c>
      <c r="L245" s="751" t="s">
        <v>1238</v>
      </c>
      <c r="M245" s="751">
        <v>126.01779999999999</v>
      </c>
      <c r="N245" s="751" t="s">
        <v>1238</v>
      </c>
      <c r="O245" s="661"/>
      <c r="P245" s="661"/>
      <c r="Q245" s="661"/>
      <c r="R245" s="661"/>
      <c r="S245" s="661"/>
      <c r="T245" s="661"/>
      <c r="U245" s="661"/>
      <c r="V245" s="661"/>
    </row>
    <row r="246" spans="1:22">
      <c r="A246" s="661"/>
      <c r="B246" s="924">
        <v>243</v>
      </c>
      <c r="C246" s="751" t="s">
        <v>1462</v>
      </c>
      <c r="D246" s="751" t="s">
        <v>1465</v>
      </c>
      <c r="E246" s="751">
        <v>655.8</v>
      </c>
      <c r="F246" s="751" t="s">
        <v>445</v>
      </c>
      <c r="G246" s="751" t="s">
        <v>1394</v>
      </c>
      <c r="H246" s="925">
        <v>43324</v>
      </c>
      <c r="I246" s="925">
        <v>43324</v>
      </c>
      <c r="J246" s="751" t="s">
        <v>1238</v>
      </c>
      <c r="K246" s="751" t="s">
        <v>1238</v>
      </c>
      <c r="L246" s="751" t="s">
        <v>1238</v>
      </c>
      <c r="M246" s="751">
        <v>655.76239999999996</v>
      </c>
      <c r="N246" s="751" t="s">
        <v>1238</v>
      </c>
      <c r="O246" s="661"/>
      <c r="P246" s="661"/>
      <c r="Q246" s="661"/>
      <c r="R246" s="661"/>
      <c r="S246" s="661"/>
      <c r="T246" s="661"/>
      <c r="U246" s="661"/>
      <c r="V246" s="661"/>
    </row>
    <row r="247" spans="1:22">
      <c r="A247" s="661"/>
      <c r="B247" s="924">
        <v>244</v>
      </c>
      <c r="C247" s="751" t="s">
        <v>1462</v>
      </c>
      <c r="D247" s="751" t="s">
        <v>1466</v>
      </c>
      <c r="E247" s="751">
        <v>2142060</v>
      </c>
      <c r="F247" s="751" t="s">
        <v>445</v>
      </c>
      <c r="G247" s="751" t="s">
        <v>1467</v>
      </c>
      <c r="H247" s="925">
        <v>43324</v>
      </c>
      <c r="I247" s="925">
        <v>43324</v>
      </c>
      <c r="J247" s="751" t="s">
        <v>1238</v>
      </c>
      <c r="K247" s="751" t="s">
        <v>1238</v>
      </c>
      <c r="L247" s="751" t="s">
        <v>1238</v>
      </c>
      <c r="M247" s="751">
        <v>2142060</v>
      </c>
      <c r="N247" s="751" t="s">
        <v>1238</v>
      </c>
      <c r="O247" s="661"/>
      <c r="P247" s="661"/>
      <c r="Q247" s="661"/>
      <c r="R247" s="661"/>
      <c r="S247" s="661"/>
      <c r="T247" s="661"/>
      <c r="U247" s="661"/>
      <c r="V247" s="661"/>
    </row>
    <row r="248" spans="1:22">
      <c r="A248" s="661"/>
      <c r="B248" s="924">
        <v>245</v>
      </c>
      <c r="C248" s="751" t="s">
        <v>1462</v>
      </c>
      <c r="D248" s="751" t="s">
        <v>1468</v>
      </c>
      <c r="E248" s="751">
        <v>1202210</v>
      </c>
      <c r="F248" s="751" t="s">
        <v>445</v>
      </c>
      <c r="G248" s="751" t="s">
        <v>1467</v>
      </c>
      <c r="H248" s="925">
        <v>43324</v>
      </c>
      <c r="I248" s="925">
        <v>43324</v>
      </c>
      <c r="J248" s="751" t="s">
        <v>1238</v>
      </c>
      <c r="K248" s="751" t="s">
        <v>1238</v>
      </c>
      <c r="L248" s="751" t="s">
        <v>1238</v>
      </c>
      <c r="M248" s="751">
        <v>1202210</v>
      </c>
      <c r="N248" s="751" t="s">
        <v>1238</v>
      </c>
      <c r="O248" s="661"/>
      <c r="P248" s="661"/>
      <c r="Q248" s="661"/>
      <c r="R248" s="661"/>
      <c r="S248" s="661"/>
      <c r="T248" s="661"/>
      <c r="U248" s="661"/>
      <c r="V248" s="661"/>
    </row>
    <row r="249" spans="1:22">
      <c r="A249" s="661"/>
      <c r="B249" s="924">
        <v>246</v>
      </c>
      <c r="C249" s="751" t="s">
        <v>1462</v>
      </c>
      <c r="D249" s="751" t="s">
        <v>1469</v>
      </c>
      <c r="E249" s="751">
        <v>1422990</v>
      </c>
      <c r="F249" s="751" t="s">
        <v>445</v>
      </c>
      <c r="G249" s="751" t="s">
        <v>1467</v>
      </c>
      <c r="H249" s="925">
        <v>43324</v>
      </c>
      <c r="I249" s="925">
        <v>43324</v>
      </c>
      <c r="J249" s="751" t="s">
        <v>1238</v>
      </c>
      <c r="K249" s="751" t="s">
        <v>1238</v>
      </c>
      <c r="L249" s="751" t="s">
        <v>1238</v>
      </c>
      <c r="M249" s="751">
        <v>1422990</v>
      </c>
      <c r="N249" s="751" t="s">
        <v>1238</v>
      </c>
      <c r="O249" s="661"/>
      <c r="P249" s="661"/>
      <c r="Q249" s="661"/>
      <c r="R249" s="661"/>
      <c r="S249" s="661"/>
      <c r="T249" s="661"/>
      <c r="U249" s="661"/>
      <c r="V249" s="661"/>
    </row>
    <row r="250" spans="1:22">
      <c r="A250" s="661"/>
      <c r="B250" s="924">
        <v>247</v>
      </c>
      <c r="C250" s="751" t="s">
        <v>1462</v>
      </c>
      <c r="D250" s="751" t="s">
        <v>1470</v>
      </c>
      <c r="E250" s="751">
        <v>1269.5999999999999</v>
      </c>
      <c r="F250" s="751" t="s">
        <v>445</v>
      </c>
      <c r="G250" s="751" t="s">
        <v>1394</v>
      </c>
      <c r="H250" s="925">
        <v>43324</v>
      </c>
      <c r="I250" s="925">
        <v>43324</v>
      </c>
      <c r="J250" s="751" t="s">
        <v>1238</v>
      </c>
      <c r="K250" s="751" t="s">
        <v>1238</v>
      </c>
      <c r="L250" s="751" t="s">
        <v>1238</v>
      </c>
      <c r="M250" s="751">
        <v>1269.5748000000001</v>
      </c>
      <c r="N250" s="751" t="s">
        <v>1238</v>
      </c>
      <c r="O250" s="661"/>
      <c r="P250" s="661"/>
      <c r="Q250" s="661"/>
      <c r="R250" s="661"/>
      <c r="S250" s="661"/>
      <c r="T250" s="661"/>
      <c r="U250" s="661"/>
      <c r="V250" s="661"/>
    </row>
    <row r="251" spans="1:22">
      <c r="A251" s="661"/>
      <c r="B251" s="924">
        <v>248</v>
      </c>
      <c r="C251" s="751" t="s">
        <v>1462</v>
      </c>
      <c r="D251" s="751" t="s">
        <v>1471</v>
      </c>
      <c r="E251" s="751">
        <v>1728.3</v>
      </c>
      <c r="F251" s="751" t="s">
        <v>445</v>
      </c>
      <c r="G251" s="751" t="s">
        <v>1394</v>
      </c>
      <c r="H251" s="925">
        <v>43324</v>
      </c>
      <c r="I251" s="925">
        <v>43324</v>
      </c>
      <c r="J251" s="751" t="s">
        <v>1238</v>
      </c>
      <c r="K251" s="751" t="s">
        <v>1238</v>
      </c>
      <c r="L251" s="751" t="s">
        <v>1238</v>
      </c>
      <c r="M251" s="751">
        <v>1728.34</v>
      </c>
      <c r="N251" s="751" t="s">
        <v>1238</v>
      </c>
      <c r="O251" s="661"/>
      <c r="P251" s="661"/>
      <c r="Q251" s="661"/>
      <c r="R251" s="661"/>
      <c r="S251" s="661"/>
      <c r="T251" s="661"/>
      <c r="U251" s="661"/>
      <c r="V251" s="661"/>
    </row>
    <row r="252" spans="1:22">
      <c r="A252" s="661"/>
      <c r="B252" s="924">
        <v>249</v>
      </c>
      <c r="C252" s="751" t="s">
        <v>1462</v>
      </c>
      <c r="D252" s="751" t="s">
        <v>1472</v>
      </c>
      <c r="E252" s="751">
        <v>1073.9000000000001</v>
      </c>
      <c r="F252" s="751" t="s">
        <v>445</v>
      </c>
      <c r="G252" s="751" t="s">
        <v>1394</v>
      </c>
      <c r="H252" s="925">
        <v>43324</v>
      </c>
      <c r="I252" s="925">
        <v>43324</v>
      </c>
      <c r="J252" s="751" t="s">
        <v>1238</v>
      </c>
      <c r="K252" s="751" t="s">
        <v>1238</v>
      </c>
      <c r="L252" s="751" t="s">
        <v>1238</v>
      </c>
      <c r="M252" s="751">
        <v>1073.92</v>
      </c>
      <c r="N252" s="751" t="s">
        <v>1238</v>
      </c>
      <c r="O252" s="661"/>
      <c r="P252" s="661"/>
      <c r="Q252" s="661"/>
      <c r="R252" s="661"/>
      <c r="S252" s="661"/>
      <c r="T252" s="661"/>
      <c r="U252" s="661"/>
      <c r="V252" s="661"/>
    </row>
    <row r="253" spans="1:22">
      <c r="A253" s="661"/>
      <c r="B253" s="924">
        <v>250</v>
      </c>
      <c r="C253" s="751" t="s">
        <v>1462</v>
      </c>
      <c r="D253" s="751" t="s">
        <v>107</v>
      </c>
      <c r="E253" s="751">
        <v>387.1</v>
      </c>
      <c r="F253" s="751" t="s">
        <v>445</v>
      </c>
      <c r="G253" s="751" t="s">
        <v>1237</v>
      </c>
      <c r="H253" s="925">
        <v>44166</v>
      </c>
      <c r="I253" s="925">
        <v>44228</v>
      </c>
      <c r="J253" s="751" t="s">
        <v>1238</v>
      </c>
      <c r="K253" s="751">
        <v>247.4</v>
      </c>
      <c r="L253" s="751" t="s">
        <v>1238</v>
      </c>
      <c r="M253" s="751">
        <v>387.12</v>
      </c>
      <c r="N253" s="751" t="s">
        <v>1238</v>
      </c>
      <c r="O253" s="661"/>
      <c r="P253" s="661"/>
      <c r="Q253" s="661"/>
      <c r="R253" s="661"/>
      <c r="S253" s="661"/>
      <c r="T253" s="661"/>
      <c r="U253" s="661"/>
      <c r="V253" s="661"/>
    </row>
    <row r="254" spans="1:22">
      <c r="A254" s="661"/>
      <c r="B254" s="924">
        <v>251</v>
      </c>
      <c r="C254" s="751" t="s">
        <v>1462</v>
      </c>
      <c r="D254" s="751" t="s">
        <v>1473</v>
      </c>
      <c r="E254" s="751">
        <v>247.4</v>
      </c>
      <c r="F254" s="751" t="s">
        <v>445</v>
      </c>
      <c r="G254" s="751" t="s">
        <v>1237</v>
      </c>
      <c r="H254" s="925">
        <v>44166</v>
      </c>
      <c r="I254" s="925">
        <v>44228</v>
      </c>
      <c r="J254" s="751" t="s">
        <v>1238</v>
      </c>
      <c r="K254" s="751" t="s">
        <v>1238</v>
      </c>
      <c r="L254" s="751" t="s">
        <v>1238</v>
      </c>
      <c r="M254" s="751">
        <v>247.43</v>
      </c>
      <c r="N254" s="751" t="s">
        <v>1238</v>
      </c>
      <c r="O254" s="661"/>
      <c r="P254" s="661"/>
      <c r="Q254" s="661"/>
      <c r="R254" s="661"/>
      <c r="S254" s="661"/>
      <c r="T254" s="661"/>
      <c r="U254" s="661"/>
      <c r="V254" s="661"/>
    </row>
    <row r="255" spans="1:22">
      <c r="A255" s="661"/>
      <c r="B255" s="924">
        <v>252</v>
      </c>
      <c r="C255" s="751" t="s">
        <v>104</v>
      </c>
      <c r="D255" s="751" t="s">
        <v>1474</v>
      </c>
      <c r="E255" s="751">
        <v>15</v>
      </c>
      <c r="F255" s="751" t="s">
        <v>1255</v>
      </c>
      <c r="G255" s="751" t="s">
        <v>1237</v>
      </c>
      <c r="H255" s="925">
        <v>45200</v>
      </c>
      <c r="I255" s="925">
        <v>45200</v>
      </c>
      <c r="J255" s="751" t="s">
        <v>1238</v>
      </c>
      <c r="K255" s="751">
        <v>18</v>
      </c>
      <c r="L255" s="751" t="s">
        <v>1238</v>
      </c>
      <c r="M255" s="751">
        <v>15</v>
      </c>
      <c r="N255" s="751" t="s">
        <v>1238</v>
      </c>
      <c r="O255" s="661"/>
      <c r="P255" s="661"/>
      <c r="Q255" s="661"/>
      <c r="R255" s="661"/>
      <c r="S255" s="661"/>
      <c r="T255" s="661"/>
      <c r="U255" s="661"/>
      <c r="V255" s="661"/>
    </row>
    <row r="256" spans="1:22">
      <c r="A256" s="661"/>
      <c r="B256" s="924">
        <v>253</v>
      </c>
      <c r="C256" s="751" t="s">
        <v>1395</v>
      </c>
      <c r="D256" s="751" t="s">
        <v>819</v>
      </c>
      <c r="E256" s="751">
        <v>97.25</v>
      </c>
      <c r="F256" s="751" t="s">
        <v>1255</v>
      </c>
      <c r="G256" s="751" t="s">
        <v>1237</v>
      </c>
      <c r="H256" s="925">
        <v>45925</v>
      </c>
      <c r="I256" s="925">
        <v>45925</v>
      </c>
      <c r="J256" s="751" t="s">
        <v>1238</v>
      </c>
      <c r="K256" s="751">
        <v>32</v>
      </c>
      <c r="L256" s="925">
        <v>45925</v>
      </c>
      <c r="M256" s="751">
        <v>100</v>
      </c>
      <c r="N256" s="751" t="s">
        <v>1238</v>
      </c>
      <c r="O256" s="661"/>
      <c r="P256" s="661"/>
      <c r="Q256" s="661"/>
      <c r="R256" s="661"/>
      <c r="S256" s="661"/>
      <c r="T256" s="661"/>
      <c r="U256" s="661"/>
      <c r="V256" s="661"/>
    </row>
    <row r="257" spans="1:22">
      <c r="A257" s="661"/>
      <c r="B257" s="924">
        <v>254</v>
      </c>
      <c r="C257" s="751" t="s">
        <v>1433</v>
      </c>
      <c r="D257" s="930" t="s">
        <v>686</v>
      </c>
      <c r="E257" s="751">
        <v>129</v>
      </c>
      <c r="F257" s="751" t="s">
        <v>1255</v>
      </c>
      <c r="G257" s="751" t="s">
        <v>1475</v>
      </c>
      <c r="H257" s="925">
        <v>44713</v>
      </c>
      <c r="I257" s="925">
        <v>44713</v>
      </c>
      <c r="J257" s="751" t="s">
        <v>1238</v>
      </c>
      <c r="K257" s="751" t="s">
        <v>1238</v>
      </c>
      <c r="L257" s="751" t="s">
        <v>1238</v>
      </c>
      <c r="M257" s="751">
        <v>129</v>
      </c>
      <c r="N257" s="751" t="s">
        <v>1238</v>
      </c>
      <c r="O257" s="661"/>
      <c r="P257" s="661"/>
      <c r="Q257" s="661"/>
      <c r="R257" s="661"/>
      <c r="S257" s="661"/>
      <c r="T257" s="661"/>
      <c r="U257" s="661"/>
      <c r="V257" s="661"/>
    </row>
    <row r="258" spans="1:22">
      <c r="A258" s="661"/>
      <c r="B258" s="924">
        <v>255</v>
      </c>
      <c r="C258" s="751" t="s">
        <v>1203</v>
      </c>
      <c r="D258" s="751" t="s">
        <v>1476</v>
      </c>
      <c r="E258" s="751">
        <v>71</v>
      </c>
      <c r="F258" s="751" t="s">
        <v>445</v>
      </c>
      <c r="G258" s="751" t="s">
        <v>1237</v>
      </c>
      <c r="H258" s="925">
        <v>45505</v>
      </c>
      <c r="I258" s="925">
        <v>45569</v>
      </c>
      <c r="J258" s="751" t="s">
        <v>1238</v>
      </c>
      <c r="K258" s="751">
        <v>30.5</v>
      </c>
      <c r="L258" s="925">
        <v>45569</v>
      </c>
      <c r="M258" s="751">
        <v>75</v>
      </c>
      <c r="N258" s="751" t="s">
        <v>1238</v>
      </c>
      <c r="O258" s="661"/>
      <c r="P258" s="661"/>
      <c r="Q258" s="661"/>
      <c r="R258" s="661"/>
      <c r="S258" s="661"/>
      <c r="T258" s="661"/>
      <c r="U258" s="661"/>
      <c r="V258" s="661"/>
    </row>
    <row r="259" spans="1:22">
      <c r="A259" s="661"/>
      <c r="B259" s="924">
        <v>256</v>
      </c>
      <c r="C259" s="751" t="s">
        <v>1203</v>
      </c>
      <c r="D259" s="751" t="s">
        <v>1477</v>
      </c>
      <c r="E259" s="751">
        <v>170</v>
      </c>
      <c r="F259" s="751" t="s">
        <v>1255</v>
      </c>
      <c r="G259" s="751" t="s">
        <v>1478</v>
      </c>
      <c r="H259" s="925">
        <v>45189</v>
      </c>
      <c r="I259" s="925">
        <v>45189</v>
      </c>
      <c r="J259" s="751" t="s">
        <v>1238</v>
      </c>
      <c r="K259" s="751">
        <v>50</v>
      </c>
      <c r="L259" s="925">
        <v>44896</v>
      </c>
      <c r="M259" s="751">
        <v>170</v>
      </c>
      <c r="N259" s="751" t="s">
        <v>1238</v>
      </c>
      <c r="O259" s="661"/>
      <c r="P259" s="661"/>
      <c r="Q259" s="661"/>
      <c r="R259" s="661"/>
      <c r="S259" s="661"/>
      <c r="T259" s="661"/>
      <c r="U259" s="661"/>
      <c r="V259" s="661"/>
    </row>
    <row r="260" spans="1:22">
      <c r="A260" s="661"/>
      <c r="B260" s="924">
        <v>257</v>
      </c>
      <c r="C260" s="751" t="s">
        <v>1203</v>
      </c>
      <c r="D260" s="751" t="s">
        <v>1479</v>
      </c>
      <c r="E260" s="751">
        <v>85.5</v>
      </c>
      <c r="F260" s="751" t="s">
        <v>1255</v>
      </c>
      <c r="G260" s="751" t="s">
        <v>1480</v>
      </c>
      <c r="H260" s="751" t="s">
        <v>1238</v>
      </c>
      <c r="I260" s="751" t="s">
        <v>1238</v>
      </c>
      <c r="J260" s="751" t="s">
        <v>1481</v>
      </c>
      <c r="K260" s="751">
        <v>34</v>
      </c>
      <c r="L260" s="925">
        <v>44896</v>
      </c>
      <c r="M260" s="751">
        <v>85.5</v>
      </c>
      <c r="N260" s="751" t="s">
        <v>1238</v>
      </c>
      <c r="O260" s="661"/>
      <c r="P260" s="661"/>
      <c r="Q260" s="661"/>
      <c r="R260" s="661"/>
      <c r="S260" s="661"/>
      <c r="T260" s="661"/>
      <c r="U260" s="661"/>
      <c r="V260" s="661"/>
    </row>
    <row r="261" spans="1:22">
      <c r="A261" s="661"/>
      <c r="B261" s="924">
        <v>258</v>
      </c>
      <c r="C261" s="751" t="s">
        <v>1203</v>
      </c>
      <c r="D261" s="751" t="s">
        <v>820</v>
      </c>
      <c r="E261" s="751">
        <v>236.02</v>
      </c>
      <c r="F261" s="751" t="s">
        <v>1255</v>
      </c>
      <c r="G261" s="751" t="s">
        <v>1478</v>
      </c>
      <c r="H261" s="925">
        <v>45414</v>
      </c>
      <c r="I261" s="925">
        <v>45414</v>
      </c>
      <c r="J261" s="751" t="s">
        <v>1238</v>
      </c>
      <c r="K261" s="751">
        <v>44</v>
      </c>
      <c r="L261" s="925">
        <v>45200</v>
      </c>
      <c r="M261" s="751">
        <v>236</v>
      </c>
      <c r="N261" s="751" t="s">
        <v>1238</v>
      </c>
      <c r="O261" s="661"/>
      <c r="P261" s="661"/>
      <c r="Q261" s="661"/>
      <c r="R261" s="661"/>
      <c r="S261" s="661"/>
      <c r="T261" s="661"/>
      <c r="U261" s="661"/>
      <c r="V261" s="661"/>
    </row>
    <row r="262" spans="1:22">
      <c r="A262" s="661"/>
      <c r="B262" s="924">
        <v>259</v>
      </c>
      <c r="C262" s="751" t="s">
        <v>1395</v>
      </c>
      <c r="D262" s="751" t="s">
        <v>821</v>
      </c>
      <c r="E262" s="751">
        <v>92</v>
      </c>
      <c r="F262" s="751" t="s">
        <v>445</v>
      </c>
      <c r="G262" s="751" t="s">
        <v>1237</v>
      </c>
      <c r="H262" s="925">
        <v>45108</v>
      </c>
      <c r="I262" s="925">
        <v>45140</v>
      </c>
      <c r="J262" s="751" t="s">
        <v>1238</v>
      </c>
      <c r="K262" s="751">
        <v>34</v>
      </c>
      <c r="L262" s="925">
        <v>44896</v>
      </c>
      <c r="M262" s="751">
        <v>92</v>
      </c>
      <c r="N262" s="751" t="s">
        <v>1238</v>
      </c>
      <c r="O262" s="661"/>
      <c r="P262" s="661"/>
      <c r="Q262" s="661"/>
      <c r="R262" s="661"/>
      <c r="S262" s="661"/>
      <c r="T262" s="661"/>
      <c r="U262" s="661"/>
      <c r="V262" s="661"/>
    </row>
    <row r="263" spans="1:22">
      <c r="A263" s="661"/>
      <c r="B263" s="924">
        <v>260</v>
      </c>
      <c r="C263" s="751" t="s">
        <v>1203</v>
      </c>
      <c r="D263" s="751" t="s">
        <v>1482</v>
      </c>
      <c r="E263" s="751">
        <v>336.28</v>
      </c>
      <c r="F263" s="751" t="s">
        <v>445</v>
      </c>
      <c r="G263" s="751" t="s">
        <v>1237</v>
      </c>
      <c r="H263" s="925">
        <v>45108</v>
      </c>
      <c r="I263" s="925">
        <v>45108</v>
      </c>
      <c r="J263" s="751" t="s">
        <v>1238</v>
      </c>
      <c r="K263" s="751">
        <v>81</v>
      </c>
      <c r="L263" s="925">
        <v>45108</v>
      </c>
      <c r="M263" s="751">
        <v>336.3</v>
      </c>
      <c r="N263" s="751" t="s">
        <v>1238</v>
      </c>
      <c r="O263" s="661"/>
      <c r="P263" s="661"/>
      <c r="Q263" s="661"/>
      <c r="R263" s="661"/>
      <c r="S263" s="661"/>
      <c r="T263" s="661"/>
      <c r="U263" s="661"/>
      <c r="V263" s="661"/>
    </row>
    <row r="264" spans="1:22">
      <c r="A264" s="661"/>
      <c r="B264" s="924">
        <v>261</v>
      </c>
      <c r="C264" s="751" t="s">
        <v>1395</v>
      </c>
      <c r="D264" s="751" t="s">
        <v>1483</v>
      </c>
      <c r="E264" s="751">
        <v>265</v>
      </c>
      <c r="F264" s="751" t="s">
        <v>1396</v>
      </c>
      <c r="G264" s="751" t="s">
        <v>1237</v>
      </c>
      <c r="H264" s="925">
        <v>45108</v>
      </c>
      <c r="I264" s="925">
        <v>45498</v>
      </c>
      <c r="J264" s="751" t="s">
        <v>1238</v>
      </c>
      <c r="K264" s="751">
        <v>81</v>
      </c>
      <c r="L264" s="925">
        <v>45108</v>
      </c>
      <c r="M264" s="751">
        <v>265.27999999999997</v>
      </c>
      <c r="N264" s="751" t="s">
        <v>1238</v>
      </c>
      <c r="O264" s="661"/>
      <c r="P264" s="661"/>
      <c r="Q264" s="661"/>
      <c r="R264" s="661"/>
      <c r="S264" s="661"/>
      <c r="T264" s="661"/>
      <c r="U264" s="661"/>
      <c r="V264" s="661"/>
    </row>
    <row r="265" spans="1:22">
      <c r="A265" s="661"/>
      <c r="B265" s="924">
        <v>262</v>
      </c>
      <c r="C265" s="751" t="s">
        <v>1433</v>
      </c>
      <c r="D265" s="751" t="s">
        <v>687</v>
      </c>
      <c r="E265" s="751">
        <v>700</v>
      </c>
      <c r="F265" s="751" t="s">
        <v>1255</v>
      </c>
      <c r="G265" s="751" t="s">
        <v>1484</v>
      </c>
      <c r="H265" s="925">
        <v>45210</v>
      </c>
      <c r="I265" s="925">
        <v>45210</v>
      </c>
      <c r="J265" s="751" t="s">
        <v>1485</v>
      </c>
      <c r="K265" s="751">
        <v>39</v>
      </c>
      <c r="L265" s="925">
        <v>45200</v>
      </c>
      <c r="M265" s="751">
        <v>700</v>
      </c>
      <c r="N265" s="751" t="s">
        <v>1238</v>
      </c>
      <c r="O265" s="661"/>
      <c r="P265" s="661"/>
      <c r="Q265" s="661"/>
      <c r="R265" s="661"/>
      <c r="S265" s="661"/>
      <c r="T265" s="661"/>
      <c r="U265" s="661"/>
      <c r="V265" s="661"/>
    </row>
    <row r="266" spans="1:22">
      <c r="A266" s="661"/>
      <c r="B266" s="924">
        <v>263</v>
      </c>
      <c r="C266" s="751" t="s">
        <v>1433</v>
      </c>
      <c r="D266" s="751" t="s">
        <v>688</v>
      </c>
      <c r="E266" s="751">
        <v>132.69999999999999</v>
      </c>
      <c r="F266" s="751" t="s">
        <v>1255</v>
      </c>
      <c r="G266" s="751" t="s">
        <v>1435</v>
      </c>
      <c r="H266" s="925">
        <v>45078</v>
      </c>
      <c r="I266" s="925">
        <v>45078</v>
      </c>
      <c r="J266" s="751" t="s">
        <v>1238</v>
      </c>
      <c r="K266" s="751" t="s">
        <v>1238</v>
      </c>
      <c r="L266" s="751" t="s">
        <v>1238</v>
      </c>
      <c r="M266" s="751">
        <v>132.69999999999999</v>
      </c>
      <c r="N266" s="751" t="s">
        <v>1238</v>
      </c>
      <c r="O266" s="661"/>
      <c r="P266" s="661"/>
      <c r="Q266" s="661"/>
      <c r="R266" s="661"/>
      <c r="S266" s="661"/>
      <c r="T266" s="661"/>
      <c r="U266" s="661"/>
      <c r="V266" s="661"/>
    </row>
    <row r="267" spans="1:22">
      <c r="A267" s="661"/>
      <c r="B267" s="924">
        <v>264</v>
      </c>
      <c r="C267" s="751" t="s">
        <v>1433</v>
      </c>
      <c r="D267" s="751" t="s">
        <v>1486</v>
      </c>
      <c r="E267" s="751">
        <v>1050</v>
      </c>
      <c r="F267" s="751" t="s">
        <v>1255</v>
      </c>
      <c r="G267" s="751" t="s">
        <v>1237</v>
      </c>
      <c r="H267" s="925">
        <v>45017</v>
      </c>
      <c r="I267" s="925">
        <v>45017</v>
      </c>
      <c r="J267" s="751" t="s">
        <v>1238</v>
      </c>
      <c r="K267" s="751" t="s">
        <v>1238</v>
      </c>
      <c r="L267" s="751" t="s">
        <v>1238</v>
      </c>
      <c r="M267" s="751">
        <v>1050</v>
      </c>
      <c r="N267" s="751" t="s">
        <v>1238</v>
      </c>
      <c r="O267" s="661"/>
      <c r="P267" s="661"/>
      <c r="Q267" s="661"/>
      <c r="R267" s="661"/>
      <c r="S267" s="661"/>
      <c r="T267" s="661"/>
      <c r="U267" s="661"/>
      <c r="V267" s="661"/>
    </row>
    <row r="268" spans="1:22">
      <c r="A268" s="661"/>
      <c r="B268" s="924">
        <v>265</v>
      </c>
      <c r="C268" s="751" t="s">
        <v>1395</v>
      </c>
      <c r="D268" s="751" t="s">
        <v>823</v>
      </c>
      <c r="E268" s="751">
        <v>144</v>
      </c>
      <c r="F268" s="751" t="s">
        <v>1396</v>
      </c>
      <c r="G268" s="751" t="s">
        <v>1237</v>
      </c>
      <c r="H268" s="925">
        <v>45358</v>
      </c>
      <c r="I268" s="925">
        <v>45358</v>
      </c>
      <c r="J268" s="751" t="s">
        <v>1238</v>
      </c>
      <c r="K268" s="751">
        <v>81</v>
      </c>
      <c r="L268" s="925">
        <v>45261</v>
      </c>
      <c r="M268" s="751">
        <v>144</v>
      </c>
      <c r="N268" s="751" t="s">
        <v>1238</v>
      </c>
      <c r="O268" s="661"/>
      <c r="P268" s="661"/>
      <c r="Q268" s="661"/>
      <c r="R268" s="661"/>
      <c r="S268" s="661"/>
      <c r="T268" s="661"/>
      <c r="U268" s="661"/>
      <c r="V268" s="661"/>
    </row>
    <row r="269" spans="1:22">
      <c r="A269" s="661"/>
      <c r="B269" s="924">
        <v>266</v>
      </c>
      <c r="C269" s="751" t="s">
        <v>1395</v>
      </c>
      <c r="D269" s="751" t="s">
        <v>824</v>
      </c>
      <c r="E269" s="751">
        <v>117</v>
      </c>
      <c r="F269" s="751" t="s">
        <v>1396</v>
      </c>
      <c r="G269" s="751" t="s">
        <v>1237</v>
      </c>
      <c r="H269" s="925">
        <v>45358</v>
      </c>
      <c r="I269" s="925">
        <v>45358</v>
      </c>
      <c r="J269" s="751" t="s">
        <v>1238</v>
      </c>
      <c r="K269" s="751">
        <v>81</v>
      </c>
      <c r="L269" s="925">
        <v>45261</v>
      </c>
      <c r="M269" s="751">
        <v>117</v>
      </c>
      <c r="N269" s="751" t="s">
        <v>1238</v>
      </c>
      <c r="O269" s="661"/>
      <c r="P269" s="661"/>
      <c r="Q269" s="661"/>
      <c r="R269" s="661"/>
      <c r="S269" s="661"/>
      <c r="T269" s="661"/>
      <c r="U269" s="661"/>
      <c r="V269" s="661"/>
    </row>
    <row r="270" spans="1:22">
      <c r="A270" s="661"/>
      <c r="B270" s="924">
        <v>267</v>
      </c>
      <c r="C270" s="751" t="s">
        <v>1395</v>
      </c>
      <c r="D270" s="751" t="s">
        <v>825</v>
      </c>
      <c r="E270" s="751">
        <v>80</v>
      </c>
      <c r="F270" s="751" t="s">
        <v>1255</v>
      </c>
      <c r="G270" s="751" t="s">
        <v>1237</v>
      </c>
      <c r="H270" s="925">
        <v>45108</v>
      </c>
      <c r="I270" s="925">
        <v>45108</v>
      </c>
      <c r="J270" s="751" t="s">
        <v>1238</v>
      </c>
      <c r="K270" s="751">
        <v>32</v>
      </c>
      <c r="L270" s="925">
        <v>45108</v>
      </c>
      <c r="M270" s="751">
        <v>80</v>
      </c>
      <c r="N270" s="751" t="s">
        <v>1238</v>
      </c>
      <c r="O270" s="661"/>
      <c r="P270" s="661"/>
      <c r="Q270" s="661"/>
      <c r="R270" s="661"/>
      <c r="S270" s="661"/>
      <c r="T270" s="661"/>
      <c r="U270" s="661"/>
      <c r="V270" s="661"/>
    </row>
    <row r="271" spans="1:22">
      <c r="A271" s="661"/>
      <c r="B271" s="924">
        <v>268</v>
      </c>
      <c r="C271" s="751" t="s">
        <v>1395</v>
      </c>
      <c r="D271" s="927" t="s">
        <v>826</v>
      </c>
      <c r="E271" s="751">
        <v>95.4</v>
      </c>
      <c r="F271" s="751" t="s">
        <v>1396</v>
      </c>
      <c r="G271" s="751" t="s">
        <v>1237</v>
      </c>
      <c r="H271" s="925">
        <v>45108</v>
      </c>
      <c r="I271" s="925">
        <v>45108</v>
      </c>
      <c r="J271" s="751" t="s">
        <v>1238</v>
      </c>
      <c r="K271" s="751">
        <v>32</v>
      </c>
      <c r="L271" s="925">
        <v>45108</v>
      </c>
      <c r="M271" s="751">
        <v>95.4</v>
      </c>
      <c r="N271" s="751" t="s">
        <v>1238</v>
      </c>
      <c r="O271" s="661"/>
      <c r="P271" s="661"/>
      <c r="Q271" s="661"/>
      <c r="R271" s="661"/>
      <c r="S271" s="661"/>
      <c r="T271" s="661"/>
      <c r="U271" s="661"/>
      <c r="V271" s="661"/>
    </row>
    <row r="272" spans="1:22">
      <c r="A272" s="661"/>
      <c r="B272" s="924">
        <v>269</v>
      </c>
      <c r="C272" s="751" t="s">
        <v>1395</v>
      </c>
      <c r="D272" s="927" t="s">
        <v>827</v>
      </c>
      <c r="E272" s="751">
        <v>104.84</v>
      </c>
      <c r="F272" s="751" t="s">
        <v>1396</v>
      </c>
      <c r="G272" s="751" t="s">
        <v>1237</v>
      </c>
      <c r="H272" s="925">
        <v>45108</v>
      </c>
      <c r="I272" s="925">
        <v>45108</v>
      </c>
      <c r="J272" s="751" t="s">
        <v>1238</v>
      </c>
      <c r="K272" s="751">
        <v>32</v>
      </c>
      <c r="L272" s="925">
        <v>45108</v>
      </c>
      <c r="M272" s="751">
        <v>104.84</v>
      </c>
      <c r="N272" s="751" t="s">
        <v>1238</v>
      </c>
      <c r="O272" s="661"/>
      <c r="P272" s="661"/>
      <c r="Q272" s="661"/>
      <c r="R272" s="661"/>
      <c r="S272" s="661"/>
      <c r="T272" s="661"/>
      <c r="U272" s="661"/>
      <c r="V272" s="661"/>
    </row>
    <row r="273" spans="1:22">
      <c r="A273" s="661"/>
      <c r="B273" s="924">
        <v>270</v>
      </c>
      <c r="C273" s="751" t="s">
        <v>1395</v>
      </c>
      <c r="D273" s="927" t="s">
        <v>828</v>
      </c>
      <c r="E273" s="751">
        <v>98</v>
      </c>
      <c r="F273" s="751" t="s">
        <v>1255</v>
      </c>
      <c r="G273" s="751" t="s">
        <v>1237</v>
      </c>
      <c r="H273" s="925">
        <v>45108</v>
      </c>
      <c r="I273" s="925">
        <v>45108</v>
      </c>
      <c r="J273" s="751" t="s">
        <v>1238</v>
      </c>
      <c r="K273" s="751">
        <v>32</v>
      </c>
      <c r="L273" s="925">
        <v>45108</v>
      </c>
      <c r="M273" s="751">
        <v>98</v>
      </c>
      <c r="N273" s="751" t="s">
        <v>1238</v>
      </c>
      <c r="O273" s="661"/>
      <c r="P273" s="661"/>
      <c r="Q273" s="661"/>
      <c r="R273" s="661"/>
      <c r="S273" s="661"/>
      <c r="T273" s="661"/>
      <c r="U273" s="661"/>
      <c r="V273" s="661"/>
    </row>
    <row r="274" spans="1:22">
      <c r="A274" s="661"/>
      <c r="B274" s="924">
        <v>271</v>
      </c>
      <c r="C274" s="751" t="s">
        <v>1395</v>
      </c>
      <c r="D274" s="751" t="s">
        <v>829</v>
      </c>
      <c r="E274" s="751">
        <v>26.3</v>
      </c>
      <c r="F274" s="751" t="s">
        <v>1396</v>
      </c>
      <c r="G274" s="751" t="s">
        <v>1237</v>
      </c>
      <c r="H274" s="925">
        <v>45108</v>
      </c>
      <c r="I274" s="925">
        <v>45108</v>
      </c>
      <c r="J274" s="751" t="s">
        <v>1238</v>
      </c>
      <c r="K274" s="751">
        <v>32</v>
      </c>
      <c r="L274" s="925">
        <v>45108</v>
      </c>
      <c r="M274" s="751">
        <v>26.3</v>
      </c>
      <c r="N274" s="751" t="s">
        <v>1238</v>
      </c>
      <c r="O274" s="661"/>
      <c r="P274" s="661"/>
      <c r="Q274" s="661"/>
      <c r="R274" s="661"/>
      <c r="S274" s="661"/>
      <c r="T274" s="661"/>
      <c r="U274" s="661"/>
      <c r="V274" s="661"/>
    </row>
    <row r="275" spans="1:22">
      <c r="A275" s="661"/>
      <c r="B275" s="924">
        <v>272</v>
      </c>
      <c r="C275" s="751" t="s">
        <v>1395</v>
      </c>
      <c r="D275" s="751" t="s">
        <v>830</v>
      </c>
      <c r="E275" s="751">
        <v>24.5</v>
      </c>
      <c r="F275" s="751" t="s">
        <v>1396</v>
      </c>
      <c r="G275" s="751" t="s">
        <v>1237</v>
      </c>
      <c r="H275" s="925">
        <v>45108</v>
      </c>
      <c r="I275" s="925">
        <v>45108</v>
      </c>
      <c r="J275" s="751" t="s">
        <v>1238</v>
      </c>
      <c r="K275" s="751">
        <v>32</v>
      </c>
      <c r="L275" s="925">
        <v>45108</v>
      </c>
      <c r="M275" s="751">
        <v>24.5</v>
      </c>
      <c r="N275" s="751" t="s">
        <v>1238</v>
      </c>
      <c r="O275" s="661"/>
      <c r="P275" s="661"/>
      <c r="Q275" s="661"/>
      <c r="R275" s="661"/>
      <c r="S275" s="661"/>
      <c r="T275" s="661"/>
      <c r="U275" s="661"/>
      <c r="V275" s="661"/>
    </row>
    <row r="276" spans="1:22">
      <c r="A276" s="661"/>
      <c r="B276" s="924">
        <v>273</v>
      </c>
      <c r="C276" s="751" t="s">
        <v>1395</v>
      </c>
      <c r="D276" s="751" t="s">
        <v>831</v>
      </c>
      <c r="E276" s="751">
        <v>33.31</v>
      </c>
      <c r="F276" s="751" t="s">
        <v>1396</v>
      </c>
      <c r="G276" s="751" t="s">
        <v>1237</v>
      </c>
      <c r="H276" s="925">
        <v>45108</v>
      </c>
      <c r="I276" s="925">
        <v>45108</v>
      </c>
      <c r="J276" s="751" t="s">
        <v>1238</v>
      </c>
      <c r="K276" s="751">
        <v>32</v>
      </c>
      <c r="L276" s="925">
        <v>45108</v>
      </c>
      <c r="M276" s="751">
        <v>33.31</v>
      </c>
      <c r="N276" s="751" t="s">
        <v>1238</v>
      </c>
      <c r="O276" s="661"/>
      <c r="P276" s="661"/>
      <c r="Q276" s="661"/>
      <c r="R276" s="661"/>
      <c r="S276" s="661"/>
      <c r="T276" s="661"/>
      <c r="U276" s="661"/>
      <c r="V276" s="661"/>
    </row>
    <row r="277" spans="1:22">
      <c r="A277" s="661"/>
      <c r="B277" s="924">
        <v>274</v>
      </c>
      <c r="C277" s="751" t="s">
        <v>1395</v>
      </c>
      <c r="D277" s="751" t="s">
        <v>832</v>
      </c>
      <c r="E277" s="751">
        <v>29.37</v>
      </c>
      <c r="F277" s="751" t="s">
        <v>1396</v>
      </c>
      <c r="G277" s="751" t="s">
        <v>1237</v>
      </c>
      <c r="H277" s="925">
        <v>45108</v>
      </c>
      <c r="I277" s="925">
        <v>45108</v>
      </c>
      <c r="J277" s="751" t="s">
        <v>1238</v>
      </c>
      <c r="K277" s="751">
        <v>32</v>
      </c>
      <c r="L277" s="925">
        <v>45108</v>
      </c>
      <c r="M277" s="751">
        <v>29.37</v>
      </c>
      <c r="N277" s="751" t="s">
        <v>1238</v>
      </c>
      <c r="O277" s="661"/>
      <c r="P277" s="661"/>
      <c r="Q277" s="661"/>
      <c r="R277" s="661"/>
      <c r="S277" s="661"/>
      <c r="T277" s="661"/>
      <c r="U277" s="661"/>
      <c r="V277" s="661"/>
    </row>
    <row r="278" spans="1:22">
      <c r="A278" s="661"/>
      <c r="B278" s="924">
        <v>275</v>
      </c>
      <c r="C278" s="751" t="s">
        <v>1395</v>
      </c>
      <c r="D278" s="751" t="s">
        <v>833</v>
      </c>
      <c r="E278" s="751">
        <v>590</v>
      </c>
      <c r="F278" s="751" t="s">
        <v>1396</v>
      </c>
      <c r="G278" s="751" t="s">
        <v>1237</v>
      </c>
      <c r="H278" s="925">
        <v>45200</v>
      </c>
      <c r="I278" s="925">
        <v>45413</v>
      </c>
      <c r="J278" s="751" t="s">
        <v>1487</v>
      </c>
      <c r="K278" s="751">
        <v>81</v>
      </c>
      <c r="L278" s="925">
        <v>45108</v>
      </c>
      <c r="M278" s="751">
        <v>589.72</v>
      </c>
      <c r="N278" s="751" t="s">
        <v>1238</v>
      </c>
      <c r="O278" s="661"/>
      <c r="P278" s="661"/>
      <c r="Q278" s="661"/>
      <c r="R278" s="661"/>
      <c r="S278" s="661"/>
      <c r="T278" s="661"/>
      <c r="U278" s="661"/>
      <c r="V278" s="661"/>
    </row>
    <row r="279" spans="1:22">
      <c r="A279" s="661"/>
      <c r="B279" s="924">
        <v>276</v>
      </c>
      <c r="C279" s="751" t="s">
        <v>1395</v>
      </c>
      <c r="D279" s="751" t="s">
        <v>834</v>
      </c>
      <c r="E279" s="751">
        <v>711</v>
      </c>
      <c r="F279" s="751" t="s">
        <v>1396</v>
      </c>
      <c r="G279" s="751" t="s">
        <v>1237</v>
      </c>
      <c r="H279" s="925">
        <v>45200</v>
      </c>
      <c r="I279" s="925">
        <v>45413</v>
      </c>
      <c r="J279" s="751" t="s">
        <v>1487</v>
      </c>
      <c r="K279" s="751">
        <v>81</v>
      </c>
      <c r="L279" s="925">
        <v>45108</v>
      </c>
      <c r="M279" s="751">
        <v>710.5</v>
      </c>
      <c r="N279" s="751" t="s">
        <v>1238</v>
      </c>
      <c r="O279" s="661"/>
      <c r="P279" s="661"/>
      <c r="Q279" s="661"/>
      <c r="R279" s="661"/>
      <c r="S279" s="661"/>
      <c r="T279" s="661"/>
      <c r="U279" s="661"/>
      <c r="V279" s="661"/>
    </row>
    <row r="280" spans="1:22">
      <c r="A280" s="661"/>
      <c r="B280" s="924">
        <v>277</v>
      </c>
      <c r="C280" s="751" t="s">
        <v>1395</v>
      </c>
      <c r="D280" s="751" t="s">
        <v>835</v>
      </c>
      <c r="E280" s="751">
        <v>831</v>
      </c>
      <c r="F280" s="751" t="s">
        <v>1396</v>
      </c>
      <c r="G280" s="751" t="s">
        <v>1237</v>
      </c>
      <c r="H280" s="925">
        <v>45200</v>
      </c>
      <c r="I280" s="925">
        <v>45413</v>
      </c>
      <c r="J280" s="751" t="s">
        <v>1487</v>
      </c>
      <c r="K280" s="751">
        <v>81</v>
      </c>
      <c r="L280" s="925">
        <v>45108</v>
      </c>
      <c r="M280" s="751">
        <v>831.3</v>
      </c>
      <c r="N280" s="751" t="s">
        <v>1238</v>
      </c>
      <c r="O280" s="661"/>
      <c r="P280" s="661"/>
      <c r="Q280" s="661"/>
      <c r="R280" s="661"/>
      <c r="S280" s="661"/>
      <c r="T280" s="661"/>
      <c r="U280" s="661"/>
      <c r="V280" s="661"/>
    </row>
    <row r="281" spans="1:22">
      <c r="A281" s="661"/>
      <c r="B281" s="924">
        <v>278</v>
      </c>
      <c r="C281" s="751" t="s">
        <v>1395</v>
      </c>
      <c r="D281" s="751" t="s">
        <v>836</v>
      </c>
      <c r="E281" s="751">
        <v>952</v>
      </c>
      <c r="F281" s="751" t="s">
        <v>1396</v>
      </c>
      <c r="G281" s="751" t="s">
        <v>1237</v>
      </c>
      <c r="H281" s="925">
        <v>45200</v>
      </c>
      <c r="I281" s="925">
        <v>45413</v>
      </c>
      <c r="J281" s="751" t="s">
        <v>1487</v>
      </c>
      <c r="K281" s="751">
        <v>81</v>
      </c>
      <c r="L281" s="925">
        <v>45108</v>
      </c>
      <c r="M281" s="751">
        <v>952.08</v>
      </c>
      <c r="N281" s="751" t="s">
        <v>1238</v>
      </c>
      <c r="O281" s="661"/>
      <c r="P281" s="661"/>
      <c r="Q281" s="661"/>
      <c r="R281" s="661"/>
      <c r="S281" s="661"/>
      <c r="T281" s="661"/>
      <c r="U281" s="661"/>
      <c r="V281" s="661"/>
    </row>
    <row r="282" spans="1:22">
      <c r="A282" s="661"/>
      <c r="B282" s="924">
        <v>279</v>
      </c>
      <c r="C282" s="751" t="s">
        <v>1395</v>
      </c>
      <c r="D282" s="751" t="s">
        <v>837</v>
      </c>
      <c r="E282" s="751">
        <v>355.9</v>
      </c>
      <c r="F282" s="751" t="s">
        <v>1396</v>
      </c>
      <c r="G282" s="751" t="s">
        <v>1237</v>
      </c>
      <c r="H282" s="925">
        <v>45108</v>
      </c>
      <c r="I282" s="925">
        <v>45108</v>
      </c>
      <c r="J282" s="751" t="s">
        <v>1487</v>
      </c>
      <c r="K282" s="751">
        <v>19</v>
      </c>
      <c r="L282" s="925">
        <v>45108</v>
      </c>
      <c r="M282" s="751">
        <v>355.9</v>
      </c>
      <c r="N282" s="751" t="s">
        <v>1238</v>
      </c>
      <c r="O282" s="661"/>
      <c r="P282" s="661"/>
      <c r="Q282" s="661"/>
      <c r="R282" s="661"/>
      <c r="S282" s="661"/>
      <c r="T282" s="661"/>
      <c r="U282" s="661"/>
      <c r="V282" s="661"/>
    </row>
    <row r="283" spans="1:22">
      <c r="A283" s="661"/>
      <c r="B283" s="924">
        <v>280</v>
      </c>
      <c r="C283" s="751" t="s">
        <v>1395</v>
      </c>
      <c r="D283" s="751" t="s">
        <v>838</v>
      </c>
      <c r="E283" s="751">
        <v>428.78</v>
      </c>
      <c r="F283" s="751" t="s">
        <v>1396</v>
      </c>
      <c r="G283" s="751" t="s">
        <v>1237</v>
      </c>
      <c r="H283" s="925">
        <v>45108</v>
      </c>
      <c r="I283" s="925">
        <v>45108</v>
      </c>
      <c r="J283" s="751" t="s">
        <v>1487</v>
      </c>
      <c r="K283" s="751">
        <v>19</v>
      </c>
      <c r="L283" s="925">
        <v>45108</v>
      </c>
      <c r="M283" s="751">
        <v>428.78</v>
      </c>
      <c r="N283" s="751" t="s">
        <v>1238</v>
      </c>
      <c r="O283" s="661"/>
      <c r="P283" s="661"/>
      <c r="Q283" s="661"/>
      <c r="R283" s="661"/>
      <c r="S283" s="661"/>
      <c r="T283" s="661"/>
      <c r="U283" s="661"/>
      <c r="V283" s="661"/>
    </row>
    <row r="284" spans="1:22">
      <c r="A284" s="661"/>
      <c r="B284" s="924">
        <v>281</v>
      </c>
      <c r="C284" s="751" t="s">
        <v>1395</v>
      </c>
      <c r="D284" s="751" t="s">
        <v>839</v>
      </c>
      <c r="E284" s="751">
        <v>501.69</v>
      </c>
      <c r="F284" s="751" t="s">
        <v>1396</v>
      </c>
      <c r="G284" s="751" t="s">
        <v>1237</v>
      </c>
      <c r="H284" s="925">
        <v>45108</v>
      </c>
      <c r="I284" s="925">
        <v>45108</v>
      </c>
      <c r="J284" s="751" t="s">
        <v>1487</v>
      </c>
      <c r="K284" s="751">
        <v>19</v>
      </c>
      <c r="L284" s="925">
        <v>45108</v>
      </c>
      <c r="M284" s="751">
        <v>501.69</v>
      </c>
      <c r="N284" s="751" t="s">
        <v>1238</v>
      </c>
      <c r="O284" s="661"/>
      <c r="P284" s="661"/>
      <c r="Q284" s="661"/>
      <c r="R284" s="661"/>
      <c r="S284" s="661"/>
      <c r="T284" s="661"/>
      <c r="U284" s="661"/>
      <c r="V284" s="661"/>
    </row>
    <row r="285" spans="1:22">
      <c r="A285" s="661"/>
      <c r="B285" s="924">
        <v>282</v>
      </c>
      <c r="C285" s="751" t="s">
        <v>1395</v>
      </c>
      <c r="D285" s="751" t="s">
        <v>840</v>
      </c>
      <c r="E285" s="751">
        <v>574.58000000000004</v>
      </c>
      <c r="F285" s="751" t="s">
        <v>1396</v>
      </c>
      <c r="G285" s="751" t="s">
        <v>1237</v>
      </c>
      <c r="H285" s="925">
        <v>45108</v>
      </c>
      <c r="I285" s="925">
        <v>45108</v>
      </c>
      <c r="J285" s="751" t="s">
        <v>1487</v>
      </c>
      <c r="K285" s="751">
        <v>19</v>
      </c>
      <c r="L285" s="925">
        <v>45108</v>
      </c>
      <c r="M285" s="751">
        <v>574.58000000000004</v>
      </c>
      <c r="N285" s="751" t="s">
        <v>1238</v>
      </c>
      <c r="O285" s="661"/>
      <c r="P285" s="661"/>
      <c r="Q285" s="661"/>
      <c r="R285" s="661"/>
      <c r="S285" s="661"/>
      <c r="T285" s="661"/>
      <c r="U285" s="661"/>
      <c r="V285" s="661"/>
    </row>
    <row r="286" spans="1:22">
      <c r="A286" s="661"/>
      <c r="B286" s="924">
        <v>283</v>
      </c>
      <c r="C286" s="751" t="s">
        <v>881</v>
      </c>
      <c r="D286" s="751" t="s">
        <v>1488</v>
      </c>
      <c r="E286" s="751">
        <v>167.25</v>
      </c>
      <c r="F286" s="751" t="s">
        <v>1396</v>
      </c>
      <c r="G286" s="751" t="s">
        <v>1237</v>
      </c>
      <c r="H286" s="925">
        <v>45108</v>
      </c>
      <c r="I286" s="925">
        <v>45108</v>
      </c>
      <c r="J286" s="751" t="s">
        <v>1238</v>
      </c>
      <c r="K286" s="751" t="s">
        <v>1238</v>
      </c>
      <c r="L286" s="751" t="s">
        <v>1238</v>
      </c>
      <c r="M286" s="751">
        <v>167.25</v>
      </c>
      <c r="N286" s="751" t="s">
        <v>1238</v>
      </c>
      <c r="O286" s="661"/>
      <c r="P286" s="661"/>
      <c r="Q286" s="661"/>
      <c r="R286" s="661"/>
      <c r="S286" s="661"/>
      <c r="T286" s="661"/>
      <c r="U286" s="661"/>
      <c r="V286" s="661"/>
    </row>
    <row r="287" spans="1:22">
      <c r="A287" s="661"/>
      <c r="B287" s="924">
        <v>284</v>
      </c>
      <c r="C287" s="751" t="s">
        <v>881</v>
      </c>
      <c r="D287" s="751" t="s">
        <v>1489</v>
      </c>
      <c r="E287" s="751">
        <v>194.42</v>
      </c>
      <c r="F287" s="751" t="s">
        <v>1396</v>
      </c>
      <c r="G287" s="751" t="s">
        <v>1237</v>
      </c>
      <c r="H287" s="925">
        <v>45108</v>
      </c>
      <c r="I287" s="925">
        <v>45108</v>
      </c>
      <c r="J287" s="751" t="s">
        <v>1238</v>
      </c>
      <c r="K287" s="751" t="s">
        <v>1238</v>
      </c>
      <c r="L287" s="751" t="s">
        <v>1238</v>
      </c>
      <c r="M287" s="751">
        <v>194.42</v>
      </c>
      <c r="N287" s="751" t="s">
        <v>1238</v>
      </c>
      <c r="O287" s="661"/>
      <c r="P287" s="661"/>
      <c r="Q287" s="661"/>
      <c r="R287" s="661"/>
      <c r="S287" s="661"/>
      <c r="T287" s="661"/>
      <c r="U287" s="661"/>
      <c r="V287" s="661"/>
    </row>
    <row r="288" spans="1:22">
      <c r="A288" s="661"/>
      <c r="B288" s="924">
        <v>285</v>
      </c>
      <c r="C288" s="751" t="s">
        <v>881</v>
      </c>
      <c r="D288" s="751" t="s">
        <v>1490</v>
      </c>
      <c r="E288" s="751">
        <v>165.26</v>
      </c>
      <c r="F288" s="751" t="s">
        <v>1396</v>
      </c>
      <c r="G288" s="751" t="s">
        <v>1237</v>
      </c>
      <c r="H288" s="925">
        <v>45108</v>
      </c>
      <c r="I288" s="925">
        <v>45108</v>
      </c>
      <c r="J288" s="751" t="s">
        <v>1238</v>
      </c>
      <c r="K288" s="751" t="s">
        <v>1238</v>
      </c>
      <c r="L288" s="751" t="s">
        <v>1238</v>
      </c>
      <c r="M288" s="751">
        <v>165.26</v>
      </c>
      <c r="N288" s="751" t="s">
        <v>1238</v>
      </c>
      <c r="O288" s="661"/>
      <c r="P288" s="661"/>
      <c r="Q288" s="661"/>
      <c r="R288" s="661"/>
      <c r="S288" s="661"/>
      <c r="T288" s="661"/>
      <c r="U288" s="661"/>
      <c r="V288" s="661"/>
    </row>
    <row r="289" spans="1:22">
      <c r="A289" s="661"/>
      <c r="B289" s="924">
        <v>286</v>
      </c>
      <c r="C289" s="751" t="s">
        <v>881</v>
      </c>
      <c r="D289" s="751" t="s">
        <v>1491</v>
      </c>
      <c r="E289" s="751">
        <v>224.33</v>
      </c>
      <c r="F289" s="751" t="s">
        <v>1396</v>
      </c>
      <c r="G289" s="751" t="s">
        <v>1237</v>
      </c>
      <c r="H289" s="925">
        <v>45108</v>
      </c>
      <c r="I289" s="925">
        <v>45108</v>
      </c>
      <c r="J289" s="751" t="s">
        <v>1238</v>
      </c>
      <c r="K289" s="751" t="s">
        <v>1238</v>
      </c>
      <c r="L289" s="751" t="s">
        <v>1238</v>
      </c>
      <c r="M289" s="751">
        <v>224.33</v>
      </c>
      <c r="N289" s="751" t="s">
        <v>1238</v>
      </c>
      <c r="O289" s="661"/>
      <c r="P289" s="661"/>
      <c r="Q289" s="661"/>
      <c r="R289" s="661"/>
      <c r="S289" s="661"/>
      <c r="T289" s="661"/>
      <c r="U289" s="661"/>
      <c r="V289" s="661"/>
    </row>
    <row r="290" spans="1:22">
      <c r="A290" s="661"/>
      <c r="B290" s="924">
        <v>287</v>
      </c>
      <c r="C290" s="751" t="s">
        <v>881</v>
      </c>
      <c r="D290" s="751" t="s">
        <v>1492</v>
      </c>
      <c r="E290" s="751">
        <v>195.44</v>
      </c>
      <c r="F290" s="751" t="s">
        <v>1396</v>
      </c>
      <c r="G290" s="751" t="s">
        <v>1237</v>
      </c>
      <c r="H290" s="925">
        <v>45108</v>
      </c>
      <c r="I290" s="925">
        <v>45108</v>
      </c>
      <c r="J290" s="751" t="s">
        <v>1238</v>
      </c>
      <c r="K290" s="751" t="s">
        <v>1238</v>
      </c>
      <c r="L290" s="751" t="s">
        <v>1238</v>
      </c>
      <c r="M290" s="751">
        <v>195.44</v>
      </c>
      <c r="N290" s="751" t="s">
        <v>1238</v>
      </c>
      <c r="O290" s="661"/>
      <c r="P290" s="661"/>
      <c r="Q290" s="661"/>
      <c r="R290" s="661"/>
      <c r="S290" s="661"/>
      <c r="T290" s="661"/>
      <c r="U290" s="661"/>
      <c r="V290" s="661"/>
    </row>
    <row r="291" spans="1:22">
      <c r="A291" s="661"/>
      <c r="B291" s="924">
        <v>288</v>
      </c>
      <c r="C291" s="751" t="s">
        <v>881</v>
      </c>
      <c r="D291" s="751" t="s">
        <v>1493</v>
      </c>
      <c r="E291" s="751">
        <v>212.92</v>
      </c>
      <c r="F291" s="751" t="s">
        <v>1396</v>
      </c>
      <c r="G291" s="751" t="s">
        <v>1237</v>
      </c>
      <c r="H291" s="925">
        <v>45108</v>
      </c>
      <c r="I291" s="925">
        <v>45108</v>
      </c>
      <c r="J291" s="751" t="s">
        <v>1238</v>
      </c>
      <c r="K291" s="751" t="s">
        <v>1238</v>
      </c>
      <c r="L291" s="751" t="s">
        <v>1238</v>
      </c>
      <c r="M291" s="751">
        <v>212.92</v>
      </c>
      <c r="N291" s="751" t="s">
        <v>1238</v>
      </c>
      <c r="O291" s="661"/>
      <c r="P291" s="661"/>
      <c r="Q291" s="661"/>
      <c r="R291" s="661"/>
      <c r="S291" s="661"/>
      <c r="T291" s="661"/>
      <c r="U291" s="661"/>
      <c r="V291" s="661"/>
    </row>
    <row r="292" spans="1:22">
      <c r="A292" s="661"/>
      <c r="B292" s="924">
        <v>289</v>
      </c>
      <c r="C292" s="751" t="s">
        <v>881</v>
      </c>
      <c r="D292" s="751" t="s">
        <v>1494</v>
      </c>
      <c r="E292" s="751">
        <v>224.36</v>
      </c>
      <c r="F292" s="751" t="s">
        <v>1396</v>
      </c>
      <c r="G292" s="751" t="s">
        <v>1237</v>
      </c>
      <c r="H292" s="925">
        <v>45108</v>
      </c>
      <c r="I292" s="925">
        <v>45108</v>
      </c>
      <c r="J292" s="751" t="s">
        <v>1238</v>
      </c>
      <c r="K292" s="751" t="s">
        <v>1238</v>
      </c>
      <c r="L292" s="751" t="s">
        <v>1238</v>
      </c>
      <c r="M292" s="751">
        <v>224.36</v>
      </c>
      <c r="N292" s="751" t="s">
        <v>1238</v>
      </c>
      <c r="O292" s="661"/>
      <c r="P292" s="661"/>
      <c r="Q292" s="661"/>
      <c r="R292" s="661"/>
      <c r="S292" s="661"/>
      <c r="T292" s="661"/>
      <c r="U292" s="661"/>
      <c r="V292" s="661"/>
    </row>
    <row r="293" spans="1:22">
      <c r="A293" s="661"/>
      <c r="B293" s="924">
        <v>290</v>
      </c>
      <c r="C293" s="751" t="s">
        <v>881</v>
      </c>
      <c r="D293" s="751" t="s">
        <v>1495</v>
      </c>
      <c r="E293" s="751">
        <v>233.24</v>
      </c>
      <c r="F293" s="751" t="s">
        <v>1396</v>
      </c>
      <c r="G293" s="751" t="s">
        <v>1237</v>
      </c>
      <c r="H293" s="925">
        <v>45108</v>
      </c>
      <c r="I293" s="925">
        <v>45108</v>
      </c>
      <c r="J293" s="751" t="s">
        <v>1238</v>
      </c>
      <c r="K293" s="751" t="s">
        <v>1238</v>
      </c>
      <c r="L293" s="751" t="s">
        <v>1238</v>
      </c>
      <c r="M293" s="751">
        <v>233.24</v>
      </c>
      <c r="N293" s="751" t="s">
        <v>1238</v>
      </c>
      <c r="O293" s="661"/>
      <c r="P293" s="661"/>
      <c r="Q293" s="661"/>
      <c r="R293" s="661"/>
      <c r="S293" s="661"/>
      <c r="T293" s="661"/>
      <c r="U293" s="661"/>
      <c r="V293" s="661"/>
    </row>
    <row r="294" spans="1:22">
      <c r="A294" s="661"/>
      <c r="B294" s="924">
        <v>291</v>
      </c>
      <c r="C294" s="751" t="s">
        <v>881</v>
      </c>
      <c r="D294" s="751" t="s">
        <v>1496</v>
      </c>
      <c r="E294" s="751">
        <v>61.75</v>
      </c>
      <c r="F294" s="751" t="s">
        <v>1396</v>
      </c>
      <c r="G294" s="751" t="s">
        <v>1237</v>
      </c>
      <c r="H294" s="925">
        <v>45108</v>
      </c>
      <c r="I294" s="925">
        <v>45108</v>
      </c>
      <c r="J294" s="751" t="s">
        <v>1238</v>
      </c>
      <c r="K294" s="751" t="s">
        <v>1238</v>
      </c>
      <c r="L294" s="751" t="s">
        <v>1238</v>
      </c>
      <c r="M294" s="751">
        <v>61.75</v>
      </c>
      <c r="N294" s="751" t="s">
        <v>1238</v>
      </c>
      <c r="O294" s="661"/>
      <c r="P294" s="661"/>
      <c r="Q294" s="661"/>
      <c r="R294" s="661"/>
      <c r="S294" s="661"/>
      <c r="T294" s="661"/>
      <c r="U294" s="661"/>
      <c r="V294" s="661"/>
    </row>
    <row r="295" spans="1:22">
      <c r="A295" s="661"/>
      <c r="B295" s="924">
        <v>292</v>
      </c>
      <c r="C295" s="751" t="s">
        <v>881</v>
      </c>
      <c r="D295" s="751" t="s">
        <v>1497</v>
      </c>
      <c r="E295" s="751">
        <v>67.239999999999995</v>
      </c>
      <c r="F295" s="751" t="s">
        <v>1396</v>
      </c>
      <c r="G295" s="751" t="s">
        <v>1237</v>
      </c>
      <c r="H295" s="925">
        <v>45108</v>
      </c>
      <c r="I295" s="925">
        <v>45108</v>
      </c>
      <c r="J295" s="751" t="s">
        <v>1238</v>
      </c>
      <c r="K295" s="751" t="s">
        <v>1238</v>
      </c>
      <c r="L295" s="751" t="s">
        <v>1238</v>
      </c>
      <c r="M295" s="751">
        <v>67.239999999999995</v>
      </c>
      <c r="N295" s="751" t="s">
        <v>1238</v>
      </c>
      <c r="O295" s="661"/>
      <c r="P295" s="661"/>
      <c r="Q295" s="661"/>
      <c r="R295" s="661"/>
      <c r="S295" s="661"/>
      <c r="T295" s="661"/>
      <c r="U295" s="661"/>
      <c r="V295" s="661"/>
    </row>
    <row r="296" spans="1:22">
      <c r="A296" s="661"/>
      <c r="B296" s="924">
        <v>293</v>
      </c>
      <c r="C296" s="751" t="s">
        <v>881</v>
      </c>
      <c r="D296" s="751" t="s">
        <v>1498</v>
      </c>
      <c r="E296" s="751">
        <v>83.21</v>
      </c>
      <c r="F296" s="751" t="s">
        <v>1396</v>
      </c>
      <c r="G296" s="751" t="s">
        <v>1237</v>
      </c>
      <c r="H296" s="925">
        <v>45108</v>
      </c>
      <c r="I296" s="925">
        <v>45108</v>
      </c>
      <c r="J296" s="751" t="s">
        <v>1238</v>
      </c>
      <c r="K296" s="751" t="s">
        <v>1238</v>
      </c>
      <c r="L296" s="751" t="s">
        <v>1238</v>
      </c>
      <c r="M296" s="751">
        <v>83.21</v>
      </c>
      <c r="N296" s="751" t="s">
        <v>1238</v>
      </c>
      <c r="O296" s="661"/>
      <c r="P296" s="661"/>
      <c r="Q296" s="661"/>
      <c r="R296" s="661"/>
      <c r="S296" s="661"/>
      <c r="T296" s="661"/>
      <c r="U296" s="661"/>
      <c r="V296" s="661"/>
    </row>
    <row r="297" spans="1:22">
      <c r="A297" s="661"/>
      <c r="B297" s="924">
        <v>294</v>
      </c>
      <c r="C297" s="751" t="s">
        <v>881</v>
      </c>
      <c r="D297" s="751" t="s">
        <v>1499</v>
      </c>
      <c r="E297" s="751">
        <v>92.05</v>
      </c>
      <c r="F297" s="751" t="s">
        <v>1396</v>
      </c>
      <c r="G297" s="751" t="s">
        <v>1237</v>
      </c>
      <c r="H297" s="925">
        <v>45108</v>
      </c>
      <c r="I297" s="925">
        <v>45108</v>
      </c>
      <c r="J297" s="751" t="s">
        <v>1238</v>
      </c>
      <c r="K297" s="751" t="s">
        <v>1238</v>
      </c>
      <c r="L297" s="751" t="s">
        <v>1238</v>
      </c>
      <c r="M297" s="751">
        <v>92.05</v>
      </c>
      <c r="N297" s="751" t="s">
        <v>1238</v>
      </c>
      <c r="O297" s="661"/>
      <c r="P297" s="661"/>
      <c r="Q297" s="661"/>
      <c r="R297" s="661"/>
      <c r="S297" s="661"/>
      <c r="T297" s="661"/>
      <c r="U297" s="661"/>
      <c r="V297" s="661"/>
    </row>
    <row r="298" spans="1:22">
      <c r="A298" s="661"/>
      <c r="B298" s="924">
        <v>295</v>
      </c>
      <c r="C298" s="751" t="s">
        <v>881</v>
      </c>
      <c r="D298" s="751" t="s">
        <v>1500</v>
      </c>
      <c r="E298" s="751">
        <v>109.11</v>
      </c>
      <c r="F298" s="751" t="s">
        <v>1396</v>
      </c>
      <c r="G298" s="751" t="s">
        <v>1237</v>
      </c>
      <c r="H298" s="925">
        <v>45108</v>
      </c>
      <c r="I298" s="925">
        <v>45108</v>
      </c>
      <c r="J298" s="751" t="s">
        <v>1238</v>
      </c>
      <c r="K298" s="751" t="s">
        <v>1238</v>
      </c>
      <c r="L298" s="751" t="s">
        <v>1238</v>
      </c>
      <c r="M298" s="751">
        <v>109.11</v>
      </c>
      <c r="N298" s="751" t="s">
        <v>1238</v>
      </c>
      <c r="O298" s="661"/>
      <c r="P298" s="661"/>
      <c r="Q298" s="661"/>
      <c r="R298" s="661"/>
      <c r="S298" s="661"/>
      <c r="T298" s="661"/>
      <c r="U298" s="661"/>
      <c r="V298" s="661"/>
    </row>
    <row r="299" spans="1:22">
      <c r="A299" s="661"/>
      <c r="B299" s="924">
        <v>296</v>
      </c>
      <c r="C299" s="751" t="s">
        <v>881</v>
      </c>
      <c r="D299" s="751" t="s">
        <v>1501</v>
      </c>
      <c r="E299" s="751">
        <v>112.42</v>
      </c>
      <c r="F299" s="751" t="s">
        <v>1396</v>
      </c>
      <c r="G299" s="751" t="s">
        <v>1237</v>
      </c>
      <c r="H299" s="925">
        <v>45108</v>
      </c>
      <c r="I299" s="925">
        <v>45108</v>
      </c>
      <c r="J299" s="751" t="s">
        <v>1238</v>
      </c>
      <c r="K299" s="751" t="s">
        <v>1238</v>
      </c>
      <c r="L299" s="751" t="s">
        <v>1238</v>
      </c>
      <c r="M299" s="751">
        <v>112.42</v>
      </c>
      <c r="N299" s="751" t="s">
        <v>1238</v>
      </c>
      <c r="O299" s="661"/>
      <c r="P299" s="661"/>
      <c r="Q299" s="661"/>
      <c r="R299" s="661"/>
      <c r="S299" s="661"/>
      <c r="T299" s="661"/>
      <c r="U299" s="661"/>
      <c r="V299" s="661"/>
    </row>
    <row r="300" spans="1:22">
      <c r="A300" s="661"/>
      <c r="B300" s="924">
        <v>297</v>
      </c>
      <c r="C300" s="751" t="s">
        <v>881</v>
      </c>
      <c r="D300" s="751" t="s">
        <v>1502</v>
      </c>
      <c r="E300" s="751">
        <v>122.95</v>
      </c>
      <c r="F300" s="751" t="s">
        <v>1396</v>
      </c>
      <c r="G300" s="751" t="s">
        <v>1237</v>
      </c>
      <c r="H300" s="925">
        <v>45108</v>
      </c>
      <c r="I300" s="925">
        <v>45108</v>
      </c>
      <c r="J300" s="751" t="s">
        <v>1238</v>
      </c>
      <c r="K300" s="751" t="s">
        <v>1238</v>
      </c>
      <c r="L300" s="751" t="s">
        <v>1238</v>
      </c>
      <c r="M300" s="751">
        <v>122.95</v>
      </c>
      <c r="N300" s="751" t="s">
        <v>1238</v>
      </c>
      <c r="O300" s="661"/>
      <c r="P300" s="661"/>
      <c r="Q300" s="661"/>
      <c r="R300" s="661"/>
      <c r="S300" s="661"/>
      <c r="T300" s="661"/>
      <c r="U300" s="661"/>
      <c r="V300" s="661"/>
    </row>
    <row r="301" spans="1:22">
      <c r="A301" s="661"/>
      <c r="B301" s="924">
        <v>298</v>
      </c>
      <c r="C301" s="751" t="s">
        <v>881</v>
      </c>
      <c r="D301" s="751" t="s">
        <v>1503</v>
      </c>
      <c r="E301" s="751">
        <v>137.55000000000001</v>
      </c>
      <c r="F301" s="751" t="s">
        <v>1396</v>
      </c>
      <c r="G301" s="751" t="s">
        <v>1237</v>
      </c>
      <c r="H301" s="925">
        <v>45108</v>
      </c>
      <c r="I301" s="925">
        <v>45108</v>
      </c>
      <c r="J301" s="751" t="s">
        <v>1238</v>
      </c>
      <c r="K301" s="751" t="s">
        <v>1238</v>
      </c>
      <c r="L301" s="751" t="s">
        <v>1238</v>
      </c>
      <c r="M301" s="751">
        <v>137.55000000000001</v>
      </c>
      <c r="N301" s="751" t="s">
        <v>1238</v>
      </c>
      <c r="O301" s="661"/>
      <c r="P301" s="661"/>
      <c r="Q301" s="661"/>
      <c r="R301" s="661"/>
      <c r="S301" s="661"/>
      <c r="T301" s="661"/>
      <c r="U301" s="661"/>
      <c r="V301" s="661"/>
    </row>
    <row r="302" spans="1:22">
      <c r="A302" s="661"/>
      <c r="B302" s="924">
        <v>299</v>
      </c>
      <c r="C302" s="751" t="s">
        <v>881</v>
      </c>
      <c r="D302" s="751" t="s">
        <v>1504</v>
      </c>
      <c r="E302" s="751">
        <v>146.43</v>
      </c>
      <c r="F302" s="751" t="s">
        <v>1396</v>
      </c>
      <c r="G302" s="751" t="s">
        <v>1237</v>
      </c>
      <c r="H302" s="925">
        <v>45108</v>
      </c>
      <c r="I302" s="925">
        <v>45108</v>
      </c>
      <c r="J302" s="751" t="s">
        <v>1238</v>
      </c>
      <c r="K302" s="751" t="s">
        <v>1238</v>
      </c>
      <c r="L302" s="751" t="s">
        <v>1238</v>
      </c>
      <c r="M302" s="751">
        <v>146.43</v>
      </c>
      <c r="N302" s="751" t="s">
        <v>1238</v>
      </c>
      <c r="O302" s="661"/>
      <c r="P302" s="661"/>
      <c r="Q302" s="661"/>
      <c r="R302" s="661"/>
      <c r="S302" s="661"/>
      <c r="T302" s="661"/>
      <c r="U302" s="661"/>
      <c r="V302" s="661"/>
    </row>
    <row r="303" spans="1:22">
      <c r="A303" s="661"/>
      <c r="B303" s="924">
        <v>300</v>
      </c>
      <c r="C303" s="751" t="s">
        <v>881</v>
      </c>
      <c r="D303" s="751" t="s">
        <v>1505</v>
      </c>
      <c r="E303" s="751">
        <v>163.13999999999999</v>
      </c>
      <c r="F303" s="751" t="s">
        <v>1396</v>
      </c>
      <c r="G303" s="751" t="s">
        <v>1237</v>
      </c>
      <c r="H303" s="925">
        <v>45108</v>
      </c>
      <c r="I303" s="925">
        <v>45108</v>
      </c>
      <c r="J303" s="751" t="s">
        <v>1238</v>
      </c>
      <c r="K303" s="751" t="s">
        <v>1238</v>
      </c>
      <c r="L303" s="751" t="s">
        <v>1238</v>
      </c>
      <c r="M303" s="751">
        <v>163.13999999999999</v>
      </c>
      <c r="N303" s="751" t="s">
        <v>1238</v>
      </c>
      <c r="O303" s="661"/>
      <c r="P303" s="661"/>
      <c r="Q303" s="661"/>
      <c r="R303" s="661"/>
      <c r="S303" s="661"/>
      <c r="T303" s="661"/>
      <c r="U303" s="661"/>
      <c r="V303" s="661"/>
    </row>
    <row r="304" spans="1:22">
      <c r="A304" s="661"/>
      <c r="B304" s="924">
        <v>301</v>
      </c>
      <c r="C304" s="751" t="s">
        <v>881</v>
      </c>
      <c r="D304" s="751" t="s">
        <v>1506</v>
      </c>
      <c r="E304" s="751">
        <v>153.71</v>
      </c>
      <c r="F304" s="751" t="s">
        <v>1396</v>
      </c>
      <c r="G304" s="751" t="s">
        <v>1237</v>
      </c>
      <c r="H304" s="925">
        <v>45108</v>
      </c>
      <c r="I304" s="925">
        <v>45108</v>
      </c>
      <c r="J304" s="751" t="s">
        <v>1238</v>
      </c>
      <c r="K304" s="751" t="s">
        <v>1238</v>
      </c>
      <c r="L304" s="751" t="s">
        <v>1238</v>
      </c>
      <c r="M304" s="751">
        <v>153.71</v>
      </c>
      <c r="N304" s="751" t="s">
        <v>1238</v>
      </c>
      <c r="O304" s="661"/>
      <c r="P304" s="661"/>
      <c r="Q304" s="661"/>
      <c r="R304" s="661"/>
      <c r="S304" s="661"/>
      <c r="T304" s="661"/>
      <c r="U304" s="661"/>
      <c r="V304" s="661"/>
    </row>
    <row r="305" spans="1:22">
      <c r="A305" s="661"/>
      <c r="B305" s="924">
        <v>302</v>
      </c>
      <c r="C305" s="751" t="s">
        <v>881</v>
      </c>
      <c r="D305" s="751" t="s">
        <v>1507</v>
      </c>
      <c r="E305" s="751">
        <v>188.92</v>
      </c>
      <c r="F305" s="751" t="s">
        <v>1396</v>
      </c>
      <c r="G305" s="751" t="s">
        <v>1237</v>
      </c>
      <c r="H305" s="925">
        <v>45108</v>
      </c>
      <c r="I305" s="925">
        <v>45108</v>
      </c>
      <c r="J305" s="751" t="s">
        <v>1238</v>
      </c>
      <c r="K305" s="751" t="s">
        <v>1238</v>
      </c>
      <c r="L305" s="751" t="s">
        <v>1238</v>
      </c>
      <c r="M305" s="751">
        <v>188.92</v>
      </c>
      <c r="N305" s="751" t="s">
        <v>1238</v>
      </c>
      <c r="O305" s="661"/>
      <c r="P305" s="661"/>
      <c r="Q305" s="661"/>
      <c r="R305" s="661"/>
      <c r="S305" s="661"/>
      <c r="T305" s="661"/>
      <c r="U305" s="661"/>
      <c r="V305" s="661"/>
    </row>
    <row r="306" spans="1:22">
      <c r="A306" s="661"/>
      <c r="B306" s="924">
        <v>303</v>
      </c>
      <c r="C306" s="751" t="s">
        <v>881</v>
      </c>
      <c r="D306" s="751" t="s">
        <v>1508</v>
      </c>
      <c r="E306" s="751">
        <v>116.4</v>
      </c>
      <c r="F306" s="751" t="s">
        <v>1396</v>
      </c>
      <c r="G306" s="751" t="s">
        <v>1237</v>
      </c>
      <c r="H306" s="925">
        <v>45108</v>
      </c>
      <c r="I306" s="925">
        <v>45108</v>
      </c>
      <c r="J306" s="751" t="s">
        <v>1238</v>
      </c>
      <c r="K306" s="751" t="s">
        <v>1238</v>
      </c>
      <c r="L306" s="751" t="s">
        <v>1238</v>
      </c>
      <c r="M306" s="751">
        <v>116.4</v>
      </c>
      <c r="N306" s="751" t="s">
        <v>1238</v>
      </c>
      <c r="O306" s="661"/>
      <c r="P306" s="661"/>
      <c r="Q306" s="661"/>
      <c r="R306" s="661"/>
      <c r="S306" s="661"/>
      <c r="T306" s="661"/>
      <c r="U306" s="661"/>
      <c r="V306" s="661"/>
    </row>
    <row r="307" spans="1:22">
      <c r="A307" s="661"/>
      <c r="B307" s="924">
        <v>304</v>
      </c>
      <c r="C307" s="751" t="s">
        <v>1203</v>
      </c>
      <c r="D307" s="927" t="s">
        <v>1509</v>
      </c>
      <c r="E307" s="931">
        <v>525</v>
      </c>
      <c r="F307" s="751" t="s">
        <v>445</v>
      </c>
      <c r="G307" s="751" t="s">
        <v>1237</v>
      </c>
      <c r="H307" s="925">
        <v>45108</v>
      </c>
      <c r="I307" s="925">
        <v>45108</v>
      </c>
      <c r="J307" s="751" t="s">
        <v>1238</v>
      </c>
      <c r="K307" s="751">
        <v>81</v>
      </c>
      <c r="L307" s="925">
        <v>45108</v>
      </c>
      <c r="M307" s="751">
        <v>525</v>
      </c>
      <c r="N307" s="751" t="s">
        <v>1238</v>
      </c>
      <c r="O307" s="661"/>
      <c r="P307" s="661"/>
      <c r="Q307" s="661"/>
      <c r="R307" s="661"/>
      <c r="S307" s="661"/>
      <c r="T307" s="661"/>
      <c r="U307" s="661"/>
      <c r="V307" s="661"/>
    </row>
    <row r="308" spans="1:22">
      <c r="A308" s="661"/>
      <c r="B308" s="924">
        <v>305</v>
      </c>
      <c r="C308" s="751" t="s">
        <v>1395</v>
      </c>
      <c r="D308" s="927" t="s">
        <v>841</v>
      </c>
      <c r="E308" s="751">
        <v>480</v>
      </c>
      <c r="F308" s="751" t="s">
        <v>1396</v>
      </c>
      <c r="G308" s="751" t="s">
        <v>1237</v>
      </c>
      <c r="H308" s="925">
        <v>45108</v>
      </c>
      <c r="I308" s="925">
        <v>45108</v>
      </c>
      <c r="J308" s="751" t="s">
        <v>1238</v>
      </c>
      <c r="K308" s="751">
        <v>81</v>
      </c>
      <c r="L308" s="925">
        <v>45108</v>
      </c>
      <c r="M308" s="751">
        <v>480</v>
      </c>
      <c r="N308" s="751" t="s">
        <v>1238</v>
      </c>
      <c r="O308" s="661"/>
      <c r="P308" s="661"/>
      <c r="Q308" s="661"/>
      <c r="R308" s="661"/>
      <c r="S308" s="661"/>
      <c r="T308" s="661"/>
      <c r="U308" s="661"/>
      <c r="V308" s="661"/>
    </row>
    <row r="309" spans="1:22">
      <c r="A309" s="661"/>
      <c r="B309" s="924">
        <v>306</v>
      </c>
      <c r="C309" s="751" t="s">
        <v>1395</v>
      </c>
      <c r="D309" s="751" t="s">
        <v>842</v>
      </c>
      <c r="E309" s="751">
        <v>19</v>
      </c>
      <c r="F309" s="751" t="s">
        <v>445</v>
      </c>
      <c r="G309" s="751" t="s">
        <v>1237</v>
      </c>
      <c r="H309" s="925">
        <v>45108</v>
      </c>
      <c r="I309" s="925">
        <v>45108</v>
      </c>
      <c r="J309" s="751" t="s">
        <v>1238</v>
      </c>
      <c r="K309" s="751" t="s">
        <v>1238</v>
      </c>
      <c r="L309" s="751" t="s">
        <v>1238</v>
      </c>
      <c r="M309" s="751">
        <v>19</v>
      </c>
      <c r="N309" s="751" t="s">
        <v>1238</v>
      </c>
      <c r="O309" s="661"/>
      <c r="P309" s="661"/>
      <c r="Q309" s="661"/>
      <c r="R309" s="661"/>
      <c r="S309" s="661"/>
      <c r="T309" s="661"/>
      <c r="U309" s="661"/>
      <c r="V309" s="661"/>
    </row>
    <row r="310" spans="1:22">
      <c r="A310" s="661"/>
      <c r="B310" s="924">
        <v>307</v>
      </c>
      <c r="C310" s="751" t="s">
        <v>1395</v>
      </c>
      <c r="D310" s="751" t="s">
        <v>843</v>
      </c>
      <c r="E310" s="751">
        <v>32</v>
      </c>
      <c r="F310" s="751" t="s">
        <v>445</v>
      </c>
      <c r="G310" s="751" t="s">
        <v>1237</v>
      </c>
      <c r="H310" s="925">
        <v>45108</v>
      </c>
      <c r="I310" s="925">
        <v>45108</v>
      </c>
      <c r="J310" s="751" t="s">
        <v>1238</v>
      </c>
      <c r="K310" s="751" t="s">
        <v>1238</v>
      </c>
      <c r="L310" s="751" t="s">
        <v>1238</v>
      </c>
      <c r="M310" s="751">
        <v>32</v>
      </c>
      <c r="N310" s="751" t="s">
        <v>1238</v>
      </c>
      <c r="O310" s="661"/>
      <c r="P310" s="661"/>
      <c r="Q310" s="661"/>
      <c r="R310" s="661"/>
      <c r="S310" s="661"/>
      <c r="T310" s="661"/>
      <c r="U310" s="661"/>
      <c r="V310" s="661"/>
    </row>
    <row r="311" spans="1:22">
      <c r="A311" s="661"/>
      <c r="B311" s="924">
        <v>308</v>
      </c>
      <c r="C311" s="751" t="s">
        <v>1510</v>
      </c>
      <c r="D311" s="751" t="s">
        <v>1511</v>
      </c>
      <c r="E311" s="751">
        <v>165</v>
      </c>
      <c r="F311" s="751" t="s">
        <v>445</v>
      </c>
      <c r="G311" s="751" t="s">
        <v>1237</v>
      </c>
      <c r="H311" s="925">
        <v>45108</v>
      </c>
      <c r="I311" s="925">
        <v>45108</v>
      </c>
      <c r="J311" s="751" t="s">
        <v>1238</v>
      </c>
      <c r="K311" s="751" t="s">
        <v>1238</v>
      </c>
      <c r="L311" s="751" t="s">
        <v>1238</v>
      </c>
      <c r="M311" s="751">
        <v>165</v>
      </c>
      <c r="N311" s="751" t="s">
        <v>1238</v>
      </c>
      <c r="O311" s="661"/>
      <c r="P311" s="661"/>
      <c r="Q311" s="661"/>
      <c r="R311" s="661"/>
      <c r="S311" s="661"/>
      <c r="T311" s="661"/>
      <c r="U311" s="661"/>
      <c r="V311" s="661"/>
    </row>
    <row r="312" spans="1:22">
      <c r="A312" s="661"/>
      <c r="B312" s="924">
        <v>309</v>
      </c>
      <c r="C312" s="751" t="s">
        <v>1510</v>
      </c>
      <c r="D312" s="751" t="s">
        <v>1512</v>
      </c>
      <c r="E312" s="751">
        <v>54.34</v>
      </c>
      <c r="F312" s="751" t="s">
        <v>1396</v>
      </c>
      <c r="G312" s="751" t="s">
        <v>1237</v>
      </c>
      <c r="H312" s="925">
        <v>45108</v>
      </c>
      <c r="I312" s="925">
        <v>45108</v>
      </c>
      <c r="J312" s="751" t="s">
        <v>1238</v>
      </c>
      <c r="K312" s="751" t="s">
        <v>1238</v>
      </c>
      <c r="L312" s="751" t="s">
        <v>1238</v>
      </c>
      <c r="M312" s="751">
        <v>54.34</v>
      </c>
      <c r="N312" s="751" t="s">
        <v>1238</v>
      </c>
      <c r="O312" s="661"/>
      <c r="P312" s="661"/>
      <c r="Q312" s="661"/>
      <c r="R312" s="661"/>
      <c r="S312" s="661"/>
      <c r="T312" s="661"/>
      <c r="U312" s="661"/>
      <c r="V312" s="661"/>
    </row>
    <row r="313" spans="1:22">
      <c r="A313" s="661"/>
      <c r="B313" s="924">
        <v>310</v>
      </c>
      <c r="C313" s="751" t="s">
        <v>1510</v>
      </c>
      <c r="D313" s="751" t="s">
        <v>1513</v>
      </c>
      <c r="E313" s="751">
        <v>64.650000000000006</v>
      </c>
      <c r="F313" s="751" t="s">
        <v>1396</v>
      </c>
      <c r="G313" s="751" t="s">
        <v>1237</v>
      </c>
      <c r="H313" s="925">
        <v>45108</v>
      </c>
      <c r="I313" s="925">
        <v>45108</v>
      </c>
      <c r="J313" s="751" t="s">
        <v>1238</v>
      </c>
      <c r="K313" s="751" t="s">
        <v>1238</v>
      </c>
      <c r="L313" s="751" t="s">
        <v>1238</v>
      </c>
      <c r="M313" s="751">
        <v>64.650000000000006</v>
      </c>
      <c r="N313" s="751" t="s">
        <v>1238</v>
      </c>
      <c r="O313" s="661"/>
      <c r="P313" s="661"/>
      <c r="Q313" s="661"/>
      <c r="R313" s="661"/>
      <c r="S313" s="661"/>
      <c r="T313" s="661"/>
      <c r="U313" s="661"/>
      <c r="V313" s="661"/>
    </row>
    <row r="314" spans="1:22">
      <c r="A314" s="661"/>
      <c r="B314" s="924">
        <v>311</v>
      </c>
      <c r="C314" s="751" t="s">
        <v>1510</v>
      </c>
      <c r="D314" s="751" t="s">
        <v>1514</v>
      </c>
      <c r="E314" s="751">
        <v>71.84</v>
      </c>
      <c r="F314" s="751" t="s">
        <v>1396</v>
      </c>
      <c r="G314" s="751" t="s">
        <v>1237</v>
      </c>
      <c r="H314" s="925">
        <v>45108</v>
      </c>
      <c r="I314" s="925">
        <v>45108</v>
      </c>
      <c r="J314" s="751" t="s">
        <v>1238</v>
      </c>
      <c r="K314" s="751" t="s">
        <v>1238</v>
      </c>
      <c r="L314" s="751" t="s">
        <v>1238</v>
      </c>
      <c r="M314" s="751">
        <v>71.84</v>
      </c>
      <c r="N314" s="751" t="s">
        <v>1238</v>
      </c>
      <c r="O314" s="661"/>
      <c r="P314" s="661"/>
      <c r="Q314" s="661"/>
      <c r="R314" s="661"/>
      <c r="S314" s="661"/>
      <c r="T314" s="661"/>
      <c r="U314" s="661"/>
      <c r="V314" s="661"/>
    </row>
    <row r="315" spans="1:22">
      <c r="A315" s="661"/>
      <c r="B315" s="924">
        <v>312</v>
      </c>
      <c r="C315" s="751" t="s">
        <v>1395</v>
      </c>
      <c r="D315" s="751" t="s">
        <v>844</v>
      </c>
      <c r="E315" s="751">
        <v>117</v>
      </c>
      <c r="F315" s="751" t="s">
        <v>1396</v>
      </c>
      <c r="G315" s="751" t="s">
        <v>1237</v>
      </c>
      <c r="H315" s="925">
        <v>45108</v>
      </c>
      <c r="I315" s="925">
        <v>45108</v>
      </c>
      <c r="J315" s="751" t="s">
        <v>1238</v>
      </c>
      <c r="K315" s="751">
        <v>32</v>
      </c>
      <c r="L315" s="925">
        <v>45108</v>
      </c>
      <c r="M315" s="751">
        <v>117</v>
      </c>
      <c r="N315" s="751" t="s">
        <v>1238</v>
      </c>
      <c r="O315" s="661"/>
      <c r="P315" s="661"/>
      <c r="Q315" s="661"/>
      <c r="R315" s="661"/>
      <c r="S315" s="661"/>
      <c r="T315" s="661"/>
      <c r="U315" s="661"/>
      <c r="V315" s="661"/>
    </row>
    <row r="316" spans="1:22">
      <c r="A316" s="661"/>
      <c r="B316" s="924">
        <v>313</v>
      </c>
      <c r="C316" s="751" t="s">
        <v>1395</v>
      </c>
      <c r="D316" s="751" t="s">
        <v>845</v>
      </c>
      <c r="E316" s="751">
        <v>26.02</v>
      </c>
      <c r="F316" s="751" t="s">
        <v>1396</v>
      </c>
      <c r="G316" s="751" t="s">
        <v>1237</v>
      </c>
      <c r="H316" s="925">
        <v>45108</v>
      </c>
      <c r="I316" s="925">
        <v>45108</v>
      </c>
      <c r="J316" s="751" t="s">
        <v>1238</v>
      </c>
      <c r="K316" s="751" t="s">
        <v>1238</v>
      </c>
      <c r="L316" s="751" t="s">
        <v>1238</v>
      </c>
      <c r="M316" s="751">
        <v>26.02</v>
      </c>
      <c r="N316" s="751" t="s">
        <v>1238</v>
      </c>
      <c r="O316" s="661"/>
      <c r="P316" s="661"/>
      <c r="Q316" s="661"/>
      <c r="R316" s="661"/>
      <c r="S316" s="661"/>
      <c r="T316" s="661"/>
      <c r="U316" s="661"/>
      <c r="V316" s="661"/>
    </row>
    <row r="317" spans="1:22">
      <c r="A317" s="661"/>
      <c r="B317" s="924">
        <v>314</v>
      </c>
      <c r="C317" s="751" t="s">
        <v>1395</v>
      </c>
      <c r="D317" s="751" t="s">
        <v>846</v>
      </c>
      <c r="E317" s="751">
        <v>33.869999999999997</v>
      </c>
      <c r="F317" s="751" t="s">
        <v>1396</v>
      </c>
      <c r="G317" s="751" t="s">
        <v>1237</v>
      </c>
      <c r="H317" s="925">
        <v>45108</v>
      </c>
      <c r="I317" s="925">
        <v>45108</v>
      </c>
      <c r="J317" s="751" t="s">
        <v>1238</v>
      </c>
      <c r="K317" s="751" t="s">
        <v>1238</v>
      </c>
      <c r="L317" s="751" t="s">
        <v>1238</v>
      </c>
      <c r="M317" s="751">
        <v>33.869999999999997</v>
      </c>
      <c r="N317" s="751" t="s">
        <v>1238</v>
      </c>
      <c r="O317" s="661"/>
      <c r="P317" s="661"/>
      <c r="Q317" s="661"/>
      <c r="R317" s="661"/>
      <c r="S317" s="661"/>
      <c r="T317" s="661"/>
      <c r="U317" s="661"/>
      <c r="V317" s="661"/>
    </row>
    <row r="318" spans="1:22">
      <c r="A318" s="661"/>
      <c r="B318" s="924">
        <v>315</v>
      </c>
      <c r="C318" s="751" t="s">
        <v>1395</v>
      </c>
      <c r="D318" s="751" t="s">
        <v>847</v>
      </c>
      <c r="E318" s="751">
        <v>51.87</v>
      </c>
      <c r="F318" s="751" t="s">
        <v>1396</v>
      </c>
      <c r="G318" s="751" t="s">
        <v>1237</v>
      </c>
      <c r="H318" s="925">
        <v>45108</v>
      </c>
      <c r="I318" s="925">
        <v>45108</v>
      </c>
      <c r="J318" s="751" t="s">
        <v>1238</v>
      </c>
      <c r="K318" s="751" t="s">
        <v>1238</v>
      </c>
      <c r="L318" s="751" t="s">
        <v>1238</v>
      </c>
      <c r="M318" s="751">
        <v>51.87</v>
      </c>
      <c r="N318" s="751" t="s">
        <v>1238</v>
      </c>
      <c r="O318" s="661"/>
      <c r="P318" s="661"/>
      <c r="Q318" s="661"/>
      <c r="R318" s="661"/>
      <c r="S318" s="661"/>
      <c r="T318" s="661"/>
      <c r="U318" s="661"/>
      <c r="V318" s="661"/>
    </row>
    <row r="319" spans="1:22">
      <c r="A319" s="661"/>
      <c r="B319" s="924">
        <v>316</v>
      </c>
      <c r="C319" s="751" t="s">
        <v>1515</v>
      </c>
      <c r="D319" s="751" t="s">
        <v>1516</v>
      </c>
      <c r="E319" s="751">
        <v>2030</v>
      </c>
      <c r="F319" s="751" t="s">
        <v>1396</v>
      </c>
      <c r="G319" s="751" t="s">
        <v>408</v>
      </c>
      <c r="H319" s="925">
        <v>45108</v>
      </c>
      <c r="I319" s="925">
        <v>45108</v>
      </c>
      <c r="J319" s="751" t="s">
        <v>1238</v>
      </c>
      <c r="K319" s="751" t="s">
        <v>1238</v>
      </c>
      <c r="L319" s="751" t="s">
        <v>1238</v>
      </c>
      <c r="M319" s="751">
        <v>2030</v>
      </c>
      <c r="N319" s="751" t="s">
        <v>1238</v>
      </c>
      <c r="O319" s="661"/>
      <c r="P319" s="661"/>
      <c r="Q319" s="661"/>
      <c r="R319" s="661"/>
      <c r="S319" s="661"/>
      <c r="T319" s="661"/>
      <c r="U319" s="661"/>
      <c r="V319" s="661"/>
    </row>
    <row r="320" spans="1:22">
      <c r="A320" s="661"/>
      <c r="B320" s="924">
        <v>317</v>
      </c>
      <c r="C320" s="751" t="s">
        <v>1515</v>
      </c>
      <c r="D320" s="751" t="s">
        <v>1517</v>
      </c>
      <c r="E320" s="751">
        <v>2125</v>
      </c>
      <c r="F320" s="751" t="s">
        <v>1396</v>
      </c>
      <c r="G320" s="751" t="s">
        <v>408</v>
      </c>
      <c r="H320" s="925">
        <v>45108</v>
      </c>
      <c r="I320" s="925">
        <v>45108</v>
      </c>
      <c r="J320" s="751" t="s">
        <v>1238</v>
      </c>
      <c r="K320" s="751" t="s">
        <v>1238</v>
      </c>
      <c r="L320" s="751" t="s">
        <v>1238</v>
      </c>
      <c r="M320" s="751">
        <v>2125</v>
      </c>
      <c r="N320" s="751" t="s">
        <v>1238</v>
      </c>
      <c r="O320" s="661"/>
      <c r="P320" s="661"/>
      <c r="Q320" s="661"/>
      <c r="R320" s="661"/>
      <c r="S320" s="661"/>
      <c r="T320" s="661"/>
      <c r="U320" s="661"/>
      <c r="V320" s="661"/>
    </row>
    <row r="321" spans="1:22">
      <c r="A321" s="661"/>
      <c r="B321" s="924">
        <v>318</v>
      </c>
      <c r="C321" s="751" t="s">
        <v>1203</v>
      </c>
      <c r="D321" s="751" t="s">
        <v>1518</v>
      </c>
      <c r="E321" s="751">
        <v>61</v>
      </c>
      <c r="F321" s="751" t="s">
        <v>1255</v>
      </c>
      <c r="G321" s="751" t="s">
        <v>408</v>
      </c>
      <c r="H321" s="925">
        <v>45108</v>
      </c>
      <c r="I321" s="925">
        <v>45140</v>
      </c>
      <c r="J321" s="751" t="s">
        <v>1238</v>
      </c>
      <c r="K321" s="751" t="s">
        <v>1238</v>
      </c>
      <c r="L321" s="751" t="s">
        <v>1238</v>
      </c>
      <c r="M321" s="751">
        <v>61</v>
      </c>
      <c r="N321" s="751" t="s">
        <v>1238</v>
      </c>
      <c r="O321" s="661"/>
      <c r="P321" s="661"/>
      <c r="Q321" s="661"/>
      <c r="R321" s="661"/>
      <c r="S321" s="661"/>
      <c r="T321" s="661"/>
      <c r="U321" s="661"/>
      <c r="V321" s="661"/>
    </row>
    <row r="322" spans="1:22">
      <c r="A322" s="661"/>
      <c r="B322" s="924">
        <v>319</v>
      </c>
      <c r="C322" s="751" t="s">
        <v>1203</v>
      </c>
      <c r="D322" s="751" t="s">
        <v>1519</v>
      </c>
      <c r="E322" s="751">
        <v>61</v>
      </c>
      <c r="F322" s="751" t="s">
        <v>1255</v>
      </c>
      <c r="G322" s="751" t="s">
        <v>408</v>
      </c>
      <c r="H322" s="925">
        <v>45108</v>
      </c>
      <c r="I322" s="925">
        <v>45140</v>
      </c>
      <c r="J322" s="751" t="s">
        <v>1238</v>
      </c>
      <c r="K322" s="751" t="s">
        <v>1238</v>
      </c>
      <c r="L322" s="751" t="s">
        <v>1238</v>
      </c>
      <c r="M322" s="751">
        <v>61</v>
      </c>
      <c r="N322" s="751" t="s">
        <v>1238</v>
      </c>
      <c r="O322" s="661"/>
      <c r="P322" s="661"/>
      <c r="Q322" s="661"/>
      <c r="R322" s="661"/>
      <c r="S322" s="661"/>
      <c r="T322" s="661"/>
      <c r="U322" s="661"/>
      <c r="V322" s="661"/>
    </row>
    <row r="323" spans="1:22">
      <c r="A323" s="932"/>
      <c r="B323" s="924">
        <v>320</v>
      </c>
      <c r="C323" s="751" t="s">
        <v>1312</v>
      </c>
      <c r="D323" s="751" t="s">
        <v>1520</v>
      </c>
      <c r="E323" s="751">
        <v>71.8</v>
      </c>
      <c r="F323" s="751" t="s">
        <v>1255</v>
      </c>
      <c r="G323" s="751" t="s">
        <v>408</v>
      </c>
      <c r="H323" s="925">
        <v>45108</v>
      </c>
      <c r="I323" s="925">
        <v>45140</v>
      </c>
      <c r="J323" s="751" t="s">
        <v>1238</v>
      </c>
      <c r="K323" s="751">
        <v>25</v>
      </c>
      <c r="L323" s="925">
        <v>45505</v>
      </c>
      <c r="M323" s="751">
        <v>71.8</v>
      </c>
      <c r="N323" s="925">
        <v>45108</v>
      </c>
      <c r="O323" s="932"/>
      <c r="P323" s="932"/>
      <c r="Q323" s="932"/>
      <c r="R323" s="661"/>
      <c r="S323" s="661"/>
      <c r="T323" s="661"/>
      <c r="U323" s="661"/>
      <c r="V323" s="661"/>
    </row>
    <row r="324" spans="1:22">
      <c r="A324" s="932"/>
      <c r="B324" s="924">
        <v>321</v>
      </c>
      <c r="C324" s="751" t="s">
        <v>1395</v>
      </c>
      <c r="D324" s="927" t="s">
        <v>848</v>
      </c>
      <c r="E324" s="751">
        <v>589.72</v>
      </c>
      <c r="F324" s="751" t="s">
        <v>1396</v>
      </c>
      <c r="G324" s="751" t="s">
        <v>1237</v>
      </c>
      <c r="H324" s="925">
        <v>45200</v>
      </c>
      <c r="I324" s="925">
        <v>45413</v>
      </c>
      <c r="J324" s="751" t="s">
        <v>1487</v>
      </c>
      <c r="K324" s="751">
        <v>44</v>
      </c>
      <c r="L324" s="925">
        <v>45200</v>
      </c>
      <c r="M324" s="751">
        <v>589.72</v>
      </c>
      <c r="N324" s="751" t="s">
        <v>1238</v>
      </c>
      <c r="O324" s="932"/>
      <c r="P324" s="932"/>
      <c r="Q324" s="932"/>
      <c r="R324" s="661"/>
      <c r="S324" s="661"/>
      <c r="T324" s="661"/>
      <c r="U324" s="661"/>
      <c r="V324" s="661"/>
    </row>
    <row r="325" spans="1:22">
      <c r="A325" s="932"/>
      <c r="B325" s="924">
        <v>322</v>
      </c>
      <c r="C325" s="751" t="s">
        <v>1395</v>
      </c>
      <c r="D325" s="927" t="s">
        <v>849</v>
      </c>
      <c r="E325" s="751">
        <v>710.5</v>
      </c>
      <c r="F325" s="751" t="s">
        <v>1396</v>
      </c>
      <c r="G325" s="751" t="s">
        <v>1237</v>
      </c>
      <c r="H325" s="925">
        <v>45200</v>
      </c>
      <c r="I325" s="925">
        <v>45413</v>
      </c>
      <c r="J325" s="751" t="s">
        <v>1487</v>
      </c>
      <c r="K325" s="751">
        <v>44</v>
      </c>
      <c r="L325" s="925">
        <v>45200</v>
      </c>
      <c r="M325" s="751">
        <v>710.5</v>
      </c>
      <c r="N325" s="751" t="s">
        <v>1238</v>
      </c>
      <c r="O325" s="932"/>
      <c r="P325" s="932"/>
      <c r="Q325" s="932"/>
      <c r="R325" s="661"/>
      <c r="S325" s="661"/>
      <c r="T325" s="661"/>
      <c r="U325" s="661"/>
      <c r="V325" s="661"/>
    </row>
    <row r="326" spans="1:22">
      <c r="A326" s="661"/>
      <c r="B326" s="924">
        <v>323</v>
      </c>
      <c r="C326" s="751" t="s">
        <v>1395</v>
      </c>
      <c r="D326" s="927" t="s">
        <v>850</v>
      </c>
      <c r="E326" s="751">
        <v>831.3</v>
      </c>
      <c r="F326" s="751" t="s">
        <v>1396</v>
      </c>
      <c r="G326" s="751" t="s">
        <v>1237</v>
      </c>
      <c r="H326" s="925">
        <v>45200</v>
      </c>
      <c r="I326" s="925">
        <v>45413</v>
      </c>
      <c r="J326" s="751" t="s">
        <v>1487</v>
      </c>
      <c r="K326" s="751">
        <v>44</v>
      </c>
      <c r="L326" s="925">
        <v>45200</v>
      </c>
      <c r="M326" s="751">
        <v>831.3</v>
      </c>
      <c r="N326" s="751" t="s">
        <v>1238</v>
      </c>
      <c r="O326" s="661"/>
      <c r="P326" s="661"/>
      <c r="Q326" s="661"/>
      <c r="R326" s="661"/>
      <c r="S326" s="661"/>
      <c r="T326" s="661"/>
      <c r="U326" s="661"/>
      <c r="V326" s="661"/>
    </row>
    <row r="327" spans="1:22">
      <c r="A327" s="661"/>
      <c r="B327" s="924">
        <v>324</v>
      </c>
      <c r="C327" s="751" t="s">
        <v>1395</v>
      </c>
      <c r="D327" s="927" t="s">
        <v>851</v>
      </c>
      <c r="E327" s="751">
        <v>952.08</v>
      </c>
      <c r="F327" s="751" t="s">
        <v>1396</v>
      </c>
      <c r="G327" s="751" t="s">
        <v>1237</v>
      </c>
      <c r="H327" s="925">
        <v>45200</v>
      </c>
      <c r="I327" s="925">
        <v>45413</v>
      </c>
      <c r="J327" s="751" t="s">
        <v>1487</v>
      </c>
      <c r="K327" s="751">
        <v>44</v>
      </c>
      <c r="L327" s="925">
        <v>45200</v>
      </c>
      <c r="M327" s="751">
        <v>952.08</v>
      </c>
      <c r="N327" s="751" t="s">
        <v>1238</v>
      </c>
      <c r="O327" s="661"/>
      <c r="P327" s="661"/>
      <c r="Q327" s="661"/>
      <c r="R327" s="661"/>
      <c r="S327" s="661"/>
      <c r="T327" s="661"/>
      <c r="U327" s="661"/>
      <c r="V327" s="661"/>
    </row>
    <row r="328" spans="1:22">
      <c r="A328" s="661"/>
      <c r="B328" s="924">
        <v>325</v>
      </c>
      <c r="C328" s="751" t="s">
        <v>1395</v>
      </c>
      <c r="D328" s="927" t="s">
        <v>852</v>
      </c>
      <c r="E328" s="751">
        <v>587.42999999999995</v>
      </c>
      <c r="F328" s="751" t="s">
        <v>1396</v>
      </c>
      <c r="G328" s="751" t="s">
        <v>1237</v>
      </c>
      <c r="H328" s="925">
        <v>45200</v>
      </c>
      <c r="I328" s="925">
        <v>45413</v>
      </c>
      <c r="J328" s="751" t="s">
        <v>1487</v>
      </c>
      <c r="K328" s="751">
        <v>44</v>
      </c>
      <c r="L328" s="925">
        <v>45200</v>
      </c>
      <c r="M328" s="751">
        <v>587.42999999999995</v>
      </c>
      <c r="N328" s="751" t="s">
        <v>1238</v>
      </c>
      <c r="O328" s="661"/>
      <c r="P328" s="661"/>
      <c r="Q328" s="661"/>
      <c r="R328" s="661"/>
      <c r="S328" s="661"/>
      <c r="T328" s="661"/>
      <c r="U328" s="661"/>
      <c r="V328" s="661"/>
    </row>
    <row r="329" spans="1:22">
      <c r="A329" s="661"/>
      <c r="B329" s="924">
        <v>326</v>
      </c>
      <c r="C329" s="751" t="s">
        <v>1395</v>
      </c>
      <c r="D329" s="927" t="s">
        <v>853</v>
      </c>
      <c r="E329" s="751">
        <v>707.74</v>
      </c>
      <c r="F329" s="751" t="s">
        <v>1396</v>
      </c>
      <c r="G329" s="751" t="s">
        <v>1237</v>
      </c>
      <c r="H329" s="925">
        <v>45200</v>
      </c>
      <c r="I329" s="925">
        <v>45413</v>
      </c>
      <c r="J329" s="751" t="s">
        <v>1487</v>
      </c>
      <c r="K329" s="751">
        <v>44</v>
      </c>
      <c r="L329" s="925">
        <v>45200</v>
      </c>
      <c r="M329" s="751">
        <v>707.74</v>
      </c>
      <c r="N329" s="751" t="s">
        <v>1238</v>
      </c>
      <c r="O329" s="661"/>
      <c r="P329" s="661"/>
      <c r="Q329" s="661"/>
      <c r="R329" s="661"/>
      <c r="S329" s="661"/>
      <c r="T329" s="661"/>
      <c r="U329" s="661"/>
      <c r="V329" s="661"/>
    </row>
    <row r="330" spans="1:22">
      <c r="A330" s="661"/>
      <c r="B330" s="924">
        <v>327</v>
      </c>
      <c r="C330" s="751" t="s">
        <v>1395</v>
      </c>
      <c r="D330" s="927" t="s">
        <v>854</v>
      </c>
      <c r="E330" s="751">
        <v>828.07</v>
      </c>
      <c r="F330" s="751" t="s">
        <v>1396</v>
      </c>
      <c r="G330" s="751" t="s">
        <v>1237</v>
      </c>
      <c r="H330" s="925">
        <v>45200</v>
      </c>
      <c r="I330" s="925">
        <v>45413</v>
      </c>
      <c r="J330" s="751" t="s">
        <v>1487</v>
      </c>
      <c r="K330" s="751">
        <v>44</v>
      </c>
      <c r="L330" s="925">
        <v>45200</v>
      </c>
      <c r="M330" s="751">
        <v>828.07</v>
      </c>
      <c r="N330" s="751" t="s">
        <v>1238</v>
      </c>
      <c r="O330" s="661"/>
      <c r="P330" s="661"/>
      <c r="Q330" s="661"/>
      <c r="R330" s="661"/>
      <c r="S330" s="661"/>
      <c r="T330" s="661"/>
      <c r="U330" s="661"/>
      <c r="V330" s="661"/>
    </row>
    <row r="331" spans="1:22">
      <c r="A331" s="661"/>
      <c r="B331" s="924">
        <v>328</v>
      </c>
      <c r="C331" s="751" t="s">
        <v>1395</v>
      </c>
      <c r="D331" s="927" t="s">
        <v>855</v>
      </c>
      <c r="E331" s="751">
        <v>948.38</v>
      </c>
      <c r="F331" s="751" t="s">
        <v>1396</v>
      </c>
      <c r="G331" s="751" t="s">
        <v>1237</v>
      </c>
      <c r="H331" s="925">
        <v>45200</v>
      </c>
      <c r="I331" s="925">
        <v>45413</v>
      </c>
      <c r="J331" s="751" t="s">
        <v>1487</v>
      </c>
      <c r="K331" s="751">
        <v>44</v>
      </c>
      <c r="L331" s="925">
        <v>45200</v>
      </c>
      <c r="M331" s="751">
        <v>948.38</v>
      </c>
      <c r="N331" s="751" t="s">
        <v>1238</v>
      </c>
      <c r="O331" s="661"/>
      <c r="P331" s="661"/>
      <c r="Q331" s="661"/>
      <c r="R331" s="661"/>
      <c r="S331" s="661"/>
      <c r="T331" s="661"/>
      <c r="U331" s="661"/>
      <c r="V331" s="661"/>
    </row>
    <row r="332" spans="1:22">
      <c r="A332" s="661"/>
      <c r="B332" s="924">
        <v>329</v>
      </c>
      <c r="C332" s="751" t="s">
        <v>1395</v>
      </c>
      <c r="D332" s="927" t="s">
        <v>856</v>
      </c>
      <c r="E332" s="751">
        <v>605.19000000000005</v>
      </c>
      <c r="F332" s="751" t="s">
        <v>1396</v>
      </c>
      <c r="G332" s="751" t="s">
        <v>1237</v>
      </c>
      <c r="H332" s="925">
        <v>45200</v>
      </c>
      <c r="I332" s="925">
        <v>45413</v>
      </c>
      <c r="J332" s="751" t="s">
        <v>1487</v>
      </c>
      <c r="K332" s="751">
        <v>44</v>
      </c>
      <c r="L332" s="925">
        <v>45200</v>
      </c>
      <c r="M332" s="751">
        <v>605.19000000000005</v>
      </c>
      <c r="N332" s="751" t="s">
        <v>1238</v>
      </c>
      <c r="O332" s="661"/>
      <c r="P332" s="661"/>
      <c r="Q332" s="661"/>
      <c r="R332" s="661"/>
      <c r="S332" s="661"/>
      <c r="T332" s="661"/>
      <c r="U332" s="661"/>
      <c r="V332" s="661"/>
    </row>
    <row r="333" spans="1:22">
      <c r="A333" s="661"/>
      <c r="B333" s="924">
        <v>330</v>
      </c>
      <c r="C333" s="751" t="s">
        <v>1395</v>
      </c>
      <c r="D333" s="927" t="s">
        <v>857</v>
      </c>
      <c r="E333" s="751">
        <v>729.14</v>
      </c>
      <c r="F333" s="751" t="s">
        <v>1396</v>
      </c>
      <c r="G333" s="751" t="s">
        <v>1237</v>
      </c>
      <c r="H333" s="925">
        <v>45200</v>
      </c>
      <c r="I333" s="925">
        <v>45413</v>
      </c>
      <c r="J333" s="751" t="s">
        <v>1487</v>
      </c>
      <c r="K333" s="751">
        <v>44</v>
      </c>
      <c r="L333" s="925">
        <v>45200</v>
      </c>
      <c r="M333" s="751">
        <v>729.14</v>
      </c>
      <c r="N333" s="751" t="s">
        <v>1238</v>
      </c>
      <c r="O333" s="661"/>
      <c r="P333" s="661"/>
      <c r="Q333" s="661"/>
      <c r="R333" s="661"/>
      <c r="S333" s="661"/>
      <c r="T333" s="661"/>
      <c r="U333" s="661"/>
      <c r="V333" s="661"/>
    </row>
    <row r="334" spans="1:22">
      <c r="A334" s="661"/>
      <c r="B334" s="924">
        <v>331</v>
      </c>
      <c r="C334" s="751" t="s">
        <v>1395</v>
      </c>
      <c r="D334" s="927" t="s">
        <v>858</v>
      </c>
      <c r="E334" s="751">
        <v>853.12</v>
      </c>
      <c r="F334" s="751" t="s">
        <v>1396</v>
      </c>
      <c r="G334" s="751" t="s">
        <v>1237</v>
      </c>
      <c r="H334" s="925">
        <v>45200</v>
      </c>
      <c r="I334" s="925">
        <v>45413</v>
      </c>
      <c r="J334" s="751" t="s">
        <v>1487</v>
      </c>
      <c r="K334" s="751">
        <v>44</v>
      </c>
      <c r="L334" s="925">
        <v>45200</v>
      </c>
      <c r="M334" s="751">
        <v>853.12</v>
      </c>
      <c r="N334" s="751" t="s">
        <v>1238</v>
      </c>
      <c r="O334" s="661"/>
      <c r="P334" s="661"/>
      <c r="Q334" s="661"/>
      <c r="R334" s="661"/>
      <c r="S334" s="661"/>
      <c r="T334" s="661"/>
      <c r="U334" s="661"/>
      <c r="V334" s="661"/>
    </row>
    <row r="335" spans="1:22">
      <c r="A335" s="661"/>
      <c r="B335" s="924">
        <v>332</v>
      </c>
      <c r="C335" s="751" t="s">
        <v>1395</v>
      </c>
      <c r="D335" s="927" t="s">
        <v>859</v>
      </c>
      <c r="E335" s="751">
        <v>977.06</v>
      </c>
      <c r="F335" s="751" t="s">
        <v>1396</v>
      </c>
      <c r="G335" s="751" t="s">
        <v>1237</v>
      </c>
      <c r="H335" s="925">
        <v>45200</v>
      </c>
      <c r="I335" s="925">
        <v>45413</v>
      </c>
      <c r="J335" s="751" t="s">
        <v>1487</v>
      </c>
      <c r="K335" s="751">
        <v>44</v>
      </c>
      <c r="L335" s="925">
        <v>45200</v>
      </c>
      <c r="M335" s="751">
        <v>977.06</v>
      </c>
      <c r="N335" s="751" t="s">
        <v>1238</v>
      </c>
      <c r="O335" s="661"/>
      <c r="P335" s="661"/>
      <c r="Q335" s="661"/>
      <c r="R335" s="661"/>
      <c r="S335" s="661"/>
      <c r="T335" s="661"/>
      <c r="U335" s="661"/>
      <c r="V335" s="661"/>
    </row>
    <row r="336" spans="1:22">
      <c r="A336" s="661"/>
      <c r="B336" s="924">
        <v>333</v>
      </c>
      <c r="C336" s="751" t="s">
        <v>1521</v>
      </c>
      <c r="D336" s="751" t="s">
        <v>1522</v>
      </c>
      <c r="E336" s="751">
        <v>71.474999999999994</v>
      </c>
      <c r="F336" s="751" t="s">
        <v>445</v>
      </c>
      <c r="G336" s="751" t="s">
        <v>1237</v>
      </c>
      <c r="H336" s="925">
        <v>45642</v>
      </c>
      <c r="I336" s="925">
        <v>45642</v>
      </c>
      <c r="J336" s="751" t="s">
        <v>1523</v>
      </c>
      <c r="K336" s="751">
        <v>32</v>
      </c>
      <c r="L336" s="925">
        <v>45642</v>
      </c>
      <c r="M336" s="751">
        <v>72.974999999999994</v>
      </c>
      <c r="N336" s="751" t="s">
        <v>1238</v>
      </c>
      <c r="O336" s="661"/>
      <c r="P336" s="661"/>
      <c r="Q336" s="661"/>
      <c r="R336" s="661"/>
      <c r="S336" s="661"/>
      <c r="T336" s="661"/>
      <c r="U336" s="661"/>
      <c r="V336" s="661"/>
    </row>
    <row r="337" spans="1:22">
      <c r="A337" s="661"/>
      <c r="B337" s="924">
        <v>334</v>
      </c>
      <c r="C337" s="751" t="s">
        <v>1521</v>
      </c>
      <c r="D337" s="751" t="s">
        <v>1524</v>
      </c>
      <c r="E337" s="751">
        <v>72.325000000000003</v>
      </c>
      <c r="F337" s="751" t="s">
        <v>445</v>
      </c>
      <c r="G337" s="751" t="s">
        <v>1237</v>
      </c>
      <c r="H337" s="925">
        <v>45642</v>
      </c>
      <c r="I337" s="925">
        <v>45642</v>
      </c>
      <c r="J337" s="751" t="s">
        <v>1523</v>
      </c>
      <c r="K337" s="751">
        <v>32</v>
      </c>
      <c r="L337" s="925">
        <v>45642</v>
      </c>
      <c r="M337" s="751">
        <v>73.825000000000003</v>
      </c>
      <c r="N337" s="751" t="s">
        <v>1238</v>
      </c>
      <c r="O337" s="661"/>
      <c r="P337" s="661"/>
      <c r="Q337" s="661"/>
      <c r="R337" s="661"/>
      <c r="S337" s="661"/>
      <c r="T337" s="661"/>
      <c r="U337" s="661"/>
      <c r="V337" s="661"/>
    </row>
    <row r="338" spans="1:22">
      <c r="A338" s="661"/>
      <c r="B338" s="924">
        <v>335</v>
      </c>
      <c r="C338" s="751" t="s">
        <v>1521</v>
      </c>
      <c r="D338" s="751" t="s">
        <v>1525</v>
      </c>
      <c r="E338" s="751">
        <v>80.474999999999994</v>
      </c>
      <c r="F338" s="751" t="s">
        <v>445</v>
      </c>
      <c r="G338" s="751" t="s">
        <v>1237</v>
      </c>
      <c r="H338" s="925">
        <v>45642</v>
      </c>
      <c r="I338" s="925">
        <v>45642</v>
      </c>
      <c r="J338" s="751" t="s">
        <v>1523</v>
      </c>
      <c r="K338" s="751">
        <v>32</v>
      </c>
      <c r="L338" s="925">
        <v>45642</v>
      </c>
      <c r="M338" s="751">
        <v>81.974999999999994</v>
      </c>
      <c r="N338" s="751" t="s">
        <v>1238</v>
      </c>
      <c r="O338" s="661"/>
      <c r="P338" s="661"/>
      <c r="Q338" s="661"/>
      <c r="R338" s="661"/>
      <c r="S338" s="661"/>
      <c r="T338" s="661"/>
      <c r="U338" s="661"/>
      <c r="V338" s="661"/>
    </row>
    <row r="339" spans="1:22">
      <c r="A339" s="661"/>
      <c r="B339" s="924">
        <v>336</v>
      </c>
      <c r="C339" s="751" t="s">
        <v>1521</v>
      </c>
      <c r="D339" s="751" t="s">
        <v>1526</v>
      </c>
      <c r="E339" s="751">
        <v>0.02</v>
      </c>
      <c r="F339" s="751" t="s">
        <v>1527</v>
      </c>
      <c r="G339" s="751" t="s">
        <v>1237</v>
      </c>
      <c r="H339" s="925">
        <v>45474</v>
      </c>
      <c r="I339" s="925">
        <v>45474</v>
      </c>
      <c r="J339" s="751" t="s">
        <v>1528</v>
      </c>
      <c r="K339" s="751" t="s">
        <v>1238</v>
      </c>
      <c r="L339" s="751" t="s">
        <v>1238</v>
      </c>
      <c r="M339" s="751">
        <v>1.4999999999999999E-2</v>
      </c>
      <c r="N339" s="751" t="s">
        <v>1238</v>
      </c>
      <c r="O339" s="661"/>
      <c r="P339" s="661"/>
      <c r="Q339" s="661"/>
      <c r="R339" s="661"/>
      <c r="S339" s="661"/>
      <c r="T339" s="661"/>
      <c r="U339" s="661"/>
      <c r="V339" s="661"/>
    </row>
    <row r="340" spans="1:22">
      <c r="A340" s="661"/>
      <c r="B340" s="924">
        <v>337</v>
      </c>
      <c r="C340" s="751" t="s">
        <v>1521</v>
      </c>
      <c r="D340" s="751" t="s">
        <v>1529</v>
      </c>
      <c r="E340" s="751">
        <v>0.02</v>
      </c>
      <c r="F340" s="751" t="s">
        <v>1527</v>
      </c>
      <c r="G340" s="751" t="s">
        <v>1237</v>
      </c>
      <c r="H340" s="925">
        <v>45474</v>
      </c>
      <c r="I340" s="925">
        <v>45474</v>
      </c>
      <c r="J340" s="751" t="s">
        <v>1528</v>
      </c>
      <c r="K340" s="751" t="s">
        <v>1238</v>
      </c>
      <c r="L340" s="751" t="s">
        <v>1238</v>
      </c>
      <c r="M340" s="751">
        <v>1.4999999999999999E-2</v>
      </c>
      <c r="N340" s="751" t="s">
        <v>1238</v>
      </c>
      <c r="O340" s="661"/>
      <c r="P340" s="661"/>
      <c r="Q340" s="661"/>
      <c r="R340" s="661"/>
      <c r="S340" s="661"/>
      <c r="T340" s="661"/>
      <c r="U340" s="661"/>
      <c r="V340" s="661"/>
    </row>
    <row r="341" spans="1:22">
      <c r="A341" s="661"/>
      <c r="B341" s="924">
        <v>338</v>
      </c>
      <c r="C341" s="751" t="s">
        <v>1521</v>
      </c>
      <c r="D341" s="751" t="s">
        <v>1530</v>
      </c>
      <c r="E341" s="751">
        <v>0.03</v>
      </c>
      <c r="F341" s="751" t="s">
        <v>1527</v>
      </c>
      <c r="G341" s="751" t="s">
        <v>1237</v>
      </c>
      <c r="H341" s="925">
        <v>45474</v>
      </c>
      <c r="I341" s="925">
        <v>45474</v>
      </c>
      <c r="J341" s="751" t="s">
        <v>1528</v>
      </c>
      <c r="K341" s="751" t="s">
        <v>1238</v>
      </c>
      <c r="L341" s="751" t="s">
        <v>1238</v>
      </c>
      <c r="M341" s="751">
        <v>2.5000000000000001E-2</v>
      </c>
      <c r="N341" s="751" t="s">
        <v>1238</v>
      </c>
      <c r="O341" s="661"/>
      <c r="P341" s="661"/>
      <c r="Q341" s="661"/>
      <c r="R341" s="661"/>
      <c r="S341" s="661"/>
      <c r="T341" s="661"/>
      <c r="U341" s="661"/>
      <c r="V341" s="661"/>
    </row>
    <row r="342" spans="1:22">
      <c r="A342" s="661"/>
      <c r="B342" s="924">
        <v>339</v>
      </c>
      <c r="C342" s="751" t="s">
        <v>1521</v>
      </c>
      <c r="D342" s="751" t="s">
        <v>1531</v>
      </c>
      <c r="E342" s="751">
        <v>0.03</v>
      </c>
      <c r="F342" s="751" t="s">
        <v>1527</v>
      </c>
      <c r="G342" s="751" t="s">
        <v>1237</v>
      </c>
      <c r="H342" s="925">
        <v>45474</v>
      </c>
      <c r="I342" s="925">
        <v>45474</v>
      </c>
      <c r="J342" s="751" t="s">
        <v>1528</v>
      </c>
      <c r="K342" s="751" t="s">
        <v>1238</v>
      </c>
      <c r="L342" s="751" t="s">
        <v>1238</v>
      </c>
      <c r="M342" s="751">
        <v>2.5000000000000001E-2</v>
      </c>
      <c r="N342" s="751" t="s">
        <v>1238</v>
      </c>
      <c r="O342" s="661"/>
      <c r="P342" s="661"/>
      <c r="Q342" s="661"/>
      <c r="R342" s="661"/>
      <c r="S342" s="661"/>
      <c r="T342" s="661"/>
      <c r="U342" s="661"/>
      <c r="V342" s="661"/>
    </row>
    <row r="343" spans="1:22">
      <c r="A343" s="661"/>
      <c r="B343" s="924">
        <v>340</v>
      </c>
      <c r="C343" s="751" t="s">
        <v>1521</v>
      </c>
      <c r="D343" s="751" t="s">
        <v>1532</v>
      </c>
      <c r="E343" s="751">
        <v>0.01</v>
      </c>
      <c r="F343" s="751" t="s">
        <v>1527</v>
      </c>
      <c r="G343" s="751" t="s">
        <v>1237</v>
      </c>
      <c r="H343" s="925">
        <v>45474</v>
      </c>
      <c r="I343" s="925">
        <v>45474</v>
      </c>
      <c r="J343" s="751" t="s">
        <v>1528</v>
      </c>
      <c r="K343" s="751" t="s">
        <v>1238</v>
      </c>
      <c r="L343" s="751" t="s">
        <v>1238</v>
      </c>
      <c r="M343" s="751">
        <v>0.01</v>
      </c>
      <c r="N343" s="751" t="s">
        <v>1238</v>
      </c>
      <c r="O343" s="661"/>
      <c r="P343" s="661"/>
      <c r="Q343" s="661"/>
      <c r="R343" s="661"/>
      <c r="S343" s="661"/>
      <c r="T343" s="661"/>
      <c r="U343" s="661"/>
      <c r="V343" s="661"/>
    </row>
    <row r="344" spans="1:22">
      <c r="A344" s="661"/>
      <c r="B344" s="924">
        <v>341</v>
      </c>
      <c r="C344" s="751" t="s">
        <v>1533</v>
      </c>
      <c r="D344" s="751" t="s">
        <v>1534</v>
      </c>
      <c r="E344" s="751">
        <v>1632</v>
      </c>
      <c r="F344" s="751" t="s">
        <v>1535</v>
      </c>
      <c r="G344" s="751" t="s">
        <v>1237</v>
      </c>
      <c r="H344" s="925">
        <v>45413</v>
      </c>
      <c r="I344" s="925">
        <v>45413</v>
      </c>
      <c r="J344" s="751" t="s">
        <v>1238</v>
      </c>
      <c r="K344" s="751">
        <v>0</v>
      </c>
      <c r="L344" s="925">
        <v>45413</v>
      </c>
      <c r="M344" s="751">
        <v>1632</v>
      </c>
      <c r="N344" s="751" t="s">
        <v>1238</v>
      </c>
      <c r="O344" s="661"/>
      <c r="P344" s="661"/>
      <c r="Q344" s="661"/>
      <c r="R344" s="661"/>
      <c r="S344" s="661"/>
      <c r="T344" s="661"/>
      <c r="U344" s="661"/>
      <c r="V344" s="661"/>
    </row>
    <row r="345" spans="1:22">
      <c r="A345" s="661"/>
      <c r="B345" s="924">
        <v>342</v>
      </c>
      <c r="C345" s="751" t="s">
        <v>1383</v>
      </c>
      <c r="D345" s="751" t="s">
        <v>1536</v>
      </c>
      <c r="E345" s="751">
        <v>28</v>
      </c>
      <c r="F345" s="751" t="s">
        <v>1255</v>
      </c>
      <c r="G345" s="751" t="s">
        <v>1237</v>
      </c>
      <c r="H345" s="925">
        <v>45474</v>
      </c>
      <c r="I345" s="925">
        <v>45474</v>
      </c>
      <c r="J345" s="751" t="s">
        <v>1238</v>
      </c>
      <c r="K345" s="751" t="s">
        <v>1238</v>
      </c>
      <c r="L345" s="751" t="s">
        <v>1238</v>
      </c>
      <c r="M345" s="751">
        <v>28</v>
      </c>
      <c r="N345" s="751" t="s">
        <v>1238</v>
      </c>
      <c r="O345" s="661"/>
      <c r="P345" s="661"/>
      <c r="Q345" s="661"/>
      <c r="R345" s="661"/>
      <c r="S345" s="661"/>
      <c r="T345" s="661"/>
      <c r="U345" s="661"/>
      <c r="V345" s="661"/>
    </row>
    <row r="346" spans="1:22">
      <c r="A346" s="661"/>
      <c r="B346" s="924">
        <v>343</v>
      </c>
      <c r="C346" s="751" t="s">
        <v>104</v>
      </c>
      <c r="D346" s="751" t="s">
        <v>1537</v>
      </c>
      <c r="E346" s="751">
        <v>28</v>
      </c>
      <c r="F346" s="751" t="s">
        <v>1255</v>
      </c>
      <c r="G346" s="751" t="s">
        <v>1237</v>
      </c>
      <c r="H346" s="925">
        <v>44197</v>
      </c>
      <c r="I346" s="925">
        <v>45491</v>
      </c>
      <c r="J346" s="751" t="s">
        <v>1238</v>
      </c>
      <c r="K346" s="751" t="s">
        <v>1238</v>
      </c>
      <c r="L346" s="751" t="s">
        <v>1238</v>
      </c>
      <c r="M346" s="751">
        <v>28</v>
      </c>
      <c r="N346" s="751" t="s">
        <v>1238</v>
      </c>
      <c r="O346" s="661"/>
      <c r="P346" s="661"/>
      <c r="Q346" s="661"/>
      <c r="R346" s="661"/>
      <c r="S346" s="661"/>
      <c r="T346" s="661"/>
      <c r="U346" s="661"/>
      <c r="V346" s="661"/>
    </row>
    <row r="347" spans="1:22">
      <c r="A347" s="661"/>
      <c r="B347" s="924">
        <v>344</v>
      </c>
      <c r="C347" s="751" t="s">
        <v>318</v>
      </c>
      <c r="D347" s="751" t="s">
        <v>1538</v>
      </c>
      <c r="E347" s="751">
        <v>1831.8</v>
      </c>
      <c r="F347" s="751" t="s">
        <v>1255</v>
      </c>
      <c r="G347" s="751" t="s">
        <v>347</v>
      </c>
      <c r="H347" s="925">
        <v>45368</v>
      </c>
      <c r="I347" s="925">
        <v>45572</v>
      </c>
      <c r="J347" s="751" t="s">
        <v>1238</v>
      </c>
      <c r="K347" s="751">
        <v>500</v>
      </c>
      <c r="L347" s="925">
        <v>45572</v>
      </c>
      <c r="M347" s="751" t="s">
        <v>1238</v>
      </c>
      <c r="N347" s="751" t="s">
        <v>1238</v>
      </c>
      <c r="O347" s="661"/>
      <c r="P347" s="661"/>
      <c r="Q347" s="661"/>
      <c r="R347" s="661"/>
      <c r="S347" s="661"/>
      <c r="T347" s="661"/>
      <c r="U347" s="661"/>
      <c r="V347" s="661"/>
    </row>
    <row r="348" spans="1:22">
      <c r="A348" s="661"/>
      <c r="B348" s="924">
        <v>345</v>
      </c>
      <c r="C348" s="751" t="s">
        <v>1312</v>
      </c>
      <c r="D348" s="751" t="s">
        <v>1539</v>
      </c>
      <c r="E348" s="751">
        <v>115.8</v>
      </c>
      <c r="F348" s="751" t="s">
        <v>1255</v>
      </c>
      <c r="G348" s="751" t="s">
        <v>1237</v>
      </c>
      <c r="H348" s="925">
        <v>45505</v>
      </c>
      <c r="I348" s="925">
        <v>45569</v>
      </c>
      <c r="J348" s="751" t="s">
        <v>1238</v>
      </c>
      <c r="K348" s="751">
        <v>25</v>
      </c>
      <c r="L348" s="925">
        <v>45505</v>
      </c>
      <c r="M348" s="751" t="s">
        <v>1238</v>
      </c>
      <c r="N348" s="751" t="s">
        <v>1238</v>
      </c>
      <c r="O348" s="661"/>
      <c r="P348" s="661"/>
      <c r="Q348" s="661"/>
      <c r="R348" s="661"/>
      <c r="S348" s="661"/>
      <c r="T348" s="661"/>
      <c r="U348" s="661"/>
      <c r="V348" s="661"/>
    </row>
    <row r="349" spans="1:22">
      <c r="A349" s="661"/>
      <c r="B349" s="924">
        <v>346</v>
      </c>
      <c r="C349" s="751" t="s">
        <v>1312</v>
      </c>
      <c r="D349" s="751" t="s">
        <v>1539</v>
      </c>
      <c r="E349" s="751">
        <v>115.8</v>
      </c>
      <c r="F349" s="751" t="s">
        <v>1255</v>
      </c>
      <c r="G349" s="751" t="s">
        <v>1237</v>
      </c>
      <c r="H349" s="925">
        <v>45505</v>
      </c>
      <c r="I349" s="925">
        <v>45569</v>
      </c>
      <c r="J349" s="751" t="s">
        <v>1238</v>
      </c>
      <c r="K349" s="751">
        <v>25</v>
      </c>
      <c r="L349" s="925">
        <v>45505</v>
      </c>
      <c r="M349" s="751" t="s">
        <v>1238</v>
      </c>
      <c r="N349" s="751" t="s">
        <v>1238</v>
      </c>
      <c r="O349" s="661"/>
      <c r="P349" s="661"/>
      <c r="Q349" s="661"/>
      <c r="R349" s="661"/>
      <c r="S349" s="661"/>
      <c r="T349" s="661"/>
      <c r="U349" s="661"/>
      <c r="V349" s="661"/>
    </row>
    <row r="350" spans="1:22">
      <c r="A350" s="661"/>
      <c r="B350" s="924">
        <v>347</v>
      </c>
      <c r="C350" s="933" t="s">
        <v>318</v>
      </c>
      <c r="D350" s="933" t="s">
        <v>107</v>
      </c>
      <c r="E350" s="933">
        <v>629.4</v>
      </c>
      <c r="F350" s="933" t="s">
        <v>1255</v>
      </c>
      <c r="G350" s="933" t="s">
        <v>1237</v>
      </c>
      <c r="H350" s="934">
        <v>44774</v>
      </c>
      <c r="I350" s="934">
        <v>44774</v>
      </c>
      <c r="J350" s="933" t="s">
        <v>1238</v>
      </c>
      <c r="K350" s="933">
        <v>369.37</v>
      </c>
      <c r="L350" s="934">
        <v>44774</v>
      </c>
      <c r="M350" s="933" t="s">
        <v>1238</v>
      </c>
      <c r="N350" s="751" t="s">
        <v>1238</v>
      </c>
      <c r="O350" s="661"/>
      <c r="P350" s="661"/>
      <c r="Q350" s="661"/>
      <c r="R350" s="661"/>
      <c r="S350" s="661"/>
      <c r="T350" s="661"/>
      <c r="U350" s="661"/>
      <c r="V350" s="661"/>
    </row>
    <row r="351" spans="1:22">
      <c r="A351" s="661"/>
      <c r="B351" s="924">
        <v>348</v>
      </c>
      <c r="C351" s="935" t="s">
        <v>1203</v>
      </c>
      <c r="D351" s="935" t="s">
        <v>1540</v>
      </c>
      <c r="E351" s="935">
        <f>E3+5</f>
        <v>58</v>
      </c>
      <c r="F351" s="935" t="s">
        <v>1255</v>
      </c>
      <c r="G351" s="936" t="s">
        <v>1237</v>
      </c>
      <c r="H351" s="937">
        <v>45505</v>
      </c>
      <c r="I351" s="937">
        <v>45569</v>
      </c>
      <c r="J351" s="936" t="s">
        <v>1238</v>
      </c>
      <c r="K351" s="936">
        <v>30.5</v>
      </c>
      <c r="L351" s="937">
        <v>45569</v>
      </c>
      <c r="M351" s="936"/>
      <c r="N351" s="934"/>
      <c r="O351" s="661"/>
      <c r="P351" s="661"/>
      <c r="Q351" s="661"/>
      <c r="R351" s="661"/>
      <c r="S351" s="661"/>
      <c r="T351" s="661"/>
      <c r="U351" s="661"/>
      <c r="V351" s="661"/>
    </row>
    <row r="352" spans="1:22">
      <c r="A352" s="661"/>
      <c r="B352" s="938">
        <v>349</v>
      </c>
      <c r="C352" s="939" t="s">
        <v>1312</v>
      </c>
      <c r="D352" s="940" t="s">
        <v>1541</v>
      </c>
      <c r="E352" s="940">
        <v>97.13</v>
      </c>
      <c r="F352" s="940" t="s">
        <v>1255</v>
      </c>
      <c r="G352" s="940" t="s">
        <v>408</v>
      </c>
      <c r="H352" s="941">
        <v>45505</v>
      </c>
      <c r="I352" s="941">
        <v>45569</v>
      </c>
      <c r="J352" s="939" t="s">
        <v>1238</v>
      </c>
      <c r="K352" s="939">
        <v>25</v>
      </c>
      <c r="L352" s="941">
        <v>45505</v>
      </c>
      <c r="M352" s="939">
        <v>22.75</v>
      </c>
      <c r="N352" s="941">
        <v>45505</v>
      </c>
      <c r="O352" s="661"/>
      <c r="P352" s="661"/>
      <c r="Q352" s="661"/>
      <c r="R352" s="661"/>
      <c r="S352" s="661"/>
      <c r="T352" s="661"/>
      <c r="U352" s="661"/>
      <c r="V352" s="661"/>
    </row>
    <row r="353" spans="1:22">
      <c r="A353" s="661"/>
      <c r="B353" s="942">
        <v>350</v>
      </c>
      <c r="C353" s="943" t="s">
        <v>1395</v>
      </c>
      <c r="D353" s="943" t="s">
        <v>1542</v>
      </c>
      <c r="E353" s="943">
        <v>231.53</v>
      </c>
      <c r="F353" s="943" t="s">
        <v>1255</v>
      </c>
      <c r="G353" s="943" t="s">
        <v>408</v>
      </c>
      <c r="H353" s="944">
        <v>45505</v>
      </c>
      <c r="I353" s="944">
        <v>45569</v>
      </c>
      <c r="J353" s="945" t="s">
        <v>1543</v>
      </c>
      <c r="K353" s="945">
        <v>32</v>
      </c>
      <c r="L353" s="944">
        <v>45505</v>
      </c>
      <c r="M353" s="945"/>
      <c r="N353" s="944"/>
      <c r="O353" s="661"/>
      <c r="P353" s="661"/>
      <c r="Q353" s="661"/>
      <c r="R353" s="661"/>
      <c r="S353" s="661"/>
      <c r="T353" s="661"/>
      <c r="U353" s="661"/>
      <c r="V353" s="661"/>
    </row>
    <row r="354" spans="1:22">
      <c r="A354" s="661"/>
      <c r="B354" s="935">
        <v>351</v>
      </c>
      <c r="C354" s="935" t="s">
        <v>1203</v>
      </c>
      <c r="D354" s="935" t="s">
        <v>1544</v>
      </c>
      <c r="E354" s="935">
        <f>70-7.4</f>
        <v>62.6</v>
      </c>
      <c r="F354" s="935" t="s">
        <v>1255</v>
      </c>
      <c r="G354" s="935" t="s">
        <v>408</v>
      </c>
      <c r="H354" s="937">
        <v>45505</v>
      </c>
      <c r="I354" s="946">
        <v>45692</v>
      </c>
      <c r="J354" s="935" t="s">
        <v>1545</v>
      </c>
      <c r="K354" s="936">
        <v>30.5</v>
      </c>
      <c r="L354" s="937">
        <v>45569</v>
      </c>
      <c r="M354" s="935"/>
      <c r="N354" s="935"/>
      <c r="O354" s="661"/>
      <c r="P354" s="661"/>
      <c r="Q354" s="661"/>
      <c r="R354" s="661"/>
      <c r="S354" s="661"/>
      <c r="T354" s="661"/>
      <c r="U354" s="661"/>
      <c r="V354" s="661"/>
    </row>
    <row r="355" spans="1:22">
      <c r="A355" s="661"/>
      <c r="B355" s="940">
        <v>352</v>
      </c>
      <c r="C355" s="940" t="s">
        <v>1203</v>
      </c>
      <c r="D355" s="947" t="s">
        <v>1546</v>
      </c>
      <c r="E355" s="940">
        <v>336.28</v>
      </c>
      <c r="F355" s="940" t="s">
        <v>445</v>
      </c>
      <c r="G355" s="940" t="s">
        <v>1237</v>
      </c>
      <c r="H355" s="948">
        <v>45383</v>
      </c>
      <c r="I355" s="948">
        <v>45706</v>
      </c>
      <c r="J355" s="940"/>
      <c r="K355" s="940">
        <v>20</v>
      </c>
      <c r="L355" s="948">
        <v>45383</v>
      </c>
      <c r="M355" s="940"/>
      <c r="N355" s="940"/>
      <c r="O355" s="661"/>
      <c r="P355" s="661"/>
      <c r="Q355" s="661"/>
      <c r="R355" s="661"/>
      <c r="S355" s="661"/>
      <c r="T355" s="661"/>
      <c r="U355" s="661"/>
      <c r="V355" s="661"/>
    </row>
    <row r="356" spans="1:22">
      <c r="A356" s="661"/>
      <c r="B356" s="940">
        <v>353</v>
      </c>
      <c r="C356" s="940" t="s">
        <v>1395</v>
      </c>
      <c r="D356" s="947" t="s">
        <v>1547</v>
      </c>
      <c r="E356" s="940">
        <v>265.27999999999997</v>
      </c>
      <c r="F356" s="940" t="s">
        <v>1396</v>
      </c>
      <c r="G356" s="940" t="s">
        <v>1237</v>
      </c>
      <c r="H356" s="948">
        <v>45383</v>
      </c>
      <c r="I356" s="948">
        <v>45706</v>
      </c>
      <c r="J356" s="940"/>
      <c r="K356" s="940">
        <v>32</v>
      </c>
      <c r="L356" s="948">
        <v>45383</v>
      </c>
      <c r="M356" s="940"/>
      <c r="N356" s="940"/>
      <c r="O356" s="661"/>
      <c r="P356" s="661"/>
      <c r="Q356" s="661"/>
      <c r="R356" s="661"/>
      <c r="S356" s="661"/>
      <c r="T356" s="661"/>
      <c r="U356" s="661"/>
      <c r="V356" s="661"/>
    </row>
    <row r="357" spans="1:22">
      <c r="A357" s="661"/>
      <c r="B357" s="940">
        <v>354</v>
      </c>
      <c r="C357" s="949" t="s">
        <v>1235</v>
      </c>
      <c r="D357" s="929" t="s">
        <v>1548</v>
      </c>
      <c r="E357" s="929">
        <v>277</v>
      </c>
      <c r="F357" s="929" t="s">
        <v>1255</v>
      </c>
      <c r="G357" s="929" t="s">
        <v>1549</v>
      </c>
      <c r="H357" s="948">
        <v>45656</v>
      </c>
      <c r="I357" s="948">
        <v>45656</v>
      </c>
      <c r="J357" s="929" t="s">
        <v>1238</v>
      </c>
      <c r="K357" s="929" t="s">
        <v>1238</v>
      </c>
      <c r="L357" s="950">
        <v>45656</v>
      </c>
      <c r="M357" s="929" t="s">
        <v>1238</v>
      </c>
      <c r="N357" s="929" t="s">
        <v>1238</v>
      </c>
      <c r="O357" s="661"/>
      <c r="P357" s="661"/>
      <c r="Q357" s="661"/>
      <c r="R357" s="661"/>
      <c r="S357" s="661"/>
      <c r="T357" s="661"/>
      <c r="U357" s="661"/>
      <c r="V357" s="661"/>
    </row>
    <row r="358" spans="1:22">
      <c r="A358" s="661"/>
      <c r="B358" s="940">
        <v>355</v>
      </c>
      <c r="C358" s="924" t="s">
        <v>1235</v>
      </c>
      <c r="D358" s="751" t="s">
        <v>1550</v>
      </c>
      <c r="E358" s="751">
        <v>97</v>
      </c>
      <c r="F358" s="751" t="s">
        <v>1255</v>
      </c>
      <c r="G358" s="751" t="s">
        <v>1549</v>
      </c>
      <c r="H358" s="948">
        <v>45656</v>
      </c>
      <c r="I358" s="948">
        <v>45656</v>
      </c>
      <c r="J358" s="751" t="s">
        <v>1238</v>
      </c>
      <c r="K358" s="751" t="s">
        <v>1238</v>
      </c>
      <c r="L358" s="925">
        <v>45656</v>
      </c>
      <c r="M358" s="751" t="s">
        <v>1238</v>
      </c>
      <c r="N358" s="751" t="s">
        <v>1238</v>
      </c>
      <c r="O358" s="661"/>
      <c r="P358" s="661"/>
      <c r="Q358" s="661"/>
      <c r="R358" s="661"/>
      <c r="S358" s="661"/>
      <c r="T358" s="661"/>
      <c r="U358" s="661"/>
      <c r="V358" s="661"/>
    </row>
    <row r="359" spans="1:22">
      <c r="A359" s="661"/>
      <c r="B359" s="940">
        <v>356</v>
      </c>
      <c r="C359" s="924" t="s">
        <v>1235</v>
      </c>
      <c r="D359" s="751" t="s">
        <v>1551</v>
      </c>
      <c r="E359" s="751">
        <v>198</v>
      </c>
      <c r="F359" s="751" t="s">
        <v>1255</v>
      </c>
      <c r="G359" s="751" t="s">
        <v>1549</v>
      </c>
      <c r="H359" s="948">
        <v>45656</v>
      </c>
      <c r="I359" s="948">
        <v>45656</v>
      </c>
      <c r="J359" s="751" t="s">
        <v>1238</v>
      </c>
      <c r="K359" s="751" t="s">
        <v>1238</v>
      </c>
      <c r="L359" s="925">
        <v>45656</v>
      </c>
      <c r="M359" s="751" t="s">
        <v>1238</v>
      </c>
      <c r="N359" s="751" t="s">
        <v>1238</v>
      </c>
      <c r="O359" s="661"/>
      <c r="P359" s="661"/>
      <c r="Q359" s="661"/>
      <c r="R359" s="661"/>
      <c r="S359" s="661"/>
      <c r="T359" s="661"/>
      <c r="U359" s="661"/>
      <c r="V359" s="661"/>
    </row>
    <row r="360" spans="1:22">
      <c r="A360" s="661"/>
      <c r="B360" s="940">
        <v>357</v>
      </c>
      <c r="C360" s="924" t="s">
        <v>1235</v>
      </c>
      <c r="D360" s="751" t="s">
        <v>1552</v>
      </c>
      <c r="E360" s="751">
        <v>48</v>
      </c>
      <c r="F360" s="751" t="s">
        <v>1553</v>
      </c>
      <c r="G360" s="751" t="s">
        <v>408</v>
      </c>
      <c r="H360" s="948">
        <v>45656</v>
      </c>
      <c r="I360" s="948">
        <v>45656</v>
      </c>
      <c r="J360" s="751" t="s">
        <v>1554</v>
      </c>
      <c r="K360" s="751" t="s">
        <v>1238</v>
      </c>
      <c r="L360" s="925">
        <v>45656</v>
      </c>
      <c r="M360" s="751" t="s">
        <v>1238</v>
      </c>
      <c r="N360" s="751" t="s">
        <v>1238</v>
      </c>
      <c r="O360" s="661"/>
      <c r="P360" s="661"/>
      <c r="Q360" s="661"/>
      <c r="R360" s="661"/>
      <c r="S360" s="661"/>
      <c r="T360" s="661"/>
      <c r="U360" s="661"/>
      <c r="V360" s="661"/>
    </row>
    <row r="361" spans="1:22">
      <c r="A361" s="661"/>
      <c r="B361" s="940">
        <v>358</v>
      </c>
      <c r="C361" s="924" t="s">
        <v>1235</v>
      </c>
      <c r="D361" s="751" t="s">
        <v>1555</v>
      </c>
      <c r="E361" s="751">
        <v>61.7</v>
      </c>
      <c r="F361" s="751" t="s">
        <v>1553</v>
      </c>
      <c r="G361" s="751" t="s">
        <v>408</v>
      </c>
      <c r="H361" s="948">
        <v>45656</v>
      </c>
      <c r="I361" s="948">
        <v>45656</v>
      </c>
      <c r="J361" s="751" t="s">
        <v>1554</v>
      </c>
      <c r="K361" s="751" t="s">
        <v>1238</v>
      </c>
      <c r="L361" s="925">
        <v>45656</v>
      </c>
      <c r="M361" s="751" t="s">
        <v>1238</v>
      </c>
      <c r="N361" s="751" t="s">
        <v>1238</v>
      </c>
      <c r="O361" s="661"/>
      <c r="P361" s="661"/>
      <c r="Q361" s="661"/>
      <c r="R361" s="661"/>
      <c r="S361" s="661"/>
      <c r="T361" s="661"/>
      <c r="U361" s="661"/>
      <c r="V361" s="661"/>
    </row>
    <row r="362" spans="1:22">
      <c r="A362" s="661"/>
      <c r="B362" s="940">
        <v>359</v>
      </c>
      <c r="C362" s="924" t="s">
        <v>1235</v>
      </c>
      <c r="D362" s="751" t="s">
        <v>1556</v>
      </c>
      <c r="E362" s="751">
        <v>79</v>
      </c>
      <c r="F362" s="751" t="s">
        <v>1553</v>
      </c>
      <c r="G362" s="751" t="s">
        <v>408</v>
      </c>
      <c r="H362" s="948">
        <v>45656</v>
      </c>
      <c r="I362" s="948">
        <v>45656</v>
      </c>
      <c r="J362" s="751" t="s">
        <v>1557</v>
      </c>
      <c r="K362" s="751" t="s">
        <v>1238</v>
      </c>
      <c r="L362" s="925">
        <v>45656</v>
      </c>
      <c r="M362" s="751" t="s">
        <v>1238</v>
      </c>
      <c r="N362" s="751" t="s">
        <v>1238</v>
      </c>
      <c r="O362" s="661"/>
      <c r="P362" s="661"/>
      <c r="Q362" s="661"/>
      <c r="R362" s="661"/>
      <c r="S362" s="661"/>
      <c r="T362" s="661"/>
      <c r="U362" s="661"/>
      <c r="V362" s="661"/>
    </row>
    <row r="363" spans="1:22">
      <c r="A363" s="661"/>
      <c r="B363" s="940">
        <v>360</v>
      </c>
      <c r="C363" s="924" t="s">
        <v>1235</v>
      </c>
      <c r="D363" s="751" t="s">
        <v>1558</v>
      </c>
      <c r="E363" s="751">
        <v>95</v>
      </c>
      <c r="F363" s="751" t="s">
        <v>1553</v>
      </c>
      <c r="G363" s="751" t="s">
        <v>1390</v>
      </c>
      <c r="H363" s="948">
        <v>45656</v>
      </c>
      <c r="I363" s="948">
        <v>45656</v>
      </c>
      <c r="J363" s="751" t="s">
        <v>1238</v>
      </c>
      <c r="K363" s="751" t="s">
        <v>1238</v>
      </c>
      <c r="L363" s="925">
        <v>45656</v>
      </c>
      <c r="M363" s="751" t="s">
        <v>1238</v>
      </c>
      <c r="N363" s="751" t="s">
        <v>1238</v>
      </c>
      <c r="O363" s="661"/>
      <c r="P363" s="661"/>
      <c r="Q363" s="661"/>
      <c r="R363" s="661"/>
      <c r="S363" s="661"/>
      <c r="T363" s="661"/>
      <c r="U363" s="661"/>
      <c r="V363" s="661"/>
    </row>
    <row r="364" spans="1:22">
      <c r="A364" s="661"/>
      <c r="B364" s="940">
        <v>361</v>
      </c>
      <c r="C364" s="924" t="s">
        <v>1235</v>
      </c>
      <c r="D364" s="751" t="s">
        <v>1559</v>
      </c>
      <c r="E364" s="751">
        <v>14.5</v>
      </c>
      <c r="F364" s="751" t="s">
        <v>1553</v>
      </c>
      <c r="G364" s="751" t="s">
        <v>408</v>
      </c>
      <c r="H364" s="948">
        <v>45656</v>
      </c>
      <c r="I364" s="948">
        <v>45656</v>
      </c>
      <c r="J364" s="751" t="s">
        <v>1238</v>
      </c>
      <c r="K364" s="751" t="s">
        <v>1238</v>
      </c>
      <c r="L364" s="925">
        <v>45656</v>
      </c>
      <c r="M364" s="751" t="s">
        <v>1238</v>
      </c>
      <c r="N364" s="751" t="s">
        <v>1238</v>
      </c>
      <c r="O364" s="661"/>
      <c r="P364" s="661"/>
      <c r="Q364" s="661"/>
      <c r="R364" s="661"/>
      <c r="S364" s="661"/>
      <c r="T364" s="661"/>
      <c r="U364" s="661"/>
      <c r="V364" s="661"/>
    </row>
    <row r="365" spans="1:22">
      <c r="A365" s="661"/>
      <c r="B365" s="940">
        <v>362</v>
      </c>
      <c r="C365" s="924" t="s">
        <v>1235</v>
      </c>
      <c r="D365" s="751" t="s">
        <v>1560</v>
      </c>
      <c r="E365" s="751">
        <v>23.5</v>
      </c>
      <c r="F365" s="751" t="s">
        <v>1553</v>
      </c>
      <c r="G365" s="751" t="s">
        <v>408</v>
      </c>
      <c r="H365" s="948">
        <v>45656</v>
      </c>
      <c r="I365" s="948">
        <v>45656</v>
      </c>
      <c r="J365" s="751" t="s">
        <v>1238</v>
      </c>
      <c r="K365" s="751" t="s">
        <v>1238</v>
      </c>
      <c r="L365" s="925">
        <v>45656</v>
      </c>
      <c r="M365" s="751" t="s">
        <v>1238</v>
      </c>
      <c r="N365" s="751" t="s">
        <v>1238</v>
      </c>
      <c r="O365" s="661"/>
      <c r="P365" s="661"/>
      <c r="Q365" s="661"/>
      <c r="R365" s="661"/>
      <c r="S365" s="661"/>
      <c r="T365" s="661"/>
      <c r="U365" s="661"/>
      <c r="V365" s="661"/>
    </row>
    <row r="366" spans="1:22">
      <c r="A366" s="661"/>
      <c r="B366" s="940">
        <v>363</v>
      </c>
      <c r="C366" s="924" t="s">
        <v>1235</v>
      </c>
      <c r="D366" s="751" t="s">
        <v>1561</v>
      </c>
      <c r="E366" s="751">
        <v>235</v>
      </c>
      <c r="F366" s="751" t="s">
        <v>1255</v>
      </c>
      <c r="G366" s="751" t="s">
        <v>408</v>
      </c>
      <c r="H366" s="948">
        <v>45656</v>
      </c>
      <c r="I366" s="948">
        <v>45656</v>
      </c>
      <c r="J366" s="751" t="s">
        <v>1238</v>
      </c>
      <c r="K366" s="751" t="s">
        <v>1238</v>
      </c>
      <c r="L366" s="925">
        <v>45656</v>
      </c>
      <c r="M366" s="751" t="s">
        <v>1238</v>
      </c>
      <c r="N366" s="751" t="s">
        <v>1238</v>
      </c>
      <c r="O366" s="661"/>
      <c r="P366" s="661"/>
      <c r="Q366" s="661"/>
      <c r="R366" s="661"/>
      <c r="S366" s="661"/>
      <c r="T366" s="661"/>
      <c r="U366" s="661"/>
      <c r="V366" s="661"/>
    </row>
    <row r="367" spans="1:22">
      <c r="A367" s="661"/>
      <c r="B367" s="951">
        <v>364</v>
      </c>
      <c r="C367" s="952" t="s">
        <v>1562</v>
      </c>
      <c r="D367" s="952" t="s">
        <v>1563</v>
      </c>
      <c r="E367" s="952">
        <v>105</v>
      </c>
      <c r="F367" s="952" t="s">
        <v>1255</v>
      </c>
      <c r="G367" s="952" t="s">
        <v>408</v>
      </c>
      <c r="H367" s="953">
        <v>45729</v>
      </c>
      <c r="I367" s="953">
        <v>45729</v>
      </c>
      <c r="J367" s="952" t="s">
        <v>1238</v>
      </c>
      <c r="K367" s="952" t="s">
        <v>1238</v>
      </c>
      <c r="L367" s="954">
        <v>45729</v>
      </c>
      <c r="M367" s="933" t="s">
        <v>1238</v>
      </c>
      <c r="N367" s="933" t="s">
        <v>1238</v>
      </c>
      <c r="O367" s="661"/>
      <c r="P367" s="661"/>
      <c r="Q367" s="661"/>
      <c r="R367" s="661"/>
      <c r="S367" s="661"/>
      <c r="T367" s="661"/>
      <c r="U367" s="661"/>
      <c r="V367" s="661"/>
    </row>
    <row r="368" spans="1:22">
      <c r="A368" s="661"/>
      <c r="B368" s="940">
        <v>365</v>
      </c>
      <c r="C368" s="939" t="s">
        <v>1312</v>
      </c>
      <c r="D368" s="940" t="s">
        <v>1564</v>
      </c>
      <c r="E368" s="940">
        <f>E90-5.5</f>
        <v>83.8</v>
      </c>
      <c r="F368" s="940" t="s">
        <v>445</v>
      </c>
      <c r="G368" s="940" t="s">
        <v>1565</v>
      </c>
      <c r="H368" s="941">
        <v>45505</v>
      </c>
      <c r="I368" s="941">
        <v>45569</v>
      </c>
      <c r="J368" s="940" t="s">
        <v>1566</v>
      </c>
      <c r="K368" s="939">
        <v>25</v>
      </c>
      <c r="L368" s="941">
        <v>45505</v>
      </c>
      <c r="M368" s="939"/>
      <c r="N368" s="941">
        <v>45505</v>
      </c>
      <c r="O368" s="661"/>
      <c r="P368" s="661"/>
      <c r="Q368" s="661"/>
      <c r="R368" s="661"/>
      <c r="S368" s="661"/>
      <c r="T368" s="661"/>
      <c r="U368" s="661"/>
      <c r="V368" s="661"/>
    </row>
    <row r="369" spans="1:22">
      <c r="A369" s="661"/>
      <c r="B369" s="942">
        <v>366</v>
      </c>
      <c r="C369" s="933" t="s">
        <v>1203</v>
      </c>
      <c r="D369" s="933" t="s">
        <v>1567</v>
      </c>
      <c r="E369" s="933">
        <v>464</v>
      </c>
      <c r="F369" s="933" t="s">
        <v>445</v>
      </c>
      <c r="G369" s="933" t="s">
        <v>1478</v>
      </c>
      <c r="H369" s="934">
        <v>45839</v>
      </c>
      <c r="I369" s="934">
        <v>45839</v>
      </c>
      <c r="J369" s="933" t="s">
        <v>1238</v>
      </c>
      <c r="K369" s="933">
        <v>32</v>
      </c>
      <c r="L369" s="955">
        <v>45383</v>
      </c>
      <c r="M369" s="933" t="s">
        <v>1238</v>
      </c>
      <c r="N369" s="933" t="s">
        <v>1238</v>
      </c>
      <c r="O369" s="661"/>
      <c r="P369" s="661"/>
      <c r="Q369" s="661"/>
      <c r="R369" s="661"/>
      <c r="S369" s="661"/>
      <c r="T369" s="661"/>
      <c r="U369" s="661"/>
      <c r="V369" s="661"/>
    </row>
    <row r="370" spans="1:22">
      <c r="A370" s="661"/>
      <c r="B370" s="940">
        <v>367</v>
      </c>
      <c r="C370" s="940" t="s">
        <v>1533</v>
      </c>
      <c r="D370" s="940" t="s">
        <v>1568</v>
      </c>
      <c r="E370" s="940">
        <v>570</v>
      </c>
      <c r="F370" s="940" t="s">
        <v>445</v>
      </c>
      <c r="G370" s="939" t="s">
        <v>1478</v>
      </c>
      <c r="H370" s="956">
        <v>45890</v>
      </c>
      <c r="I370" s="956">
        <v>45890</v>
      </c>
      <c r="J370" s="940"/>
      <c r="K370" s="940">
        <v>0</v>
      </c>
      <c r="L370" s="956">
        <v>45890</v>
      </c>
      <c r="M370" s="940">
        <v>0</v>
      </c>
      <c r="N370" s="940"/>
      <c r="O370" s="661"/>
      <c r="P370" s="661"/>
      <c r="Q370" s="661"/>
      <c r="R370" s="661"/>
      <c r="S370" s="661"/>
      <c r="T370" s="661"/>
      <c r="U370" s="661"/>
      <c r="V370" s="661"/>
    </row>
    <row r="371" spans="1:22">
      <c r="A371" s="661"/>
      <c r="B371" s="942">
        <v>368</v>
      </c>
      <c r="C371" s="751" t="s">
        <v>104</v>
      </c>
      <c r="D371" s="751" t="s">
        <v>1569</v>
      </c>
      <c r="E371" s="751">
        <v>93</v>
      </c>
      <c r="F371" s="751" t="s">
        <v>445</v>
      </c>
      <c r="G371" s="751" t="s">
        <v>1237</v>
      </c>
      <c r="H371" s="925">
        <v>46028</v>
      </c>
      <c r="I371" s="925">
        <v>46028</v>
      </c>
      <c r="J371" s="751" t="s">
        <v>1238</v>
      </c>
      <c r="K371" s="751">
        <v>30.5</v>
      </c>
      <c r="L371" s="925">
        <v>46028</v>
      </c>
      <c r="M371" s="751">
        <v>102</v>
      </c>
      <c r="N371" s="751" t="s">
        <v>1238</v>
      </c>
      <c r="O371" s="661"/>
      <c r="P371" s="661"/>
      <c r="Q371" s="661"/>
      <c r="R371" s="661"/>
      <c r="S371" s="661"/>
      <c r="T371" s="661"/>
      <c r="U371" s="661"/>
      <c r="V371" s="661"/>
    </row>
  </sheetData>
  <sheetProtection selectLockedCells="1"/>
  <protectedRanges>
    <protectedRange sqref="C256:G256 D255:G255 J255:J256 H78:I78 C264:J264 C265:E265 C266:G266 C269:G269 C267:E268 G267:G268 C272:G272 C270:E271 G270:G271 C273:E284 D285:F300 D301:E305 C258:J260 C323:E323 C320:J322 J265:J319 G318:G319 C262:E263 C306:E319 L339 C339:J342 C343:F343 D344:F345 H344:J344 J345 C347:J350 C351:F351 C352:G353 C324:G338 J323:J338 B354:G354 I354:J354 L355:L356 B355:J367 B368 D368:G368 J368 B369:J370 L370 B371" name="Range1"/>
    <protectedRange sqref="C346:J346" name="Range1_1"/>
  </protectedRange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0"/>
  <dimension ref="A1:L715"/>
  <sheetViews>
    <sheetView zoomScale="85" zoomScaleNormal="85" workbookViewId="0">
      <selection activeCell="D390" sqref="D390"/>
    </sheetView>
  </sheetViews>
  <sheetFormatPr defaultRowHeight="15"/>
  <cols>
    <col min="1" max="1" width="4.28515625" customWidth="1"/>
    <col min="2" max="2" width="5.140625" bestFit="1" customWidth="1"/>
    <col min="3" max="3" width="15.7109375" bestFit="1" customWidth="1"/>
    <col min="4" max="4" width="103.5703125" bestFit="1" customWidth="1"/>
    <col min="5" max="5" width="21.5703125" bestFit="1" customWidth="1"/>
    <col min="7" max="7" width="13.5703125" bestFit="1" customWidth="1"/>
    <col min="8" max="8" width="13.85546875" bestFit="1" customWidth="1"/>
    <col min="9" max="9" width="13.85546875" customWidth="1"/>
    <col min="10" max="10" width="13.5703125" bestFit="1" customWidth="1"/>
    <col min="12" max="12" width="19.140625" bestFit="1" customWidth="1"/>
  </cols>
  <sheetData>
    <row r="1" spans="1:12">
      <c r="A1" s="660">
        <v>1</v>
      </c>
      <c r="B1" s="661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1:12">
      <c r="A2" s="661"/>
      <c r="B2" s="663" t="s">
        <v>867</v>
      </c>
      <c r="C2" s="664" t="s">
        <v>868</v>
      </c>
      <c r="D2" s="664" t="s">
        <v>89</v>
      </c>
      <c r="E2" s="664" t="s">
        <v>869</v>
      </c>
      <c r="F2" s="664" t="s">
        <v>87</v>
      </c>
      <c r="G2" s="664" t="s">
        <v>84</v>
      </c>
      <c r="H2" s="664" t="s">
        <v>633</v>
      </c>
      <c r="I2" s="664" t="s">
        <v>863</v>
      </c>
      <c r="J2" s="664" t="s">
        <v>864</v>
      </c>
      <c r="K2" s="661"/>
      <c r="L2" s="661"/>
    </row>
    <row r="3" spans="1:12">
      <c r="A3" s="661"/>
      <c r="B3" s="940">
        <v>1</v>
      </c>
      <c r="C3" s="940" t="s">
        <v>1570</v>
      </c>
      <c r="D3" s="940" t="s">
        <v>1571</v>
      </c>
      <c r="E3" s="940" t="s">
        <v>1572</v>
      </c>
      <c r="F3" s="957">
        <v>1.2705000000000002</v>
      </c>
      <c r="G3" s="940" t="s">
        <v>1573</v>
      </c>
      <c r="H3" s="940" t="s">
        <v>1237</v>
      </c>
      <c r="I3" s="958">
        <v>43466</v>
      </c>
      <c r="J3" s="958">
        <v>43466</v>
      </c>
      <c r="K3" s="661"/>
      <c r="L3" s="661"/>
    </row>
    <row r="4" spans="1:12">
      <c r="A4" s="661"/>
      <c r="B4" s="940">
        <v>2</v>
      </c>
      <c r="C4" s="940" t="s">
        <v>1570</v>
      </c>
      <c r="D4" s="940" t="s">
        <v>1574</v>
      </c>
      <c r="E4" s="940" t="s">
        <v>1572</v>
      </c>
      <c r="F4" s="957">
        <v>2.5410000000000004</v>
      </c>
      <c r="G4" s="940" t="s">
        <v>1573</v>
      </c>
      <c r="H4" s="940" t="s">
        <v>1237</v>
      </c>
      <c r="I4" s="958">
        <v>43466</v>
      </c>
      <c r="J4" s="958">
        <v>43466</v>
      </c>
      <c r="K4" s="661"/>
      <c r="L4" s="661"/>
    </row>
    <row r="5" spans="1:12">
      <c r="A5" s="661"/>
      <c r="B5" s="940">
        <v>3</v>
      </c>
      <c r="C5" s="940" t="s">
        <v>1570</v>
      </c>
      <c r="D5" s="940" t="s">
        <v>1575</v>
      </c>
      <c r="E5" s="940" t="s">
        <v>1572</v>
      </c>
      <c r="F5" s="957">
        <v>3.08</v>
      </c>
      <c r="G5" s="940" t="s">
        <v>1573</v>
      </c>
      <c r="H5" s="940" t="s">
        <v>1237</v>
      </c>
      <c r="I5" s="958">
        <v>43466</v>
      </c>
      <c r="J5" s="958">
        <v>43466</v>
      </c>
      <c r="K5" s="661"/>
      <c r="L5" s="661"/>
    </row>
    <row r="6" spans="1:12">
      <c r="A6" s="661"/>
      <c r="B6" s="940">
        <v>4</v>
      </c>
      <c r="C6" s="940" t="s">
        <v>1570</v>
      </c>
      <c r="D6" s="940" t="s">
        <v>1576</v>
      </c>
      <c r="E6" s="940" t="s">
        <v>1572</v>
      </c>
      <c r="F6" s="957">
        <v>4.2350000000000003</v>
      </c>
      <c r="G6" s="940" t="s">
        <v>1573</v>
      </c>
      <c r="H6" s="940" t="s">
        <v>1237</v>
      </c>
      <c r="I6" s="958">
        <v>43466</v>
      </c>
      <c r="J6" s="958">
        <v>43466</v>
      </c>
      <c r="K6" s="661"/>
      <c r="L6" s="661"/>
    </row>
    <row r="7" spans="1:12">
      <c r="A7" s="661"/>
      <c r="B7" s="940">
        <v>5</v>
      </c>
      <c r="C7" s="940" t="s">
        <v>1570</v>
      </c>
      <c r="D7" s="940" t="s">
        <v>1577</v>
      </c>
      <c r="E7" s="940" t="s">
        <v>1572</v>
      </c>
      <c r="F7" s="957">
        <v>5.0820000000000007</v>
      </c>
      <c r="G7" s="940" t="s">
        <v>1573</v>
      </c>
      <c r="H7" s="940" t="s">
        <v>1237</v>
      </c>
      <c r="I7" s="958">
        <v>43466</v>
      </c>
      <c r="J7" s="958">
        <v>43466</v>
      </c>
      <c r="K7" s="661"/>
      <c r="L7" s="661"/>
    </row>
    <row r="8" spans="1:12">
      <c r="A8" s="661"/>
      <c r="B8" s="940">
        <v>6</v>
      </c>
      <c r="C8" s="940" t="s">
        <v>1570</v>
      </c>
      <c r="D8" s="940" t="s">
        <v>1578</v>
      </c>
      <c r="E8" s="940" t="s">
        <v>1572</v>
      </c>
      <c r="F8" s="957">
        <v>8.4700000000000006</v>
      </c>
      <c r="G8" s="940" t="s">
        <v>1573</v>
      </c>
      <c r="H8" s="940" t="s">
        <v>1237</v>
      </c>
      <c r="I8" s="958">
        <v>43466</v>
      </c>
      <c r="J8" s="958">
        <v>43466</v>
      </c>
      <c r="K8" s="661"/>
      <c r="L8" s="661"/>
    </row>
    <row r="9" spans="1:12">
      <c r="A9" s="661"/>
      <c r="B9" s="940">
        <v>7</v>
      </c>
      <c r="C9" s="940" t="s">
        <v>1570</v>
      </c>
      <c r="D9" s="940" t="s">
        <v>1579</v>
      </c>
      <c r="E9" s="940" t="s">
        <v>1572</v>
      </c>
      <c r="F9" s="957">
        <v>10.164000000000001</v>
      </c>
      <c r="G9" s="940" t="s">
        <v>1573</v>
      </c>
      <c r="H9" s="940" t="s">
        <v>1237</v>
      </c>
      <c r="I9" s="958">
        <v>43466</v>
      </c>
      <c r="J9" s="958">
        <v>43466</v>
      </c>
      <c r="K9" s="661"/>
      <c r="L9" s="661"/>
    </row>
    <row r="10" spans="1:12">
      <c r="A10" s="661"/>
      <c r="B10" s="940">
        <v>8</v>
      </c>
      <c r="C10" s="940" t="s">
        <v>1570</v>
      </c>
      <c r="D10" s="940" t="s">
        <v>1580</v>
      </c>
      <c r="E10" s="940"/>
      <c r="F10" s="957">
        <v>1.2705000000000002</v>
      </c>
      <c r="G10" s="940" t="s">
        <v>1573</v>
      </c>
      <c r="H10" s="940" t="s">
        <v>1237</v>
      </c>
      <c r="I10" s="958">
        <v>43466</v>
      </c>
      <c r="J10" s="958">
        <v>43466</v>
      </c>
      <c r="K10" s="661"/>
      <c r="L10" s="661"/>
    </row>
    <row r="11" spans="1:12">
      <c r="A11" s="661"/>
      <c r="B11" s="940">
        <v>9</v>
      </c>
      <c r="C11" s="940" t="s">
        <v>1570</v>
      </c>
      <c r="D11" s="940" t="s">
        <v>1581</v>
      </c>
      <c r="E11" s="940"/>
      <c r="F11" s="957">
        <v>2.1175000000000002</v>
      </c>
      <c r="G11" s="940" t="s">
        <v>1573</v>
      </c>
      <c r="H11" s="940" t="s">
        <v>1237</v>
      </c>
      <c r="I11" s="958">
        <v>43466</v>
      </c>
      <c r="J11" s="958">
        <v>43466</v>
      </c>
      <c r="K11" s="661"/>
      <c r="L11" s="661"/>
    </row>
    <row r="12" spans="1:12">
      <c r="A12" s="661"/>
      <c r="B12" s="940">
        <v>10</v>
      </c>
      <c r="C12" s="940" t="s">
        <v>1570</v>
      </c>
      <c r="D12" s="940" t="s">
        <v>1582</v>
      </c>
      <c r="E12" s="940"/>
      <c r="F12" s="957">
        <v>2.5410000000000004</v>
      </c>
      <c r="G12" s="940" t="s">
        <v>1573</v>
      </c>
      <c r="H12" s="940" t="s">
        <v>1237</v>
      </c>
      <c r="I12" s="958">
        <v>43466</v>
      </c>
      <c r="J12" s="958">
        <v>43466</v>
      </c>
      <c r="K12" s="661"/>
      <c r="L12" s="661"/>
    </row>
    <row r="13" spans="1:12">
      <c r="A13" s="661"/>
      <c r="B13" s="940">
        <v>11</v>
      </c>
      <c r="C13" s="940" t="s">
        <v>1570</v>
      </c>
      <c r="D13" s="940" t="s">
        <v>1583</v>
      </c>
      <c r="E13" s="940"/>
      <c r="F13" s="957">
        <v>3.3880000000000003</v>
      </c>
      <c r="G13" s="940" t="s">
        <v>1573</v>
      </c>
      <c r="H13" s="940" t="s">
        <v>1237</v>
      </c>
      <c r="I13" s="958">
        <v>43466</v>
      </c>
      <c r="J13" s="958">
        <v>43466</v>
      </c>
      <c r="K13" s="661"/>
      <c r="L13" s="661"/>
    </row>
    <row r="14" spans="1:12">
      <c r="A14" s="661"/>
      <c r="B14" s="940">
        <v>12</v>
      </c>
      <c r="C14" s="940" t="s">
        <v>1570</v>
      </c>
      <c r="D14" s="940" t="s">
        <v>1584</v>
      </c>
      <c r="E14" s="940"/>
      <c r="F14" s="957">
        <v>0.23716000000000001</v>
      </c>
      <c r="G14" s="940" t="s">
        <v>1573</v>
      </c>
      <c r="H14" s="940" t="s">
        <v>1237</v>
      </c>
      <c r="I14" s="958">
        <v>43466</v>
      </c>
      <c r="J14" s="958">
        <v>43466</v>
      </c>
      <c r="K14" s="661"/>
      <c r="L14" s="661"/>
    </row>
    <row r="15" spans="1:12">
      <c r="A15" s="661"/>
      <c r="B15" s="940">
        <v>13</v>
      </c>
      <c r="C15" s="940" t="s">
        <v>1570</v>
      </c>
      <c r="D15" s="940" t="s">
        <v>1585</v>
      </c>
      <c r="E15" s="940"/>
      <c r="F15" s="957">
        <v>0.27104</v>
      </c>
      <c r="G15" s="940" t="s">
        <v>1573</v>
      </c>
      <c r="H15" s="940" t="s">
        <v>1237</v>
      </c>
      <c r="I15" s="958">
        <v>43466</v>
      </c>
      <c r="J15" s="958">
        <v>43466</v>
      </c>
      <c r="K15" s="661"/>
      <c r="L15" s="661"/>
    </row>
    <row r="16" spans="1:12">
      <c r="A16" s="661"/>
      <c r="B16" s="940">
        <v>14</v>
      </c>
      <c r="C16" s="940" t="s">
        <v>1570</v>
      </c>
      <c r="D16" s="940" t="s">
        <v>1586</v>
      </c>
      <c r="E16" s="940"/>
      <c r="F16" s="957">
        <v>0.33880000000000005</v>
      </c>
      <c r="G16" s="940" t="s">
        <v>1573</v>
      </c>
      <c r="H16" s="940" t="s">
        <v>1237</v>
      </c>
      <c r="I16" s="958">
        <v>43466</v>
      </c>
      <c r="J16" s="958">
        <v>43466</v>
      </c>
      <c r="K16" s="661"/>
      <c r="L16" s="661"/>
    </row>
    <row r="17" spans="1:12">
      <c r="A17" s="661"/>
      <c r="B17" s="940">
        <v>15</v>
      </c>
      <c r="C17" s="940" t="s">
        <v>1570</v>
      </c>
      <c r="D17" s="940" t="s">
        <v>1587</v>
      </c>
      <c r="E17" s="940"/>
      <c r="F17" s="957">
        <v>0.37268000000000001</v>
      </c>
      <c r="G17" s="940" t="s">
        <v>1573</v>
      </c>
      <c r="H17" s="940" t="s">
        <v>1237</v>
      </c>
      <c r="I17" s="958">
        <v>43466</v>
      </c>
      <c r="J17" s="958">
        <v>43466</v>
      </c>
      <c r="K17" s="661"/>
      <c r="L17" s="661"/>
    </row>
    <row r="18" spans="1:12">
      <c r="A18" s="661"/>
      <c r="B18" s="940">
        <v>16</v>
      </c>
      <c r="C18" s="940" t="s">
        <v>1570</v>
      </c>
      <c r="D18" s="940" t="s">
        <v>1588</v>
      </c>
      <c r="E18" s="940"/>
      <c r="F18" s="957">
        <v>0.42350000000000004</v>
      </c>
      <c r="G18" s="940" t="s">
        <v>1573</v>
      </c>
      <c r="H18" s="940" t="s">
        <v>1237</v>
      </c>
      <c r="I18" s="958">
        <v>43466</v>
      </c>
      <c r="J18" s="958">
        <v>43466</v>
      </c>
      <c r="K18" s="661"/>
      <c r="L18" s="661"/>
    </row>
    <row r="19" spans="1:12">
      <c r="A19" s="661"/>
      <c r="B19" s="940">
        <v>17</v>
      </c>
      <c r="C19" s="940" t="s">
        <v>1570</v>
      </c>
      <c r="D19" s="940" t="s">
        <v>1589</v>
      </c>
      <c r="E19" s="940"/>
      <c r="F19" s="957">
        <v>0.55000000000000004</v>
      </c>
      <c r="G19" s="940" t="s">
        <v>1573</v>
      </c>
      <c r="H19" s="940" t="s">
        <v>1237</v>
      </c>
      <c r="I19" s="958">
        <v>43466</v>
      </c>
      <c r="J19" s="958">
        <v>43466</v>
      </c>
      <c r="K19" s="661"/>
      <c r="L19" s="661"/>
    </row>
    <row r="20" spans="1:12">
      <c r="A20" s="661"/>
      <c r="B20" s="940">
        <v>18</v>
      </c>
      <c r="C20" s="940" t="s">
        <v>1570</v>
      </c>
      <c r="D20" s="940" t="s">
        <v>1590</v>
      </c>
      <c r="E20" s="940"/>
      <c r="F20" s="957">
        <v>0.67760000000000009</v>
      </c>
      <c r="G20" s="940" t="s">
        <v>1573</v>
      </c>
      <c r="H20" s="940" t="s">
        <v>1237</v>
      </c>
      <c r="I20" s="958">
        <v>43466</v>
      </c>
      <c r="J20" s="958">
        <v>43466</v>
      </c>
      <c r="K20" s="661"/>
      <c r="L20" s="661"/>
    </row>
    <row r="21" spans="1:12">
      <c r="A21" s="661"/>
      <c r="B21" s="940">
        <v>19</v>
      </c>
      <c r="C21" s="940" t="s">
        <v>1570</v>
      </c>
      <c r="D21" s="940" t="s">
        <v>1591</v>
      </c>
      <c r="E21" s="940"/>
      <c r="F21" s="957">
        <v>0.84700000000000009</v>
      </c>
      <c r="G21" s="940" t="s">
        <v>1573</v>
      </c>
      <c r="H21" s="940" t="s">
        <v>1237</v>
      </c>
      <c r="I21" s="958">
        <v>43466</v>
      </c>
      <c r="J21" s="958">
        <v>43466</v>
      </c>
      <c r="K21" s="661"/>
      <c r="L21" s="661"/>
    </row>
    <row r="22" spans="1:12">
      <c r="A22" s="661"/>
      <c r="B22" s="940">
        <v>20</v>
      </c>
      <c r="C22" s="940" t="s">
        <v>1570</v>
      </c>
      <c r="D22" s="940" t="s">
        <v>1592</v>
      </c>
      <c r="E22" s="940"/>
      <c r="F22" s="957">
        <v>1.2705</v>
      </c>
      <c r="G22" s="940" t="s">
        <v>1573</v>
      </c>
      <c r="H22" s="940" t="s">
        <v>1237</v>
      </c>
      <c r="I22" s="958">
        <v>43466</v>
      </c>
      <c r="J22" s="958">
        <v>43466</v>
      </c>
      <c r="K22" s="661"/>
      <c r="L22" s="661"/>
    </row>
    <row r="23" spans="1:12">
      <c r="A23" s="661"/>
      <c r="B23" s="940">
        <v>21</v>
      </c>
      <c r="C23" s="940" t="s">
        <v>1570</v>
      </c>
      <c r="D23" s="940" t="s">
        <v>1593</v>
      </c>
      <c r="E23" s="940"/>
      <c r="F23" s="957">
        <v>1.2705</v>
      </c>
      <c r="G23" s="940" t="s">
        <v>1573</v>
      </c>
      <c r="H23" s="940" t="s">
        <v>1237</v>
      </c>
      <c r="I23" s="958">
        <v>43466</v>
      </c>
      <c r="J23" s="958">
        <v>43466</v>
      </c>
      <c r="K23" s="661"/>
      <c r="L23" s="661"/>
    </row>
    <row r="24" spans="1:12">
      <c r="A24" s="661"/>
      <c r="B24" s="940">
        <v>22</v>
      </c>
      <c r="C24" s="940" t="s">
        <v>1570</v>
      </c>
      <c r="D24" s="940" t="s">
        <v>1594</v>
      </c>
      <c r="E24" s="940"/>
      <c r="F24" s="957">
        <v>1.2705</v>
      </c>
      <c r="G24" s="940" t="s">
        <v>1573</v>
      </c>
      <c r="H24" s="940" t="s">
        <v>1237</v>
      </c>
      <c r="I24" s="958">
        <v>43466</v>
      </c>
      <c r="J24" s="958">
        <v>43466</v>
      </c>
      <c r="K24" s="661"/>
      <c r="L24" s="661"/>
    </row>
    <row r="25" spans="1:12">
      <c r="A25" s="661"/>
      <c r="B25" s="940">
        <v>23</v>
      </c>
      <c r="C25" s="940" t="s">
        <v>1570</v>
      </c>
      <c r="D25" s="940" t="s">
        <v>1595</v>
      </c>
      <c r="E25" s="940"/>
      <c r="F25" s="957">
        <v>1.6940000000000002</v>
      </c>
      <c r="G25" s="940" t="s">
        <v>1573</v>
      </c>
      <c r="H25" s="940" t="s">
        <v>1237</v>
      </c>
      <c r="I25" s="958">
        <v>43466</v>
      </c>
      <c r="J25" s="958">
        <v>43466</v>
      </c>
      <c r="K25" s="661"/>
      <c r="L25" s="661"/>
    </row>
    <row r="26" spans="1:12">
      <c r="A26" s="661"/>
      <c r="B26" s="940">
        <v>24</v>
      </c>
      <c r="C26" s="940" t="s">
        <v>1570</v>
      </c>
      <c r="D26" s="940" t="s">
        <v>1596</v>
      </c>
      <c r="E26" s="940"/>
      <c r="F26" s="957">
        <v>2.9645000000000006</v>
      </c>
      <c r="G26" s="940" t="s">
        <v>1573</v>
      </c>
      <c r="H26" s="940" t="s">
        <v>1237</v>
      </c>
      <c r="I26" s="958">
        <v>43466</v>
      </c>
      <c r="J26" s="958">
        <v>43466</v>
      </c>
      <c r="K26" s="661"/>
      <c r="L26" s="661"/>
    </row>
    <row r="27" spans="1:12">
      <c r="A27" s="661"/>
      <c r="B27" s="940">
        <v>25</v>
      </c>
      <c r="C27" s="940" t="s">
        <v>1570</v>
      </c>
      <c r="D27" s="940" t="s">
        <v>1597</v>
      </c>
      <c r="E27" s="940"/>
      <c r="F27" s="957">
        <v>3.3880000000000003</v>
      </c>
      <c r="G27" s="940" t="s">
        <v>1573</v>
      </c>
      <c r="H27" s="940" t="s">
        <v>1237</v>
      </c>
      <c r="I27" s="958">
        <v>43466</v>
      </c>
      <c r="J27" s="958">
        <v>43466</v>
      </c>
      <c r="K27" s="661"/>
      <c r="L27" s="661"/>
    </row>
    <row r="28" spans="1:12">
      <c r="A28" s="661"/>
      <c r="B28" s="940">
        <v>26</v>
      </c>
      <c r="C28" s="940" t="s">
        <v>1570</v>
      </c>
      <c r="D28" s="940" t="s">
        <v>1598</v>
      </c>
      <c r="E28" s="940"/>
      <c r="F28" s="957">
        <v>3.8115000000000001</v>
      </c>
      <c r="G28" s="940" t="s">
        <v>1573</v>
      </c>
      <c r="H28" s="940" t="s">
        <v>1237</v>
      </c>
      <c r="I28" s="958">
        <v>43466</v>
      </c>
      <c r="J28" s="958">
        <v>43466</v>
      </c>
      <c r="K28" s="661"/>
      <c r="L28" s="661"/>
    </row>
    <row r="29" spans="1:12">
      <c r="A29" s="661"/>
      <c r="B29" s="940">
        <v>27</v>
      </c>
      <c r="C29" s="940" t="s">
        <v>1570</v>
      </c>
      <c r="D29" s="940" t="s">
        <v>1599</v>
      </c>
      <c r="E29" s="940"/>
      <c r="F29" s="957">
        <v>5.9290000000000003</v>
      </c>
      <c r="G29" s="940" t="s">
        <v>1573</v>
      </c>
      <c r="H29" s="940" t="s">
        <v>1237</v>
      </c>
      <c r="I29" s="958">
        <v>43466</v>
      </c>
      <c r="J29" s="958">
        <v>43466</v>
      </c>
      <c r="K29" s="661"/>
      <c r="L29" s="661"/>
    </row>
    <row r="30" spans="1:12">
      <c r="A30" s="661"/>
      <c r="B30" s="940">
        <v>28</v>
      </c>
      <c r="C30" s="940" t="s">
        <v>1570</v>
      </c>
      <c r="D30" s="940" t="s">
        <v>1600</v>
      </c>
      <c r="E30" s="940"/>
      <c r="F30" s="957">
        <v>7.1995000000000013</v>
      </c>
      <c r="G30" s="940" t="s">
        <v>1573</v>
      </c>
      <c r="H30" s="940" t="s">
        <v>1237</v>
      </c>
      <c r="I30" s="958">
        <v>43466</v>
      </c>
      <c r="J30" s="958">
        <v>43466</v>
      </c>
      <c r="K30" s="661"/>
      <c r="L30" s="661"/>
    </row>
    <row r="31" spans="1:12">
      <c r="A31" s="661"/>
      <c r="B31" s="940">
        <v>29</v>
      </c>
      <c r="C31" s="940" t="s">
        <v>1570</v>
      </c>
      <c r="D31" s="940" t="s">
        <v>1601</v>
      </c>
      <c r="E31" s="940"/>
      <c r="F31" s="957">
        <v>7.6230000000000002</v>
      </c>
      <c r="G31" s="940" t="s">
        <v>1573</v>
      </c>
      <c r="H31" s="940" t="s">
        <v>1237</v>
      </c>
      <c r="I31" s="958">
        <v>43466</v>
      </c>
      <c r="J31" s="958">
        <v>43466</v>
      </c>
      <c r="K31" s="661"/>
      <c r="L31" s="661"/>
    </row>
    <row r="32" spans="1:12">
      <c r="A32" s="661"/>
      <c r="B32" s="940">
        <v>30</v>
      </c>
      <c r="C32" s="940" t="s">
        <v>1570</v>
      </c>
      <c r="D32" s="940" t="s">
        <v>1602</v>
      </c>
      <c r="E32" s="940"/>
      <c r="F32" s="957">
        <v>8.8935000000000013</v>
      </c>
      <c r="G32" s="940" t="s">
        <v>1573</v>
      </c>
      <c r="H32" s="940" t="s">
        <v>1237</v>
      </c>
      <c r="I32" s="958">
        <v>43466</v>
      </c>
      <c r="J32" s="958">
        <v>43466</v>
      </c>
      <c r="K32" s="661"/>
      <c r="L32" s="661"/>
    </row>
    <row r="33" spans="1:12">
      <c r="A33" s="661"/>
      <c r="B33" s="940">
        <v>31</v>
      </c>
      <c r="C33" s="940" t="s">
        <v>1570</v>
      </c>
      <c r="D33" s="940" t="s">
        <v>1603</v>
      </c>
      <c r="E33" s="940"/>
      <c r="F33" s="957">
        <v>8.7241</v>
      </c>
      <c r="G33" s="940" t="s">
        <v>1573</v>
      </c>
      <c r="H33" s="940" t="s">
        <v>1237</v>
      </c>
      <c r="I33" s="958">
        <v>43466</v>
      </c>
      <c r="J33" s="958">
        <v>43466</v>
      </c>
      <c r="K33" s="661"/>
      <c r="L33" s="661"/>
    </row>
    <row r="34" spans="1:12">
      <c r="A34" s="661"/>
      <c r="B34" s="940">
        <v>32</v>
      </c>
      <c r="C34" s="940" t="s">
        <v>1570</v>
      </c>
      <c r="D34" s="940" t="s">
        <v>1604</v>
      </c>
      <c r="E34" s="940"/>
      <c r="F34" s="957">
        <v>10.164000000000001</v>
      </c>
      <c r="G34" s="940" t="s">
        <v>1573</v>
      </c>
      <c r="H34" s="940" t="s">
        <v>1237</v>
      </c>
      <c r="I34" s="958">
        <v>43466</v>
      </c>
      <c r="J34" s="958">
        <v>43466</v>
      </c>
      <c r="K34" s="661"/>
      <c r="L34" s="661"/>
    </row>
    <row r="35" spans="1:12">
      <c r="A35" s="661"/>
      <c r="B35" s="940">
        <v>33</v>
      </c>
      <c r="C35" s="940" t="s">
        <v>1570</v>
      </c>
      <c r="D35" s="940" t="s">
        <v>1605</v>
      </c>
      <c r="E35" s="940"/>
      <c r="F35" s="957">
        <v>11.011000000000001</v>
      </c>
      <c r="G35" s="940" t="s">
        <v>1573</v>
      </c>
      <c r="H35" s="940" t="s">
        <v>1237</v>
      </c>
      <c r="I35" s="958">
        <v>43466</v>
      </c>
      <c r="J35" s="958">
        <v>43466</v>
      </c>
      <c r="K35" s="661"/>
      <c r="L35" s="661"/>
    </row>
    <row r="36" spans="1:12">
      <c r="A36" s="661"/>
      <c r="B36" s="940">
        <v>34</v>
      </c>
      <c r="C36" s="940" t="s">
        <v>1570</v>
      </c>
      <c r="D36" s="940" t="s">
        <v>1606</v>
      </c>
      <c r="E36" s="940"/>
      <c r="F36" s="957">
        <v>12.281500000000001</v>
      </c>
      <c r="G36" s="940" t="s">
        <v>1573</v>
      </c>
      <c r="H36" s="940" t="s">
        <v>1237</v>
      </c>
      <c r="I36" s="958">
        <v>43466</v>
      </c>
      <c r="J36" s="958">
        <v>43466</v>
      </c>
      <c r="K36" s="661"/>
      <c r="L36" s="661"/>
    </row>
    <row r="37" spans="1:12">
      <c r="A37" s="661"/>
      <c r="B37" s="940">
        <v>35</v>
      </c>
      <c r="C37" s="940" t="s">
        <v>1570</v>
      </c>
      <c r="D37" s="940" t="s">
        <v>1607</v>
      </c>
      <c r="E37" s="940"/>
      <c r="F37" s="957">
        <v>15.246</v>
      </c>
      <c r="G37" s="940" t="s">
        <v>1573</v>
      </c>
      <c r="H37" s="940" t="s">
        <v>1237</v>
      </c>
      <c r="I37" s="958">
        <v>43466</v>
      </c>
      <c r="J37" s="958">
        <v>43466</v>
      </c>
      <c r="K37" s="661"/>
      <c r="L37" s="661"/>
    </row>
    <row r="38" spans="1:12">
      <c r="A38" s="661"/>
      <c r="B38" s="940">
        <v>36</v>
      </c>
      <c r="C38" s="940" t="s">
        <v>1570</v>
      </c>
      <c r="D38" s="940" t="s">
        <v>1608</v>
      </c>
      <c r="E38" s="940"/>
      <c r="F38" s="957">
        <v>15.246</v>
      </c>
      <c r="G38" s="940" t="s">
        <v>1573</v>
      </c>
      <c r="H38" s="940" t="s">
        <v>1237</v>
      </c>
      <c r="I38" s="958">
        <v>43466</v>
      </c>
      <c r="J38" s="958">
        <v>43466</v>
      </c>
      <c r="K38" s="661"/>
      <c r="L38" s="661"/>
    </row>
    <row r="39" spans="1:12">
      <c r="A39" s="661"/>
      <c r="B39" s="940">
        <v>37</v>
      </c>
      <c r="C39" s="940" t="s">
        <v>1570</v>
      </c>
      <c r="D39" s="940" t="s">
        <v>1609</v>
      </c>
      <c r="E39" s="940"/>
      <c r="F39" s="957">
        <v>20.327999999999999</v>
      </c>
      <c r="G39" s="940" t="s">
        <v>1573</v>
      </c>
      <c r="H39" s="940" t="s">
        <v>1237</v>
      </c>
      <c r="I39" s="958">
        <v>43466</v>
      </c>
      <c r="J39" s="958">
        <v>43466</v>
      </c>
      <c r="K39" s="661"/>
      <c r="L39" s="661"/>
    </row>
    <row r="40" spans="1:12">
      <c r="A40" s="661"/>
      <c r="B40" s="940">
        <v>38</v>
      </c>
      <c r="C40" s="940" t="s">
        <v>1570</v>
      </c>
      <c r="D40" s="940" t="s">
        <v>1610</v>
      </c>
      <c r="E40" s="940"/>
      <c r="F40" s="957">
        <v>20.327999999999999</v>
      </c>
      <c r="G40" s="940" t="s">
        <v>1573</v>
      </c>
      <c r="H40" s="940" t="s">
        <v>1237</v>
      </c>
      <c r="I40" s="958">
        <v>43466</v>
      </c>
      <c r="J40" s="958">
        <v>43466</v>
      </c>
      <c r="K40" s="661"/>
      <c r="L40" s="661"/>
    </row>
    <row r="41" spans="1:12">
      <c r="A41" s="661"/>
      <c r="B41" s="940">
        <v>39</v>
      </c>
      <c r="C41" s="940" t="s">
        <v>1570</v>
      </c>
      <c r="D41" s="940" t="s">
        <v>199</v>
      </c>
      <c r="E41" s="940"/>
      <c r="F41" s="957">
        <v>0.66</v>
      </c>
      <c r="G41" s="940" t="s">
        <v>1611</v>
      </c>
      <c r="H41" s="940" t="s">
        <v>1237</v>
      </c>
      <c r="I41" s="958">
        <v>43466</v>
      </c>
      <c r="J41" s="958">
        <v>43466</v>
      </c>
      <c r="K41" s="661"/>
      <c r="L41" s="661"/>
    </row>
    <row r="42" spans="1:12">
      <c r="A42" s="661"/>
      <c r="B42" s="940">
        <v>40</v>
      </c>
      <c r="C42" s="940" t="s">
        <v>1570</v>
      </c>
      <c r="D42" s="940" t="s">
        <v>1612</v>
      </c>
      <c r="E42" s="940"/>
      <c r="F42" s="957">
        <v>0.33600000000000002</v>
      </c>
      <c r="G42" s="940" t="s">
        <v>1611</v>
      </c>
      <c r="H42" s="940" t="s">
        <v>1237</v>
      </c>
      <c r="I42" s="958">
        <v>43466</v>
      </c>
      <c r="J42" s="958">
        <v>43466</v>
      </c>
      <c r="K42" s="661"/>
      <c r="L42" s="661"/>
    </row>
    <row r="43" spans="1:12">
      <c r="A43" s="661"/>
      <c r="B43" s="940">
        <v>41</v>
      </c>
      <c r="C43" s="940" t="s">
        <v>1570</v>
      </c>
      <c r="D43" s="940" t="s">
        <v>1613</v>
      </c>
      <c r="E43" s="940"/>
      <c r="F43" s="957">
        <v>6.16</v>
      </c>
      <c r="G43" s="940" t="s">
        <v>1614</v>
      </c>
      <c r="H43" s="940" t="s">
        <v>1237</v>
      </c>
      <c r="I43" s="958">
        <v>43466</v>
      </c>
      <c r="J43" s="958">
        <v>43466</v>
      </c>
      <c r="K43" s="661"/>
      <c r="L43" s="661"/>
    </row>
    <row r="44" spans="1:12">
      <c r="A44" s="661"/>
      <c r="B44" s="940">
        <v>42</v>
      </c>
      <c r="C44" s="940" t="s">
        <v>1570</v>
      </c>
      <c r="D44" s="940" t="s">
        <v>1615</v>
      </c>
      <c r="E44" s="940"/>
      <c r="F44" s="957">
        <v>4.62</v>
      </c>
      <c r="G44" s="940" t="s">
        <v>1614</v>
      </c>
      <c r="H44" s="940" t="s">
        <v>1237</v>
      </c>
      <c r="I44" s="958">
        <v>43466</v>
      </c>
      <c r="J44" s="958">
        <v>43466</v>
      </c>
      <c r="K44" s="661"/>
      <c r="L44" s="661"/>
    </row>
    <row r="45" spans="1:12">
      <c r="A45" s="661"/>
      <c r="B45" s="940">
        <v>43</v>
      </c>
      <c r="C45" s="940" t="s">
        <v>1570</v>
      </c>
      <c r="D45" s="940" t="s">
        <v>1616</v>
      </c>
      <c r="E45" s="940"/>
      <c r="F45" s="957">
        <v>1.61</v>
      </c>
      <c r="G45" s="940" t="s">
        <v>1617</v>
      </c>
      <c r="H45" s="940" t="s">
        <v>1237</v>
      </c>
      <c r="I45" s="958">
        <v>43466</v>
      </c>
      <c r="J45" s="958">
        <v>43466</v>
      </c>
      <c r="K45" s="661"/>
      <c r="L45" s="661"/>
    </row>
    <row r="46" spans="1:12">
      <c r="A46" s="661"/>
      <c r="B46" s="940">
        <v>44</v>
      </c>
      <c r="C46" s="940" t="s">
        <v>1570</v>
      </c>
      <c r="D46" s="940" t="s">
        <v>1618</v>
      </c>
      <c r="E46" s="940"/>
      <c r="F46" s="957">
        <v>0.34</v>
      </c>
      <c r="G46" s="940" t="s">
        <v>1619</v>
      </c>
      <c r="H46" s="940" t="s">
        <v>1237</v>
      </c>
      <c r="I46" s="958">
        <v>43466</v>
      </c>
      <c r="J46" s="958">
        <v>43466</v>
      </c>
      <c r="K46" s="661"/>
      <c r="L46" s="661"/>
    </row>
    <row r="47" spans="1:12">
      <c r="A47" s="661"/>
      <c r="B47" s="940">
        <v>45</v>
      </c>
      <c r="C47" s="940" t="s">
        <v>1570</v>
      </c>
      <c r="D47" s="940" t="s">
        <v>1620</v>
      </c>
      <c r="E47" s="940"/>
      <c r="F47" s="957">
        <v>2.52</v>
      </c>
      <c r="G47" s="940" t="s">
        <v>1573</v>
      </c>
      <c r="H47" s="940" t="s">
        <v>1237</v>
      </c>
      <c r="I47" s="958">
        <v>43466</v>
      </c>
      <c r="J47" s="958">
        <v>43466</v>
      </c>
      <c r="K47" s="661"/>
      <c r="L47" s="661"/>
    </row>
    <row r="48" spans="1:12">
      <c r="A48" s="661"/>
      <c r="B48" s="940">
        <v>46</v>
      </c>
      <c r="C48" s="940" t="s">
        <v>1570</v>
      </c>
      <c r="D48" s="940" t="s">
        <v>1621</v>
      </c>
      <c r="E48" s="940"/>
      <c r="F48" s="957">
        <v>0.3</v>
      </c>
      <c r="G48" s="940" t="s">
        <v>1573</v>
      </c>
      <c r="H48" s="940" t="s">
        <v>1237</v>
      </c>
      <c r="I48" s="958">
        <v>43466</v>
      </c>
      <c r="J48" s="958">
        <v>43466</v>
      </c>
      <c r="K48" s="661"/>
      <c r="L48" s="661"/>
    </row>
    <row r="49" spans="1:12">
      <c r="A49" s="661"/>
      <c r="B49" s="940">
        <v>47</v>
      </c>
      <c r="C49" s="940" t="s">
        <v>1570</v>
      </c>
      <c r="D49" s="940" t="s">
        <v>1622</v>
      </c>
      <c r="E49" s="940"/>
      <c r="F49" s="957">
        <v>1.2</v>
      </c>
      <c r="G49" s="940" t="s">
        <v>1573</v>
      </c>
      <c r="H49" s="940" t="s">
        <v>1237</v>
      </c>
      <c r="I49" s="958">
        <v>43466</v>
      </c>
      <c r="J49" s="958">
        <v>43466</v>
      </c>
      <c r="K49" s="661"/>
      <c r="L49" s="661"/>
    </row>
    <row r="50" spans="1:12">
      <c r="A50" s="661"/>
      <c r="B50" s="940">
        <v>48</v>
      </c>
      <c r="C50" s="940" t="s">
        <v>1570</v>
      </c>
      <c r="D50" s="940" t="s">
        <v>1623</v>
      </c>
      <c r="E50" s="940"/>
      <c r="F50" s="957">
        <v>2.4</v>
      </c>
      <c r="G50" s="940" t="s">
        <v>1573</v>
      </c>
      <c r="H50" s="940" t="s">
        <v>1237</v>
      </c>
      <c r="I50" s="958">
        <v>43466</v>
      </c>
      <c r="J50" s="958">
        <v>43466</v>
      </c>
      <c r="K50" s="661"/>
      <c r="L50" s="661"/>
    </row>
    <row r="51" spans="1:12">
      <c r="A51" s="661"/>
      <c r="B51" s="940">
        <v>49</v>
      </c>
      <c r="C51" s="940" t="s">
        <v>1570</v>
      </c>
      <c r="D51" s="940" t="s">
        <v>1624</v>
      </c>
      <c r="E51" s="940"/>
      <c r="F51" s="957">
        <v>1.518</v>
      </c>
      <c r="G51" s="940" t="s">
        <v>1619</v>
      </c>
      <c r="H51" s="940" t="s">
        <v>1237</v>
      </c>
      <c r="I51" s="958">
        <v>43466</v>
      </c>
      <c r="J51" s="958">
        <v>43466</v>
      </c>
      <c r="K51" s="661"/>
      <c r="L51" s="661"/>
    </row>
    <row r="52" spans="1:12">
      <c r="A52" s="661"/>
      <c r="B52" s="940">
        <v>50</v>
      </c>
      <c r="C52" s="940" t="s">
        <v>1570</v>
      </c>
      <c r="D52" s="940" t="s">
        <v>1625</v>
      </c>
      <c r="E52" s="940"/>
      <c r="F52" s="957">
        <v>3.6</v>
      </c>
      <c r="G52" s="940" t="s">
        <v>1619</v>
      </c>
      <c r="H52" s="940" t="s">
        <v>1237</v>
      </c>
      <c r="I52" s="958">
        <v>43466</v>
      </c>
      <c r="J52" s="958">
        <v>43466</v>
      </c>
      <c r="K52" s="661"/>
      <c r="L52" s="661"/>
    </row>
    <row r="53" spans="1:12">
      <c r="A53" s="661"/>
      <c r="B53" s="940">
        <v>51</v>
      </c>
      <c r="C53" s="940" t="s">
        <v>1570</v>
      </c>
      <c r="D53" s="940" t="s">
        <v>1626</v>
      </c>
      <c r="E53" s="940"/>
      <c r="F53" s="957">
        <v>3.6</v>
      </c>
      <c r="G53" s="940" t="s">
        <v>1619</v>
      </c>
      <c r="H53" s="940" t="s">
        <v>1237</v>
      </c>
      <c r="I53" s="958">
        <v>43466</v>
      </c>
      <c r="J53" s="958">
        <v>43466</v>
      </c>
      <c r="K53" s="661"/>
      <c r="L53" s="661"/>
    </row>
    <row r="54" spans="1:12">
      <c r="A54" s="661"/>
      <c r="B54" s="940">
        <v>52</v>
      </c>
      <c r="C54" s="940" t="s">
        <v>1570</v>
      </c>
      <c r="D54" s="940" t="s">
        <v>1627</v>
      </c>
      <c r="E54" s="940"/>
      <c r="F54" s="957">
        <v>24</v>
      </c>
      <c r="G54" s="940" t="s">
        <v>1628</v>
      </c>
      <c r="H54" s="940" t="s">
        <v>1237</v>
      </c>
      <c r="I54" s="958">
        <v>43466</v>
      </c>
      <c r="J54" s="958">
        <v>43466</v>
      </c>
      <c r="K54" s="661"/>
      <c r="L54" s="661"/>
    </row>
    <row r="55" spans="1:12">
      <c r="A55" s="661"/>
      <c r="B55" s="940">
        <v>53</v>
      </c>
      <c r="C55" s="940" t="s">
        <v>1570</v>
      </c>
      <c r="D55" s="940" t="s">
        <v>1629</v>
      </c>
      <c r="E55" s="940"/>
      <c r="F55" s="957">
        <v>48</v>
      </c>
      <c r="G55" s="940" t="s">
        <v>1628</v>
      </c>
      <c r="H55" s="940" t="s">
        <v>1237</v>
      </c>
      <c r="I55" s="958">
        <v>43466</v>
      </c>
      <c r="J55" s="958">
        <v>43466</v>
      </c>
      <c r="K55" s="661"/>
      <c r="L55" s="661"/>
    </row>
    <row r="56" spans="1:12">
      <c r="A56" s="661"/>
      <c r="B56" s="940">
        <v>54</v>
      </c>
      <c r="C56" s="940" t="s">
        <v>1570</v>
      </c>
      <c r="D56" s="940" t="s">
        <v>1630</v>
      </c>
      <c r="E56" s="940"/>
      <c r="F56" s="957">
        <v>60</v>
      </c>
      <c r="G56" s="940" t="s">
        <v>1628</v>
      </c>
      <c r="H56" s="940" t="s">
        <v>1237</v>
      </c>
      <c r="I56" s="958">
        <v>43466</v>
      </c>
      <c r="J56" s="958">
        <v>43466</v>
      </c>
      <c r="K56" s="661"/>
      <c r="L56" s="661"/>
    </row>
    <row r="57" spans="1:12">
      <c r="A57" s="661"/>
      <c r="B57" s="940">
        <v>55</v>
      </c>
      <c r="C57" s="940" t="s">
        <v>1570</v>
      </c>
      <c r="D57" s="940" t="s">
        <v>1631</v>
      </c>
      <c r="E57" s="940"/>
      <c r="F57" s="957">
        <v>72</v>
      </c>
      <c r="G57" s="940" t="s">
        <v>1628</v>
      </c>
      <c r="H57" s="940" t="s">
        <v>1237</v>
      </c>
      <c r="I57" s="958">
        <v>43466</v>
      </c>
      <c r="J57" s="958">
        <v>43466</v>
      </c>
      <c r="K57" s="661"/>
      <c r="L57" s="661"/>
    </row>
    <row r="58" spans="1:12">
      <c r="A58" s="661"/>
      <c r="B58" s="940">
        <v>56</v>
      </c>
      <c r="C58" s="940" t="s">
        <v>1570</v>
      </c>
      <c r="D58" s="940" t="s">
        <v>1632</v>
      </c>
      <c r="E58" s="940"/>
      <c r="F58" s="957">
        <v>96</v>
      </c>
      <c r="G58" s="940" t="s">
        <v>1628</v>
      </c>
      <c r="H58" s="940" t="s">
        <v>1237</v>
      </c>
      <c r="I58" s="958">
        <v>43466</v>
      </c>
      <c r="J58" s="958">
        <v>43466</v>
      </c>
      <c r="K58" s="661"/>
      <c r="L58" s="661"/>
    </row>
    <row r="59" spans="1:12">
      <c r="A59" s="661"/>
      <c r="B59" s="940">
        <v>57</v>
      </c>
      <c r="C59" s="940" t="s">
        <v>1570</v>
      </c>
      <c r="D59" s="940" t="s">
        <v>1633</v>
      </c>
      <c r="E59" s="940"/>
      <c r="F59" s="957">
        <v>120</v>
      </c>
      <c r="G59" s="940" t="s">
        <v>1628</v>
      </c>
      <c r="H59" s="940" t="s">
        <v>1237</v>
      </c>
      <c r="I59" s="958">
        <v>43466</v>
      </c>
      <c r="J59" s="958">
        <v>43466</v>
      </c>
      <c r="K59" s="661"/>
      <c r="L59" s="661"/>
    </row>
    <row r="60" spans="1:12">
      <c r="A60" s="661"/>
      <c r="B60" s="940">
        <v>58</v>
      </c>
      <c r="C60" s="940" t="s">
        <v>1570</v>
      </c>
      <c r="D60" s="940" t="s">
        <v>1634</v>
      </c>
      <c r="E60" s="940"/>
      <c r="F60" s="957">
        <v>144</v>
      </c>
      <c r="G60" s="940" t="s">
        <v>1628</v>
      </c>
      <c r="H60" s="940" t="s">
        <v>1237</v>
      </c>
      <c r="I60" s="958">
        <v>43466</v>
      </c>
      <c r="J60" s="958">
        <v>43466</v>
      </c>
      <c r="K60" s="661"/>
      <c r="L60" s="661"/>
    </row>
    <row r="61" spans="1:12">
      <c r="A61" s="661"/>
      <c r="B61" s="940">
        <v>59</v>
      </c>
      <c r="C61" s="940" t="s">
        <v>1570</v>
      </c>
      <c r="D61" s="940" t="s">
        <v>1635</v>
      </c>
      <c r="E61" s="940"/>
      <c r="F61" s="957">
        <v>25</v>
      </c>
      <c r="G61" s="940" t="s">
        <v>1628</v>
      </c>
      <c r="H61" s="940" t="s">
        <v>1237</v>
      </c>
      <c r="I61" s="958">
        <v>43466</v>
      </c>
      <c r="J61" s="958">
        <v>43466</v>
      </c>
      <c r="K61" s="661"/>
      <c r="L61" s="661"/>
    </row>
    <row r="62" spans="1:12">
      <c r="A62" s="661"/>
      <c r="B62" s="940">
        <v>60</v>
      </c>
      <c r="C62" s="940" t="s">
        <v>1570</v>
      </c>
      <c r="D62" s="940" t="s">
        <v>1636</v>
      </c>
      <c r="E62" s="940"/>
      <c r="F62" s="957">
        <v>40</v>
      </c>
      <c r="G62" s="940" t="s">
        <v>1628</v>
      </c>
      <c r="H62" s="940" t="s">
        <v>1237</v>
      </c>
      <c r="I62" s="958">
        <v>43466</v>
      </c>
      <c r="J62" s="958">
        <v>43466</v>
      </c>
      <c r="K62" s="661"/>
      <c r="L62" s="661"/>
    </row>
    <row r="63" spans="1:12">
      <c r="A63" s="661"/>
      <c r="B63" s="940">
        <v>61</v>
      </c>
      <c r="C63" s="940" t="s">
        <v>1570</v>
      </c>
      <c r="D63" s="940" t="s">
        <v>1637</v>
      </c>
      <c r="E63" s="940"/>
      <c r="F63" s="957">
        <v>50</v>
      </c>
      <c r="G63" s="940" t="s">
        <v>1628</v>
      </c>
      <c r="H63" s="940" t="s">
        <v>1237</v>
      </c>
      <c r="I63" s="958">
        <v>43466</v>
      </c>
      <c r="J63" s="958">
        <v>43466</v>
      </c>
      <c r="K63" s="661"/>
      <c r="L63" s="661"/>
    </row>
    <row r="64" spans="1:12">
      <c r="A64" s="661"/>
      <c r="B64" s="940">
        <v>62</v>
      </c>
      <c r="C64" s="940" t="s">
        <v>1570</v>
      </c>
      <c r="D64" s="940" t="s">
        <v>1638</v>
      </c>
      <c r="E64" s="940"/>
      <c r="F64" s="957">
        <v>60</v>
      </c>
      <c r="G64" s="940" t="s">
        <v>1628</v>
      </c>
      <c r="H64" s="940" t="s">
        <v>1237</v>
      </c>
      <c r="I64" s="958">
        <v>43466</v>
      </c>
      <c r="J64" s="958">
        <v>43466</v>
      </c>
      <c r="K64" s="661"/>
      <c r="L64" s="661"/>
    </row>
    <row r="65" spans="1:12">
      <c r="A65" s="661"/>
      <c r="B65" s="940">
        <v>63</v>
      </c>
      <c r="C65" s="940" t="s">
        <v>1570</v>
      </c>
      <c r="D65" s="940" t="s">
        <v>1639</v>
      </c>
      <c r="E65" s="940"/>
      <c r="F65" s="957">
        <v>75</v>
      </c>
      <c r="G65" s="940" t="s">
        <v>1628</v>
      </c>
      <c r="H65" s="940" t="s">
        <v>1237</v>
      </c>
      <c r="I65" s="958">
        <v>43466</v>
      </c>
      <c r="J65" s="958">
        <v>43466</v>
      </c>
      <c r="K65" s="661"/>
      <c r="L65" s="661"/>
    </row>
    <row r="66" spans="1:12">
      <c r="A66" s="661"/>
      <c r="B66" s="940">
        <v>64</v>
      </c>
      <c r="C66" s="940" t="s">
        <v>1570</v>
      </c>
      <c r="D66" s="940" t="s">
        <v>1640</v>
      </c>
      <c r="E66" s="940"/>
      <c r="F66" s="957">
        <v>100</v>
      </c>
      <c r="G66" s="940" t="s">
        <v>1628</v>
      </c>
      <c r="H66" s="940" t="s">
        <v>1237</v>
      </c>
      <c r="I66" s="958">
        <v>43466</v>
      </c>
      <c r="J66" s="958">
        <v>43466</v>
      </c>
      <c r="K66" s="661"/>
      <c r="L66" s="661"/>
    </row>
    <row r="67" spans="1:12">
      <c r="A67" s="661"/>
      <c r="B67" s="940">
        <v>65</v>
      </c>
      <c r="C67" s="940" t="s">
        <v>1570</v>
      </c>
      <c r="D67" s="940" t="s">
        <v>1641</v>
      </c>
      <c r="E67" s="940"/>
      <c r="F67" s="957">
        <v>2</v>
      </c>
      <c r="G67" s="940" t="s">
        <v>1614</v>
      </c>
      <c r="H67" s="940" t="s">
        <v>1237</v>
      </c>
      <c r="I67" s="958">
        <v>43466</v>
      </c>
      <c r="J67" s="958">
        <v>43466</v>
      </c>
      <c r="K67" s="661"/>
      <c r="L67" s="661"/>
    </row>
    <row r="68" spans="1:12">
      <c r="A68" s="661"/>
      <c r="B68" s="940">
        <v>66</v>
      </c>
      <c r="C68" s="940" t="s">
        <v>1570</v>
      </c>
      <c r="D68" s="940" t="s">
        <v>1642</v>
      </c>
      <c r="E68" s="940"/>
      <c r="F68" s="957">
        <v>4</v>
      </c>
      <c r="G68" s="940" t="s">
        <v>1614</v>
      </c>
      <c r="H68" s="940" t="s">
        <v>1237</v>
      </c>
      <c r="I68" s="958">
        <v>43466</v>
      </c>
      <c r="J68" s="958">
        <v>43466</v>
      </c>
      <c r="K68" s="661"/>
      <c r="L68" s="661"/>
    </row>
    <row r="69" spans="1:12">
      <c r="A69" s="661"/>
      <c r="B69" s="940">
        <v>67</v>
      </c>
      <c r="C69" s="940" t="s">
        <v>1570</v>
      </c>
      <c r="D69" s="940" t="s">
        <v>1643</v>
      </c>
      <c r="E69" s="940"/>
      <c r="F69" s="957">
        <v>1.8</v>
      </c>
      <c r="G69" s="940" t="s">
        <v>1614</v>
      </c>
      <c r="H69" s="940" t="s">
        <v>1237</v>
      </c>
      <c r="I69" s="958">
        <v>43466</v>
      </c>
      <c r="J69" s="958">
        <v>43466</v>
      </c>
      <c r="K69" s="661"/>
      <c r="L69" s="661"/>
    </row>
    <row r="70" spans="1:12">
      <c r="A70" s="661"/>
      <c r="B70" s="940">
        <v>68</v>
      </c>
      <c r="C70" s="940" t="s">
        <v>1570</v>
      </c>
      <c r="D70" s="940" t="s">
        <v>1644</v>
      </c>
      <c r="E70" s="940"/>
      <c r="F70" s="957">
        <v>3.2</v>
      </c>
      <c r="G70" s="940" t="s">
        <v>1614</v>
      </c>
      <c r="H70" s="940" t="s">
        <v>1237</v>
      </c>
      <c r="I70" s="958">
        <v>43466</v>
      </c>
      <c r="J70" s="958">
        <v>43466</v>
      </c>
      <c r="K70" s="661"/>
      <c r="L70" s="661"/>
    </row>
    <row r="71" spans="1:12">
      <c r="A71" s="661"/>
      <c r="B71" s="940">
        <v>69</v>
      </c>
      <c r="C71" s="940" t="s">
        <v>804</v>
      </c>
      <c r="D71" s="940" t="s">
        <v>1645</v>
      </c>
      <c r="E71" s="940"/>
      <c r="F71" s="957">
        <v>0.36</v>
      </c>
      <c r="G71" s="940" t="s">
        <v>1646</v>
      </c>
      <c r="H71" s="940" t="s">
        <v>1237</v>
      </c>
      <c r="I71" s="958">
        <v>45386</v>
      </c>
      <c r="J71" s="958">
        <v>45386</v>
      </c>
      <c r="K71" s="661"/>
      <c r="L71" s="661"/>
    </row>
    <row r="72" spans="1:12">
      <c r="A72" s="661"/>
      <c r="B72" s="940">
        <v>70</v>
      </c>
      <c r="C72" s="940" t="s">
        <v>804</v>
      </c>
      <c r="D72" s="940" t="s">
        <v>1647</v>
      </c>
      <c r="E72" s="940"/>
      <c r="F72" s="957">
        <v>0.56000000000000005</v>
      </c>
      <c r="G72" s="940" t="s">
        <v>1648</v>
      </c>
      <c r="H72" s="940" t="s">
        <v>1237</v>
      </c>
      <c r="I72" s="958">
        <v>45386</v>
      </c>
      <c r="J72" s="958">
        <v>45386</v>
      </c>
      <c r="K72" s="661"/>
      <c r="L72" s="661"/>
    </row>
    <row r="73" spans="1:12">
      <c r="A73" s="661"/>
      <c r="B73" s="940">
        <v>71</v>
      </c>
      <c r="C73" s="940" t="s">
        <v>804</v>
      </c>
      <c r="D73" s="940" t="s">
        <v>1649</v>
      </c>
      <c r="E73" s="940"/>
      <c r="F73" s="957">
        <v>25.97</v>
      </c>
      <c r="G73" s="940" t="s">
        <v>1628</v>
      </c>
      <c r="H73" s="940" t="s">
        <v>1237</v>
      </c>
      <c r="I73" s="958">
        <v>45386</v>
      </c>
      <c r="J73" s="958">
        <v>45386</v>
      </c>
      <c r="K73" s="661"/>
      <c r="L73" s="661"/>
    </row>
    <row r="74" spans="1:12">
      <c r="A74" s="661"/>
      <c r="B74" s="940">
        <v>72</v>
      </c>
      <c r="C74" s="940" t="s">
        <v>804</v>
      </c>
      <c r="D74" s="940" t="s">
        <v>1650</v>
      </c>
      <c r="E74" s="940"/>
      <c r="F74" s="957">
        <v>28.09</v>
      </c>
      <c r="G74" s="940" t="s">
        <v>1628</v>
      </c>
      <c r="H74" s="940" t="s">
        <v>1237</v>
      </c>
      <c r="I74" s="958">
        <v>45386</v>
      </c>
      <c r="J74" s="958">
        <v>45386</v>
      </c>
      <c r="K74" s="661"/>
      <c r="L74" s="661"/>
    </row>
    <row r="75" spans="1:12">
      <c r="A75" s="661"/>
      <c r="B75" s="940">
        <v>73</v>
      </c>
      <c r="C75" s="940" t="s">
        <v>804</v>
      </c>
      <c r="D75" s="940" t="s">
        <v>1651</v>
      </c>
      <c r="E75" s="940"/>
      <c r="F75" s="957">
        <v>39.21</v>
      </c>
      <c r="G75" s="940" t="s">
        <v>1628</v>
      </c>
      <c r="H75" s="940" t="s">
        <v>1237</v>
      </c>
      <c r="I75" s="958">
        <v>45386</v>
      </c>
      <c r="J75" s="958">
        <v>45386</v>
      </c>
      <c r="K75" s="661"/>
      <c r="L75" s="661"/>
    </row>
    <row r="76" spans="1:12">
      <c r="A76" s="661"/>
      <c r="B76" s="940">
        <v>74</v>
      </c>
      <c r="C76" s="940" t="s">
        <v>804</v>
      </c>
      <c r="D76" s="940" t="s">
        <v>1652</v>
      </c>
      <c r="E76" s="940"/>
      <c r="F76" s="957">
        <v>45.58</v>
      </c>
      <c r="G76" s="940" t="s">
        <v>1628</v>
      </c>
      <c r="H76" s="940" t="s">
        <v>1237</v>
      </c>
      <c r="I76" s="958">
        <v>45386</v>
      </c>
      <c r="J76" s="958">
        <v>45386</v>
      </c>
      <c r="K76" s="661"/>
      <c r="L76" s="661"/>
    </row>
    <row r="77" spans="1:12">
      <c r="A77" s="661"/>
      <c r="B77" s="940">
        <v>75</v>
      </c>
      <c r="C77" s="940" t="s">
        <v>804</v>
      </c>
      <c r="D77" s="940" t="s">
        <v>1653</v>
      </c>
      <c r="E77" s="940"/>
      <c r="F77" s="957">
        <v>64</v>
      </c>
      <c r="G77" s="940" t="s">
        <v>1628</v>
      </c>
      <c r="H77" s="940" t="s">
        <v>1237</v>
      </c>
      <c r="I77" s="958">
        <v>43466</v>
      </c>
      <c r="J77" s="958">
        <v>43466</v>
      </c>
      <c r="K77" s="661"/>
      <c r="L77" s="661"/>
    </row>
    <row r="78" spans="1:12">
      <c r="A78" s="661"/>
      <c r="B78" s="940">
        <v>76</v>
      </c>
      <c r="C78" s="940" t="s">
        <v>804</v>
      </c>
      <c r="D78" s="940" t="s">
        <v>1654</v>
      </c>
      <c r="E78" s="940"/>
      <c r="F78" s="957">
        <v>38.5</v>
      </c>
      <c r="G78" s="940" t="s">
        <v>1628</v>
      </c>
      <c r="H78" s="940" t="s">
        <v>1237</v>
      </c>
      <c r="I78" s="958">
        <v>43466</v>
      </c>
      <c r="J78" s="958">
        <v>43466</v>
      </c>
      <c r="K78" s="661"/>
      <c r="L78" s="661"/>
    </row>
    <row r="79" spans="1:12">
      <c r="A79" s="661"/>
      <c r="B79" s="940">
        <v>77</v>
      </c>
      <c r="C79" s="940" t="s">
        <v>804</v>
      </c>
      <c r="D79" s="940" t="s">
        <v>1655</v>
      </c>
      <c r="E79" s="940"/>
      <c r="F79" s="957">
        <v>44</v>
      </c>
      <c r="G79" s="940" t="s">
        <v>1628</v>
      </c>
      <c r="H79" s="940" t="s">
        <v>1237</v>
      </c>
      <c r="I79" s="958">
        <v>43466</v>
      </c>
      <c r="J79" s="958">
        <v>43466</v>
      </c>
      <c r="K79" s="661"/>
      <c r="L79" s="661"/>
    </row>
    <row r="80" spans="1:12">
      <c r="A80" s="661"/>
      <c r="B80" s="940">
        <v>78</v>
      </c>
      <c r="C80" s="940" t="s">
        <v>1656</v>
      </c>
      <c r="D80" s="940" t="s">
        <v>1657</v>
      </c>
      <c r="E80" s="940" t="s">
        <v>1658</v>
      </c>
      <c r="F80" s="957">
        <v>82</v>
      </c>
      <c r="G80" s="940" t="s">
        <v>1659</v>
      </c>
      <c r="H80" s="940" t="s">
        <v>1660</v>
      </c>
      <c r="I80" s="958">
        <v>42609</v>
      </c>
      <c r="J80" s="958">
        <v>42609</v>
      </c>
      <c r="K80" s="661"/>
      <c r="L80" s="661"/>
    </row>
    <row r="81" spans="1:12">
      <c r="A81" s="661"/>
      <c r="B81" s="940">
        <v>79</v>
      </c>
      <c r="C81" s="940" t="s">
        <v>1656</v>
      </c>
      <c r="D81" s="940" t="s">
        <v>1661</v>
      </c>
      <c r="E81" s="940" t="s">
        <v>1662</v>
      </c>
      <c r="F81" s="957">
        <v>72</v>
      </c>
      <c r="G81" s="940" t="s">
        <v>1659</v>
      </c>
      <c r="H81" s="940" t="s">
        <v>1660</v>
      </c>
      <c r="I81" s="958">
        <v>42609</v>
      </c>
      <c r="J81" s="958">
        <v>42609</v>
      </c>
      <c r="K81" s="661"/>
      <c r="L81" s="661"/>
    </row>
    <row r="82" spans="1:12">
      <c r="A82" s="661"/>
      <c r="B82" s="940">
        <v>80</v>
      </c>
      <c r="C82" s="940" t="s">
        <v>1656</v>
      </c>
      <c r="D82" s="940" t="s">
        <v>1663</v>
      </c>
      <c r="E82" s="940" t="s">
        <v>1664</v>
      </c>
      <c r="F82" s="957">
        <v>69</v>
      </c>
      <c r="G82" s="940" t="s">
        <v>1659</v>
      </c>
      <c r="H82" s="940" t="s">
        <v>1660</v>
      </c>
      <c r="I82" s="958">
        <v>42609</v>
      </c>
      <c r="J82" s="958">
        <v>42609</v>
      </c>
      <c r="K82" s="661"/>
      <c r="L82" s="661"/>
    </row>
    <row r="83" spans="1:12">
      <c r="A83" s="661"/>
      <c r="B83" s="940">
        <v>81</v>
      </c>
      <c r="C83" s="940" t="s">
        <v>1656</v>
      </c>
      <c r="D83" s="940" t="s">
        <v>1665</v>
      </c>
      <c r="E83" s="940" t="s">
        <v>1666</v>
      </c>
      <c r="F83" s="957">
        <v>25</v>
      </c>
      <c r="G83" s="940" t="s">
        <v>1667</v>
      </c>
      <c r="H83" s="940" t="s">
        <v>1660</v>
      </c>
      <c r="I83" s="958">
        <v>42609</v>
      </c>
      <c r="J83" s="958">
        <v>42609</v>
      </c>
      <c r="K83" s="661"/>
      <c r="L83" s="661"/>
    </row>
    <row r="84" spans="1:12">
      <c r="A84" s="661"/>
      <c r="B84" s="940">
        <v>82</v>
      </c>
      <c r="C84" s="940" t="s">
        <v>1656</v>
      </c>
      <c r="D84" s="940" t="s">
        <v>1668</v>
      </c>
      <c r="E84" s="940" t="s">
        <v>1669</v>
      </c>
      <c r="F84" s="957">
        <v>45</v>
      </c>
      <c r="G84" s="940" t="s">
        <v>1667</v>
      </c>
      <c r="H84" s="940" t="s">
        <v>1660</v>
      </c>
      <c r="I84" s="958">
        <v>42609</v>
      </c>
      <c r="J84" s="958">
        <v>42609</v>
      </c>
      <c r="K84" s="661"/>
      <c r="L84" s="661"/>
    </row>
    <row r="85" spans="1:12">
      <c r="A85" s="661"/>
      <c r="B85" s="940">
        <v>83</v>
      </c>
      <c r="C85" s="940" t="s">
        <v>1656</v>
      </c>
      <c r="D85" s="940" t="s">
        <v>1670</v>
      </c>
      <c r="E85" s="940" t="s">
        <v>1671</v>
      </c>
      <c r="F85" s="957">
        <v>70</v>
      </c>
      <c r="G85" s="940" t="s">
        <v>1667</v>
      </c>
      <c r="H85" s="940" t="s">
        <v>1660</v>
      </c>
      <c r="I85" s="958">
        <v>42609</v>
      </c>
      <c r="J85" s="958">
        <v>42609</v>
      </c>
      <c r="K85" s="661"/>
      <c r="L85" s="661"/>
    </row>
    <row r="86" spans="1:12">
      <c r="A86" s="661"/>
      <c r="B86" s="940">
        <v>84</v>
      </c>
      <c r="C86" s="940" t="s">
        <v>1656</v>
      </c>
      <c r="D86" s="940" t="s">
        <v>1672</v>
      </c>
      <c r="E86" s="940" t="s">
        <v>1673</v>
      </c>
      <c r="F86" s="957">
        <v>100</v>
      </c>
      <c r="G86" s="940" t="s">
        <v>1667</v>
      </c>
      <c r="H86" s="940" t="s">
        <v>1660</v>
      </c>
      <c r="I86" s="958">
        <v>42609</v>
      </c>
      <c r="J86" s="958">
        <v>42609</v>
      </c>
      <c r="K86" s="661"/>
      <c r="L86" s="661"/>
    </row>
    <row r="87" spans="1:12">
      <c r="A87" s="661"/>
      <c r="B87" s="940">
        <v>84</v>
      </c>
      <c r="C87" s="940" t="s">
        <v>1656</v>
      </c>
      <c r="D87" s="940" t="s">
        <v>1674</v>
      </c>
      <c r="E87" s="940" t="s">
        <v>1675</v>
      </c>
      <c r="F87" s="957">
        <v>176</v>
      </c>
      <c r="G87" s="940" t="s">
        <v>1667</v>
      </c>
      <c r="H87" s="940" t="s">
        <v>1676</v>
      </c>
      <c r="I87" s="958">
        <v>42609</v>
      </c>
      <c r="J87" s="958">
        <v>42609</v>
      </c>
      <c r="K87" s="661"/>
      <c r="L87" s="661"/>
    </row>
    <row r="88" spans="1:12">
      <c r="A88" s="661"/>
      <c r="B88" s="940">
        <v>84</v>
      </c>
      <c r="C88" s="940" t="s">
        <v>1656</v>
      </c>
      <c r="D88" s="940" t="s">
        <v>1677</v>
      </c>
      <c r="E88" s="940" t="s">
        <v>1678</v>
      </c>
      <c r="F88" s="957">
        <v>206</v>
      </c>
      <c r="G88" s="940" t="s">
        <v>1667</v>
      </c>
      <c r="H88" s="940" t="s">
        <v>1679</v>
      </c>
      <c r="I88" s="958">
        <v>42609</v>
      </c>
      <c r="J88" s="958">
        <v>42609</v>
      </c>
      <c r="K88" s="661"/>
      <c r="L88" s="661"/>
    </row>
    <row r="89" spans="1:12">
      <c r="A89" s="661"/>
      <c r="B89" s="940">
        <v>85</v>
      </c>
      <c r="C89" s="940" t="s">
        <v>1656</v>
      </c>
      <c r="D89" s="940" t="s">
        <v>1680</v>
      </c>
      <c r="E89" s="940" t="s">
        <v>1681</v>
      </c>
      <c r="F89" s="957">
        <v>370</v>
      </c>
      <c r="G89" s="940" t="s">
        <v>1667</v>
      </c>
      <c r="H89" s="940" t="s">
        <v>1660</v>
      </c>
      <c r="I89" s="958">
        <v>42609</v>
      </c>
      <c r="J89" s="958">
        <v>42609</v>
      </c>
      <c r="K89" s="661"/>
      <c r="L89" s="661"/>
    </row>
    <row r="90" spans="1:12">
      <c r="A90" s="661"/>
      <c r="B90" s="940">
        <v>86</v>
      </c>
      <c r="C90" s="940" t="s">
        <v>1656</v>
      </c>
      <c r="D90" s="940" t="s">
        <v>1682</v>
      </c>
      <c r="E90" s="940" t="s">
        <v>1683</v>
      </c>
      <c r="F90" s="957">
        <v>535</v>
      </c>
      <c r="G90" s="940" t="s">
        <v>1667</v>
      </c>
      <c r="H90" s="940" t="s">
        <v>1660</v>
      </c>
      <c r="I90" s="958">
        <v>42609</v>
      </c>
      <c r="J90" s="958">
        <v>42609</v>
      </c>
      <c r="K90" s="661"/>
      <c r="L90" s="661"/>
    </row>
    <row r="91" spans="1:12">
      <c r="A91" s="661"/>
      <c r="B91" s="940">
        <v>87</v>
      </c>
      <c r="C91" s="940" t="s">
        <v>1656</v>
      </c>
      <c r="D91" s="940" t="s">
        <v>1684</v>
      </c>
      <c r="E91" s="940" t="s">
        <v>1685</v>
      </c>
      <c r="F91" s="957">
        <v>6.82</v>
      </c>
      <c r="G91" s="940" t="s">
        <v>1659</v>
      </c>
      <c r="H91" s="940" t="s">
        <v>1660</v>
      </c>
      <c r="I91" s="958">
        <v>42609</v>
      </c>
      <c r="J91" s="958">
        <v>42609</v>
      </c>
      <c r="K91" s="661"/>
      <c r="L91" s="661"/>
    </row>
    <row r="92" spans="1:12">
      <c r="A92" s="661"/>
      <c r="B92" s="940">
        <v>88</v>
      </c>
      <c r="C92" s="940" t="s">
        <v>1656</v>
      </c>
      <c r="D92" s="940" t="s">
        <v>1684</v>
      </c>
      <c r="E92" s="940" t="s">
        <v>1686</v>
      </c>
      <c r="F92" s="957">
        <v>7.7</v>
      </c>
      <c r="G92" s="940" t="s">
        <v>1659</v>
      </c>
      <c r="H92" s="940" t="s">
        <v>1660</v>
      </c>
      <c r="I92" s="958">
        <v>42609</v>
      </c>
      <c r="J92" s="958">
        <v>42609</v>
      </c>
      <c r="K92" s="661"/>
      <c r="L92" s="661"/>
    </row>
    <row r="93" spans="1:12">
      <c r="A93" s="661"/>
      <c r="B93" s="940">
        <v>89</v>
      </c>
      <c r="C93" s="940" t="s">
        <v>1656</v>
      </c>
      <c r="D93" s="940" t="s">
        <v>1684</v>
      </c>
      <c r="E93" s="940" t="s">
        <v>1687</v>
      </c>
      <c r="F93" s="957">
        <v>5.61</v>
      </c>
      <c r="G93" s="940" t="s">
        <v>1659</v>
      </c>
      <c r="H93" s="940" t="s">
        <v>1660</v>
      </c>
      <c r="I93" s="958">
        <v>42609</v>
      </c>
      <c r="J93" s="958">
        <v>42609</v>
      </c>
      <c r="K93" s="661"/>
      <c r="L93" s="661"/>
    </row>
    <row r="94" spans="1:12">
      <c r="A94" s="661"/>
      <c r="B94" s="940">
        <v>90</v>
      </c>
      <c r="C94" s="940" t="s">
        <v>1656</v>
      </c>
      <c r="D94" s="940" t="s">
        <v>1684</v>
      </c>
      <c r="E94" s="940" t="s">
        <v>1688</v>
      </c>
      <c r="F94" s="957">
        <v>7.37</v>
      </c>
      <c r="G94" s="940" t="s">
        <v>1659</v>
      </c>
      <c r="H94" s="940" t="s">
        <v>1660</v>
      </c>
      <c r="I94" s="958">
        <v>42609</v>
      </c>
      <c r="J94" s="958">
        <v>42609</v>
      </c>
      <c r="K94" s="661"/>
      <c r="L94" s="661"/>
    </row>
    <row r="95" spans="1:12">
      <c r="A95" s="661"/>
      <c r="B95" s="940">
        <v>91</v>
      </c>
      <c r="C95" s="940" t="s">
        <v>1656</v>
      </c>
      <c r="D95" s="940" t="s">
        <v>1684</v>
      </c>
      <c r="E95" s="940" t="s">
        <v>1686</v>
      </c>
      <c r="F95" s="957">
        <v>8.0299999999999994</v>
      </c>
      <c r="G95" s="940" t="s">
        <v>1659</v>
      </c>
      <c r="H95" s="940" t="s">
        <v>1660</v>
      </c>
      <c r="I95" s="958">
        <v>42609</v>
      </c>
      <c r="J95" s="958">
        <v>42609</v>
      </c>
      <c r="K95" s="661"/>
      <c r="L95" s="661"/>
    </row>
    <row r="96" spans="1:12">
      <c r="A96" s="661"/>
      <c r="B96" s="940">
        <v>92</v>
      </c>
      <c r="C96" s="940" t="s">
        <v>1656</v>
      </c>
      <c r="D96" s="940" t="s">
        <v>1689</v>
      </c>
      <c r="E96" s="940" t="s">
        <v>1688</v>
      </c>
      <c r="F96" s="957">
        <v>6.05</v>
      </c>
      <c r="G96" s="940" t="s">
        <v>1659</v>
      </c>
      <c r="H96" s="940" t="s">
        <v>1660</v>
      </c>
      <c r="I96" s="958">
        <v>42609</v>
      </c>
      <c r="J96" s="958">
        <v>42609</v>
      </c>
      <c r="K96" s="661"/>
      <c r="L96" s="661"/>
    </row>
    <row r="97" spans="1:12">
      <c r="A97" s="661"/>
      <c r="B97" s="940">
        <v>93</v>
      </c>
      <c r="C97" s="940" t="s">
        <v>1656</v>
      </c>
      <c r="D97" s="940" t="s">
        <v>1689</v>
      </c>
      <c r="E97" s="940" t="s">
        <v>1688</v>
      </c>
      <c r="F97" s="957">
        <v>7.48</v>
      </c>
      <c r="G97" s="940" t="s">
        <v>1659</v>
      </c>
      <c r="H97" s="940" t="s">
        <v>1660</v>
      </c>
      <c r="I97" s="958">
        <v>42609</v>
      </c>
      <c r="J97" s="958">
        <v>42609</v>
      </c>
      <c r="K97" s="661"/>
      <c r="L97" s="661"/>
    </row>
    <row r="98" spans="1:12">
      <c r="A98" s="661"/>
      <c r="B98" s="940">
        <v>94</v>
      </c>
      <c r="C98" s="940" t="s">
        <v>1656</v>
      </c>
      <c r="D98" s="940" t="s">
        <v>1689</v>
      </c>
      <c r="E98" s="940" t="s">
        <v>1685</v>
      </c>
      <c r="F98" s="957">
        <v>6.82</v>
      </c>
      <c r="G98" s="940" t="s">
        <v>1659</v>
      </c>
      <c r="H98" s="940" t="s">
        <v>1660</v>
      </c>
      <c r="I98" s="958">
        <v>42609</v>
      </c>
      <c r="J98" s="958">
        <v>42609</v>
      </c>
      <c r="K98" s="661"/>
      <c r="L98" s="661"/>
    </row>
    <row r="99" spans="1:12">
      <c r="A99" s="661"/>
      <c r="B99" s="940">
        <v>95</v>
      </c>
      <c r="C99" s="940" t="s">
        <v>1656</v>
      </c>
      <c r="D99" s="940" t="s">
        <v>1689</v>
      </c>
      <c r="E99" s="940" t="s">
        <v>1686</v>
      </c>
      <c r="F99" s="957">
        <v>6.49</v>
      </c>
      <c r="G99" s="940" t="s">
        <v>1659</v>
      </c>
      <c r="H99" s="940" t="s">
        <v>1660</v>
      </c>
      <c r="I99" s="958">
        <v>42609</v>
      </c>
      <c r="J99" s="958">
        <v>42609</v>
      </c>
      <c r="K99" s="661"/>
      <c r="L99" s="661"/>
    </row>
    <row r="100" spans="1:12">
      <c r="A100" s="661"/>
      <c r="B100" s="940">
        <v>96</v>
      </c>
      <c r="C100" s="940" t="s">
        <v>1656</v>
      </c>
      <c r="D100" s="940" t="s">
        <v>1689</v>
      </c>
      <c r="E100" s="940" t="s">
        <v>1687</v>
      </c>
      <c r="F100" s="957">
        <v>5.61</v>
      </c>
      <c r="G100" s="940" t="s">
        <v>1659</v>
      </c>
      <c r="H100" s="940" t="s">
        <v>1660</v>
      </c>
      <c r="I100" s="958">
        <v>42609</v>
      </c>
      <c r="J100" s="958">
        <v>42609</v>
      </c>
      <c r="K100" s="661"/>
      <c r="L100" s="661"/>
    </row>
    <row r="101" spans="1:12">
      <c r="A101" s="661"/>
      <c r="B101" s="940">
        <v>97</v>
      </c>
      <c r="C101" s="940" t="s">
        <v>1656</v>
      </c>
      <c r="D101" s="940" t="s">
        <v>103</v>
      </c>
      <c r="E101" s="940" t="s">
        <v>1688</v>
      </c>
      <c r="F101" s="957">
        <v>7.15</v>
      </c>
      <c r="G101" s="940" t="s">
        <v>1659</v>
      </c>
      <c r="H101" s="940" t="s">
        <v>1660</v>
      </c>
      <c r="I101" s="958">
        <v>42609</v>
      </c>
      <c r="J101" s="958">
        <v>42609</v>
      </c>
      <c r="K101" s="661"/>
      <c r="L101" s="661"/>
    </row>
    <row r="102" spans="1:12">
      <c r="A102" s="661"/>
      <c r="B102" s="940">
        <v>98</v>
      </c>
      <c r="C102" s="940" t="s">
        <v>1656</v>
      </c>
      <c r="D102" s="940" t="s">
        <v>103</v>
      </c>
      <c r="E102" s="940" t="s">
        <v>1686</v>
      </c>
      <c r="F102" s="957">
        <v>7.7</v>
      </c>
      <c r="G102" s="940" t="s">
        <v>1659</v>
      </c>
      <c r="H102" s="940" t="s">
        <v>1660</v>
      </c>
      <c r="I102" s="958">
        <v>42609</v>
      </c>
      <c r="J102" s="958">
        <v>42609</v>
      </c>
      <c r="K102" s="661"/>
      <c r="L102" s="661"/>
    </row>
    <row r="103" spans="1:12">
      <c r="A103" s="661"/>
      <c r="B103" s="940">
        <v>99</v>
      </c>
      <c r="C103" s="940" t="s">
        <v>1656</v>
      </c>
      <c r="D103" s="940" t="s">
        <v>1689</v>
      </c>
      <c r="E103" s="940" t="s">
        <v>1687</v>
      </c>
      <c r="F103" s="957">
        <v>5.61</v>
      </c>
      <c r="G103" s="940" t="s">
        <v>1659</v>
      </c>
      <c r="H103" s="940" t="s">
        <v>1660</v>
      </c>
      <c r="I103" s="958">
        <v>42609</v>
      </c>
      <c r="J103" s="958">
        <v>42609</v>
      </c>
      <c r="K103" s="661"/>
      <c r="L103" s="661"/>
    </row>
    <row r="104" spans="1:12">
      <c r="A104" s="661"/>
      <c r="B104" s="940">
        <v>100</v>
      </c>
      <c r="C104" s="940" t="s">
        <v>1656</v>
      </c>
      <c r="D104" s="940" t="s">
        <v>1690</v>
      </c>
      <c r="E104" s="940" t="s">
        <v>1691</v>
      </c>
      <c r="F104" s="957">
        <v>7.92</v>
      </c>
      <c r="G104" s="940" t="s">
        <v>1659</v>
      </c>
      <c r="H104" s="940" t="s">
        <v>1660</v>
      </c>
      <c r="I104" s="958">
        <v>42609</v>
      </c>
      <c r="J104" s="958">
        <v>42609</v>
      </c>
      <c r="K104" s="661"/>
      <c r="L104" s="661"/>
    </row>
    <row r="105" spans="1:12">
      <c r="A105" s="661"/>
      <c r="B105" s="940">
        <v>101</v>
      </c>
      <c r="C105" s="940" t="s">
        <v>1656</v>
      </c>
      <c r="D105" s="940" t="s">
        <v>1692</v>
      </c>
      <c r="E105" s="940" t="s">
        <v>1691</v>
      </c>
      <c r="F105" s="957">
        <v>8.0299999999999994</v>
      </c>
      <c r="G105" s="940" t="s">
        <v>1659</v>
      </c>
      <c r="H105" s="940" t="s">
        <v>1660</v>
      </c>
      <c r="I105" s="958">
        <v>42609</v>
      </c>
      <c r="J105" s="958">
        <v>42609</v>
      </c>
      <c r="K105" s="661"/>
      <c r="L105" s="661"/>
    </row>
    <row r="106" spans="1:12">
      <c r="A106" s="661"/>
      <c r="B106" s="940">
        <v>102</v>
      </c>
      <c r="C106" s="940" t="s">
        <v>1656</v>
      </c>
      <c r="D106" s="940" t="s">
        <v>1693</v>
      </c>
      <c r="E106" s="940" t="s">
        <v>1691</v>
      </c>
      <c r="F106" s="957">
        <v>11</v>
      </c>
      <c r="G106" s="940" t="s">
        <v>1659</v>
      </c>
      <c r="H106" s="940" t="s">
        <v>1660</v>
      </c>
      <c r="I106" s="958">
        <v>42609</v>
      </c>
      <c r="J106" s="958">
        <v>42609</v>
      </c>
      <c r="K106" s="661"/>
      <c r="L106" s="661"/>
    </row>
    <row r="107" spans="1:12">
      <c r="A107" s="661"/>
      <c r="B107" s="940">
        <v>103</v>
      </c>
      <c r="C107" s="940" t="s">
        <v>1656</v>
      </c>
      <c r="D107" s="940" t="s">
        <v>1694</v>
      </c>
      <c r="E107" s="940" t="s">
        <v>1691</v>
      </c>
      <c r="F107" s="957">
        <v>7.7</v>
      </c>
      <c r="G107" s="940" t="s">
        <v>1659</v>
      </c>
      <c r="H107" s="940" t="s">
        <v>1660</v>
      </c>
      <c r="I107" s="958">
        <v>42609</v>
      </c>
      <c r="J107" s="958">
        <v>42609</v>
      </c>
      <c r="K107" s="661"/>
      <c r="L107" s="661"/>
    </row>
    <row r="108" spans="1:12">
      <c r="A108" s="661"/>
      <c r="B108" s="940">
        <v>104</v>
      </c>
      <c r="C108" s="940" t="s">
        <v>1695</v>
      </c>
      <c r="D108" s="940" t="s">
        <v>1696</v>
      </c>
      <c r="E108" s="940" t="s">
        <v>689</v>
      </c>
      <c r="F108" s="957">
        <v>7</v>
      </c>
      <c r="G108" s="940" t="s">
        <v>1659</v>
      </c>
      <c r="H108" s="940" t="s">
        <v>1660</v>
      </c>
      <c r="I108" s="958">
        <v>42609</v>
      </c>
      <c r="J108" s="958">
        <v>42609</v>
      </c>
      <c r="K108" s="661"/>
      <c r="L108" s="661"/>
    </row>
    <row r="109" spans="1:12">
      <c r="A109" s="661"/>
      <c r="B109" s="940">
        <v>105</v>
      </c>
      <c r="C109" s="940" t="s">
        <v>1695</v>
      </c>
      <c r="D109" s="940" t="s">
        <v>1697</v>
      </c>
      <c r="E109" s="940" t="s">
        <v>1698</v>
      </c>
      <c r="F109" s="957">
        <v>2.59</v>
      </c>
      <c r="G109" s="940" t="s">
        <v>1699</v>
      </c>
      <c r="H109" s="940" t="s">
        <v>1660</v>
      </c>
      <c r="I109" s="958">
        <v>42609</v>
      </c>
      <c r="J109" s="958">
        <v>42609</v>
      </c>
      <c r="K109" s="661"/>
      <c r="L109" s="661"/>
    </row>
    <row r="110" spans="1:12">
      <c r="A110" s="661"/>
      <c r="B110" s="940">
        <v>106</v>
      </c>
      <c r="C110" s="940" t="s">
        <v>1695</v>
      </c>
      <c r="D110" s="940" t="s">
        <v>1697</v>
      </c>
      <c r="E110" s="940" t="s">
        <v>1700</v>
      </c>
      <c r="F110" s="957">
        <v>3.33</v>
      </c>
      <c r="G110" s="940" t="s">
        <v>1699</v>
      </c>
      <c r="H110" s="940" t="s">
        <v>1660</v>
      </c>
      <c r="I110" s="958">
        <v>42609</v>
      </c>
      <c r="J110" s="958">
        <v>42609</v>
      </c>
      <c r="K110" s="661"/>
      <c r="L110" s="661"/>
    </row>
    <row r="111" spans="1:12">
      <c r="A111" s="661"/>
      <c r="B111" s="940">
        <v>107</v>
      </c>
      <c r="C111" s="940" t="s">
        <v>1695</v>
      </c>
      <c r="D111" s="940" t="s">
        <v>1697</v>
      </c>
      <c r="E111" s="940" t="s">
        <v>1701</v>
      </c>
      <c r="F111" s="957">
        <v>4.67</v>
      </c>
      <c r="G111" s="940" t="s">
        <v>1699</v>
      </c>
      <c r="H111" s="940" t="s">
        <v>1660</v>
      </c>
      <c r="I111" s="958">
        <v>42609</v>
      </c>
      <c r="J111" s="958">
        <v>42609</v>
      </c>
      <c r="K111" s="661"/>
      <c r="L111" s="661"/>
    </row>
    <row r="112" spans="1:12">
      <c r="A112" s="661"/>
      <c r="B112" s="940">
        <v>108</v>
      </c>
      <c r="C112" s="940" t="s">
        <v>1695</v>
      </c>
      <c r="D112" s="940" t="s">
        <v>1697</v>
      </c>
      <c r="E112" s="940" t="s">
        <v>1702</v>
      </c>
      <c r="F112" s="957">
        <v>7.78</v>
      </c>
      <c r="G112" s="940" t="s">
        <v>1699</v>
      </c>
      <c r="H112" s="940" t="s">
        <v>1660</v>
      </c>
      <c r="I112" s="958">
        <v>42609</v>
      </c>
      <c r="J112" s="958">
        <v>42609</v>
      </c>
      <c r="K112" s="661"/>
      <c r="L112" s="661"/>
    </row>
    <row r="113" spans="1:12">
      <c r="A113" s="661"/>
      <c r="B113" s="940">
        <v>109</v>
      </c>
      <c r="C113" s="940" t="s">
        <v>1695</v>
      </c>
      <c r="D113" s="940" t="s">
        <v>1703</v>
      </c>
      <c r="E113" s="940" t="s">
        <v>689</v>
      </c>
      <c r="F113" s="957">
        <v>2.66</v>
      </c>
      <c r="G113" s="940" t="s">
        <v>1699</v>
      </c>
      <c r="H113" s="940" t="s">
        <v>1660</v>
      </c>
      <c r="I113" s="958">
        <v>42609</v>
      </c>
      <c r="J113" s="958">
        <v>42609</v>
      </c>
      <c r="K113" s="661"/>
      <c r="L113" s="661"/>
    </row>
    <row r="114" spans="1:12">
      <c r="A114" s="661"/>
      <c r="B114" s="940">
        <v>110</v>
      </c>
      <c r="C114" s="940" t="s">
        <v>1695</v>
      </c>
      <c r="D114" s="940" t="s">
        <v>368</v>
      </c>
      <c r="E114" s="940" t="s">
        <v>689</v>
      </c>
      <c r="F114" s="957">
        <v>0.03</v>
      </c>
      <c r="G114" s="940" t="s">
        <v>1704</v>
      </c>
      <c r="H114" s="940" t="s">
        <v>1660</v>
      </c>
      <c r="I114" s="958">
        <v>42609</v>
      </c>
      <c r="J114" s="958">
        <v>42609</v>
      </c>
      <c r="K114" s="661"/>
      <c r="L114" s="661"/>
    </row>
    <row r="115" spans="1:12">
      <c r="A115" s="661"/>
      <c r="B115" s="940">
        <v>111</v>
      </c>
      <c r="C115" s="940" t="s">
        <v>1695</v>
      </c>
      <c r="D115" s="940" t="s">
        <v>1705</v>
      </c>
      <c r="E115" s="940" t="s">
        <v>689</v>
      </c>
      <c r="F115" s="957">
        <v>2</v>
      </c>
      <c r="G115" s="940" t="s">
        <v>1706</v>
      </c>
      <c r="H115" s="940" t="s">
        <v>1660</v>
      </c>
      <c r="I115" s="958">
        <v>42609</v>
      </c>
      <c r="J115" s="958">
        <v>42609</v>
      </c>
      <c r="K115" s="661"/>
      <c r="L115" s="661"/>
    </row>
    <row r="116" spans="1:12">
      <c r="A116" s="661"/>
      <c r="B116" s="940">
        <v>112</v>
      </c>
      <c r="C116" s="940" t="s">
        <v>1707</v>
      </c>
      <c r="D116" s="940" t="s">
        <v>1696</v>
      </c>
      <c r="E116" s="940" t="s">
        <v>1708</v>
      </c>
      <c r="F116" s="957">
        <v>5.14</v>
      </c>
      <c r="G116" s="940" t="s">
        <v>1659</v>
      </c>
      <c r="H116" s="940" t="s">
        <v>1660</v>
      </c>
      <c r="I116" s="958">
        <v>42609</v>
      </c>
      <c r="J116" s="958">
        <v>42609</v>
      </c>
      <c r="K116" s="661"/>
      <c r="L116" s="661"/>
    </row>
    <row r="117" spans="1:12">
      <c r="A117" s="661"/>
      <c r="B117" s="940">
        <v>113</v>
      </c>
      <c r="C117" s="940" t="s">
        <v>1707</v>
      </c>
      <c r="D117" s="940" t="s">
        <v>1709</v>
      </c>
      <c r="E117" s="940" t="s">
        <v>1708</v>
      </c>
      <c r="F117" s="957">
        <v>1.74</v>
      </c>
      <c r="G117" s="940" t="s">
        <v>1710</v>
      </c>
      <c r="H117" s="940" t="s">
        <v>1660</v>
      </c>
      <c r="I117" s="958">
        <v>42609</v>
      </c>
      <c r="J117" s="958">
        <v>42609</v>
      </c>
      <c r="K117" s="661"/>
      <c r="L117" s="661"/>
    </row>
    <row r="118" spans="1:12">
      <c r="A118" s="661"/>
      <c r="B118" s="940">
        <v>114</v>
      </c>
      <c r="C118" s="940" t="s">
        <v>1707</v>
      </c>
      <c r="D118" s="940" t="s">
        <v>1711</v>
      </c>
      <c r="E118" s="940" t="s">
        <v>1708</v>
      </c>
      <c r="F118" s="957">
        <v>4.2999999999999997E-2</v>
      </c>
      <c r="G118" s="940" t="s">
        <v>1704</v>
      </c>
      <c r="H118" s="940" t="s">
        <v>1660</v>
      </c>
      <c r="I118" s="958">
        <v>42609</v>
      </c>
      <c r="J118" s="958">
        <v>42609</v>
      </c>
      <c r="K118" s="661"/>
      <c r="L118" s="661"/>
    </row>
    <row r="119" spans="1:12">
      <c r="A119" s="661"/>
      <c r="B119" s="940">
        <v>115</v>
      </c>
      <c r="C119" s="940" t="s">
        <v>1707</v>
      </c>
      <c r="D119" s="940" t="s">
        <v>368</v>
      </c>
      <c r="E119" s="940" t="s">
        <v>1708</v>
      </c>
      <c r="F119" s="957">
        <v>1.2E-2</v>
      </c>
      <c r="G119" s="940" t="s">
        <v>1704</v>
      </c>
      <c r="H119" s="940" t="s">
        <v>1660</v>
      </c>
      <c r="I119" s="958">
        <v>42609</v>
      </c>
      <c r="J119" s="958">
        <v>42609</v>
      </c>
      <c r="K119" s="661"/>
      <c r="L119" s="661"/>
    </row>
    <row r="120" spans="1:12">
      <c r="A120" s="661"/>
      <c r="B120" s="940">
        <v>116</v>
      </c>
      <c r="C120" s="940" t="s">
        <v>1707</v>
      </c>
      <c r="D120" s="940" t="s">
        <v>1712</v>
      </c>
      <c r="E120" s="940" t="s">
        <v>1708</v>
      </c>
      <c r="F120" s="957">
        <v>4.1000000000000003E-3</v>
      </c>
      <c r="G120" s="940" t="s">
        <v>1704</v>
      </c>
      <c r="H120" s="940" t="s">
        <v>1660</v>
      </c>
      <c r="I120" s="958">
        <v>42609</v>
      </c>
      <c r="J120" s="958">
        <v>42609</v>
      </c>
      <c r="K120" s="661"/>
      <c r="L120" s="661"/>
    </row>
    <row r="121" spans="1:12">
      <c r="A121" s="661"/>
      <c r="B121" s="940">
        <v>117</v>
      </c>
      <c r="C121" s="940" t="s">
        <v>1707</v>
      </c>
      <c r="D121" s="940" t="s">
        <v>1713</v>
      </c>
      <c r="E121" s="940" t="s">
        <v>1708</v>
      </c>
      <c r="F121" s="957">
        <v>2</v>
      </c>
      <c r="G121" s="940" t="s">
        <v>1706</v>
      </c>
      <c r="H121" s="940" t="s">
        <v>1660</v>
      </c>
      <c r="I121" s="958">
        <v>42609</v>
      </c>
      <c r="J121" s="958">
        <v>42609</v>
      </c>
      <c r="K121" s="661"/>
      <c r="L121" s="661"/>
    </row>
    <row r="122" spans="1:12">
      <c r="A122" s="661"/>
      <c r="B122" s="940">
        <v>118</v>
      </c>
      <c r="C122" s="940" t="s">
        <v>1312</v>
      </c>
      <c r="D122" s="940" t="s">
        <v>1312</v>
      </c>
      <c r="E122" s="940" t="s">
        <v>1714</v>
      </c>
      <c r="F122" s="957">
        <v>13.2</v>
      </c>
      <c r="G122" s="940" t="s">
        <v>1617</v>
      </c>
      <c r="H122" s="940" t="s">
        <v>1660</v>
      </c>
      <c r="I122" s="958">
        <v>42609</v>
      </c>
      <c r="J122" s="958">
        <v>42609</v>
      </c>
      <c r="K122" s="661"/>
      <c r="L122" s="661"/>
    </row>
    <row r="123" spans="1:12">
      <c r="A123" s="661"/>
      <c r="B123" s="940">
        <v>119</v>
      </c>
      <c r="C123" s="940" t="s">
        <v>1312</v>
      </c>
      <c r="D123" s="940" t="s">
        <v>1312</v>
      </c>
      <c r="E123" s="940" t="s">
        <v>1715</v>
      </c>
      <c r="F123" s="957">
        <v>13.2</v>
      </c>
      <c r="G123" s="940" t="s">
        <v>1617</v>
      </c>
      <c r="H123" s="940" t="s">
        <v>1660</v>
      </c>
      <c r="I123" s="958">
        <v>42609</v>
      </c>
      <c r="J123" s="958">
        <v>42609</v>
      </c>
      <c r="K123" s="661"/>
      <c r="L123" s="661"/>
    </row>
    <row r="124" spans="1:12">
      <c r="A124" s="661"/>
      <c r="B124" s="940">
        <v>120</v>
      </c>
      <c r="C124" s="940" t="s">
        <v>1312</v>
      </c>
      <c r="D124" s="940" t="s">
        <v>1312</v>
      </c>
      <c r="E124" s="940" t="s">
        <v>1716</v>
      </c>
      <c r="F124" s="957">
        <v>16.2</v>
      </c>
      <c r="G124" s="940" t="s">
        <v>1617</v>
      </c>
      <c r="H124" s="940" t="s">
        <v>1660</v>
      </c>
      <c r="I124" s="958">
        <v>42609</v>
      </c>
      <c r="J124" s="958">
        <v>42609</v>
      </c>
      <c r="K124" s="661"/>
      <c r="L124" s="661"/>
    </row>
    <row r="125" spans="1:12">
      <c r="A125" s="661"/>
      <c r="B125" s="940">
        <v>121</v>
      </c>
      <c r="C125" s="940" t="s">
        <v>1312</v>
      </c>
      <c r="D125" s="940" t="s">
        <v>1312</v>
      </c>
      <c r="E125" s="940" t="s">
        <v>1717</v>
      </c>
      <c r="F125" s="957">
        <v>23.5</v>
      </c>
      <c r="G125" s="940" t="s">
        <v>1617</v>
      </c>
      <c r="H125" s="940" t="s">
        <v>1660</v>
      </c>
      <c r="I125" s="958">
        <v>42609</v>
      </c>
      <c r="J125" s="958">
        <v>42609</v>
      </c>
      <c r="K125" s="661"/>
      <c r="L125" s="661"/>
    </row>
    <row r="126" spans="1:12">
      <c r="A126" s="661"/>
      <c r="B126" s="940">
        <v>122</v>
      </c>
      <c r="C126" s="940" t="s">
        <v>1312</v>
      </c>
      <c r="D126" s="940" t="s">
        <v>1312</v>
      </c>
      <c r="E126" s="940" t="s">
        <v>1718</v>
      </c>
      <c r="F126" s="957">
        <v>23.5</v>
      </c>
      <c r="G126" s="940" t="s">
        <v>1617</v>
      </c>
      <c r="H126" s="940" t="s">
        <v>1660</v>
      </c>
      <c r="I126" s="958">
        <v>42609</v>
      </c>
      <c r="J126" s="958">
        <v>42609</v>
      </c>
      <c r="K126" s="661"/>
      <c r="L126" s="661"/>
    </row>
    <row r="127" spans="1:12">
      <c r="A127" s="661"/>
      <c r="B127" s="940">
        <v>123</v>
      </c>
      <c r="C127" s="940" t="s">
        <v>1312</v>
      </c>
      <c r="D127" s="940" t="s">
        <v>1312</v>
      </c>
      <c r="E127" s="940" t="s">
        <v>1719</v>
      </c>
      <c r="F127" s="957">
        <v>23.5</v>
      </c>
      <c r="G127" s="940" t="s">
        <v>1617</v>
      </c>
      <c r="H127" s="940" t="s">
        <v>1660</v>
      </c>
      <c r="I127" s="958">
        <v>42609</v>
      </c>
      <c r="J127" s="958">
        <v>42609</v>
      </c>
      <c r="K127" s="661"/>
      <c r="L127" s="661"/>
    </row>
    <row r="128" spans="1:12">
      <c r="A128" s="661"/>
      <c r="B128" s="940">
        <v>124</v>
      </c>
      <c r="C128" s="940" t="s">
        <v>1312</v>
      </c>
      <c r="D128" s="940" t="s">
        <v>1720</v>
      </c>
      <c r="E128" s="940"/>
      <c r="F128" s="957">
        <v>8</v>
      </c>
      <c r="G128" s="940" t="s">
        <v>1659</v>
      </c>
      <c r="H128" s="940" t="s">
        <v>1660</v>
      </c>
      <c r="I128" s="958">
        <v>42609</v>
      </c>
      <c r="J128" s="958">
        <v>42609</v>
      </c>
      <c r="K128" s="661"/>
      <c r="L128" s="661"/>
    </row>
    <row r="129" spans="1:12">
      <c r="A129" s="661"/>
      <c r="B129" s="940">
        <v>125</v>
      </c>
      <c r="C129" s="940" t="s">
        <v>1312</v>
      </c>
      <c r="D129" s="940" t="s">
        <v>1721</v>
      </c>
      <c r="E129" s="940" t="s">
        <v>1722</v>
      </c>
      <c r="F129" s="957">
        <v>6</v>
      </c>
      <c r="G129" s="940" t="s">
        <v>1659</v>
      </c>
      <c r="H129" s="940" t="s">
        <v>1660</v>
      </c>
      <c r="I129" s="958">
        <v>42609</v>
      </c>
      <c r="J129" s="958">
        <v>42609</v>
      </c>
      <c r="K129" s="661"/>
      <c r="L129" s="661"/>
    </row>
    <row r="130" spans="1:12">
      <c r="A130" s="661"/>
      <c r="B130" s="940">
        <v>126</v>
      </c>
      <c r="C130" s="940" t="s">
        <v>1312</v>
      </c>
      <c r="D130" s="940" t="s">
        <v>1723</v>
      </c>
      <c r="E130" s="940" t="s">
        <v>1724</v>
      </c>
      <c r="F130" s="957">
        <v>8</v>
      </c>
      <c r="G130" s="940" t="s">
        <v>1659</v>
      </c>
      <c r="H130" s="940" t="s">
        <v>1660</v>
      </c>
      <c r="I130" s="958">
        <v>42609</v>
      </c>
      <c r="J130" s="958">
        <v>42609</v>
      </c>
      <c r="K130" s="661"/>
      <c r="L130" s="661"/>
    </row>
    <row r="131" spans="1:12">
      <c r="A131" s="661"/>
      <c r="B131" s="940">
        <v>127</v>
      </c>
      <c r="C131" s="940" t="s">
        <v>1312</v>
      </c>
      <c r="D131" s="940" t="s">
        <v>1723</v>
      </c>
      <c r="E131" s="940" t="s">
        <v>1722</v>
      </c>
      <c r="F131" s="957">
        <v>12</v>
      </c>
      <c r="G131" s="940" t="s">
        <v>1659</v>
      </c>
      <c r="H131" s="940" t="s">
        <v>1660</v>
      </c>
      <c r="I131" s="958">
        <v>42609</v>
      </c>
      <c r="J131" s="958">
        <v>42609</v>
      </c>
      <c r="K131" s="661"/>
      <c r="L131" s="661"/>
    </row>
    <row r="132" spans="1:12">
      <c r="A132" s="661"/>
      <c r="B132" s="940">
        <v>128</v>
      </c>
      <c r="C132" s="940" t="s">
        <v>1312</v>
      </c>
      <c r="D132" s="940" t="s">
        <v>1721</v>
      </c>
      <c r="E132" s="940" t="s">
        <v>1724</v>
      </c>
      <c r="F132" s="957">
        <v>4</v>
      </c>
      <c r="G132" s="940" t="s">
        <v>1659</v>
      </c>
      <c r="H132" s="940" t="s">
        <v>1660</v>
      </c>
      <c r="I132" s="958">
        <v>42609</v>
      </c>
      <c r="J132" s="958">
        <v>42609</v>
      </c>
      <c r="K132" s="661"/>
      <c r="L132" s="661"/>
    </row>
    <row r="133" spans="1:12">
      <c r="A133" s="661"/>
      <c r="B133" s="940">
        <v>129</v>
      </c>
      <c r="C133" s="940" t="s">
        <v>1312</v>
      </c>
      <c r="D133" s="940" t="s">
        <v>1725</v>
      </c>
      <c r="E133" s="940"/>
      <c r="F133" s="957">
        <v>18</v>
      </c>
      <c r="G133" s="940" t="s">
        <v>1659</v>
      </c>
      <c r="H133" s="940" t="s">
        <v>1660</v>
      </c>
      <c r="I133" s="958">
        <v>42609</v>
      </c>
      <c r="J133" s="958">
        <v>42609</v>
      </c>
      <c r="K133" s="661"/>
      <c r="L133" s="661"/>
    </row>
    <row r="134" spans="1:12">
      <c r="A134" s="661"/>
      <c r="B134" s="940">
        <v>130</v>
      </c>
      <c r="C134" s="940" t="s">
        <v>1726</v>
      </c>
      <c r="D134" s="940" t="s">
        <v>1727</v>
      </c>
      <c r="E134" s="940"/>
      <c r="F134" s="957">
        <v>5.2</v>
      </c>
      <c r="G134" s="940" t="s">
        <v>1617</v>
      </c>
      <c r="H134" s="940" t="s">
        <v>1660</v>
      </c>
      <c r="I134" s="958">
        <v>42609</v>
      </c>
      <c r="J134" s="958">
        <v>42609</v>
      </c>
      <c r="K134" s="661"/>
      <c r="L134" s="661"/>
    </row>
    <row r="135" spans="1:12">
      <c r="A135" s="661"/>
      <c r="B135" s="940">
        <v>131</v>
      </c>
      <c r="C135" s="940" t="s">
        <v>1726</v>
      </c>
      <c r="D135" s="940" t="s">
        <v>1728</v>
      </c>
      <c r="E135" s="940"/>
      <c r="F135" s="957">
        <v>5.2</v>
      </c>
      <c r="G135" s="940" t="s">
        <v>1617</v>
      </c>
      <c r="H135" s="940" t="s">
        <v>1660</v>
      </c>
      <c r="I135" s="958">
        <v>42609</v>
      </c>
      <c r="J135" s="958">
        <v>42609</v>
      </c>
      <c r="K135" s="661"/>
      <c r="L135" s="661"/>
    </row>
    <row r="136" spans="1:12">
      <c r="A136" s="661"/>
      <c r="B136" s="940">
        <v>132</v>
      </c>
      <c r="C136" s="940" t="s">
        <v>1726</v>
      </c>
      <c r="D136" s="940" t="s">
        <v>1729</v>
      </c>
      <c r="E136" s="940"/>
      <c r="F136" s="957">
        <v>5.2</v>
      </c>
      <c r="G136" s="940" t="s">
        <v>1617</v>
      </c>
      <c r="H136" s="940" t="s">
        <v>1660</v>
      </c>
      <c r="I136" s="958">
        <v>42609</v>
      </c>
      <c r="J136" s="958">
        <v>42609</v>
      </c>
      <c r="K136" s="661"/>
      <c r="L136" s="661"/>
    </row>
    <row r="137" spans="1:12">
      <c r="A137" s="661"/>
      <c r="B137" s="940">
        <v>133</v>
      </c>
      <c r="C137" s="940" t="s">
        <v>1726</v>
      </c>
      <c r="D137" s="940" t="s">
        <v>1730</v>
      </c>
      <c r="E137" s="940"/>
      <c r="F137" s="957">
        <v>25</v>
      </c>
      <c r="G137" s="940" t="s">
        <v>1659</v>
      </c>
      <c r="H137" s="940" t="s">
        <v>1660</v>
      </c>
      <c r="I137" s="958">
        <v>42609</v>
      </c>
      <c r="J137" s="958">
        <v>42609</v>
      </c>
      <c r="K137" s="661"/>
      <c r="L137" s="661"/>
    </row>
    <row r="138" spans="1:12">
      <c r="A138" s="661"/>
      <c r="B138" s="940">
        <v>134</v>
      </c>
      <c r="C138" s="940" t="s">
        <v>1726</v>
      </c>
      <c r="D138" s="940" t="s">
        <v>1731</v>
      </c>
      <c r="E138" s="940" t="s">
        <v>1732</v>
      </c>
      <c r="F138" s="957">
        <v>9</v>
      </c>
      <c r="G138" s="940" t="s">
        <v>1617</v>
      </c>
      <c r="H138" s="940" t="s">
        <v>1660</v>
      </c>
      <c r="I138" s="958">
        <v>42609</v>
      </c>
      <c r="J138" s="958">
        <v>42609</v>
      </c>
      <c r="K138" s="661"/>
      <c r="L138" s="661"/>
    </row>
    <row r="139" spans="1:12">
      <c r="A139" s="661"/>
      <c r="B139" s="940">
        <v>135</v>
      </c>
      <c r="C139" s="940" t="s">
        <v>1726</v>
      </c>
      <c r="D139" s="940" t="s">
        <v>1729</v>
      </c>
      <c r="E139" s="940"/>
      <c r="F139" s="957">
        <v>6</v>
      </c>
      <c r="G139" s="940" t="s">
        <v>1617</v>
      </c>
      <c r="H139" s="940" t="s">
        <v>1660</v>
      </c>
      <c r="I139" s="958">
        <v>42609</v>
      </c>
      <c r="J139" s="958">
        <v>42609</v>
      </c>
      <c r="K139" s="661"/>
      <c r="L139" s="661"/>
    </row>
    <row r="140" spans="1:12">
      <c r="A140" s="661"/>
      <c r="B140" s="940">
        <v>136</v>
      </c>
      <c r="C140" s="940" t="s">
        <v>1726</v>
      </c>
      <c r="D140" s="940" t="s">
        <v>1727</v>
      </c>
      <c r="E140" s="940"/>
      <c r="F140" s="957">
        <v>6</v>
      </c>
      <c r="G140" s="940" t="s">
        <v>1617</v>
      </c>
      <c r="H140" s="940" t="s">
        <v>1660</v>
      </c>
      <c r="I140" s="958">
        <v>42609</v>
      </c>
      <c r="J140" s="958">
        <v>42609</v>
      </c>
      <c r="K140" s="661"/>
      <c r="L140" s="661"/>
    </row>
    <row r="141" spans="1:12">
      <c r="A141" s="661"/>
      <c r="B141" s="940">
        <v>137</v>
      </c>
      <c r="C141" s="940" t="s">
        <v>1726</v>
      </c>
      <c r="D141" s="940" t="s">
        <v>1728</v>
      </c>
      <c r="E141" s="940"/>
      <c r="F141" s="957">
        <v>6</v>
      </c>
      <c r="G141" s="940" t="s">
        <v>1617</v>
      </c>
      <c r="H141" s="940" t="s">
        <v>1660</v>
      </c>
      <c r="I141" s="958">
        <v>42609</v>
      </c>
      <c r="J141" s="958">
        <v>42609</v>
      </c>
      <c r="K141" s="661"/>
      <c r="L141" s="661"/>
    </row>
    <row r="142" spans="1:12">
      <c r="A142" s="661"/>
      <c r="B142" s="940">
        <v>138</v>
      </c>
      <c r="C142" s="940" t="s">
        <v>1726</v>
      </c>
      <c r="D142" s="940" t="s">
        <v>1731</v>
      </c>
      <c r="E142" s="940" t="s">
        <v>1733</v>
      </c>
      <c r="F142" s="957">
        <v>15</v>
      </c>
      <c r="G142" s="940" t="s">
        <v>1617</v>
      </c>
      <c r="H142" s="940" t="s">
        <v>1660</v>
      </c>
      <c r="I142" s="958">
        <v>42609</v>
      </c>
      <c r="J142" s="958">
        <v>42609</v>
      </c>
      <c r="K142" s="661"/>
      <c r="L142" s="661"/>
    </row>
    <row r="143" spans="1:12">
      <c r="A143" s="661"/>
      <c r="B143" s="940">
        <v>139</v>
      </c>
      <c r="C143" s="940" t="s">
        <v>1726</v>
      </c>
      <c r="D143" s="940" t="s">
        <v>1731</v>
      </c>
      <c r="E143" s="940" t="s">
        <v>1734</v>
      </c>
      <c r="F143" s="957">
        <v>8</v>
      </c>
      <c r="G143" s="940" t="s">
        <v>1659</v>
      </c>
      <c r="H143" s="940" t="s">
        <v>1660</v>
      </c>
      <c r="I143" s="958">
        <v>42609</v>
      </c>
      <c r="J143" s="958">
        <v>42609</v>
      </c>
      <c r="K143" s="661"/>
      <c r="L143" s="661"/>
    </row>
    <row r="144" spans="1:12">
      <c r="A144" s="661"/>
      <c r="B144" s="940">
        <v>140</v>
      </c>
      <c r="C144" s="940" t="s">
        <v>1726</v>
      </c>
      <c r="D144" s="940" t="s">
        <v>1735</v>
      </c>
      <c r="E144" s="940" t="s">
        <v>1734</v>
      </c>
      <c r="F144" s="957">
        <v>10</v>
      </c>
      <c r="G144" s="940" t="s">
        <v>1659</v>
      </c>
      <c r="H144" s="940" t="s">
        <v>1660</v>
      </c>
      <c r="I144" s="958">
        <v>42609</v>
      </c>
      <c r="J144" s="958">
        <v>42609</v>
      </c>
      <c r="K144" s="661"/>
      <c r="L144" s="661"/>
    </row>
    <row r="145" spans="1:12">
      <c r="A145" s="661"/>
      <c r="B145" s="940">
        <v>141</v>
      </c>
      <c r="C145" s="940" t="s">
        <v>1726</v>
      </c>
      <c r="D145" s="940" t="s">
        <v>1736</v>
      </c>
      <c r="E145" s="940"/>
      <c r="F145" s="957">
        <v>20</v>
      </c>
      <c r="G145" s="940" t="s">
        <v>1659</v>
      </c>
      <c r="H145" s="940" t="s">
        <v>1660</v>
      </c>
      <c r="I145" s="958">
        <v>42609</v>
      </c>
      <c r="J145" s="958">
        <v>42609</v>
      </c>
      <c r="K145" s="661"/>
      <c r="L145" s="661"/>
    </row>
    <row r="146" spans="1:12">
      <c r="A146" s="661"/>
      <c r="B146" s="940">
        <v>142</v>
      </c>
      <c r="C146" s="940" t="s">
        <v>881</v>
      </c>
      <c r="D146" s="940" t="s">
        <v>1737</v>
      </c>
      <c r="E146" s="940"/>
      <c r="F146" s="957">
        <v>4</v>
      </c>
      <c r="G146" s="940" t="s">
        <v>1738</v>
      </c>
      <c r="H146" s="940" t="s">
        <v>1660</v>
      </c>
      <c r="I146" s="958">
        <v>42609</v>
      </c>
      <c r="J146" s="958">
        <v>42609</v>
      </c>
      <c r="K146" s="661"/>
      <c r="L146" s="661"/>
    </row>
    <row r="147" spans="1:12">
      <c r="A147" s="661"/>
      <c r="B147" s="940">
        <v>143</v>
      </c>
      <c r="C147" s="940" t="s">
        <v>881</v>
      </c>
      <c r="D147" s="940" t="s">
        <v>72</v>
      </c>
      <c r="E147" s="940"/>
      <c r="F147" s="957">
        <v>3.5</v>
      </c>
      <c r="G147" s="940" t="s">
        <v>1739</v>
      </c>
      <c r="H147" s="940" t="s">
        <v>1660</v>
      </c>
      <c r="I147" s="958">
        <v>42609</v>
      </c>
      <c r="J147" s="958">
        <v>42609</v>
      </c>
      <c r="K147" s="661"/>
      <c r="L147" s="661"/>
    </row>
    <row r="148" spans="1:12">
      <c r="A148" s="661"/>
      <c r="B148" s="940">
        <v>144</v>
      </c>
      <c r="C148" s="940" t="s">
        <v>881</v>
      </c>
      <c r="D148" s="940" t="s">
        <v>1740</v>
      </c>
      <c r="E148" s="940"/>
      <c r="F148" s="957">
        <v>0.5</v>
      </c>
      <c r="G148" s="940" t="s">
        <v>1741</v>
      </c>
      <c r="H148" s="940" t="s">
        <v>1660</v>
      </c>
      <c r="I148" s="958">
        <v>42609</v>
      </c>
      <c r="J148" s="958">
        <v>42609</v>
      </c>
      <c r="K148" s="661"/>
      <c r="L148" s="661"/>
    </row>
    <row r="149" spans="1:12">
      <c r="A149" s="661"/>
      <c r="B149" s="940">
        <v>145</v>
      </c>
      <c r="C149" s="940" t="s">
        <v>881</v>
      </c>
      <c r="D149" s="940" t="s">
        <v>1742</v>
      </c>
      <c r="E149" s="940"/>
      <c r="F149" s="957">
        <v>2</v>
      </c>
      <c r="G149" s="940" t="s">
        <v>1743</v>
      </c>
      <c r="H149" s="940" t="s">
        <v>1660</v>
      </c>
      <c r="I149" s="958">
        <v>42609</v>
      </c>
      <c r="J149" s="958">
        <v>42609</v>
      </c>
      <c r="K149" s="661"/>
      <c r="L149" s="661"/>
    </row>
    <row r="150" spans="1:12">
      <c r="A150" s="661"/>
      <c r="B150" s="940">
        <v>146</v>
      </c>
      <c r="C150" s="940" t="s">
        <v>881</v>
      </c>
      <c r="D150" s="940" t="s">
        <v>1744</v>
      </c>
      <c r="E150" s="940"/>
      <c r="F150" s="957">
        <v>3.25</v>
      </c>
      <c r="G150" s="940" t="s">
        <v>1706</v>
      </c>
      <c r="H150" s="940" t="s">
        <v>1660</v>
      </c>
      <c r="I150" s="958">
        <v>42609</v>
      </c>
      <c r="J150" s="958">
        <v>42609</v>
      </c>
      <c r="K150" s="661"/>
      <c r="L150" s="661"/>
    </row>
    <row r="151" spans="1:12">
      <c r="A151" s="661"/>
      <c r="B151" s="940">
        <v>147</v>
      </c>
      <c r="C151" s="940" t="s">
        <v>1745</v>
      </c>
      <c r="D151" s="940" t="s">
        <v>1746</v>
      </c>
      <c r="E151" s="940"/>
      <c r="F151" s="957">
        <v>150</v>
      </c>
      <c r="G151" s="940" t="s">
        <v>1747</v>
      </c>
      <c r="H151" s="940" t="s">
        <v>1660</v>
      </c>
      <c r="I151" s="958">
        <v>42609</v>
      </c>
      <c r="J151" s="958">
        <v>42609</v>
      </c>
      <c r="K151" s="661"/>
      <c r="L151" s="661"/>
    </row>
    <row r="152" spans="1:12">
      <c r="A152" s="661"/>
      <c r="B152" s="940">
        <v>148</v>
      </c>
      <c r="C152" s="940" t="s">
        <v>1745</v>
      </c>
      <c r="D152" s="940" t="s">
        <v>1748</v>
      </c>
      <c r="E152" s="940" t="s">
        <v>1749</v>
      </c>
      <c r="F152" s="957">
        <v>220</v>
      </c>
      <c r="G152" s="940" t="s">
        <v>1747</v>
      </c>
      <c r="H152" s="940" t="s">
        <v>1660</v>
      </c>
      <c r="I152" s="958">
        <v>42609</v>
      </c>
      <c r="J152" s="958">
        <v>42609</v>
      </c>
      <c r="K152" s="661"/>
      <c r="L152" s="661"/>
    </row>
    <row r="153" spans="1:12">
      <c r="A153" s="661"/>
      <c r="B153" s="940">
        <v>149</v>
      </c>
      <c r="C153" s="940" t="s">
        <v>1745</v>
      </c>
      <c r="D153" s="940" t="s">
        <v>1750</v>
      </c>
      <c r="E153" s="940" t="s">
        <v>1751</v>
      </c>
      <c r="F153" s="957">
        <v>1200</v>
      </c>
      <c r="G153" s="940" t="s">
        <v>1747</v>
      </c>
      <c r="H153" s="940" t="s">
        <v>1660</v>
      </c>
      <c r="I153" s="958">
        <v>42609</v>
      </c>
      <c r="J153" s="958">
        <v>42609</v>
      </c>
      <c r="K153" s="661"/>
      <c r="L153" s="661"/>
    </row>
    <row r="154" spans="1:12">
      <c r="A154" s="661"/>
      <c r="B154" s="940">
        <v>150</v>
      </c>
      <c r="C154" s="940" t="s">
        <v>1745</v>
      </c>
      <c r="D154" s="940" t="s">
        <v>1748</v>
      </c>
      <c r="E154" s="940" t="s">
        <v>1752</v>
      </c>
      <c r="F154" s="957">
        <v>250</v>
      </c>
      <c r="G154" s="940" t="s">
        <v>1747</v>
      </c>
      <c r="H154" s="940" t="s">
        <v>1660</v>
      </c>
      <c r="I154" s="958">
        <v>42609</v>
      </c>
      <c r="J154" s="958">
        <v>42609</v>
      </c>
      <c r="K154" s="661"/>
      <c r="L154" s="661"/>
    </row>
    <row r="155" spans="1:12">
      <c r="A155" s="661"/>
      <c r="B155" s="940">
        <v>151</v>
      </c>
      <c r="C155" s="940" t="s">
        <v>1745</v>
      </c>
      <c r="D155" s="940" t="s">
        <v>1753</v>
      </c>
      <c r="E155" s="940"/>
      <c r="F155" s="957">
        <v>40</v>
      </c>
      <c r="G155" s="940" t="s">
        <v>1747</v>
      </c>
      <c r="H155" s="940" t="s">
        <v>1660</v>
      </c>
      <c r="I155" s="958">
        <v>42609</v>
      </c>
      <c r="J155" s="958">
        <v>42609</v>
      </c>
      <c r="K155" s="661"/>
      <c r="L155" s="661"/>
    </row>
    <row r="156" spans="1:12">
      <c r="A156" s="661"/>
      <c r="B156" s="940">
        <v>152</v>
      </c>
      <c r="C156" s="940" t="s">
        <v>1745</v>
      </c>
      <c r="D156" s="940" t="s">
        <v>1754</v>
      </c>
      <c r="E156" s="940" t="s">
        <v>1755</v>
      </c>
      <c r="F156" s="957">
        <v>180</v>
      </c>
      <c r="G156" s="940" t="s">
        <v>1747</v>
      </c>
      <c r="H156" s="940" t="s">
        <v>1660</v>
      </c>
      <c r="I156" s="958">
        <v>42609</v>
      </c>
      <c r="J156" s="958">
        <v>42609</v>
      </c>
      <c r="K156" s="661"/>
      <c r="L156" s="661"/>
    </row>
    <row r="157" spans="1:12">
      <c r="A157" s="661"/>
      <c r="B157" s="940">
        <v>153</v>
      </c>
      <c r="C157" s="940" t="s">
        <v>1745</v>
      </c>
      <c r="D157" s="940" t="s">
        <v>1756</v>
      </c>
      <c r="E157" s="940" t="s">
        <v>1752</v>
      </c>
      <c r="F157" s="957">
        <v>400</v>
      </c>
      <c r="G157" s="940" t="s">
        <v>1747</v>
      </c>
      <c r="H157" s="940" t="s">
        <v>1660</v>
      </c>
      <c r="I157" s="958">
        <v>42609</v>
      </c>
      <c r="J157" s="958">
        <v>42609</v>
      </c>
      <c r="K157" s="661"/>
      <c r="L157" s="661"/>
    </row>
    <row r="158" spans="1:12">
      <c r="A158" s="661"/>
      <c r="B158" s="940">
        <v>154</v>
      </c>
      <c r="C158" s="940" t="s">
        <v>1745</v>
      </c>
      <c r="D158" s="940" t="s">
        <v>1756</v>
      </c>
      <c r="E158" s="940" t="s">
        <v>1749</v>
      </c>
      <c r="F158" s="957">
        <v>375</v>
      </c>
      <c r="G158" s="940" t="s">
        <v>1747</v>
      </c>
      <c r="H158" s="940" t="s">
        <v>1660</v>
      </c>
      <c r="I158" s="958">
        <v>42609</v>
      </c>
      <c r="J158" s="958">
        <v>42609</v>
      </c>
      <c r="K158" s="661"/>
      <c r="L158" s="661"/>
    </row>
    <row r="159" spans="1:12">
      <c r="A159" s="661"/>
      <c r="B159" s="940">
        <v>155</v>
      </c>
      <c r="C159" s="940" t="s">
        <v>1745</v>
      </c>
      <c r="D159" s="940" t="s">
        <v>110</v>
      </c>
      <c r="E159" s="940" t="s">
        <v>1757</v>
      </c>
      <c r="F159" s="957">
        <v>100</v>
      </c>
      <c r="G159" s="940" t="s">
        <v>1747</v>
      </c>
      <c r="H159" s="940" t="s">
        <v>1660</v>
      </c>
      <c r="I159" s="958">
        <v>42609</v>
      </c>
      <c r="J159" s="958">
        <v>42609</v>
      </c>
      <c r="K159" s="661"/>
      <c r="L159" s="661"/>
    </row>
    <row r="160" spans="1:12">
      <c r="A160" s="661"/>
      <c r="B160" s="940">
        <v>156</v>
      </c>
      <c r="C160" s="940" t="s">
        <v>1745</v>
      </c>
      <c r="D160" s="940" t="s">
        <v>1758</v>
      </c>
      <c r="E160" s="940" t="s">
        <v>1759</v>
      </c>
      <c r="F160" s="957">
        <v>150</v>
      </c>
      <c r="G160" s="940" t="s">
        <v>1747</v>
      </c>
      <c r="H160" s="940" t="s">
        <v>1660</v>
      </c>
      <c r="I160" s="958">
        <v>42609</v>
      </c>
      <c r="J160" s="958">
        <v>42609</v>
      </c>
      <c r="K160" s="661"/>
      <c r="L160" s="661"/>
    </row>
    <row r="161" spans="1:12">
      <c r="A161" s="661"/>
      <c r="B161" s="940">
        <v>157</v>
      </c>
      <c r="C161" s="940" t="s">
        <v>1745</v>
      </c>
      <c r="D161" s="940" t="s">
        <v>1760</v>
      </c>
      <c r="E161" s="940" t="s">
        <v>1761</v>
      </c>
      <c r="F161" s="957">
        <v>140</v>
      </c>
      <c r="G161" s="940" t="s">
        <v>1747</v>
      </c>
      <c r="H161" s="940" t="s">
        <v>1660</v>
      </c>
      <c r="I161" s="958">
        <v>42609</v>
      </c>
      <c r="J161" s="958">
        <v>42609</v>
      </c>
      <c r="K161" s="661"/>
      <c r="L161" s="661"/>
    </row>
    <row r="162" spans="1:12">
      <c r="A162" s="661"/>
      <c r="B162" s="940">
        <v>158</v>
      </c>
      <c r="C162" s="940" t="s">
        <v>1745</v>
      </c>
      <c r="D162" s="940" t="s">
        <v>1760</v>
      </c>
      <c r="E162" s="940" t="s">
        <v>1762</v>
      </c>
      <c r="F162" s="957">
        <v>150</v>
      </c>
      <c r="G162" s="940" t="s">
        <v>1747</v>
      </c>
      <c r="H162" s="940" t="s">
        <v>1660</v>
      </c>
      <c r="I162" s="958">
        <v>42609</v>
      </c>
      <c r="J162" s="958">
        <v>42609</v>
      </c>
      <c r="K162" s="661"/>
      <c r="L162" s="661"/>
    </row>
    <row r="163" spans="1:12">
      <c r="A163" s="661"/>
      <c r="B163" s="940">
        <v>159</v>
      </c>
      <c r="C163" s="940" t="s">
        <v>1745</v>
      </c>
      <c r="D163" s="940" t="s">
        <v>1748</v>
      </c>
      <c r="E163" s="940" t="s">
        <v>1763</v>
      </c>
      <c r="F163" s="957">
        <v>200</v>
      </c>
      <c r="G163" s="940" t="s">
        <v>1747</v>
      </c>
      <c r="H163" s="940" t="s">
        <v>1660</v>
      </c>
      <c r="I163" s="958">
        <v>42609</v>
      </c>
      <c r="J163" s="958">
        <v>42609</v>
      </c>
      <c r="K163" s="661"/>
      <c r="L163" s="661"/>
    </row>
    <row r="164" spans="1:12">
      <c r="A164" s="661"/>
      <c r="B164" s="940">
        <v>160</v>
      </c>
      <c r="C164" s="940" t="s">
        <v>1745</v>
      </c>
      <c r="D164" s="940" t="s">
        <v>1756</v>
      </c>
      <c r="E164" s="940" t="s">
        <v>1763</v>
      </c>
      <c r="F164" s="957">
        <v>350</v>
      </c>
      <c r="G164" s="940" t="s">
        <v>1747</v>
      </c>
      <c r="H164" s="940" t="s">
        <v>1660</v>
      </c>
      <c r="I164" s="958">
        <v>42609</v>
      </c>
      <c r="J164" s="958">
        <v>42609</v>
      </c>
      <c r="K164" s="661"/>
      <c r="L164" s="661"/>
    </row>
    <row r="165" spans="1:12">
      <c r="A165" s="661"/>
      <c r="B165" s="940">
        <v>161</v>
      </c>
      <c r="C165" s="940" t="s">
        <v>1745</v>
      </c>
      <c r="D165" s="940" t="s">
        <v>1764</v>
      </c>
      <c r="E165" s="940" t="s">
        <v>1765</v>
      </c>
      <c r="F165" s="957">
        <v>150</v>
      </c>
      <c r="G165" s="940" t="s">
        <v>1747</v>
      </c>
      <c r="H165" s="940" t="s">
        <v>1660</v>
      </c>
      <c r="I165" s="958">
        <v>42609</v>
      </c>
      <c r="J165" s="958">
        <v>42609</v>
      </c>
      <c r="K165" s="661"/>
      <c r="L165" s="661"/>
    </row>
    <row r="166" spans="1:12">
      <c r="A166" s="661"/>
      <c r="B166" s="940">
        <v>162</v>
      </c>
      <c r="C166" s="940" t="s">
        <v>1745</v>
      </c>
      <c r="D166" s="940" t="s">
        <v>1766</v>
      </c>
      <c r="E166" s="940" t="s">
        <v>1763</v>
      </c>
      <c r="F166" s="957">
        <v>450</v>
      </c>
      <c r="G166" s="940" t="s">
        <v>1747</v>
      </c>
      <c r="H166" s="940" t="s">
        <v>1660</v>
      </c>
      <c r="I166" s="958">
        <v>42609</v>
      </c>
      <c r="J166" s="958">
        <v>42609</v>
      </c>
      <c r="K166" s="661"/>
      <c r="L166" s="661"/>
    </row>
    <row r="167" spans="1:12">
      <c r="A167" s="661"/>
      <c r="B167" s="940">
        <v>163</v>
      </c>
      <c r="C167" s="940" t="s">
        <v>1745</v>
      </c>
      <c r="D167" s="940" t="s">
        <v>1760</v>
      </c>
      <c r="E167" s="940" t="s">
        <v>1767</v>
      </c>
      <c r="F167" s="957">
        <v>74</v>
      </c>
      <c r="G167" s="940" t="s">
        <v>1747</v>
      </c>
      <c r="H167" s="940" t="s">
        <v>1660</v>
      </c>
      <c r="I167" s="958">
        <v>42609</v>
      </c>
      <c r="J167" s="958">
        <v>42609</v>
      </c>
      <c r="K167" s="661"/>
      <c r="L167" s="661"/>
    </row>
    <row r="168" spans="1:12">
      <c r="A168" s="661"/>
      <c r="B168" s="940">
        <v>164</v>
      </c>
      <c r="C168" s="940" t="s">
        <v>1745</v>
      </c>
      <c r="D168" s="940" t="s">
        <v>1766</v>
      </c>
      <c r="E168" s="940" t="s">
        <v>1768</v>
      </c>
      <c r="F168" s="957">
        <v>400</v>
      </c>
      <c r="G168" s="940" t="s">
        <v>1747</v>
      </c>
      <c r="H168" s="940" t="s">
        <v>1660</v>
      </c>
      <c r="I168" s="958">
        <v>42609</v>
      </c>
      <c r="J168" s="958">
        <v>42609</v>
      </c>
      <c r="K168" s="661"/>
      <c r="L168" s="661"/>
    </row>
    <row r="169" spans="1:12">
      <c r="A169" s="661"/>
      <c r="B169" s="940">
        <v>165</v>
      </c>
      <c r="C169" s="940" t="s">
        <v>1745</v>
      </c>
      <c r="D169" s="940" t="s">
        <v>1756</v>
      </c>
      <c r="E169" s="940" t="s">
        <v>1769</v>
      </c>
      <c r="F169" s="957">
        <v>300</v>
      </c>
      <c r="G169" s="940" t="s">
        <v>1747</v>
      </c>
      <c r="H169" s="940" t="s">
        <v>1660</v>
      </c>
      <c r="I169" s="958">
        <v>42609</v>
      </c>
      <c r="J169" s="958">
        <v>42609</v>
      </c>
      <c r="K169" s="661"/>
      <c r="L169" s="661"/>
    </row>
    <row r="170" spans="1:12">
      <c r="A170" s="661"/>
      <c r="B170" s="940">
        <v>166</v>
      </c>
      <c r="C170" s="940" t="s">
        <v>1745</v>
      </c>
      <c r="D170" s="940" t="s">
        <v>1758</v>
      </c>
      <c r="E170" s="940" t="s">
        <v>1770</v>
      </c>
      <c r="F170" s="957">
        <v>110</v>
      </c>
      <c r="G170" s="940" t="s">
        <v>1771</v>
      </c>
      <c r="H170" s="940" t="s">
        <v>1660</v>
      </c>
      <c r="I170" s="958">
        <v>42609</v>
      </c>
      <c r="J170" s="958">
        <v>42609</v>
      </c>
      <c r="K170" s="661"/>
      <c r="L170" s="661"/>
    </row>
    <row r="171" spans="1:12">
      <c r="A171" s="661"/>
      <c r="B171" s="940">
        <v>167</v>
      </c>
      <c r="C171" s="940" t="s">
        <v>1745</v>
      </c>
      <c r="D171" s="940" t="s">
        <v>1754</v>
      </c>
      <c r="E171" s="940" t="s">
        <v>1772</v>
      </c>
      <c r="F171" s="957">
        <v>150</v>
      </c>
      <c r="G171" s="940" t="s">
        <v>1747</v>
      </c>
      <c r="H171" s="940" t="s">
        <v>1660</v>
      </c>
      <c r="I171" s="958">
        <v>42609</v>
      </c>
      <c r="J171" s="958">
        <v>42609</v>
      </c>
      <c r="K171" s="661"/>
      <c r="L171" s="661"/>
    </row>
    <row r="172" spans="1:12">
      <c r="A172" s="661"/>
      <c r="B172" s="940">
        <v>168</v>
      </c>
      <c r="C172" s="940" t="s">
        <v>1745</v>
      </c>
      <c r="D172" s="940" t="s">
        <v>1760</v>
      </c>
      <c r="E172" s="940" t="s">
        <v>1773</v>
      </c>
      <c r="F172" s="957">
        <v>125</v>
      </c>
      <c r="G172" s="940" t="s">
        <v>1747</v>
      </c>
      <c r="H172" s="940" t="s">
        <v>1660</v>
      </c>
      <c r="I172" s="958">
        <v>42609</v>
      </c>
      <c r="J172" s="958">
        <v>42609</v>
      </c>
      <c r="K172" s="661"/>
      <c r="L172" s="661"/>
    </row>
    <row r="173" spans="1:12">
      <c r="A173" s="661"/>
      <c r="B173" s="940">
        <v>169</v>
      </c>
      <c r="C173" s="940" t="s">
        <v>1745</v>
      </c>
      <c r="D173" s="940" t="s">
        <v>1774</v>
      </c>
      <c r="E173" s="940" t="s">
        <v>1775</v>
      </c>
      <c r="F173" s="957">
        <v>90</v>
      </c>
      <c r="G173" s="940" t="s">
        <v>1747</v>
      </c>
      <c r="H173" s="940" t="s">
        <v>1660</v>
      </c>
      <c r="I173" s="958">
        <v>42609</v>
      </c>
      <c r="J173" s="958">
        <v>42609</v>
      </c>
      <c r="K173" s="661"/>
      <c r="L173" s="661"/>
    </row>
    <row r="174" spans="1:12">
      <c r="A174" s="661"/>
      <c r="B174" s="940">
        <v>170</v>
      </c>
      <c r="C174" s="940" t="s">
        <v>1745</v>
      </c>
      <c r="D174" s="940" t="s">
        <v>1774</v>
      </c>
      <c r="E174" s="940" t="s">
        <v>1776</v>
      </c>
      <c r="F174" s="957">
        <v>120</v>
      </c>
      <c r="G174" s="940" t="s">
        <v>1747</v>
      </c>
      <c r="H174" s="940" t="s">
        <v>1660</v>
      </c>
      <c r="I174" s="958">
        <v>42609</v>
      </c>
      <c r="J174" s="958">
        <v>42609</v>
      </c>
      <c r="K174" s="661"/>
      <c r="L174" s="661"/>
    </row>
    <row r="175" spans="1:12">
      <c r="A175" s="661"/>
      <c r="B175" s="940">
        <v>171</v>
      </c>
      <c r="C175" s="940" t="s">
        <v>1745</v>
      </c>
      <c r="D175" s="940" t="s">
        <v>1774</v>
      </c>
      <c r="E175" s="940" t="s">
        <v>1777</v>
      </c>
      <c r="F175" s="957">
        <v>250</v>
      </c>
      <c r="G175" s="940" t="s">
        <v>1747</v>
      </c>
      <c r="H175" s="940" t="s">
        <v>1660</v>
      </c>
      <c r="I175" s="958">
        <v>42609</v>
      </c>
      <c r="J175" s="958">
        <v>42609</v>
      </c>
      <c r="K175" s="661"/>
      <c r="L175" s="661"/>
    </row>
    <row r="176" spans="1:12">
      <c r="A176" s="661"/>
      <c r="B176" s="940">
        <v>172</v>
      </c>
      <c r="C176" s="940" t="s">
        <v>1745</v>
      </c>
      <c r="D176" s="940" t="s">
        <v>1774</v>
      </c>
      <c r="E176" s="940" t="s">
        <v>1778</v>
      </c>
      <c r="F176" s="957">
        <v>350</v>
      </c>
      <c r="G176" s="940" t="s">
        <v>1747</v>
      </c>
      <c r="H176" s="940" t="s">
        <v>1660</v>
      </c>
      <c r="I176" s="958">
        <v>42609</v>
      </c>
      <c r="J176" s="958">
        <v>42609</v>
      </c>
      <c r="K176" s="661"/>
      <c r="L176" s="661"/>
    </row>
    <row r="177" spans="1:12">
      <c r="A177" s="661"/>
      <c r="B177" s="940">
        <v>173</v>
      </c>
      <c r="C177" s="940" t="s">
        <v>1745</v>
      </c>
      <c r="D177" s="940" t="s">
        <v>1774</v>
      </c>
      <c r="E177" s="940" t="s">
        <v>1779</v>
      </c>
      <c r="F177" s="957">
        <v>500</v>
      </c>
      <c r="G177" s="940" t="s">
        <v>1747</v>
      </c>
      <c r="H177" s="940" t="s">
        <v>1660</v>
      </c>
      <c r="I177" s="958">
        <v>42609</v>
      </c>
      <c r="J177" s="958">
        <v>42609</v>
      </c>
      <c r="K177" s="661"/>
      <c r="L177" s="661"/>
    </row>
    <row r="178" spans="1:12">
      <c r="A178" s="661"/>
      <c r="B178" s="940">
        <v>174</v>
      </c>
      <c r="C178" s="940" t="s">
        <v>1745</v>
      </c>
      <c r="D178" s="940" t="s">
        <v>1748</v>
      </c>
      <c r="E178" s="940" t="s">
        <v>1769</v>
      </c>
      <c r="F178" s="957">
        <v>180</v>
      </c>
      <c r="G178" s="940" t="s">
        <v>1747</v>
      </c>
      <c r="H178" s="940" t="s">
        <v>1660</v>
      </c>
      <c r="I178" s="958">
        <v>42609</v>
      </c>
      <c r="J178" s="958">
        <v>42609</v>
      </c>
      <c r="K178" s="661"/>
      <c r="L178" s="661"/>
    </row>
    <row r="179" spans="1:12">
      <c r="A179" s="661"/>
      <c r="B179" s="940">
        <v>175</v>
      </c>
      <c r="C179" s="940" t="s">
        <v>1745</v>
      </c>
      <c r="D179" s="940" t="s">
        <v>1748</v>
      </c>
      <c r="E179" s="940" t="s">
        <v>1780</v>
      </c>
      <c r="F179" s="957">
        <v>300</v>
      </c>
      <c r="G179" s="940" t="s">
        <v>1747</v>
      </c>
      <c r="H179" s="940" t="s">
        <v>1660</v>
      </c>
      <c r="I179" s="958">
        <v>42609</v>
      </c>
      <c r="J179" s="958">
        <v>42609</v>
      </c>
      <c r="K179" s="661"/>
      <c r="L179" s="661"/>
    </row>
    <row r="180" spans="1:12">
      <c r="A180" s="661"/>
      <c r="B180" s="940">
        <v>176</v>
      </c>
      <c r="C180" s="940" t="s">
        <v>1745</v>
      </c>
      <c r="D180" s="940" t="s">
        <v>1781</v>
      </c>
      <c r="E180" s="940"/>
      <c r="F180" s="957">
        <v>75</v>
      </c>
      <c r="G180" s="940" t="s">
        <v>1747</v>
      </c>
      <c r="H180" s="940" t="s">
        <v>1660</v>
      </c>
      <c r="I180" s="958">
        <v>42609</v>
      </c>
      <c r="J180" s="958">
        <v>42609</v>
      </c>
      <c r="K180" s="661"/>
      <c r="L180" s="661"/>
    </row>
    <row r="181" spans="1:12">
      <c r="A181" s="661"/>
      <c r="B181" s="940">
        <v>177</v>
      </c>
      <c r="C181" s="940" t="s">
        <v>1745</v>
      </c>
      <c r="D181" s="940" t="s">
        <v>1782</v>
      </c>
      <c r="E181" s="940"/>
      <c r="F181" s="957">
        <v>1800</v>
      </c>
      <c r="G181" s="940" t="s">
        <v>1747</v>
      </c>
      <c r="H181" s="940" t="s">
        <v>1660</v>
      </c>
      <c r="I181" s="958">
        <v>42609</v>
      </c>
      <c r="J181" s="958">
        <v>42609</v>
      </c>
      <c r="K181" s="661"/>
      <c r="L181" s="661"/>
    </row>
    <row r="182" spans="1:12">
      <c r="A182" s="661"/>
      <c r="B182" s="940">
        <v>178</v>
      </c>
      <c r="C182" s="940" t="s">
        <v>1745</v>
      </c>
      <c r="D182" s="940" t="s">
        <v>1750</v>
      </c>
      <c r="E182" s="940" t="s">
        <v>1783</v>
      </c>
      <c r="F182" s="957">
        <v>800</v>
      </c>
      <c r="G182" s="940" t="s">
        <v>1747</v>
      </c>
      <c r="H182" s="940" t="s">
        <v>1660</v>
      </c>
      <c r="I182" s="958">
        <v>42609</v>
      </c>
      <c r="J182" s="958">
        <v>42609</v>
      </c>
      <c r="K182" s="661"/>
      <c r="L182" s="661"/>
    </row>
    <row r="183" spans="1:12">
      <c r="A183" s="661"/>
      <c r="B183" s="940">
        <v>179</v>
      </c>
      <c r="C183" s="940" t="s">
        <v>1745</v>
      </c>
      <c r="D183" s="940" t="s">
        <v>118</v>
      </c>
      <c r="E183" s="940" t="s">
        <v>1784</v>
      </c>
      <c r="F183" s="957">
        <v>420</v>
      </c>
      <c r="G183" s="940" t="s">
        <v>1747</v>
      </c>
      <c r="H183" s="940" t="s">
        <v>1660</v>
      </c>
      <c r="I183" s="958">
        <v>42609</v>
      </c>
      <c r="J183" s="958">
        <v>42609</v>
      </c>
      <c r="K183" s="661"/>
      <c r="L183" s="661"/>
    </row>
    <row r="184" spans="1:12">
      <c r="A184" s="661"/>
      <c r="B184" s="940">
        <v>180</v>
      </c>
      <c r="C184" s="940" t="s">
        <v>1745</v>
      </c>
      <c r="D184" s="940" t="s">
        <v>118</v>
      </c>
      <c r="E184" s="940" t="s">
        <v>1785</v>
      </c>
      <c r="F184" s="957">
        <v>240</v>
      </c>
      <c r="G184" s="940" t="s">
        <v>1747</v>
      </c>
      <c r="H184" s="940" t="s">
        <v>1660</v>
      </c>
      <c r="I184" s="958">
        <v>42609</v>
      </c>
      <c r="J184" s="958">
        <v>42609</v>
      </c>
      <c r="K184" s="661"/>
      <c r="L184" s="661"/>
    </row>
    <row r="185" spans="1:12">
      <c r="A185" s="661"/>
      <c r="B185" s="940">
        <v>181</v>
      </c>
      <c r="C185" s="940" t="s">
        <v>1745</v>
      </c>
      <c r="D185" s="940" t="s">
        <v>1786</v>
      </c>
      <c r="E185" s="940" t="s">
        <v>1787</v>
      </c>
      <c r="F185" s="957">
        <v>600</v>
      </c>
      <c r="G185" s="940" t="s">
        <v>1747</v>
      </c>
      <c r="H185" s="940" t="s">
        <v>1660</v>
      </c>
      <c r="I185" s="958">
        <v>42609</v>
      </c>
      <c r="J185" s="958">
        <v>42609</v>
      </c>
      <c r="K185" s="661"/>
      <c r="L185" s="661"/>
    </row>
    <row r="186" spans="1:12">
      <c r="A186" s="661"/>
      <c r="B186" s="940">
        <v>182</v>
      </c>
      <c r="C186" s="940" t="s">
        <v>1745</v>
      </c>
      <c r="D186" s="940" t="s">
        <v>1754</v>
      </c>
      <c r="E186" s="940" t="s">
        <v>1788</v>
      </c>
      <c r="F186" s="957">
        <v>240</v>
      </c>
      <c r="G186" s="940" t="s">
        <v>1747</v>
      </c>
      <c r="H186" s="940" t="s">
        <v>1660</v>
      </c>
      <c r="I186" s="958">
        <v>42609</v>
      </c>
      <c r="J186" s="958">
        <v>42609</v>
      </c>
      <c r="K186" s="661"/>
      <c r="L186" s="661"/>
    </row>
    <row r="187" spans="1:12">
      <c r="A187" s="661"/>
      <c r="B187" s="940">
        <v>183</v>
      </c>
      <c r="C187" s="940" t="s">
        <v>1745</v>
      </c>
      <c r="D187" s="940" t="s">
        <v>1754</v>
      </c>
      <c r="E187" s="940" t="s">
        <v>1789</v>
      </c>
      <c r="F187" s="957">
        <v>200</v>
      </c>
      <c r="G187" s="940" t="s">
        <v>1747</v>
      </c>
      <c r="H187" s="940" t="s">
        <v>1660</v>
      </c>
      <c r="I187" s="958">
        <v>42609</v>
      </c>
      <c r="J187" s="958">
        <v>42609</v>
      </c>
      <c r="K187" s="661"/>
      <c r="L187" s="661"/>
    </row>
    <row r="188" spans="1:12">
      <c r="A188" s="661"/>
      <c r="B188" s="940">
        <v>184</v>
      </c>
      <c r="C188" s="940" t="s">
        <v>1745</v>
      </c>
      <c r="D188" s="940" t="s">
        <v>1754</v>
      </c>
      <c r="E188" s="940" t="s">
        <v>1790</v>
      </c>
      <c r="F188" s="957">
        <v>240</v>
      </c>
      <c r="G188" s="940" t="s">
        <v>1747</v>
      </c>
      <c r="H188" s="940" t="s">
        <v>1660</v>
      </c>
      <c r="I188" s="958">
        <v>42609</v>
      </c>
      <c r="J188" s="958">
        <v>42609</v>
      </c>
      <c r="K188" s="661"/>
      <c r="L188" s="661"/>
    </row>
    <row r="189" spans="1:12">
      <c r="A189" s="661"/>
      <c r="B189" s="940">
        <v>185</v>
      </c>
      <c r="C189" s="940" t="s">
        <v>1745</v>
      </c>
      <c r="D189" s="940" t="s">
        <v>1754</v>
      </c>
      <c r="E189" s="940" t="s">
        <v>1791</v>
      </c>
      <c r="F189" s="957">
        <v>300</v>
      </c>
      <c r="G189" s="940" t="s">
        <v>1747</v>
      </c>
      <c r="H189" s="940" t="s">
        <v>1660</v>
      </c>
      <c r="I189" s="958">
        <v>42609</v>
      </c>
      <c r="J189" s="958">
        <v>42609</v>
      </c>
      <c r="K189" s="661"/>
      <c r="L189" s="661"/>
    </row>
    <row r="190" spans="1:12">
      <c r="A190" s="661"/>
      <c r="B190" s="940">
        <v>186</v>
      </c>
      <c r="C190" s="940" t="s">
        <v>1745</v>
      </c>
      <c r="D190" s="940" t="s">
        <v>1750</v>
      </c>
      <c r="E190" s="940" t="s">
        <v>1792</v>
      </c>
      <c r="F190" s="957">
        <v>1200</v>
      </c>
      <c r="G190" s="940" t="s">
        <v>1747</v>
      </c>
      <c r="H190" s="940" t="s">
        <v>1660</v>
      </c>
      <c r="I190" s="958">
        <v>42609</v>
      </c>
      <c r="J190" s="958">
        <v>42609</v>
      </c>
      <c r="K190" s="661"/>
      <c r="L190" s="661"/>
    </row>
    <row r="191" spans="1:12">
      <c r="A191" s="661"/>
      <c r="B191" s="940">
        <v>187</v>
      </c>
      <c r="C191" s="940" t="s">
        <v>1745</v>
      </c>
      <c r="D191" s="940" t="s">
        <v>1793</v>
      </c>
      <c r="E191" s="940" t="s">
        <v>1794</v>
      </c>
      <c r="F191" s="957">
        <v>180</v>
      </c>
      <c r="G191" s="940" t="s">
        <v>1747</v>
      </c>
      <c r="H191" s="940" t="s">
        <v>1660</v>
      </c>
      <c r="I191" s="958">
        <v>42609</v>
      </c>
      <c r="J191" s="958">
        <v>42609</v>
      </c>
      <c r="K191" s="661"/>
      <c r="L191" s="661"/>
    </row>
    <row r="192" spans="1:12">
      <c r="A192" s="661"/>
      <c r="B192" s="940">
        <v>188</v>
      </c>
      <c r="C192" s="940" t="s">
        <v>1745</v>
      </c>
      <c r="D192" s="940" t="s">
        <v>140</v>
      </c>
      <c r="E192" s="940" t="s">
        <v>1795</v>
      </c>
      <c r="F192" s="957">
        <v>180</v>
      </c>
      <c r="G192" s="940" t="s">
        <v>1747</v>
      </c>
      <c r="H192" s="940" t="s">
        <v>1660</v>
      </c>
      <c r="I192" s="958">
        <v>42609</v>
      </c>
      <c r="J192" s="958">
        <v>42609</v>
      </c>
      <c r="K192" s="661"/>
      <c r="L192" s="661"/>
    </row>
    <row r="193" spans="1:12">
      <c r="A193" s="661"/>
      <c r="B193" s="940">
        <v>189</v>
      </c>
      <c r="C193" s="940" t="s">
        <v>1745</v>
      </c>
      <c r="D193" s="940" t="s">
        <v>1764</v>
      </c>
      <c r="E193" s="940" t="s">
        <v>1796</v>
      </c>
      <c r="F193" s="957">
        <v>150</v>
      </c>
      <c r="G193" s="940" t="s">
        <v>1747</v>
      </c>
      <c r="H193" s="940" t="s">
        <v>1660</v>
      </c>
      <c r="I193" s="958">
        <v>42609</v>
      </c>
      <c r="J193" s="958">
        <v>42609</v>
      </c>
      <c r="K193" s="661"/>
      <c r="L193" s="661"/>
    </row>
    <row r="194" spans="1:12">
      <c r="A194" s="661"/>
      <c r="B194" s="940">
        <v>190</v>
      </c>
      <c r="C194" s="940" t="s">
        <v>1745</v>
      </c>
      <c r="D194" s="940" t="s">
        <v>110</v>
      </c>
      <c r="E194" s="940" t="s">
        <v>1797</v>
      </c>
      <c r="F194" s="957">
        <v>90</v>
      </c>
      <c r="G194" s="940" t="s">
        <v>1747</v>
      </c>
      <c r="H194" s="940" t="s">
        <v>1660</v>
      </c>
      <c r="I194" s="958">
        <v>42609</v>
      </c>
      <c r="J194" s="958">
        <v>42609</v>
      </c>
      <c r="K194" s="661"/>
      <c r="L194" s="661"/>
    </row>
    <row r="195" spans="1:12">
      <c r="A195" s="661"/>
      <c r="B195" s="940">
        <v>191</v>
      </c>
      <c r="C195" s="940" t="s">
        <v>1745</v>
      </c>
      <c r="D195" s="940" t="s">
        <v>1756</v>
      </c>
      <c r="E195" s="940" t="s">
        <v>1780</v>
      </c>
      <c r="F195" s="957">
        <v>450</v>
      </c>
      <c r="G195" s="940" t="s">
        <v>1747</v>
      </c>
      <c r="H195" s="940" t="s">
        <v>1660</v>
      </c>
      <c r="I195" s="958">
        <v>42609</v>
      </c>
      <c r="J195" s="958">
        <v>42609</v>
      </c>
      <c r="K195" s="661"/>
      <c r="L195" s="661"/>
    </row>
    <row r="196" spans="1:12">
      <c r="A196" s="661"/>
      <c r="B196" s="940">
        <v>192</v>
      </c>
      <c r="C196" s="940" t="s">
        <v>1745</v>
      </c>
      <c r="D196" s="940" t="s">
        <v>140</v>
      </c>
      <c r="E196" s="940" t="s">
        <v>1798</v>
      </c>
      <c r="F196" s="957">
        <v>160</v>
      </c>
      <c r="G196" s="940" t="s">
        <v>1747</v>
      </c>
      <c r="H196" s="940" t="s">
        <v>1660</v>
      </c>
      <c r="I196" s="958">
        <v>42609</v>
      </c>
      <c r="J196" s="958">
        <v>42609</v>
      </c>
      <c r="K196" s="661"/>
      <c r="L196" s="661"/>
    </row>
    <row r="197" spans="1:12">
      <c r="A197" s="661"/>
      <c r="B197" s="940">
        <v>193</v>
      </c>
      <c r="C197" s="940" t="s">
        <v>1745</v>
      </c>
      <c r="D197" s="940" t="s">
        <v>110</v>
      </c>
      <c r="E197" s="940" t="s">
        <v>1799</v>
      </c>
      <c r="F197" s="957">
        <v>90</v>
      </c>
      <c r="G197" s="940" t="s">
        <v>1747</v>
      </c>
      <c r="H197" s="940" t="s">
        <v>1660</v>
      </c>
      <c r="I197" s="958">
        <v>42609</v>
      </c>
      <c r="J197" s="958">
        <v>42609</v>
      </c>
      <c r="K197" s="661"/>
      <c r="L197" s="661"/>
    </row>
    <row r="198" spans="1:12">
      <c r="A198" s="661"/>
      <c r="B198" s="940">
        <v>194</v>
      </c>
      <c r="C198" s="940" t="s">
        <v>1745</v>
      </c>
      <c r="D198" s="940" t="s">
        <v>110</v>
      </c>
      <c r="E198" s="940" t="s">
        <v>1800</v>
      </c>
      <c r="F198" s="957">
        <v>100</v>
      </c>
      <c r="G198" s="940" t="s">
        <v>1747</v>
      </c>
      <c r="H198" s="940" t="s">
        <v>1660</v>
      </c>
      <c r="I198" s="958">
        <v>42609</v>
      </c>
      <c r="J198" s="958">
        <v>42609</v>
      </c>
      <c r="K198" s="661"/>
      <c r="L198" s="661"/>
    </row>
    <row r="199" spans="1:12">
      <c r="A199" s="661"/>
      <c r="B199" s="940">
        <v>195</v>
      </c>
      <c r="C199" s="940" t="s">
        <v>1433</v>
      </c>
      <c r="D199" s="940" t="s">
        <v>1433</v>
      </c>
      <c r="E199" s="940" t="s">
        <v>1683</v>
      </c>
      <c r="F199" s="957">
        <v>4200</v>
      </c>
      <c r="G199" s="940" t="s">
        <v>1801</v>
      </c>
      <c r="H199" s="940" t="s">
        <v>1660</v>
      </c>
      <c r="I199" s="958">
        <v>42609</v>
      </c>
      <c r="J199" s="958">
        <v>42609</v>
      </c>
      <c r="K199" s="661"/>
      <c r="L199" s="661"/>
    </row>
    <row r="200" spans="1:12">
      <c r="A200" s="661"/>
      <c r="B200" s="940">
        <v>196</v>
      </c>
      <c r="C200" s="940" t="s">
        <v>1433</v>
      </c>
      <c r="D200" s="940" t="s">
        <v>1433</v>
      </c>
      <c r="E200" s="940" t="s">
        <v>1802</v>
      </c>
      <c r="F200" s="957">
        <v>2344</v>
      </c>
      <c r="G200" s="940" t="s">
        <v>1801</v>
      </c>
      <c r="H200" s="940" t="s">
        <v>1660</v>
      </c>
      <c r="I200" s="958">
        <v>42609</v>
      </c>
      <c r="J200" s="958">
        <v>42609</v>
      </c>
      <c r="K200" s="661"/>
      <c r="L200" s="661"/>
    </row>
    <row r="201" spans="1:12">
      <c r="A201" s="661"/>
      <c r="B201" s="940">
        <v>197</v>
      </c>
      <c r="C201" s="940" t="s">
        <v>1433</v>
      </c>
      <c r="D201" s="940" t="s">
        <v>1433</v>
      </c>
      <c r="E201" s="940" t="s">
        <v>1675</v>
      </c>
      <c r="F201" s="957">
        <v>1800</v>
      </c>
      <c r="G201" s="940" t="s">
        <v>1801</v>
      </c>
      <c r="H201" s="940" t="s">
        <v>1660</v>
      </c>
      <c r="I201" s="958">
        <v>42609</v>
      </c>
      <c r="J201" s="958">
        <v>42609</v>
      </c>
      <c r="K201" s="661"/>
      <c r="L201" s="661"/>
    </row>
    <row r="202" spans="1:12">
      <c r="A202" s="661"/>
      <c r="B202" s="940">
        <v>198</v>
      </c>
      <c r="C202" s="940" t="s">
        <v>1433</v>
      </c>
      <c r="D202" s="940" t="s">
        <v>1433</v>
      </c>
      <c r="E202" s="940" t="s">
        <v>1803</v>
      </c>
      <c r="F202" s="957">
        <v>1800</v>
      </c>
      <c r="G202" s="940" t="s">
        <v>1801</v>
      </c>
      <c r="H202" s="940" t="s">
        <v>1660</v>
      </c>
      <c r="I202" s="958">
        <v>42609</v>
      </c>
      <c r="J202" s="958">
        <v>42609</v>
      </c>
      <c r="K202" s="661"/>
      <c r="L202" s="661"/>
    </row>
    <row r="203" spans="1:12">
      <c r="A203" s="661"/>
      <c r="B203" s="940">
        <v>199</v>
      </c>
      <c r="C203" s="940" t="s">
        <v>1433</v>
      </c>
      <c r="D203" s="940" t="s">
        <v>1433</v>
      </c>
      <c r="E203" s="940" t="s">
        <v>1671</v>
      </c>
      <c r="F203" s="957">
        <v>1300</v>
      </c>
      <c r="G203" s="940" t="s">
        <v>1801</v>
      </c>
      <c r="H203" s="940" t="s">
        <v>1660</v>
      </c>
      <c r="I203" s="958">
        <v>42609</v>
      </c>
      <c r="J203" s="958">
        <v>42609</v>
      </c>
      <c r="K203" s="661"/>
      <c r="L203" s="661"/>
    </row>
    <row r="204" spans="1:12">
      <c r="A204" s="661"/>
      <c r="B204" s="940">
        <v>200</v>
      </c>
      <c r="C204" s="940" t="s">
        <v>1433</v>
      </c>
      <c r="D204" s="940" t="s">
        <v>1433</v>
      </c>
      <c r="E204" s="940" t="s">
        <v>1804</v>
      </c>
      <c r="F204" s="957">
        <v>1100</v>
      </c>
      <c r="G204" s="940" t="s">
        <v>1801</v>
      </c>
      <c r="H204" s="940" t="s">
        <v>1660</v>
      </c>
      <c r="I204" s="958">
        <v>42609</v>
      </c>
      <c r="J204" s="958">
        <v>42609</v>
      </c>
      <c r="K204" s="661"/>
      <c r="L204" s="661"/>
    </row>
    <row r="205" spans="1:12">
      <c r="A205" s="661"/>
      <c r="B205" s="940">
        <v>201</v>
      </c>
      <c r="C205" s="940" t="s">
        <v>1433</v>
      </c>
      <c r="D205" s="940" t="s">
        <v>1433</v>
      </c>
      <c r="E205" s="940" t="s">
        <v>1669</v>
      </c>
      <c r="F205" s="957">
        <v>900</v>
      </c>
      <c r="G205" s="940" t="s">
        <v>1801</v>
      </c>
      <c r="H205" s="940" t="s">
        <v>1660</v>
      </c>
      <c r="I205" s="958">
        <v>42609</v>
      </c>
      <c r="J205" s="958">
        <v>42609</v>
      </c>
      <c r="K205" s="661"/>
      <c r="L205" s="661"/>
    </row>
    <row r="206" spans="1:12">
      <c r="A206" s="661"/>
      <c r="B206" s="940">
        <v>202</v>
      </c>
      <c r="C206" s="940" t="s">
        <v>1433</v>
      </c>
      <c r="D206" s="940" t="s">
        <v>1433</v>
      </c>
      <c r="E206" s="940" t="s">
        <v>1805</v>
      </c>
      <c r="F206" s="957">
        <v>800</v>
      </c>
      <c r="G206" s="940" t="s">
        <v>1801</v>
      </c>
      <c r="H206" s="940" t="s">
        <v>1660</v>
      </c>
      <c r="I206" s="958">
        <v>42609</v>
      </c>
      <c r="J206" s="958">
        <v>42609</v>
      </c>
      <c r="K206" s="661"/>
      <c r="L206" s="661"/>
    </row>
    <row r="207" spans="1:12">
      <c r="A207" s="661"/>
      <c r="B207" s="940">
        <v>203</v>
      </c>
      <c r="C207" s="940" t="s">
        <v>1433</v>
      </c>
      <c r="D207" s="940" t="s">
        <v>1433</v>
      </c>
      <c r="E207" s="940" t="s">
        <v>1806</v>
      </c>
      <c r="F207" s="957">
        <v>610</v>
      </c>
      <c r="G207" s="940" t="s">
        <v>1801</v>
      </c>
      <c r="H207" s="940" t="s">
        <v>1660</v>
      </c>
      <c r="I207" s="958">
        <v>42609</v>
      </c>
      <c r="J207" s="958">
        <v>42609</v>
      </c>
      <c r="K207" s="661"/>
      <c r="L207" s="661"/>
    </row>
    <row r="208" spans="1:12">
      <c r="A208" s="661"/>
      <c r="B208" s="940">
        <v>204</v>
      </c>
      <c r="C208" s="940" t="s">
        <v>1433</v>
      </c>
      <c r="D208" s="940" t="s">
        <v>1433</v>
      </c>
      <c r="E208" s="940" t="s">
        <v>1666</v>
      </c>
      <c r="F208" s="957">
        <v>500</v>
      </c>
      <c r="G208" s="940" t="s">
        <v>1801</v>
      </c>
      <c r="H208" s="940" t="s">
        <v>1660</v>
      </c>
      <c r="I208" s="958">
        <v>42609</v>
      </c>
      <c r="J208" s="958">
        <v>42609</v>
      </c>
      <c r="K208" s="661"/>
      <c r="L208" s="661"/>
    </row>
    <row r="209" spans="1:12">
      <c r="A209" s="661"/>
      <c r="B209" s="940">
        <v>205</v>
      </c>
      <c r="C209" s="940" t="s">
        <v>1433</v>
      </c>
      <c r="D209" s="940" t="s">
        <v>1433</v>
      </c>
      <c r="E209" s="940" t="s">
        <v>1807</v>
      </c>
      <c r="F209" s="957">
        <v>300</v>
      </c>
      <c r="G209" s="940" t="s">
        <v>1801</v>
      </c>
      <c r="H209" s="940" t="s">
        <v>1660</v>
      </c>
      <c r="I209" s="958">
        <v>42609</v>
      </c>
      <c r="J209" s="958">
        <v>42609</v>
      </c>
      <c r="K209" s="661"/>
      <c r="L209" s="661"/>
    </row>
    <row r="210" spans="1:12">
      <c r="A210" s="661"/>
      <c r="B210" s="940">
        <v>206</v>
      </c>
      <c r="C210" s="940" t="s">
        <v>1433</v>
      </c>
      <c r="D210" s="940" t="s">
        <v>1433</v>
      </c>
      <c r="E210" s="940" t="s">
        <v>1808</v>
      </c>
      <c r="F210" s="957">
        <v>200</v>
      </c>
      <c r="G210" s="940" t="s">
        <v>1801</v>
      </c>
      <c r="H210" s="940" t="s">
        <v>1660</v>
      </c>
      <c r="I210" s="958">
        <v>42609</v>
      </c>
      <c r="J210" s="958">
        <v>42609</v>
      </c>
      <c r="K210" s="661"/>
      <c r="L210" s="661"/>
    </row>
    <row r="211" spans="1:12">
      <c r="A211" s="661"/>
      <c r="B211" s="940">
        <v>207</v>
      </c>
      <c r="C211" s="940" t="s">
        <v>1433</v>
      </c>
      <c r="D211" s="940" t="s">
        <v>1433</v>
      </c>
      <c r="E211" s="940" t="s">
        <v>1809</v>
      </c>
      <c r="F211" s="957">
        <v>180</v>
      </c>
      <c r="G211" s="940" t="s">
        <v>1801</v>
      </c>
      <c r="H211" s="940" t="s">
        <v>1660</v>
      </c>
      <c r="I211" s="958">
        <v>42609</v>
      </c>
      <c r="J211" s="958">
        <v>42609</v>
      </c>
      <c r="K211" s="661"/>
      <c r="L211" s="661"/>
    </row>
    <row r="212" spans="1:12">
      <c r="A212" s="661"/>
      <c r="B212" s="940">
        <v>208</v>
      </c>
      <c r="C212" s="940" t="s">
        <v>1395</v>
      </c>
      <c r="D212" s="940" t="s">
        <v>1810</v>
      </c>
      <c r="E212" s="940" t="s">
        <v>1811</v>
      </c>
      <c r="F212" s="957">
        <v>0.4</v>
      </c>
      <c r="G212" s="940" t="s">
        <v>1812</v>
      </c>
      <c r="H212" s="940" t="s">
        <v>1237</v>
      </c>
      <c r="I212" s="958">
        <v>43785</v>
      </c>
      <c r="J212" s="958">
        <v>45364</v>
      </c>
      <c r="K212" s="661"/>
      <c r="L212" s="661"/>
    </row>
    <row r="213" spans="1:12">
      <c r="A213" s="661"/>
      <c r="B213" s="940">
        <v>209</v>
      </c>
      <c r="C213" s="940" t="s">
        <v>1395</v>
      </c>
      <c r="D213" s="940" t="s">
        <v>1813</v>
      </c>
      <c r="E213" s="940" t="s">
        <v>1814</v>
      </c>
      <c r="F213" s="957">
        <v>0.5</v>
      </c>
      <c r="G213" s="940" t="s">
        <v>1812</v>
      </c>
      <c r="H213" s="940" t="s">
        <v>1237</v>
      </c>
      <c r="I213" s="958">
        <v>43785</v>
      </c>
      <c r="J213" s="958">
        <v>45364</v>
      </c>
      <c r="K213" s="661"/>
      <c r="L213" s="661"/>
    </row>
    <row r="214" spans="1:12">
      <c r="A214" s="661"/>
      <c r="B214" s="940">
        <v>210</v>
      </c>
      <c r="C214" s="940" t="s">
        <v>1395</v>
      </c>
      <c r="D214" s="940" t="s">
        <v>1815</v>
      </c>
      <c r="E214" s="940" t="s">
        <v>1816</v>
      </c>
      <c r="F214" s="957">
        <v>0.6</v>
      </c>
      <c r="G214" s="940" t="s">
        <v>1812</v>
      </c>
      <c r="H214" s="940" t="s">
        <v>1237</v>
      </c>
      <c r="I214" s="958">
        <v>43785</v>
      </c>
      <c r="J214" s="958">
        <v>45364</v>
      </c>
      <c r="K214" s="661"/>
      <c r="L214" s="661"/>
    </row>
    <row r="215" spans="1:12">
      <c r="A215" s="661"/>
      <c r="B215" s="940">
        <v>211</v>
      </c>
      <c r="C215" s="940" t="s">
        <v>1395</v>
      </c>
      <c r="D215" s="940" t="s">
        <v>1817</v>
      </c>
      <c r="E215" s="940" t="s">
        <v>1818</v>
      </c>
      <c r="F215" s="957">
        <v>0.75</v>
      </c>
      <c r="G215" s="940" t="s">
        <v>1812</v>
      </c>
      <c r="H215" s="940" t="s">
        <v>1237</v>
      </c>
      <c r="I215" s="958">
        <v>43785</v>
      </c>
      <c r="J215" s="958">
        <v>45364</v>
      </c>
      <c r="K215" s="661"/>
      <c r="L215" s="661"/>
    </row>
    <row r="216" spans="1:12">
      <c r="A216" s="661"/>
      <c r="B216" s="940">
        <v>212</v>
      </c>
      <c r="C216" s="940" t="s">
        <v>1395</v>
      </c>
      <c r="D216" s="940" t="s">
        <v>1819</v>
      </c>
      <c r="E216" s="940" t="s">
        <v>1820</v>
      </c>
      <c r="F216" s="957">
        <v>0.75</v>
      </c>
      <c r="G216" s="940" t="s">
        <v>1812</v>
      </c>
      <c r="H216" s="940" t="s">
        <v>1237</v>
      </c>
      <c r="I216" s="958">
        <v>43785</v>
      </c>
      <c r="J216" s="958">
        <v>45364</v>
      </c>
      <c r="K216" s="661"/>
      <c r="L216" s="661"/>
    </row>
    <row r="217" spans="1:12">
      <c r="A217" s="661"/>
      <c r="B217" s="940">
        <v>213</v>
      </c>
      <c r="C217" s="940" t="s">
        <v>1395</v>
      </c>
      <c r="D217" s="940" t="s">
        <v>1821</v>
      </c>
      <c r="E217" s="940" t="s">
        <v>1822</v>
      </c>
      <c r="F217" s="957">
        <v>1.5</v>
      </c>
      <c r="G217" s="940" t="s">
        <v>1812</v>
      </c>
      <c r="H217" s="940" t="s">
        <v>1237</v>
      </c>
      <c r="I217" s="958">
        <v>43785</v>
      </c>
      <c r="J217" s="958">
        <v>45364</v>
      </c>
      <c r="K217" s="661"/>
      <c r="L217" s="661"/>
    </row>
    <row r="218" spans="1:12">
      <c r="A218" s="661"/>
      <c r="B218" s="940">
        <v>214</v>
      </c>
      <c r="C218" s="940" t="s">
        <v>1395</v>
      </c>
      <c r="D218" s="940" t="s">
        <v>1823</v>
      </c>
      <c r="E218" s="940" t="s">
        <v>1824</v>
      </c>
      <c r="F218" s="957">
        <v>2</v>
      </c>
      <c r="G218" s="940" t="s">
        <v>1812</v>
      </c>
      <c r="H218" s="940" t="s">
        <v>1237</v>
      </c>
      <c r="I218" s="958">
        <v>43785</v>
      </c>
      <c r="J218" s="958">
        <v>45364</v>
      </c>
      <c r="K218" s="661"/>
      <c r="L218" s="661"/>
    </row>
    <row r="219" spans="1:12">
      <c r="A219" s="661"/>
      <c r="B219" s="940">
        <v>215</v>
      </c>
      <c r="C219" s="940" t="s">
        <v>1395</v>
      </c>
      <c r="D219" s="940" t="s">
        <v>1825</v>
      </c>
      <c r="E219" s="940" t="s">
        <v>1826</v>
      </c>
      <c r="F219" s="957">
        <v>2</v>
      </c>
      <c r="G219" s="940" t="s">
        <v>1812</v>
      </c>
      <c r="H219" s="940" t="s">
        <v>1237</v>
      </c>
      <c r="I219" s="958">
        <v>43785</v>
      </c>
      <c r="J219" s="958">
        <v>45364</v>
      </c>
      <c r="K219" s="661"/>
      <c r="L219" s="661"/>
    </row>
    <row r="220" spans="1:12">
      <c r="A220" s="661"/>
      <c r="B220" s="940">
        <v>216</v>
      </c>
      <c r="C220" s="940" t="s">
        <v>1395</v>
      </c>
      <c r="D220" s="940" t="s">
        <v>1827</v>
      </c>
      <c r="E220" s="940" t="s">
        <v>1828</v>
      </c>
      <c r="F220" s="957">
        <v>2</v>
      </c>
      <c r="G220" s="940" t="s">
        <v>1812</v>
      </c>
      <c r="H220" s="940" t="s">
        <v>1237</v>
      </c>
      <c r="I220" s="958">
        <v>43785</v>
      </c>
      <c r="J220" s="958">
        <v>45364</v>
      </c>
      <c r="K220" s="661"/>
      <c r="L220" s="661"/>
    </row>
    <row r="221" spans="1:12">
      <c r="A221" s="661"/>
      <c r="B221" s="940">
        <v>217</v>
      </c>
      <c r="C221" s="940" t="s">
        <v>1395</v>
      </c>
      <c r="D221" s="940" t="s">
        <v>1829</v>
      </c>
      <c r="E221" s="940" t="s">
        <v>1830</v>
      </c>
      <c r="F221" s="957">
        <v>2</v>
      </c>
      <c r="G221" s="940" t="s">
        <v>1812</v>
      </c>
      <c r="H221" s="940" t="s">
        <v>1237</v>
      </c>
      <c r="I221" s="958">
        <v>43785</v>
      </c>
      <c r="J221" s="958">
        <v>45364</v>
      </c>
      <c r="K221" s="661"/>
      <c r="L221" s="661"/>
    </row>
    <row r="222" spans="1:12">
      <c r="A222" s="661"/>
      <c r="B222" s="940">
        <v>218</v>
      </c>
      <c r="C222" s="940" t="s">
        <v>1395</v>
      </c>
      <c r="D222" s="940" t="s">
        <v>1831</v>
      </c>
      <c r="E222" s="940" t="s">
        <v>1832</v>
      </c>
      <c r="F222" s="957">
        <v>2</v>
      </c>
      <c r="G222" s="940" t="s">
        <v>1812</v>
      </c>
      <c r="H222" s="940" t="s">
        <v>1237</v>
      </c>
      <c r="I222" s="958">
        <v>43785</v>
      </c>
      <c r="J222" s="958">
        <v>45364</v>
      </c>
      <c r="K222" s="661"/>
      <c r="L222" s="661"/>
    </row>
    <row r="223" spans="1:12">
      <c r="A223" s="661"/>
      <c r="B223" s="940">
        <v>219</v>
      </c>
      <c r="C223" s="940" t="s">
        <v>1395</v>
      </c>
      <c r="D223" s="940" t="s">
        <v>1833</v>
      </c>
      <c r="E223" s="940" t="s">
        <v>1834</v>
      </c>
      <c r="F223" s="957">
        <v>2.5</v>
      </c>
      <c r="G223" s="940" t="s">
        <v>1812</v>
      </c>
      <c r="H223" s="940" t="s">
        <v>1237</v>
      </c>
      <c r="I223" s="958">
        <v>43785</v>
      </c>
      <c r="J223" s="958">
        <v>45364</v>
      </c>
      <c r="K223" s="661"/>
      <c r="L223" s="661"/>
    </row>
    <row r="224" spans="1:12">
      <c r="A224" s="661"/>
      <c r="B224" s="940">
        <v>220</v>
      </c>
      <c r="C224" s="940" t="s">
        <v>1395</v>
      </c>
      <c r="D224" s="940" t="s">
        <v>1835</v>
      </c>
      <c r="E224" s="940" t="s">
        <v>1811</v>
      </c>
      <c r="F224" s="957">
        <v>0.2</v>
      </c>
      <c r="G224" s="940" t="s">
        <v>1812</v>
      </c>
      <c r="H224" s="940" t="s">
        <v>1237</v>
      </c>
      <c r="I224" s="958">
        <v>43785</v>
      </c>
      <c r="J224" s="958">
        <v>45364</v>
      </c>
      <c r="K224" s="661"/>
      <c r="L224" s="661"/>
    </row>
    <row r="225" spans="1:12">
      <c r="A225" s="661"/>
      <c r="B225" s="940">
        <v>221</v>
      </c>
      <c r="C225" s="940" t="s">
        <v>1395</v>
      </c>
      <c r="D225" s="940" t="s">
        <v>1836</v>
      </c>
      <c r="E225" s="940" t="s">
        <v>1814</v>
      </c>
      <c r="F225" s="957">
        <v>0.3</v>
      </c>
      <c r="G225" s="940" t="s">
        <v>1812</v>
      </c>
      <c r="H225" s="940" t="s">
        <v>1237</v>
      </c>
      <c r="I225" s="958">
        <v>43785</v>
      </c>
      <c r="J225" s="958">
        <v>45364</v>
      </c>
      <c r="K225" s="661"/>
      <c r="L225" s="661"/>
    </row>
    <row r="226" spans="1:12">
      <c r="A226" s="661"/>
      <c r="B226" s="940">
        <v>222</v>
      </c>
      <c r="C226" s="940" t="s">
        <v>1395</v>
      </c>
      <c r="D226" s="940" t="s">
        <v>1837</v>
      </c>
      <c r="E226" s="940" t="s">
        <v>1816</v>
      </c>
      <c r="F226" s="957">
        <v>0.3</v>
      </c>
      <c r="G226" s="940" t="s">
        <v>1812</v>
      </c>
      <c r="H226" s="940" t="s">
        <v>1237</v>
      </c>
      <c r="I226" s="958">
        <v>43785</v>
      </c>
      <c r="J226" s="958">
        <v>45364</v>
      </c>
      <c r="K226" s="661"/>
      <c r="L226" s="661"/>
    </row>
    <row r="227" spans="1:12">
      <c r="A227" s="661"/>
      <c r="B227" s="940">
        <v>223</v>
      </c>
      <c r="C227" s="940" t="s">
        <v>1395</v>
      </c>
      <c r="D227" s="940" t="s">
        <v>1838</v>
      </c>
      <c r="E227" s="940" t="s">
        <v>1818</v>
      </c>
      <c r="F227" s="957">
        <v>0.35</v>
      </c>
      <c r="G227" s="940" t="s">
        <v>1812</v>
      </c>
      <c r="H227" s="940" t="s">
        <v>1237</v>
      </c>
      <c r="I227" s="958">
        <v>43785</v>
      </c>
      <c r="J227" s="958">
        <v>45364</v>
      </c>
      <c r="K227" s="661"/>
      <c r="L227" s="661"/>
    </row>
    <row r="228" spans="1:12">
      <c r="A228" s="661"/>
      <c r="B228" s="940">
        <v>224</v>
      </c>
      <c r="C228" s="940" t="s">
        <v>1395</v>
      </c>
      <c r="D228" s="940" t="s">
        <v>1839</v>
      </c>
      <c r="E228" s="940" t="s">
        <v>1820</v>
      </c>
      <c r="F228" s="957">
        <v>0.5</v>
      </c>
      <c r="G228" s="940" t="s">
        <v>1812</v>
      </c>
      <c r="H228" s="940" t="s">
        <v>1237</v>
      </c>
      <c r="I228" s="958">
        <v>43785</v>
      </c>
      <c r="J228" s="958">
        <v>45364</v>
      </c>
      <c r="K228" s="661"/>
      <c r="L228" s="661"/>
    </row>
    <row r="229" spans="1:12">
      <c r="A229" s="661"/>
      <c r="B229" s="940">
        <v>225</v>
      </c>
      <c r="C229" s="940" t="s">
        <v>1395</v>
      </c>
      <c r="D229" s="940" t="s">
        <v>1840</v>
      </c>
      <c r="E229" s="940" t="s">
        <v>1822</v>
      </c>
      <c r="F229" s="957">
        <v>0.5</v>
      </c>
      <c r="G229" s="940" t="s">
        <v>1812</v>
      </c>
      <c r="H229" s="940" t="s">
        <v>1237</v>
      </c>
      <c r="I229" s="958">
        <v>43785</v>
      </c>
      <c r="J229" s="958">
        <v>45364</v>
      </c>
      <c r="K229" s="661"/>
      <c r="L229" s="661"/>
    </row>
    <row r="230" spans="1:12">
      <c r="A230" s="661"/>
      <c r="B230" s="940">
        <v>226</v>
      </c>
      <c r="C230" s="940" t="s">
        <v>1395</v>
      </c>
      <c r="D230" s="940" t="s">
        <v>1841</v>
      </c>
      <c r="E230" s="940" t="s">
        <v>1824</v>
      </c>
      <c r="F230" s="957">
        <v>0.75</v>
      </c>
      <c r="G230" s="940" t="s">
        <v>1812</v>
      </c>
      <c r="H230" s="940" t="s">
        <v>1237</v>
      </c>
      <c r="I230" s="958">
        <v>43785</v>
      </c>
      <c r="J230" s="958">
        <v>45364</v>
      </c>
      <c r="K230" s="661"/>
      <c r="L230" s="661"/>
    </row>
    <row r="231" spans="1:12">
      <c r="A231" s="661"/>
      <c r="B231" s="940">
        <v>227</v>
      </c>
      <c r="C231" s="940" t="s">
        <v>1395</v>
      </c>
      <c r="D231" s="940" t="s">
        <v>1842</v>
      </c>
      <c r="E231" s="940" t="s">
        <v>1826</v>
      </c>
      <c r="F231" s="957">
        <v>0.75</v>
      </c>
      <c r="G231" s="940" t="s">
        <v>1812</v>
      </c>
      <c r="H231" s="940" t="s">
        <v>1237</v>
      </c>
      <c r="I231" s="958">
        <v>43785</v>
      </c>
      <c r="J231" s="958">
        <v>45364</v>
      </c>
      <c r="K231" s="661"/>
      <c r="L231" s="661"/>
    </row>
    <row r="232" spans="1:12">
      <c r="A232" s="661"/>
      <c r="B232" s="940">
        <v>228</v>
      </c>
      <c r="C232" s="940" t="s">
        <v>1395</v>
      </c>
      <c r="D232" s="940" t="s">
        <v>1843</v>
      </c>
      <c r="E232" s="940" t="s">
        <v>1828</v>
      </c>
      <c r="F232" s="957">
        <v>1</v>
      </c>
      <c r="G232" s="940" t="s">
        <v>1812</v>
      </c>
      <c r="H232" s="940" t="s">
        <v>1237</v>
      </c>
      <c r="I232" s="958">
        <v>43785</v>
      </c>
      <c r="J232" s="958">
        <v>45364</v>
      </c>
      <c r="K232" s="661"/>
      <c r="L232" s="661"/>
    </row>
    <row r="233" spans="1:12">
      <c r="A233" s="661"/>
      <c r="B233" s="940">
        <v>229</v>
      </c>
      <c r="C233" s="940" t="s">
        <v>1395</v>
      </c>
      <c r="D233" s="940" t="s">
        <v>1844</v>
      </c>
      <c r="E233" s="940" t="s">
        <v>1830</v>
      </c>
      <c r="F233" s="957">
        <v>1</v>
      </c>
      <c r="G233" s="940" t="s">
        <v>1812</v>
      </c>
      <c r="H233" s="940" t="s">
        <v>1237</v>
      </c>
      <c r="I233" s="958">
        <v>43785</v>
      </c>
      <c r="J233" s="958">
        <v>45364</v>
      </c>
      <c r="K233" s="661"/>
      <c r="L233" s="661"/>
    </row>
    <row r="234" spans="1:12">
      <c r="A234" s="661"/>
      <c r="B234" s="940">
        <v>230</v>
      </c>
      <c r="C234" s="940" t="s">
        <v>1395</v>
      </c>
      <c r="D234" s="940" t="s">
        <v>1845</v>
      </c>
      <c r="E234" s="940" t="s">
        <v>1832</v>
      </c>
      <c r="F234" s="957">
        <v>1</v>
      </c>
      <c r="G234" s="940" t="s">
        <v>1812</v>
      </c>
      <c r="H234" s="940" t="s">
        <v>1237</v>
      </c>
      <c r="I234" s="958">
        <v>43785</v>
      </c>
      <c r="J234" s="958">
        <v>45364</v>
      </c>
      <c r="K234" s="661"/>
      <c r="L234" s="661"/>
    </row>
    <row r="235" spans="1:12">
      <c r="A235" s="661"/>
      <c r="B235" s="940">
        <v>231</v>
      </c>
      <c r="C235" s="940" t="s">
        <v>1395</v>
      </c>
      <c r="D235" s="940" t="s">
        <v>1846</v>
      </c>
      <c r="E235" s="940" t="s">
        <v>1834</v>
      </c>
      <c r="F235" s="957">
        <v>1.5</v>
      </c>
      <c r="G235" s="940" t="s">
        <v>1812</v>
      </c>
      <c r="H235" s="940" t="s">
        <v>1237</v>
      </c>
      <c r="I235" s="958">
        <v>43785</v>
      </c>
      <c r="J235" s="958">
        <v>45364</v>
      </c>
      <c r="K235" s="661"/>
      <c r="L235" s="661"/>
    </row>
    <row r="236" spans="1:12">
      <c r="A236" s="661"/>
      <c r="B236" s="940">
        <v>232</v>
      </c>
      <c r="C236" s="940" t="s">
        <v>1395</v>
      </c>
      <c r="D236" s="940" t="s">
        <v>1847</v>
      </c>
      <c r="E236" s="940" t="s">
        <v>1811</v>
      </c>
      <c r="F236" s="957">
        <v>0.2</v>
      </c>
      <c r="G236" s="940" t="s">
        <v>1812</v>
      </c>
      <c r="H236" s="940" t="s">
        <v>1237</v>
      </c>
      <c r="I236" s="958">
        <v>43785</v>
      </c>
      <c r="J236" s="958">
        <v>45364</v>
      </c>
      <c r="K236" s="661"/>
      <c r="L236" s="661"/>
    </row>
    <row r="237" spans="1:12">
      <c r="A237" s="661"/>
      <c r="B237" s="940">
        <v>233</v>
      </c>
      <c r="C237" s="940" t="s">
        <v>1395</v>
      </c>
      <c r="D237" s="940" t="s">
        <v>1848</v>
      </c>
      <c r="E237" s="940" t="s">
        <v>1814</v>
      </c>
      <c r="F237" s="957">
        <v>0.3</v>
      </c>
      <c r="G237" s="940" t="s">
        <v>1812</v>
      </c>
      <c r="H237" s="940" t="s">
        <v>1237</v>
      </c>
      <c r="I237" s="958">
        <v>43785</v>
      </c>
      <c r="J237" s="958">
        <v>45364</v>
      </c>
      <c r="K237" s="661"/>
      <c r="L237" s="661"/>
    </row>
    <row r="238" spans="1:12">
      <c r="A238" s="661"/>
      <c r="B238" s="940">
        <v>234</v>
      </c>
      <c r="C238" s="940" t="s">
        <v>1395</v>
      </c>
      <c r="D238" s="940" t="s">
        <v>1849</v>
      </c>
      <c r="E238" s="940" t="s">
        <v>1816</v>
      </c>
      <c r="F238" s="957">
        <v>0.3</v>
      </c>
      <c r="G238" s="940" t="s">
        <v>1812</v>
      </c>
      <c r="H238" s="940" t="s">
        <v>1237</v>
      </c>
      <c r="I238" s="958">
        <v>43785</v>
      </c>
      <c r="J238" s="958">
        <v>45364</v>
      </c>
      <c r="K238" s="661"/>
      <c r="L238" s="661"/>
    </row>
    <row r="239" spans="1:12">
      <c r="A239" s="661"/>
      <c r="B239" s="940">
        <v>235</v>
      </c>
      <c r="C239" s="940" t="s">
        <v>1395</v>
      </c>
      <c r="D239" s="940" t="s">
        <v>1850</v>
      </c>
      <c r="E239" s="940" t="s">
        <v>1818</v>
      </c>
      <c r="F239" s="957">
        <v>0.35</v>
      </c>
      <c r="G239" s="940" t="s">
        <v>1812</v>
      </c>
      <c r="H239" s="940" t="s">
        <v>1237</v>
      </c>
      <c r="I239" s="958">
        <v>43785</v>
      </c>
      <c r="J239" s="958">
        <v>45364</v>
      </c>
      <c r="K239" s="661"/>
      <c r="L239" s="661"/>
    </row>
    <row r="240" spans="1:12">
      <c r="A240" s="661"/>
      <c r="B240" s="940">
        <v>236</v>
      </c>
      <c r="C240" s="940" t="s">
        <v>1395</v>
      </c>
      <c r="D240" s="940" t="s">
        <v>1851</v>
      </c>
      <c r="E240" s="940" t="s">
        <v>1820</v>
      </c>
      <c r="F240" s="957">
        <v>0.5</v>
      </c>
      <c r="G240" s="940" t="s">
        <v>1812</v>
      </c>
      <c r="H240" s="940" t="s">
        <v>1237</v>
      </c>
      <c r="I240" s="958">
        <v>43785</v>
      </c>
      <c r="J240" s="958">
        <v>45364</v>
      </c>
      <c r="K240" s="661"/>
      <c r="L240" s="661"/>
    </row>
    <row r="241" spans="1:12">
      <c r="A241" s="661"/>
      <c r="B241" s="940">
        <v>237</v>
      </c>
      <c r="C241" s="940" t="s">
        <v>1395</v>
      </c>
      <c r="D241" s="940" t="s">
        <v>1852</v>
      </c>
      <c r="E241" s="940" t="s">
        <v>1822</v>
      </c>
      <c r="F241" s="957">
        <v>0.5</v>
      </c>
      <c r="G241" s="940" t="s">
        <v>1812</v>
      </c>
      <c r="H241" s="940" t="s">
        <v>1237</v>
      </c>
      <c r="I241" s="958">
        <v>43785</v>
      </c>
      <c r="J241" s="958">
        <v>45364</v>
      </c>
      <c r="K241" s="661"/>
      <c r="L241" s="661"/>
    </row>
    <row r="242" spans="1:12">
      <c r="A242" s="661"/>
      <c r="B242" s="940">
        <v>238</v>
      </c>
      <c r="C242" s="940" t="s">
        <v>1395</v>
      </c>
      <c r="D242" s="940" t="s">
        <v>1853</v>
      </c>
      <c r="E242" s="940" t="s">
        <v>1824</v>
      </c>
      <c r="F242" s="957">
        <v>0.75</v>
      </c>
      <c r="G242" s="940" t="s">
        <v>1812</v>
      </c>
      <c r="H242" s="940" t="s">
        <v>1237</v>
      </c>
      <c r="I242" s="958">
        <v>43785</v>
      </c>
      <c r="J242" s="958">
        <v>45364</v>
      </c>
      <c r="K242" s="661"/>
      <c r="L242" s="661"/>
    </row>
    <row r="243" spans="1:12">
      <c r="A243" s="661"/>
      <c r="B243" s="940">
        <v>239</v>
      </c>
      <c r="C243" s="940" t="s">
        <v>1395</v>
      </c>
      <c r="D243" s="940" t="s">
        <v>1854</v>
      </c>
      <c r="E243" s="940" t="s">
        <v>1826</v>
      </c>
      <c r="F243" s="957">
        <v>0.75</v>
      </c>
      <c r="G243" s="940" t="s">
        <v>1812</v>
      </c>
      <c r="H243" s="940" t="s">
        <v>1237</v>
      </c>
      <c r="I243" s="958">
        <v>43785</v>
      </c>
      <c r="J243" s="958">
        <v>45364</v>
      </c>
      <c r="K243" s="661"/>
      <c r="L243" s="661"/>
    </row>
    <row r="244" spans="1:12">
      <c r="A244" s="661"/>
      <c r="B244" s="940">
        <v>240</v>
      </c>
      <c r="C244" s="940" t="s">
        <v>1395</v>
      </c>
      <c r="D244" s="940" t="s">
        <v>1855</v>
      </c>
      <c r="E244" s="940" t="s">
        <v>1828</v>
      </c>
      <c r="F244" s="957">
        <v>1</v>
      </c>
      <c r="G244" s="940" t="s">
        <v>1812</v>
      </c>
      <c r="H244" s="940" t="s">
        <v>1237</v>
      </c>
      <c r="I244" s="958">
        <v>43785</v>
      </c>
      <c r="J244" s="958">
        <v>45364</v>
      </c>
      <c r="K244" s="661"/>
      <c r="L244" s="661"/>
    </row>
    <row r="245" spans="1:12">
      <c r="A245" s="661"/>
      <c r="B245" s="940">
        <v>241</v>
      </c>
      <c r="C245" s="940" t="s">
        <v>1395</v>
      </c>
      <c r="D245" s="940" t="s">
        <v>1856</v>
      </c>
      <c r="E245" s="940" t="s">
        <v>1830</v>
      </c>
      <c r="F245" s="957">
        <v>1</v>
      </c>
      <c r="G245" s="940" t="s">
        <v>1812</v>
      </c>
      <c r="H245" s="940" t="s">
        <v>1237</v>
      </c>
      <c r="I245" s="958">
        <v>43785</v>
      </c>
      <c r="J245" s="958">
        <v>45364</v>
      </c>
      <c r="K245" s="661"/>
      <c r="L245" s="661"/>
    </row>
    <row r="246" spans="1:12">
      <c r="A246" s="661"/>
      <c r="B246" s="940">
        <v>242</v>
      </c>
      <c r="C246" s="940" t="s">
        <v>1395</v>
      </c>
      <c r="D246" s="940" t="s">
        <v>1857</v>
      </c>
      <c r="E246" s="940" t="s">
        <v>1832</v>
      </c>
      <c r="F246" s="957">
        <v>1</v>
      </c>
      <c r="G246" s="940" t="s">
        <v>1812</v>
      </c>
      <c r="H246" s="940" t="s">
        <v>1237</v>
      </c>
      <c r="I246" s="958">
        <v>43785</v>
      </c>
      <c r="J246" s="958">
        <v>45364</v>
      </c>
      <c r="K246" s="661"/>
      <c r="L246" s="661"/>
    </row>
    <row r="247" spans="1:12">
      <c r="A247" s="661"/>
      <c r="B247" s="940">
        <v>243</v>
      </c>
      <c r="C247" s="940" t="s">
        <v>1395</v>
      </c>
      <c r="D247" s="940" t="s">
        <v>1858</v>
      </c>
      <c r="E247" s="940" t="s">
        <v>1834</v>
      </c>
      <c r="F247" s="957">
        <v>1.5</v>
      </c>
      <c r="G247" s="940" t="s">
        <v>1812</v>
      </c>
      <c r="H247" s="940" t="s">
        <v>1237</v>
      </c>
      <c r="I247" s="958">
        <v>43785</v>
      </c>
      <c r="J247" s="958">
        <v>45364</v>
      </c>
      <c r="K247" s="661"/>
      <c r="L247" s="661"/>
    </row>
    <row r="248" spans="1:12">
      <c r="A248" s="661"/>
      <c r="B248" s="940">
        <v>244</v>
      </c>
      <c r="C248" s="940" t="s">
        <v>1395</v>
      </c>
      <c r="D248" s="940" t="s">
        <v>1859</v>
      </c>
      <c r="E248" s="940" t="s">
        <v>1811</v>
      </c>
      <c r="F248" s="959">
        <v>0.5</v>
      </c>
      <c r="G248" s="940" t="s">
        <v>1812</v>
      </c>
      <c r="H248" s="940" t="s">
        <v>1237</v>
      </c>
      <c r="I248" s="958">
        <v>43785</v>
      </c>
      <c r="J248" s="958">
        <v>45364</v>
      </c>
      <c r="K248" s="661"/>
      <c r="L248" s="661"/>
    </row>
    <row r="249" spans="1:12">
      <c r="A249" s="661"/>
      <c r="B249" s="940">
        <v>245</v>
      </c>
      <c r="C249" s="940" t="s">
        <v>1395</v>
      </c>
      <c r="D249" s="940" t="s">
        <v>1860</v>
      </c>
      <c r="E249" s="940" t="s">
        <v>1814</v>
      </c>
      <c r="F249" s="959">
        <v>0.75</v>
      </c>
      <c r="G249" s="940" t="s">
        <v>1812</v>
      </c>
      <c r="H249" s="940" t="s">
        <v>1237</v>
      </c>
      <c r="I249" s="958">
        <v>43785</v>
      </c>
      <c r="J249" s="958">
        <v>45364</v>
      </c>
      <c r="K249" s="661"/>
      <c r="L249" s="661"/>
    </row>
    <row r="250" spans="1:12">
      <c r="A250" s="661"/>
      <c r="B250" s="940">
        <v>246</v>
      </c>
      <c r="C250" s="940" t="s">
        <v>1395</v>
      </c>
      <c r="D250" s="940" t="s">
        <v>1861</v>
      </c>
      <c r="E250" s="940" t="s">
        <v>1816</v>
      </c>
      <c r="F250" s="959">
        <v>1</v>
      </c>
      <c r="G250" s="940" t="s">
        <v>1812</v>
      </c>
      <c r="H250" s="940" t="s">
        <v>1237</v>
      </c>
      <c r="I250" s="958">
        <v>43785</v>
      </c>
      <c r="J250" s="958">
        <v>45364</v>
      </c>
      <c r="K250" s="661"/>
      <c r="L250" s="661"/>
    </row>
    <row r="251" spans="1:12">
      <c r="A251" s="661"/>
      <c r="B251" s="940">
        <v>247</v>
      </c>
      <c r="C251" s="940" t="s">
        <v>1395</v>
      </c>
      <c r="D251" s="940" t="s">
        <v>1862</v>
      </c>
      <c r="E251" s="940" t="s">
        <v>1818</v>
      </c>
      <c r="F251" s="959">
        <v>1</v>
      </c>
      <c r="G251" s="940" t="s">
        <v>1812</v>
      </c>
      <c r="H251" s="940" t="s">
        <v>1237</v>
      </c>
      <c r="I251" s="958">
        <v>43785</v>
      </c>
      <c r="J251" s="958">
        <v>45364</v>
      </c>
      <c r="K251" s="661"/>
      <c r="L251" s="661"/>
    </row>
    <row r="252" spans="1:12">
      <c r="A252" s="661"/>
      <c r="B252" s="940">
        <v>248</v>
      </c>
      <c r="C252" s="940" t="s">
        <v>1395</v>
      </c>
      <c r="D252" s="940" t="s">
        <v>1863</v>
      </c>
      <c r="E252" s="940" t="s">
        <v>1820</v>
      </c>
      <c r="F252" s="959">
        <v>1</v>
      </c>
      <c r="G252" s="940" t="s">
        <v>1812</v>
      </c>
      <c r="H252" s="940" t="s">
        <v>1237</v>
      </c>
      <c r="I252" s="958">
        <v>43785</v>
      </c>
      <c r="J252" s="958">
        <v>45364</v>
      </c>
      <c r="K252" s="661"/>
      <c r="L252" s="661"/>
    </row>
    <row r="253" spans="1:12">
      <c r="A253" s="661"/>
      <c r="B253" s="940">
        <v>249</v>
      </c>
      <c r="C253" s="940" t="s">
        <v>1395</v>
      </c>
      <c r="D253" s="940" t="s">
        <v>1864</v>
      </c>
      <c r="E253" s="940" t="s">
        <v>1822</v>
      </c>
      <c r="F253" s="959">
        <v>1.5</v>
      </c>
      <c r="G253" s="940" t="s">
        <v>1812</v>
      </c>
      <c r="H253" s="940" t="s">
        <v>1237</v>
      </c>
      <c r="I253" s="958">
        <v>43785</v>
      </c>
      <c r="J253" s="958">
        <v>45364</v>
      </c>
      <c r="K253" s="661"/>
      <c r="L253" s="661"/>
    </row>
    <row r="254" spans="1:12">
      <c r="A254" s="661"/>
      <c r="B254" s="940">
        <v>250</v>
      </c>
      <c r="C254" s="940" t="s">
        <v>1395</v>
      </c>
      <c r="D254" s="940" t="s">
        <v>1865</v>
      </c>
      <c r="E254" s="940" t="s">
        <v>1824</v>
      </c>
      <c r="F254" s="959">
        <v>2</v>
      </c>
      <c r="G254" s="940" t="s">
        <v>1812</v>
      </c>
      <c r="H254" s="940" t="s">
        <v>1237</v>
      </c>
      <c r="I254" s="958">
        <v>43785</v>
      </c>
      <c r="J254" s="958">
        <v>45364</v>
      </c>
      <c r="K254" s="661"/>
      <c r="L254" s="661"/>
    </row>
    <row r="255" spans="1:12">
      <c r="A255" s="661"/>
      <c r="B255" s="940">
        <v>251</v>
      </c>
      <c r="C255" s="940" t="s">
        <v>1395</v>
      </c>
      <c r="D255" s="940" t="s">
        <v>1866</v>
      </c>
      <c r="E255" s="940" t="s">
        <v>1826</v>
      </c>
      <c r="F255" s="959">
        <v>2.5</v>
      </c>
      <c r="G255" s="940" t="s">
        <v>1812</v>
      </c>
      <c r="H255" s="940" t="s">
        <v>1237</v>
      </c>
      <c r="I255" s="958">
        <v>43785</v>
      </c>
      <c r="J255" s="958">
        <v>45364</v>
      </c>
      <c r="K255" s="661"/>
      <c r="L255" s="661"/>
    </row>
    <row r="256" spans="1:12">
      <c r="A256" s="661"/>
      <c r="B256" s="940">
        <v>252</v>
      </c>
      <c r="C256" s="940" t="s">
        <v>1395</v>
      </c>
      <c r="D256" s="940" t="s">
        <v>1867</v>
      </c>
      <c r="E256" s="940" t="s">
        <v>1828</v>
      </c>
      <c r="F256" s="959">
        <v>3</v>
      </c>
      <c r="G256" s="940" t="s">
        <v>1812</v>
      </c>
      <c r="H256" s="940" t="s">
        <v>1237</v>
      </c>
      <c r="I256" s="958">
        <v>43785</v>
      </c>
      <c r="J256" s="958">
        <v>45364</v>
      </c>
      <c r="K256" s="661"/>
      <c r="L256" s="661"/>
    </row>
    <row r="257" spans="1:12">
      <c r="A257" s="661"/>
      <c r="B257" s="940">
        <v>253</v>
      </c>
      <c r="C257" s="940" t="s">
        <v>1395</v>
      </c>
      <c r="D257" s="940" t="s">
        <v>1868</v>
      </c>
      <c r="E257" s="940" t="s">
        <v>1830</v>
      </c>
      <c r="F257" s="959">
        <v>3</v>
      </c>
      <c r="G257" s="940" t="s">
        <v>1812</v>
      </c>
      <c r="H257" s="940" t="s">
        <v>1237</v>
      </c>
      <c r="I257" s="958">
        <v>43785</v>
      </c>
      <c r="J257" s="958">
        <v>45364</v>
      </c>
      <c r="K257" s="661"/>
      <c r="L257" s="661"/>
    </row>
    <row r="258" spans="1:12">
      <c r="A258" s="661"/>
      <c r="B258" s="940">
        <v>254</v>
      </c>
      <c r="C258" s="940" t="s">
        <v>1395</v>
      </c>
      <c r="D258" s="940" t="s">
        <v>1869</v>
      </c>
      <c r="E258" s="940" t="s">
        <v>1832</v>
      </c>
      <c r="F258" s="959">
        <v>4</v>
      </c>
      <c r="G258" s="940" t="s">
        <v>1812</v>
      </c>
      <c r="H258" s="940" t="s">
        <v>1237</v>
      </c>
      <c r="I258" s="958">
        <v>43785</v>
      </c>
      <c r="J258" s="958">
        <v>45364</v>
      </c>
      <c r="K258" s="661"/>
      <c r="L258" s="661"/>
    </row>
    <row r="259" spans="1:12">
      <c r="A259" s="661"/>
      <c r="B259" s="940">
        <v>255</v>
      </c>
      <c r="C259" s="940" t="s">
        <v>1395</v>
      </c>
      <c r="D259" s="940" t="s">
        <v>1870</v>
      </c>
      <c r="E259" s="940" t="s">
        <v>1834</v>
      </c>
      <c r="F259" s="959">
        <v>5</v>
      </c>
      <c r="G259" s="940" t="s">
        <v>1812</v>
      </c>
      <c r="H259" s="940" t="s">
        <v>1237</v>
      </c>
      <c r="I259" s="958">
        <v>43785</v>
      </c>
      <c r="J259" s="958">
        <v>45364</v>
      </c>
      <c r="K259" s="661"/>
      <c r="L259" s="661"/>
    </row>
    <row r="260" spans="1:12">
      <c r="A260" s="661"/>
      <c r="B260" s="940">
        <v>256</v>
      </c>
      <c r="C260" s="940" t="s">
        <v>1395</v>
      </c>
      <c r="D260" s="940" t="s">
        <v>1871</v>
      </c>
      <c r="E260" s="940" t="s">
        <v>1811</v>
      </c>
      <c r="F260" s="959">
        <v>0.5</v>
      </c>
      <c r="G260" s="940" t="s">
        <v>1812</v>
      </c>
      <c r="H260" s="940" t="s">
        <v>1237</v>
      </c>
      <c r="I260" s="958">
        <v>43785</v>
      </c>
      <c r="J260" s="958">
        <v>45364</v>
      </c>
      <c r="K260" s="661"/>
      <c r="L260" s="661"/>
    </row>
    <row r="261" spans="1:12">
      <c r="A261" s="661"/>
      <c r="B261" s="940">
        <v>257</v>
      </c>
      <c r="C261" s="940" t="s">
        <v>1395</v>
      </c>
      <c r="D261" s="940" t="s">
        <v>1872</v>
      </c>
      <c r="E261" s="940" t="s">
        <v>1814</v>
      </c>
      <c r="F261" s="957">
        <v>0.75</v>
      </c>
      <c r="G261" s="940" t="s">
        <v>1812</v>
      </c>
      <c r="H261" s="940" t="s">
        <v>1237</v>
      </c>
      <c r="I261" s="958">
        <v>43785</v>
      </c>
      <c r="J261" s="958">
        <v>45364</v>
      </c>
      <c r="K261" s="661"/>
      <c r="L261" s="661"/>
    </row>
    <row r="262" spans="1:12">
      <c r="A262" s="661"/>
      <c r="B262" s="940">
        <v>258</v>
      </c>
      <c r="C262" s="940" t="s">
        <v>1395</v>
      </c>
      <c r="D262" s="940" t="s">
        <v>1873</v>
      </c>
      <c r="E262" s="940" t="s">
        <v>1816</v>
      </c>
      <c r="F262" s="957">
        <v>1</v>
      </c>
      <c r="G262" s="940" t="s">
        <v>1812</v>
      </c>
      <c r="H262" s="940" t="s">
        <v>1237</v>
      </c>
      <c r="I262" s="958">
        <v>43785</v>
      </c>
      <c r="J262" s="958">
        <v>45364</v>
      </c>
      <c r="K262" s="661"/>
      <c r="L262" s="661"/>
    </row>
    <row r="263" spans="1:12">
      <c r="A263" s="661"/>
      <c r="B263" s="940">
        <v>259</v>
      </c>
      <c r="C263" s="940" t="s">
        <v>1395</v>
      </c>
      <c r="D263" s="940" t="s">
        <v>1874</v>
      </c>
      <c r="E263" s="940" t="s">
        <v>1818</v>
      </c>
      <c r="F263" s="957">
        <v>1</v>
      </c>
      <c r="G263" s="940" t="s">
        <v>1812</v>
      </c>
      <c r="H263" s="940" t="s">
        <v>1237</v>
      </c>
      <c r="I263" s="958">
        <v>43785</v>
      </c>
      <c r="J263" s="958">
        <v>45364</v>
      </c>
      <c r="K263" s="661"/>
      <c r="L263" s="661"/>
    </row>
    <row r="264" spans="1:12">
      <c r="A264" s="661"/>
      <c r="B264" s="940">
        <v>260</v>
      </c>
      <c r="C264" s="940" t="s">
        <v>1395</v>
      </c>
      <c r="D264" s="940" t="s">
        <v>1875</v>
      </c>
      <c r="E264" s="940" t="s">
        <v>1820</v>
      </c>
      <c r="F264" s="957">
        <v>1</v>
      </c>
      <c r="G264" s="940" t="s">
        <v>1812</v>
      </c>
      <c r="H264" s="940" t="s">
        <v>1237</v>
      </c>
      <c r="I264" s="958">
        <v>43785</v>
      </c>
      <c r="J264" s="958">
        <v>45364</v>
      </c>
      <c r="K264" s="661"/>
      <c r="L264" s="661"/>
    </row>
    <row r="265" spans="1:12">
      <c r="A265" s="661"/>
      <c r="B265" s="940">
        <v>261</v>
      </c>
      <c r="C265" s="940" t="s">
        <v>1395</v>
      </c>
      <c r="D265" s="940" t="s">
        <v>1876</v>
      </c>
      <c r="E265" s="940" t="s">
        <v>1822</v>
      </c>
      <c r="F265" s="957">
        <v>1.5</v>
      </c>
      <c r="G265" s="940" t="s">
        <v>1812</v>
      </c>
      <c r="H265" s="940" t="s">
        <v>1237</v>
      </c>
      <c r="I265" s="958">
        <v>43785</v>
      </c>
      <c r="J265" s="958">
        <v>45364</v>
      </c>
      <c r="K265" s="661"/>
      <c r="L265" s="661"/>
    </row>
    <row r="266" spans="1:12">
      <c r="A266" s="661"/>
      <c r="B266" s="940">
        <v>262</v>
      </c>
      <c r="C266" s="940" t="s">
        <v>1395</v>
      </c>
      <c r="D266" s="940" t="s">
        <v>1877</v>
      </c>
      <c r="E266" s="940" t="s">
        <v>1824</v>
      </c>
      <c r="F266" s="957">
        <v>2</v>
      </c>
      <c r="G266" s="940" t="s">
        <v>1812</v>
      </c>
      <c r="H266" s="940" t="s">
        <v>1237</v>
      </c>
      <c r="I266" s="958">
        <v>43785</v>
      </c>
      <c r="J266" s="958">
        <v>45364</v>
      </c>
      <c r="K266" s="661"/>
      <c r="L266" s="661"/>
    </row>
    <row r="267" spans="1:12">
      <c r="A267" s="661"/>
      <c r="B267" s="940">
        <v>263</v>
      </c>
      <c r="C267" s="940" t="s">
        <v>1395</v>
      </c>
      <c r="D267" s="940" t="s">
        <v>1878</v>
      </c>
      <c r="E267" s="940" t="s">
        <v>1826</v>
      </c>
      <c r="F267" s="957">
        <v>2.5</v>
      </c>
      <c r="G267" s="940" t="s">
        <v>1812</v>
      </c>
      <c r="H267" s="940" t="s">
        <v>1237</v>
      </c>
      <c r="I267" s="958">
        <v>43785</v>
      </c>
      <c r="J267" s="958">
        <v>45364</v>
      </c>
      <c r="K267" s="661"/>
      <c r="L267" s="661"/>
    </row>
    <row r="268" spans="1:12">
      <c r="A268" s="661"/>
      <c r="B268" s="940">
        <v>264</v>
      </c>
      <c r="C268" s="940" t="s">
        <v>1395</v>
      </c>
      <c r="D268" s="940" t="s">
        <v>1879</v>
      </c>
      <c r="E268" s="940" t="s">
        <v>1828</v>
      </c>
      <c r="F268" s="957">
        <v>3</v>
      </c>
      <c r="G268" s="940" t="s">
        <v>1812</v>
      </c>
      <c r="H268" s="940" t="s">
        <v>1237</v>
      </c>
      <c r="I268" s="958">
        <v>43785</v>
      </c>
      <c r="J268" s="958">
        <v>45364</v>
      </c>
      <c r="K268" s="661"/>
      <c r="L268" s="661"/>
    </row>
    <row r="269" spans="1:12">
      <c r="A269" s="661"/>
      <c r="B269" s="940">
        <v>265</v>
      </c>
      <c r="C269" s="940" t="s">
        <v>1395</v>
      </c>
      <c r="D269" s="940" t="s">
        <v>1880</v>
      </c>
      <c r="E269" s="940" t="s">
        <v>1830</v>
      </c>
      <c r="F269" s="957">
        <v>3</v>
      </c>
      <c r="G269" s="940" t="s">
        <v>1812</v>
      </c>
      <c r="H269" s="940" t="s">
        <v>1237</v>
      </c>
      <c r="I269" s="958">
        <v>43785</v>
      </c>
      <c r="J269" s="958">
        <v>45364</v>
      </c>
      <c r="K269" s="661"/>
      <c r="L269" s="661"/>
    </row>
    <row r="270" spans="1:12">
      <c r="A270" s="661"/>
      <c r="B270" s="940">
        <v>266</v>
      </c>
      <c r="C270" s="940" t="s">
        <v>1395</v>
      </c>
      <c r="D270" s="940" t="s">
        <v>1881</v>
      </c>
      <c r="E270" s="940" t="s">
        <v>1832</v>
      </c>
      <c r="F270" s="957">
        <v>4</v>
      </c>
      <c r="G270" s="940" t="s">
        <v>1812</v>
      </c>
      <c r="H270" s="940" t="s">
        <v>1237</v>
      </c>
      <c r="I270" s="958">
        <v>43785</v>
      </c>
      <c r="J270" s="958">
        <v>45364</v>
      </c>
      <c r="K270" s="661"/>
      <c r="L270" s="661"/>
    </row>
    <row r="271" spans="1:12">
      <c r="A271" s="661"/>
      <c r="B271" s="940">
        <v>267</v>
      </c>
      <c r="C271" s="940" t="s">
        <v>1395</v>
      </c>
      <c r="D271" s="940" t="s">
        <v>1882</v>
      </c>
      <c r="E271" s="940" t="s">
        <v>1834</v>
      </c>
      <c r="F271" s="957">
        <v>5</v>
      </c>
      <c r="G271" s="940" t="s">
        <v>1812</v>
      </c>
      <c r="H271" s="940" t="s">
        <v>1237</v>
      </c>
      <c r="I271" s="958">
        <v>43785</v>
      </c>
      <c r="J271" s="958">
        <v>45364</v>
      </c>
      <c r="K271" s="661"/>
      <c r="L271" s="661"/>
    </row>
    <row r="272" spans="1:12">
      <c r="A272" s="661"/>
      <c r="B272" s="940">
        <v>268</v>
      </c>
      <c r="C272" s="940" t="s">
        <v>1395</v>
      </c>
      <c r="D272" s="940" t="s">
        <v>1883</v>
      </c>
      <c r="E272" s="940" t="s">
        <v>1811</v>
      </c>
      <c r="F272" s="959">
        <v>0.1</v>
      </c>
      <c r="G272" s="940" t="s">
        <v>1812</v>
      </c>
      <c r="H272" s="940" t="s">
        <v>1237</v>
      </c>
      <c r="I272" s="958">
        <v>43785</v>
      </c>
      <c r="J272" s="958">
        <v>45364</v>
      </c>
      <c r="K272" s="661"/>
      <c r="L272" s="661"/>
    </row>
    <row r="273" spans="1:12">
      <c r="A273" s="661"/>
      <c r="B273" s="940">
        <v>269</v>
      </c>
      <c r="C273" s="940" t="s">
        <v>1395</v>
      </c>
      <c r="D273" s="940" t="s">
        <v>1884</v>
      </c>
      <c r="E273" s="940" t="s">
        <v>1814</v>
      </c>
      <c r="F273" s="959">
        <v>0.25</v>
      </c>
      <c r="G273" s="940" t="s">
        <v>1812</v>
      </c>
      <c r="H273" s="940" t="s">
        <v>1237</v>
      </c>
      <c r="I273" s="958">
        <v>43785</v>
      </c>
      <c r="J273" s="958">
        <v>45364</v>
      </c>
      <c r="K273" s="661"/>
      <c r="L273" s="661"/>
    </row>
    <row r="274" spans="1:12">
      <c r="A274" s="661"/>
      <c r="B274" s="940">
        <v>270</v>
      </c>
      <c r="C274" s="940" t="s">
        <v>1395</v>
      </c>
      <c r="D274" s="940" t="s">
        <v>1885</v>
      </c>
      <c r="E274" s="940" t="s">
        <v>1816</v>
      </c>
      <c r="F274" s="959">
        <v>0.65</v>
      </c>
      <c r="G274" s="940" t="s">
        <v>1812</v>
      </c>
      <c r="H274" s="940" t="s">
        <v>1237</v>
      </c>
      <c r="I274" s="958">
        <v>43785</v>
      </c>
      <c r="J274" s="958">
        <v>45364</v>
      </c>
      <c r="K274" s="661"/>
      <c r="L274" s="661"/>
    </row>
    <row r="275" spans="1:12">
      <c r="A275" s="661"/>
      <c r="B275" s="940">
        <v>271</v>
      </c>
      <c r="C275" s="940" t="s">
        <v>1395</v>
      </c>
      <c r="D275" s="940" t="s">
        <v>1886</v>
      </c>
      <c r="E275" s="940" t="s">
        <v>1818</v>
      </c>
      <c r="F275" s="959">
        <v>0.75</v>
      </c>
      <c r="G275" s="940" t="s">
        <v>1812</v>
      </c>
      <c r="H275" s="940" t="s">
        <v>1237</v>
      </c>
      <c r="I275" s="958">
        <v>43785</v>
      </c>
      <c r="J275" s="958">
        <v>45364</v>
      </c>
      <c r="K275" s="661"/>
      <c r="L275" s="661"/>
    </row>
    <row r="276" spans="1:12">
      <c r="A276" s="661"/>
      <c r="B276" s="940">
        <v>272</v>
      </c>
      <c r="C276" s="940" t="s">
        <v>1395</v>
      </c>
      <c r="D276" s="940" t="s">
        <v>1887</v>
      </c>
      <c r="E276" s="940" t="s">
        <v>1820</v>
      </c>
      <c r="F276" s="959">
        <v>1</v>
      </c>
      <c r="G276" s="940" t="s">
        <v>1812</v>
      </c>
      <c r="H276" s="940" t="s">
        <v>1237</v>
      </c>
      <c r="I276" s="958">
        <v>43785</v>
      </c>
      <c r="J276" s="958">
        <v>45364</v>
      </c>
      <c r="K276" s="661"/>
      <c r="L276" s="661"/>
    </row>
    <row r="277" spans="1:12">
      <c r="A277" s="661"/>
      <c r="B277" s="940">
        <v>273</v>
      </c>
      <c r="C277" s="940" t="s">
        <v>1395</v>
      </c>
      <c r="D277" s="940" t="s">
        <v>1888</v>
      </c>
      <c r="E277" s="940" t="s">
        <v>1822</v>
      </c>
      <c r="F277" s="959">
        <v>1.5</v>
      </c>
      <c r="G277" s="940" t="s">
        <v>1812</v>
      </c>
      <c r="H277" s="940" t="s">
        <v>1237</v>
      </c>
      <c r="I277" s="958">
        <v>43785</v>
      </c>
      <c r="J277" s="958">
        <v>45364</v>
      </c>
      <c r="K277" s="661"/>
      <c r="L277" s="661"/>
    </row>
    <row r="278" spans="1:12">
      <c r="A278" s="661"/>
      <c r="B278" s="940">
        <v>274</v>
      </c>
      <c r="C278" s="940" t="s">
        <v>1395</v>
      </c>
      <c r="D278" s="940" t="s">
        <v>1889</v>
      </c>
      <c r="E278" s="940" t="s">
        <v>1824</v>
      </c>
      <c r="F278" s="959">
        <v>2</v>
      </c>
      <c r="G278" s="940" t="s">
        <v>1812</v>
      </c>
      <c r="H278" s="940" t="s">
        <v>1237</v>
      </c>
      <c r="I278" s="958">
        <v>43785</v>
      </c>
      <c r="J278" s="958">
        <v>45364</v>
      </c>
      <c r="K278" s="661"/>
      <c r="L278" s="661"/>
    </row>
    <row r="279" spans="1:12">
      <c r="A279" s="661"/>
      <c r="B279" s="940">
        <v>275</v>
      </c>
      <c r="C279" s="940" t="s">
        <v>1395</v>
      </c>
      <c r="D279" s="940" t="s">
        <v>1890</v>
      </c>
      <c r="E279" s="940" t="s">
        <v>1826</v>
      </c>
      <c r="F279" s="959">
        <v>2.5</v>
      </c>
      <c r="G279" s="940" t="s">
        <v>1812</v>
      </c>
      <c r="H279" s="940" t="s">
        <v>1237</v>
      </c>
      <c r="I279" s="958">
        <v>43785</v>
      </c>
      <c r="J279" s="958">
        <v>45364</v>
      </c>
      <c r="K279" s="661"/>
      <c r="L279" s="661"/>
    </row>
    <row r="280" spans="1:12">
      <c r="A280" s="661"/>
      <c r="B280" s="940">
        <v>276</v>
      </c>
      <c r="C280" s="940" t="s">
        <v>1395</v>
      </c>
      <c r="D280" s="940" t="s">
        <v>1891</v>
      </c>
      <c r="E280" s="940" t="s">
        <v>1828</v>
      </c>
      <c r="F280" s="959">
        <v>3</v>
      </c>
      <c r="G280" s="940" t="s">
        <v>1812</v>
      </c>
      <c r="H280" s="940" t="s">
        <v>1237</v>
      </c>
      <c r="I280" s="958">
        <v>43785</v>
      </c>
      <c r="J280" s="958">
        <v>45364</v>
      </c>
      <c r="K280" s="661"/>
      <c r="L280" s="661"/>
    </row>
    <row r="281" spans="1:12">
      <c r="A281" s="661"/>
      <c r="B281" s="940">
        <v>277</v>
      </c>
      <c r="C281" s="940" t="s">
        <v>1395</v>
      </c>
      <c r="D281" s="940" t="s">
        <v>1892</v>
      </c>
      <c r="E281" s="940" t="s">
        <v>1830</v>
      </c>
      <c r="F281" s="959">
        <v>3</v>
      </c>
      <c r="G281" s="940" t="s">
        <v>1812</v>
      </c>
      <c r="H281" s="940" t="s">
        <v>1237</v>
      </c>
      <c r="I281" s="958">
        <v>43785</v>
      </c>
      <c r="J281" s="958">
        <v>45364</v>
      </c>
      <c r="K281" s="661"/>
      <c r="L281" s="661"/>
    </row>
    <row r="282" spans="1:12">
      <c r="A282" s="661"/>
      <c r="B282" s="940">
        <v>278</v>
      </c>
      <c r="C282" s="940" t="s">
        <v>1395</v>
      </c>
      <c r="D282" s="940" t="s">
        <v>1893</v>
      </c>
      <c r="E282" s="940" t="s">
        <v>1832</v>
      </c>
      <c r="F282" s="959">
        <v>4</v>
      </c>
      <c r="G282" s="940" t="s">
        <v>1812</v>
      </c>
      <c r="H282" s="940" t="s">
        <v>1237</v>
      </c>
      <c r="I282" s="958">
        <v>43785</v>
      </c>
      <c r="J282" s="958">
        <v>45364</v>
      </c>
      <c r="K282" s="661"/>
      <c r="L282" s="661"/>
    </row>
    <row r="283" spans="1:12">
      <c r="A283" s="661"/>
      <c r="B283" s="940">
        <v>279</v>
      </c>
      <c r="C283" s="940" t="s">
        <v>1395</v>
      </c>
      <c r="D283" s="940" t="s">
        <v>1894</v>
      </c>
      <c r="E283" s="940" t="s">
        <v>1834</v>
      </c>
      <c r="F283" s="959">
        <v>5</v>
      </c>
      <c r="G283" s="940" t="s">
        <v>1812</v>
      </c>
      <c r="H283" s="940" t="s">
        <v>1237</v>
      </c>
      <c r="I283" s="958">
        <v>43785</v>
      </c>
      <c r="J283" s="958">
        <v>45364</v>
      </c>
      <c r="K283" s="661"/>
      <c r="L283" s="661"/>
    </row>
    <row r="284" spans="1:12">
      <c r="A284" s="661"/>
      <c r="B284" s="940">
        <v>280</v>
      </c>
      <c r="C284" s="940" t="s">
        <v>1395</v>
      </c>
      <c r="D284" s="940" t="s">
        <v>1895</v>
      </c>
      <c r="E284" s="940" t="s">
        <v>1811</v>
      </c>
      <c r="F284" s="959">
        <v>0.3</v>
      </c>
      <c r="G284" s="940" t="s">
        <v>1812</v>
      </c>
      <c r="H284" s="940" t="s">
        <v>1237</v>
      </c>
      <c r="I284" s="958">
        <v>43785</v>
      </c>
      <c r="J284" s="958">
        <v>45364</v>
      </c>
      <c r="K284" s="661"/>
      <c r="L284" s="661"/>
    </row>
    <row r="285" spans="1:12">
      <c r="A285" s="661"/>
      <c r="B285" s="940">
        <v>281</v>
      </c>
      <c r="C285" s="940" t="s">
        <v>1395</v>
      </c>
      <c r="D285" s="940" t="s">
        <v>1896</v>
      </c>
      <c r="E285" s="940" t="s">
        <v>1814</v>
      </c>
      <c r="F285" s="957">
        <v>1.5</v>
      </c>
      <c r="G285" s="940" t="s">
        <v>1812</v>
      </c>
      <c r="H285" s="940" t="s">
        <v>1237</v>
      </c>
      <c r="I285" s="958">
        <v>43785</v>
      </c>
      <c r="J285" s="958">
        <v>45364</v>
      </c>
      <c r="K285" s="661"/>
      <c r="L285" s="661"/>
    </row>
    <row r="286" spans="1:12">
      <c r="A286" s="661"/>
      <c r="B286" s="940">
        <v>282</v>
      </c>
      <c r="C286" s="940" t="s">
        <v>1395</v>
      </c>
      <c r="D286" s="940" t="s">
        <v>1897</v>
      </c>
      <c r="E286" s="940" t="s">
        <v>1816</v>
      </c>
      <c r="F286" s="957">
        <v>1.5</v>
      </c>
      <c r="G286" s="940" t="s">
        <v>1812</v>
      </c>
      <c r="H286" s="940" t="s">
        <v>1237</v>
      </c>
      <c r="I286" s="958">
        <v>43785</v>
      </c>
      <c r="J286" s="958">
        <v>45364</v>
      </c>
      <c r="K286" s="661"/>
      <c r="L286" s="661"/>
    </row>
    <row r="287" spans="1:12">
      <c r="A287" s="661"/>
      <c r="B287" s="940">
        <v>283</v>
      </c>
      <c r="C287" s="940" t="s">
        <v>1395</v>
      </c>
      <c r="D287" s="940" t="s">
        <v>1898</v>
      </c>
      <c r="E287" s="940" t="s">
        <v>1818</v>
      </c>
      <c r="F287" s="957">
        <v>2</v>
      </c>
      <c r="G287" s="940" t="s">
        <v>1812</v>
      </c>
      <c r="H287" s="940" t="s">
        <v>1237</v>
      </c>
      <c r="I287" s="958">
        <v>43785</v>
      </c>
      <c r="J287" s="958">
        <v>45364</v>
      </c>
      <c r="K287" s="661"/>
      <c r="L287" s="661"/>
    </row>
    <row r="288" spans="1:12">
      <c r="A288" s="661"/>
      <c r="B288" s="940">
        <v>284</v>
      </c>
      <c r="C288" s="940" t="s">
        <v>1395</v>
      </c>
      <c r="D288" s="940" t="s">
        <v>1899</v>
      </c>
      <c r="E288" s="940" t="s">
        <v>1820</v>
      </c>
      <c r="F288" s="957">
        <v>2</v>
      </c>
      <c r="G288" s="940" t="s">
        <v>1812</v>
      </c>
      <c r="H288" s="940" t="s">
        <v>1237</v>
      </c>
      <c r="I288" s="958">
        <v>43785</v>
      </c>
      <c r="J288" s="958">
        <v>45364</v>
      </c>
      <c r="K288" s="661"/>
      <c r="L288" s="661"/>
    </row>
    <row r="289" spans="1:12">
      <c r="A289" s="661"/>
      <c r="B289" s="940">
        <v>285</v>
      </c>
      <c r="C289" s="940" t="s">
        <v>1395</v>
      </c>
      <c r="D289" s="940" t="s">
        <v>1900</v>
      </c>
      <c r="E289" s="940" t="s">
        <v>1822</v>
      </c>
      <c r="F289" s="957">
        <v>2.5</v>
      </c>
      <c r="G289" s="940" t="s">
        <v>1812</v>
      </c>
      <c r="H289" s="940" t="s">
        <v>1237</v>
      </c>
      <c r="I289" s="958">
        <v>43785</v>
      </c>
      <c r="J289" s="958">
        <v>45364</v>
      </c>
      <c r="K289" s="661"/>
      <c r="L289" s="661"/>
    </row>
    <row r="290" spans="1:12">
      <c r="A290" s="661"/>
      <c r="B290" s="940">
        <v>286</v>
      </c>
      <c r="C290" s="940" t="s">
        <v>1395</v>
      </c>
      <c r="D290" s="940" t="s">
        <v>1901</v>
      </c>
      <c r="E290" s="940" t="s">
        <v>1824</v>
      </c>
      <c r="F290" s="957">
        <v>3.5</v>
      </c>
      <c r="G290" s="940" t="s">
        <v>1812</v>
      </c>
      <c r="H290" s="940" t="s">
        <v>1237</v>
      </c>
      <c r="I290" s="958">
        <v>43785</v>
      </c>
      <c r="J290" s="958">
        <v>45364</v>
      </c>
      <c r="K290" s="661"/>
      <c r="L290" s="661"/>
    </row>
    <row r="291" spans="1:12">
      <c r="A291" s="661"/>
      <c r="B291" s="940">
        <v>287</v>
      </c>
      <c r="C291" s="940" t="s">
        <v>1395</v>
      </c>
      <c r="D291" s="940" t="s">
        <v>1902</v>
      </c>
      <c r="E291" s="940" t="s">
        <v>1826</v>
      </c>
      <c r="F291" s="957">
        <v>5</v>
      </c>
      <c r="G291" s="940" t="s">
        <v>1812</v>
      </c>
      <c r="H291" s="940" t="s">
        <v>1237</v>
      </c>
      <c r="I291" s="958">
        <v>43785</v>
      </c>
      <c r="J291" s="958">
        <v>45364</v>
      </c>
      <c r="K291" s="661"/>
      <c r="L291" s="661"/>
    </row>
    <row r="292" spans="1:12">
      <c r="A292" s="661"/>
      <c r="B292" s="940">
        <v>288</v>
      </c>
      <c r="C292" s="940" t="s">
        <v>1395</v>
      </c>
      <c r="D292" s="940" t="s">
        <v>1903</v>
      </c>
      <c r="E292" s="940" t="s">
        <v>1828</v>
      </c>
      <c r="F292" s="957">
        <v>5</v>
      </c>
      <c r="G292" s="940" t="s">
        <v>1812</v>
      </c>
      <c r="H292" s="940" t="s">
        <v>1237</v>
      </c>
      <c r="I292" s="958">
        <v>43785</v>
      </c>
      <c r="J292" s="958">
        <v>45364</v>
      </c>
      <c r="K292" s="661"/>
      <c r="L292" s="661"/>
    </row>
    <row r="293" spans="1:12">
      <c r="A293" s="661"/>
      <c r="B293" s="940">
        <v>289</v>
      </c>
      <c r="C293" s="940" t="s">
        <v>1395</v>
      </c>
      <c r="D293" s="940" t="s">
        <v>1904</v>
      </c>
      <c r="E293" s="940" t="s">
        <v>1830</v>
      </c>
      <c r="F293" s="957">
        <v>5</v>
      </c>
      <c r="G293" s="940" t="s">
        <v>1812</v>
      </c>
      <c r="H293" s="940" t="s">
        <v>1237</v>
      </c>
      <c r="I293" s="958">
        <v>43785</v>
      </c>
      <c r="J293" s="958">
        <v>45364</v>
      </c>
      <c r="K293" s="661"/>
      <c r="L293" s="661"/>
    </row>
    <row r="294" spans="1:12">
      <c r="A294" s="661"/>
      <c r="B294" s="940">
        <v>290</v>
      </c>
      <c r="C294" s="940" t="s">
        <v>1395</v>
      </c>
      <c r="D294" s="940" t="s">
        <v>1905</v>
      </c>
      <c r="E294" s="940" t="s">
        <v>1832</v>
      </c>
      <c r="F294" s="957">
        <v>6</v>
      </c>
      <c r="G294" s="940" t="s">
        <v>1812</v>
      </c>
      <c r="H294" s="940" t="s">
        <v>1237</v>
      </c>
      <c r="I294" s="958">
        <v>43785</v>
      </c>
      <c r="J294" s="958">
        <v>45364</v>
      </c>
      <c r="K294" s="661"/>
      <c r="L294" s="661"/>
    </row>
    <row r="295" spans="1:12">
      <c r="A295" s="661"/>
      <c r="B295" s="940">
        <v>291</v>
      </c>
      <c r="C295" s="940" t="s">
        <v>1395</v>
      </c>
      <c r="D295" s="940" t="s">
        <v>1906</v>
      </c>
      <c r="E295" s="940" t="s">
        <v>1834</v>
      </c>
      <c r="F295" s="957">
        <v>7</v>
      </c>
      <c r="G295" s="940" t="s">
        <v>1812</v>
      </c>
      <c r="H295" s="940" t="s">
        <v>1237</v>
      </c>
      <c r="I295" s="958">
        <v>43785</v>
      </c>
      <c r="J295" s="958">
        <v>45364</v>
      </c>
      <c r="K295" s="661"/>
      <c r="L295" s="661"/>
    </row>
    <row r="296" spans="1:12">
      <c r="A296" s="661"/>
      <c r="B296" s="940">
        <v>292</v>
      </c>
      <c r="C296" s="940" t="s">
        <v>1395</v>
      </c>
      <c r="D296" s="940" t="s">
        <v>1907</v>
      </c>
      <c r="E296" s="940" t="s">
        <v>1814</v>
      </c>
      <c r="F296" s="957">
        <v>1.4</v>
      </c>
      <c r="G296" s="940" t="s">
        <v>1812</v>
      </c>
      <c r="H296" s="940" t="s">
        <v>1660</v>
      </c>
      <c r="I296" s="958">
        <v>42609</v>
      </c>
      <c r="J296" s="958">
        <v>42609</v>
      </c>
      <c r="K296" s="661"/>
      <c r="L296" s="661"/>
    </row>
    <row r="297" spans="1:12">
      <c r="A297" s="661"/>
      <c r="B297" s="940">
        <v>293</v>
      </c>
      <c r="C297" s="940" t="s">
        <v>1395</v>
      </c>
      <c r="D297" s="940" t="s">
        <v>1908</v>
      </c>
      <c r="E297" s="940" t="s">
        <v>1816</v>
      </c>
      <c r="F297" s="957">
        <v>1.4</v>
      </c>
      <c r="G297" s="940" t="s">
        <v>1812</v>
      </c>
      <c r="H297" s="940" t="s">
        <v>1660</v>
      </c>
      <c r="I297" s="958">
        <v>42609</v>
      </c>
      <c r="J297" s="958">
        <v>42609</v>
      </c>
      <c r="K297" s="661"/>
      <c r="L297" s="661"/>
    </row>
    <row r="298" spans="1:12">
      <c r="A298" s="661"/>
      <c r="B298" s="940">
        <v>294</v>
      </c>
      <c r="C298" s="940" t="s">
        <v>1395</v>
      </c>
      <c r="D298" s="940" t="s">
        <v>1909</v>
      </c>
      <c r="E298" s="940" t="s">
        <v>1818</v>
      </c>
      <c r="F298" s="957">
        <v>1.4</v>
      </c>
      <c r="G298" s="940" t="s">
        <v>1812</v>
      </c>
      <c r="H298" s="940" t="s">
        <v>1660</v>
      </c>
      <c r="I298" s="958">
        <v>42609</v>
      </c>
      <c r="J298" s="958">
        <v>42609</v>
      </c>
      <c r="K298" s="661"/>
      <c r="L298" s="661"/>
    </row>
    <row r="299" spans="1:12">
      <c r="A299" s="661"/>
      <c r="B299" s="940">
        <v>295</v>
      </c>
      <c r="C299" s="940" t="s">
        <v>1395</v>
      </c>
      <c r="D299" s="940" t="s">
        <v>1910</v>
      </c>
      <c r="E299" s="940" t="s">
        <v>1820</v>
      </c>
      <c r="F299" s="957">
        <v>1.4</v>
      </c>
      <c r="G299" s="940" t="s">
        <v>1812</v>
      </c>
      <c r="H299" s="940" t="s">
        <v>1660</v>
      </c>
      <c r="I299" s="958">
        <v>42609</v>
      </c>
      <c r="J299" s="958">
        <v>42609</v>
      </c>
      <c r="K299" s="661"/>
      <c r="L299" s="661"/>
    </row>
    <row r="300" spans="1:12">
      <c r="A300" s="661"/>
      <c r="B300" s="940">
        <v>296</v>
      </c>
      <c r="C300" s="940" t="s">
        <v>1395</v>
      </c>
      <c r="D300" s="940" t="s">
        <v>1911</v>
      </c>
      <c r="E300" s="940" t="s">
        <v>1822</v>
      </c>
      <c r="F300" s="957">
        <v>1.4</v>
      </c>
      <c r="G300" s="940" t="s">
        <v>1812</v>
      </c>
      <c r="H300" s="940" t="s">
        <v>1660</v>
      </c>
      <c r="I300" s="958">
        <v>42609</v>
      </c>
      <c r="J300" s="958">
        <v>42609</v>
      </c>
      <c r="K300" s="661"/>
      <c r="L300" s="661"/>
    </row>
    <row r="301" spans="1:12">
      <c r="A301" s="661"/>
      <c r="B301" s="940">
        <v>297</v>
      </c>
      <c r="C301" s="940" t="s">
        <v>1395</v>
      </c>
      <c r="D301" s="940" t="s">
        <v>1912</v>
      </c>
      <c r="E301" s="940" t="s">
        <v>1824</v>
      </c>
      <c r="F301" s="957">
        <v>1.4</v>
      </c>
      <c r="G301" s="940" t="s">
        <v>1812</v>
      </c>
      <c r="H301" s="940" t="s">
        <v>1660</v>
      </c>
      <c r="I301" s="958">
        <v>42609</v>
      </c>
      <c r="J301" s="958">
        <v>42609</v>
      </c>
      <c r="K301" s="661"/>
      <c r="L301" s="661"/>
    </row>
    <row r="302" spans="1:12">
      <c r="A302" s="661"/>
      <c r="B302" s="940">
        <v>298</v>
      </c>
      <c r="C302" s="940" t="s">
        <v>1395</v>
      </c>
      <c r="D302" s="940" t="s">
        <v>1913</v>
      </c>
      <c r="E302" s="940" t="s">
        <v>1826</v>
      </c>
      <c r="F302" s="957">
        <v>1.4</v>
      </c>
      <c r="G302" s="940" t="s">
        <v>1812</v>
      </c>
      <c r="H302" s="940" t="s">
        <v>1660</v>
      </c>
      <c r="I302" s="958">
        <v>42609</v>
      </c>
      <c r="J302" s="958">
        <v>42609</v>
      </c>
      <c r="K302" s="661"/>
      <c r="L302" s="661"/>
    </row>
    <row r="303" spans="1:12">
      <c r="A303" s="661"/>
      <c r="B303" s="940">
        <v>299</v>
      </c>
      <c r="C303" s="940" t="s">
        <v>1395</v>
      </c>
      <c r="D303" s="940" t="s">
        <v>1914</v>
      </c>
      <c r="E303" s="940" t="s">
        <v>1828</v>
      </c>
      <c r="F303" s="957">
        <v>1.4</v>
      </c>
      <c r="G303" s="940" t="s">
        <v>1812</v>
      </c>
      <c r="H303" s="940" t="s">
        <v>1660</v>
      </c>
      <c r="I303" s="958">
        <v>42609</v>
      </c>
      <c r="J303" s="958">
        <v>42609</v>
      </c>
      <c r="K303" s="661"/>
      <c r="L303" s="661"/>
    </row>
    <row r="304" spans="1:12">
      <c r="A304" s="661"/>
      <c r="B304" s="940">
        <v>300</v>
      </c>
      <c r="C304" s="940" t="s">
        <v>1395</v>
      </c>
      <c r="D304" s="940" t="s">
        <v>1915</v>
      </c>
      <c r="E304" s="940" t="s">
        <v>1830</v>
      </c>
      <c r="F304" s="957">
        <v>1.4</v>
      </c>
      <c r="G304" s="940" t="s">
        <v>1812</v>
      </c>
      <c r="H304" s="940" t="s">
        <v>1660</v>
      </c>
      <c r="I304" s="958">
        <v>42609</v>
      </c>
      <c r="J304" s="958">
        <v>42609</v>
      </c>
      <c r="K304" s="661"/>
      <c r="L304" s="661"/>
    </row>
    <row r="305" spans="1:12">
      <c r="A305" s="661"/>
      <c r="B305" s="940">
        <v>301</v>
      </c>
      <c r="C305" s="940" t="s">
        <v>1395</v>
      </c>
      <c r="D305" s="940" t="s">
        <v>1916</v>
      </c>
      <c r="E305" s="940" t="s">
        <v>1832</v>
      </c>
      <c r="F305" s="957">
        <v>1.4</v>
      </c>
      <c r="G305" s="940" t="s">
        <v>1812</v>
      </c>
      <c r="H305" s="940" t="s">
        <v>1660</v>
      </c>
      <c r="I305" s="958">
        <v>42609</v>
      </c>
      <c r="J305" s="958">
        <v>42609</v>
      </c>
      <c r="K305" s="661"/>
      <c r="L305" s="661"/>
    </row>
    <row r="306" spans="1:12">
      <c r="A306" s="661"/>
      <c r="B306" s="940">
        <v>302</v>
      </c>
      <c r="C306" s="940" t="s">
        <v>1395</v>
      </c>
      <c r="D306" s="940" t="s">
        <v>1917</v>
      </c>
      <c r="E306" s="940" t="s">
        <v>1834</v>
      </c>
      <c r="F306" s="957">
        <v>1.4</v>
      </c>
      <c r="G306" s="940" t="s">
        <v>1812</v>
      </c>
      <c r="H306" s="940" t="s">
        <v>1660</v>
      </c>
      <c r="I306" s="958">
        <v>42609</v>
      </c>
      <c r="J306" s="958">
        <v>42609</v>
      </c>
      <c r="K306" s="661"/>
      <c r="L306" s="661"/>
    </row>
    <row r="307" spans="1:12">
      <c r="A307" s="661"/>
      <c r="B307" s="940">
        <v>303</v>
      </c>
      <c r="C307" s="940" t="s">
        <v>1395</v>
      </c>
      <c r="D307" s="940" t="s">
        <v>1918</v>
      </c>
      <c r="E307" s="940" t="s">
        <v>1811</v>
      </c>
      <c r="F307" s="957">
        <v>2</v>
      </c>
      <c r="G307" s="940" t="s">
        <v>1812</v>
      </c>
      <c r="H307" s="940" t="s">
        <v>1237</v>
      </c>
      <c r="I307" s="958">
        <v>43785</v>
      </c>
      <c r="J307" s="958">
        <v>45364</v>
      </c>
      <c r="K307" s="661"/>
      <c r="L307" s="661"/>
    </row>
    <row r="308" spans="1:12">
      <c r="A308" s="661"/>
      <c r="B308" s="940">
        <v>304</v>
      </c>
      <c r="C308" s="940" t="s">
        <v>1395</v>
      </c>
      <c r="D308" s="940" t="s">
        <v>1919</v>
      </c>
      <c r="E308" s="940" t="s">
        <v>1814</v>
      </c>
      <c r="F308" s="957">
        <v>2</v>
      </c>
      <c r="G308" s="940" t="s">
        <v>1812</v>
      </c>
      <c r="H308" s="940" t="s">
        <v>1237</v>
      </c>
      <c r="I308" s="958">
        <v>43785</v>
      </c>
      <c r="J308" s="958">
        <v>45364</v>
      </c>
      <c r="K308" s="661"/>
      <c r="L308" s="661"/>
    </row>
    <row r="309" spans="1:12">
      <c r="A309" s="661"/>
      <c r="B309" s="940">
        <v>305</v>
      </c>
      <c r="C309" s="940" t="s">
        <v>1395</v>
      </c>
      <c r="D309" s="940" t="s">
        <v>1920</v>
      </c>
      <c r="E309" s="940" t="s">
        <v>1816</v>
      </c>
      <c r="F309" s="957">
        <v>2</v>
      </c>
      <c r="G309" s="940" t="s">
        <v>1812</v>
      </c>
      <c r="H309" s="940" t="s">
        <v>1237</v>
      </c>
      <c r="I309" s="958">
        <v>43785</v>
      </c>
      <c r="J309" s="958">
        <v>45364</v>
      </c>
      <c r="K309" s="661"/>
      <c r="L309" s="661"/>
    </row>
    <row r="310" spans="1:12">
      <c r="A310" s="661"/>
      <c r="B310" s="940">
        <v>306</v>
      </c>
      <c r="C310" s="940" t="s">
        <v>1395</v>
      </c>
      <c r="D310" s="940" t="s">
        <v>1921</v>
      </c>
      <c r="E310" s="940" t="s">
        <v>1818</v>
      </c>
      <c r="F310" s="957">
        <v>2</v>
      </c>
      <c r="G310" s="940" t="s">
        <v>1812</v>
      </c>
      <c r="H310" s="940" t="s">
        <v>1237</v>
      </c>
      <c r="I310" s="958">
        <v>43785</v>
      </c>
      <c r="J310" s="958">
        <v>45364</v>
      </c>
      <c r="K310" s="661"/>
      <c r="L310" s="661"/>
    </row>
    <row r="311" spans="1:12">
      <c r="A311" s="661"/>
      <c r="B311" s="940">
        <v>307</v>
      </c>
      <c r="C311" s="940" t="s">
        <v>1395</v>
      </c>
      <c r="D311" s="940" t="s">
        <v>1922</v>
      </c>
      <c r="E311" s="940" t="s">
        <v>1820</v>
      </c>
      <c r="F311" s="957">
        <v>2</v>
      </c>
      <c r="G311" s="940" t="s">
        <v>1812</v>
      </c>
      <c r="H311" s="940" t="s">
        <v>1237</v>
      </c>
      <c r="I311" s="958">
        <v>43785</v>
      </c>
      <c r="J311" s="958">
        <v>45364</v>
      </c>
      <c r="K311" s="661"/>
      <c r="L311" s="661"/>
    </row>
    <row r="312" spans="1:12">
      <c r="A312" s="661"/>
      <c r="B312" s="940">
        <v>308</v>
      </c>
      <c r="C312" s="940" t="s">
        <v>1395</v>
      </c>
      <c r="D312" s="940" t="s">
        <v>1923</v>
      </c>
      <c r="E312" s="940" t="s">
        <v>1822</v>
      </c>
      <c r="F312" s="957">
        <v>2.5</v>
      </c>
      <c r="G312" s="940" t="s">
        <v>1812</v>
      </c>
      <c r="H312" s="940" t="s">
        <v>1237</v>
      </c>
      <c r="I312" s="958">
        <v>43785</v>
      </c>
      <c r="J312" s="958">
        <v>45364</v>
      </c>
      <c r="K312" s="661"/>
      <c r="L312" s="661"/>
    </row>
    <row r="313" spans="1:12">
      <c r="A313" s="661"/>
      <c r="B313" s="940">
        <v>309</v>
      </c>
      <c r="C313" s="940" t="s">
        <v>1395</v>
      </c>
      <c r="D313" s="940" t="s">
        <v>1924</v>
      </c>
      <c r="E313" s="940" t="s">
        <v>1824</v>
      </c>
      <c r="F313" s="957">
        <v>2.5</v>
      </c>
      <c r="G313" s="940" t="s">
        <v>1812</v>
      </c>
      <c r="H313" s="940" t="s">
        <v>1237</v>
      </c>
      <c r="I313" s="958">
        <v>43785</v>
      </c>
      <c r="J313" s="958">
        <v>45364</v>
      </c>
      <c r="K313" s="661"/>
      <c r="L313" s="661"/>
    </row>
    <row r="314" spans="1:12">
      <c r="A314" s="661"/>
      <c r="B314" s="940">
        <v>310</v>
      </c>
      <c r="C314" s="940" t="s">
        <v>1395</v>
      </c>
      <c r="D314" s="940" t="s">
        <v>1925</v>
      </c>
      <c r="E314" s="940" t="s">
        <v>1826</v>
      </c>
      <c r="F314" s="957">
        <v>2.5</v>
      </c>
      <c r="G314" s="940" t="s">
        <v>1812</v>
      </c>
      <c r="H314" s="940" t="s">
        <v>1237</v>
      </c>
      <c r="I314" s="958">
        <v>43785</v>
      </c>
      <c r="J314" s="958">
        <v>45364</v>
      </c>
      <c r="K314" s="661"/>
      <c r="L314" s="661"/>
    </row>
    <row r="315" spans="1:12">
      <c r="A315" s="661"/>
      <c r="B315" s="940">
        <v>311</v>
      </c>
      <c r="C315" s="940" t="s">
        <v>1395</v>
      </c>
      <c r="D315" s="940" t="s">
        <v>1926</v>
      </c>
      <c r="E315" s="940" t="s">
        <v>1828</v>
      </c>
      <c r="F315" s="957">
        <v>3</v>
      </c>
      <c r="G315" s="940" t="s">
        <v>1812</v>
      </c>
      <c r="H315" s="940" t="s">
        <v>1237</v>
      </c>
      <c r="I315" s="958">
        <v>43785</v>
      </c>
      <c r="J315" s="958">
        <v>45364</v>
      </c>
      <c r="K315" s="661"/>
      <c r="L315" s="661"/>
    </row>
    <row r="316" spans="1:12">
      <c r="A316" s="661"/>
      <c r="B316" s="940">
        <v>312</v>
      </c>
      <c r="C316" s="940" t="s">
        <v>1395</v>
      </c>
      <c r="D316" s="940" t="s">
        <v>1927</v>
      </c>
      <c r="E316" s="940" t="s">
        <v>1830</v>
      </c>
      <c r="F316" s="957">
        <v>3</v>
      </c>
      <c r="G316" s="940" t="s">
        <v>1812</v>
      </c>
      <c r="H316" s="940" t="s">
        <v>1237</v>
      </c>
      <c r="I316" s="958">
        <v>43785</v>
      </c>
      <c r="J316" s="958">
        <v>45364</v>
      </c>
      <c r="K316" s="661"/>
      <c r="L316" s="661"/>
    </row>
    <row r="317" spans="1:12">
      <c r="A317" s="661"/>
      <c r="B317" s="940">
        <v>313</v>
      </c>
      <c r="C317" s="940" t="s">
        <v>1395</v>
      </c>
      <c r="D317" s="940" t="s">
        <v>1928</v>
      </c>
      <c r="E317" s="940" t="s">
        <v>1832</v>
      </c>
      <c r="F317" s="957">
        <v>3</v>
      </c>
      <c r="G317" s="940" t="s">
        <v>1812</v>
      </c>
      <c r="H317" s="940" t="s">
        <v>1237</v>
      </c>
      <c r="I317" s="958">
        <v>43785</v>
      </c>
      <c r="J317" s="958">
        <v>45364</v>
      </c>
      <c r="K317" s="661"/>
      <c r="L317" s="661"/>
    </row>
    <row r="318" spans="1:12">
      <c r="A318" s="661"/>
      <c r="B318" s="940">
        <v>314</v>
      </c>
      <c r="C318" s="940" t="s">
        <v>1395</v>
      </c>
      <c r="D318" s="940" t="s">
        <v>1929</v>
      </c>
      <c r="E318" s="940" t="s">
        <v>1834</v>
      </c>
      <c r="F318" s="957">
        <v>4</v>
      </c>
      <c r="G318" s="940" t="s">
        <v>1812</v>
      </c>
      <c r="H318" s="940" t="s">
        <v>1237</v>
      </c>
      <c r="I318" s="958">
        <v>43785</v>
      </c>
      <c r="J318" s="958">
        <v>45364</v>
      </c>
      <c r="K318" s="661"/>
      <c r="L318" s="661"/>
    </row>
    <row r="319" spans="1:12">
      <c r="A319" s="661"/>
      <c r="B319" s="940">
        <v>315</v>
      </c>
      <c r="C319" s="940" t="s">
        <v>1395</v>
      </c>
      <c r="D319" s="940" t="s">
        <v>1930</v>
      </c>
      <c r="E319" s="940" t="s">
        <v>1811</v>
      </c>
      <c r="F319" s="959">
        <v>0.5</v>
      </c>
      <c r="G319" s="940" t="s">
        <v>1812</v>
      </c>
      <c r="H319" s="940" t="s">
        <v>1237</v>
      </c>
      <c r="I319" s="958">
        <v>43785</v>
      </c>
      <c r="J319" s="958">
        <v>45364</v>
      </c>
      <c r="K319" s="661"/>
      <c r="L319" s="661"/>
    </row>
    <row r="320" spans="1:12">
      <c r="A320" s="661"/>
      <c r="B320" s="940">
        <v>316</v>
      </c>
      <c r="C320" s="940" t="s">
        <v>1395</v>
      </c>
      <c r="D320" s="940" t="s">
        <v>1931</v>
      </c>
      <c r="E320" s="940" t="s">
        <v>1814</v>
      </c>
      <c r="F320" s="959">
        <v>1</v>
      </c>
      <c r="G320" s="940" t="s">
        <v>1812</v>
      </c>
      <c r="H320" s="940" t="s">
        <v>1237</v>
      </c>
      <c r="I320" s="958">
        <v>43785</v>
      </c>
      <c r="J320" s="958">
        <v>45364</v>
      </c>
      <c r="K320" s="661"/>
      <c r="L320" s="661"/>
    </row>
    <row r="321" spans="1:12">
      <c r="A321" s="661"/>
      <c r="B321" s="940">
        <v>317</v>
      </c>
      <c r="C321" s="940" t="s">
        <v>1395</v>
      </c>
      <c r="D321" s="940" t="s">
        <v>1932</v>
      </c>
      <c r="E321" s="940" t="s">
        <v>1816</v>
      </c>
      <c r="F321" s="959">
        <v>1</v>
      </c>
      <c r="G321" s="940" t="s">
        <v>1812</v>
      </c>
      <c r="H321" s="940" t="s">
        <v>1237</v>
      </c>
      <c r="I321" s="958">
        <v>43785</v>
      </c>
      <c r="J321" s="958">
        <v>45364</v>
      </c>
      <c r="K321" s="661"/>
      <c r="L321" s="661"/>
    </row>
    <row r="322" spans="1:12">
      <c r="A322" s="661"/>
      <c r="B322" s="940">
        <v>318</v>
      </c>
      <c r="C322" s="940" t="s">
        <v>1395</v>
      </c>
      <c r="D322" s="940" t="s">
        <v>1933</v>
      </c>
      <c r="E322" s="940" t="s">
        <v>1818</v>
      </c>
      <c r="F322" s="959">
        <v>1</v>
      </c>
      <c r="G322" s="940" t="s">
        <v>1812</v>
      </c>
      <c r="H322" s="940" t="s">
        <v>1237</v>
      </c>
      <c r="I322" s="958">
        <v>43785</v>
      </c>
      <c r="J322" s="958">
        <v>45364</v>
      </c>
      <c r="K322" s="661"/>
      <c r="L322" s="661"/>
    </row>
    <row r="323" spans="1:12">
      <c r="A323" s="661"/>
      <c r="B323" s="940">
        <v>319</v>
      </c>
      <c r="C323" s="940" t="s">
        <v>1395</v>
      </c>
      <c r="D323" s="940" t="s">
        <v>1934</v>
      </c>
      <c r="E323" s="940" t="s">
        <v>1820</v>
      </c>
      <c r="F323" s="959">
        <v>1</v>
      </c>
      <c r="G323" s="940" t="s">
        <v>1812</v>
      </c>
      <c r="H323" s="940" t="s">
        <v>1237</v>
      </c>
      <c r="I323" s="958">
        <v>43785</v>
      </c>
      <c r="J323" s="958">
        <v>45364</v>
      </c>
      <c r="K323" s="661"/>
      <c r="L323" s="661"/>
    </row>
    <row r="324" spans="1:12">
      <c r="A324" s="661"/>
      <c r="B324" s="940">
        <v>320</v>
      </c>
      <c r="C324" s="940" t="s">
        <v>1395</v>
      </c>
      <c r="D324" s="940" t="s">
        <v>1935</v>
      </c>
      <c r="E324" s="940" t="s">
        <v>1822</v>
      </c>
      <c r="F324" s="959">
        <v>2</v>
      </c>
      <c r="G324" s="940" t="s">
        <v>1812</v>
      </c>
      <c r="H324" s="940" t="s">
        <v>1237</v>
      </c>
      <c r="I324" s="958">
        <v>43785</v>
      </c>
      <c r="J324" s="958">
        <v>45364</v>
      </c>
      <c r="K324" s="661"/>
      <c r="L324" s="661"/>
    </row>
    <row r="325" spans="1:12">
      <c r="A325" s="661"/>
      <c r="B325" s="940">
        <v>321</v>
      </c>
      <c r="C325" s="940" t="s">
        <v>1395</v>
      </c>
      <c r="D325" s="940" t="s">
        <v>1936</v>
      </c>
      <c r="E325" s="940" t="s">
        <v>1824</v>
      </c>
      <c r="F325" s="959">
        <v>2</v>
      </c>
      <c r="G325" s="940" t="s">
        <v>1812</v>
      </c>
      <c r="H325" s="940" t="s">
        <v>1237</v>
      </c>
      <c r="I325" s="958">
        <v>43785</v>
      </c>
      <c r="J325" s="958">
        <v>45364</v>
      </c>
      <c r="K325" s="661"/>
      <c r="L325" s="661"/>
    </row>
    <row r="326" spans="1:12">
      <c r="A326" s="661"/>
      <c r="B326" s="940">
        <v>322</v>
      </c>
      <c r="C326" s="940" t="s">
        <v>1395</v>
      </c>
      <c r="D326" s="940" t="s">
        <v>1937</v>
      </c>
      <c r="E326" s="940" t="s">
        <v>1826</v>
      </c>
      <c r="F326" s="959">
        <v>2</v>
      </c>
      <c r="G326" s="940" t="s">
        <v>1812</v>
      </c>
      <c r="H326" s="940" t="s">
        <v>1237</v>
      </c>
      <c r="I326" s="958">
        <v>43785</v>
      </c>
      <c r="J326" s="958">
        <v>45364</v>
      </c>
      <c r="K326" s="661"/>
      <c r="L326" s="661"/>
    </row>
    <row r="327" spans="1:12">
      <c r="A327" s="661"/>
      <c r="B327" s="940">
        <v>323</v>
      </c>
      <c r="C327" s="940" t="s">
        <v>1395</v>
      </c>
      <c r="D327" s="940" t="s">
        <v>1938</v>
      </c>
      <c r="E327" s="940" t="s">
        <v>1828</v>
      </c>
      <c r="F327" s="959">
        <v>3</v>
      </c>
      <c r="G327" s="940" t="s">
        <v>1812</v>
      </c>
      <c r="H327" s="940" t="s">
        <v>1237</v>
      </c>
      <c r="I327" s="958">
        <v>43785</v>
      </c>
      <c r="J327" s="958">
        <v>45364</v>
      </c>
      <c r="K327" s="661"/>
      <c r="L327" s="661"/>
    </row>
    <row r="328" spans="1:12">
      <c r="A328" s="661"/>
      <c r="B328" s="940">
        <v>324</v>
      </c>
      <c r="C328" s="940" t="s">
        <v>1395</v>
      </c>
      <c r="D328" s="940" t="s">
        <v>1939</v>
      </c>
      <c r="E328" s="940" t="s">
        <v>1830</v>
      </c>
      <c r="F328" s="959">
        <v>3</v>
      </c>
      <c r="G328" s="940" t="s">
        <v>1812</v>
      </c>
      <c r="H328" s="940" t="s">
        <v>1237</v>
      </c>
      <c r="I328" s="958">
        <v>43785</v>
      </c>
      <c r="J328" s="958">
        <v>45364</v>
      </c>
      <c r="K328" s="661"/>
      <c r="L328" s="661"/>
    </row>
    <row r="329" spans="1:12">
      <c r="A329" s="661"/>
      <c r="B329" s="940">
        <v>325</v>
      </c>
      <c r="C329" s="940" t="s">
        <v>1395</v>
      </c>
      <c r="D329" s="940" t="s">
        <v>1940</v>
      </c>
      <c r="E329" s="940" t="s">
        <v>1832</v>
      </c>
      <c r="F329" s="959">
        <v>3</v>
      </c>
      <c r="G329" s="940" t="s">
        <v>1812</v>
      </c>
      <c r="H329" s="940" t="s">
        <v>1237</v>
      </c>
      <c r="I329" s="958">
        <v>43785</v>
      </c>
      <c r="J329" s="958">
        <v>45364</v>
      </c>
      <c r="K329" s="661"/>
      <c r="L329" s="661"/>
    </row>
    <row r="330" spans="1:12">
      <c r="A330" s="661"/>
      <c r="B330" s="940">
        <v>326</v>
      </c>
      <c r="C330" s="940" t="s">
        <v>1395</v>
      </c>
      <c r="D330" s="940" t="s">
        <v>1941</v>
      </c>
      <c r="E330" s="940" t="s">
        <v>1834</v>
      </c>
      <c r="F330" s="959">
        <v>4</v>
      </c>
      <c r="G330" s="940" t="s">
        <v>1812</v>
      </c>
      <c r="H330" s="940" t="s">
        <v>1237</v>
      </c>
      <c r="I330" s="958">
        <v>43785</v>
      </c>
      <c r="J330" s="958">
        <v>45364</v>
      </c>
      <c r="K330" s="661"/>
      <c r="L330" s="661"/>
    </row>
    <row r="331" spans="1:12">
      <c r="A331" s="661"/>
      <c r="B331" s="940">
        <v>327</v>
      </c>
      <c r="C331" s="940" t="s">
        <v>1395</v>
      </c>
      <c r="D331" s="940" t="s">
        <v>1942</v>
      </c>
      <c r="E331" s="940" t="s">
        <v>1811</v>
      </c>
      <c r="F331" s="959">
        <v>0.5</v>
      </c>
      <c r="G331" s="940" t="s">
        <v>1812</v>
      </c>
      <c r="H331" s="940" t="s">
        <v>1237</v>
      </c>
      <c r="I331" s="958">
        <v>43785</v>
      </c>
      <c r="J331" s="958">
        <v>45364</v>
      </c>
      <c r="K331" s="661"/>
      <c r="L331" s="661"/>
    </row>
    <row r="332" spans="1:12">
      <c r="A332" s="661"/>
      <c r="B332" s="940">
        <v>328</v>
      </c>
      <c r="C332" s="940" t="s">
        <v>1395</v>
      </c>
      <c r="D332" s="940" t="s">
        <v>1943</v>
      </c>
      <c r="E332" s="940" t="s">
        <v>1814</v>
      </c>
      <c r="F332" s="959">
        <v>0.75</v>
      </c>
      <c r="G332" s="940" t="s">
        <v>1812</v>
      </c>
      <c r="H332" s="940" t="s">
        <v>1237</v>
      </c>
      <c r="I332" s="958">
        <v>43785</v>
      </c>
      <c r="J332" s="958">
        <v>45364</v>
      </c>
      <c r="K332" s="661"/>
      <c r="L332" s="661"/>
    </row>
    <row r="333" spans="1:12">
      <c r="A333" s="661"/>
      <c r="B333" s="940">
        <v>329</v>
      </c>
      <c r="C333" s="940" t="s">
        <v>1395</v>
      </c>
      <c r="D333" s="940" t="s">
        <v>1944</v>
      </c>
      <c r="E333" s="940" t="s">
        <v>1816</v>
      </c>
      <c r="F333" s="959">
        <v>0.75</v>
      </c>
      <c r="G333" s="940" t="s">
        <v>1812</v>
      </c>
      <c r="H333" s="940" t="s">
        <v>1237</v>
      </c>
      <c r="I333" s="958">
        <v>43785</v>
      </c>
      <c r="J333" s="958">
        <v>45364</v>
      </c>
      <c r="K333" s="661"/>
      <c r="L333" s="661"/>
    </row>
    <row r="334" spans="1:12">
      <c r="A334" s="661"/>
      <c r="B334" s="940">
        <v>330</v>
      </c>
      <c r="C334" s="940" t="s">
        <v>1395</v>
      </c>
      <c r="D334" s="940" t="s">
        <v>1945</v>
      </c>
      <c r="E334" s="940" t="s">
        <v>1818</v>
      </c>
      <c r="F334" s="959">
        <v>0.75</v>
      </c>
      <c r="G334" s="940" t="s">
        <v>1812</v>
      </c>
      <c r="H334" s="940" t="s">
        <v>1237</v>
      </c>
      <c r="I334" s="958">
        <v>43785</v>
      </c>
      <c r="J334" s="958">
        <v>45364</v>
      </c>
      <c r="K334" s="661"/>
      <c r="L334" s="661"/>
    </row>
    <row r="335" spans="1:12">
      <c r="A335" s="661"/>
      <c r="B335" s="940">
        <v>331</v>
      </c>
      <c r="C335" s="940" t="s">
        <v>1395</v>
      </c>
      <c r="D335" s="940" t="s">
        <v>1946</v>
      </c>
      <c r="E335" s="940" t="s">
        <v>1820</v>
      </c>
      <c r="F335" s="959">
        <v>0.75</v>
      </c>
      <c r="G335" s="940" t="s">
        <v>1812</v>
      </c>
      <c r="H335" s="940" t="s">
        <v>1237</v>
      </c>
      <c r="I335" s="958">
        <v>43785</v>
      </c>
      <c r="J335" s="958">
        <v>45364</v>
      </c>
      <c r="K335" s="661"/>
      <c r="L335" s="661"/>
    </row>
    <row r="336" spans="1:12">
      <c r="A336" s="661"/>
      <c r="B336" s="940">
        <v>332</v>
      </c>
      <c r="C336" s="940" t="s">
        <v>1395</v>
      </c>
      <c r="D336" s="940" t="s">
        <v>1947</v>
      </c>
      <c r="E336" s="940" t="s">
        <v>1822</v>
      </c>
      <c r="F336" s="959">
        <v>1.5</v>
      </c>
      <c r="G336" s="940" t="s">
        <v>1812</v>
      </c>
      <c r="H336" s="940" t="s">
        <v>1237</v>
      </c>
      <c r="I336" s="958">
        <v>43785</v>
      </c>
      <c r="J336" s="958">
        <v>45364</v>
      </c>
      <c r="K336" s="661"/>
      <c r="L336" s="661"/>
    </row>
    <row r="337" spans="1:12">
      <c r="A337" s="661"/>
      <c r="B337" s="940">
        <v>333</v>
      </c>
      <c r="C337" s="940" t="s">
        <v>1395</v>
      </c>
      <c r="D337" s="940" t="s">
        <v>1948</v>
      </c>
      <c r="E337" s="940" t="s">
        <v>1824</v>
      </c>
      <c r="F337" s="959">
        <v>1.5</v>
      </c>
      <c r="G337" s="940" t="s">
        <v>1812</v>
      </c>
      <c r="H337" s="940" t="s">
        <v>1237</v>
      </c>
      <c r="I337" s="958">
        <v>43785</v>
      </c>
      <c r="J337" s="958">
        <v>45364</v>
      </c>
      <c r="K337" s="661"/>
      <c r="L337" s="661"/>
    </row>
    <row r="338" spans="1:12">
      <c r="A338" s="661"/>
      <c r="B338" s="940">
        <v>334</v>
      </c>
      <c r="C338" s="940" t="s">
        <v>1395</v>
      </c>
      <c r="D338" s="940" t="s">
        <v>1949</v>
      </c>
      <c r="E338" s="940" t="s">
        <v>1826</v>
      </c>
      <c r="F338" s="959">
        <v>1.5</v>
      </c>
      <c r="G338" s="940" t="s">
        <v>1812</v>
      </c>
      <c r="H338" s="940" t="s">
        <v>1237</v>
      </c>
      <c r="I338" s="958">
        <v>43785</v>
      </c>
      <c r="J338" s="958">
        <v>45364</v>
      </c>
      <c r="K338" s="661"/>
      <c r="L338" s="661"/>
    </row>
    <row r="339" spans="1:12">
      <c r="A339" s="661"/>
      <c r="B339" s="940">
        <v>335</v>
      </c>
      <c r="C339" s="940" t="s">
        <v>1395</v>
      </c>
      <c r="D339" s="940" t="s">
        <v>1950</v>
      </c>
      <c r="E339" s="940" t="s">
        <v>1828</v>
      </c>
      <c r="F339" s="959">
        <v>2.25</v>
      </c>
      <c r="G339" s="940" t="s">
        <v>1812</v>
      </c>
      <c r="H339" s="940" t="s">
        <v>1237</v>
      </c>
      <c r="I339" s="958">
        <v>43785</v>
      </c>
      <c r="J339" s="958">
        <v>45364</v>
      </c>
      <c r="K339" s="661"/>
      <c r="L339" s="661"/>
    </row>
    <row r="340" spans="1:12">
      <c r="A340" s="661"/>
      <c r="B340" s="940">
        <v>336</v>
      </c>
      <c r="C340" s="940" t="s">
        <v>1395</v>
      </c>
      <c r="D340" s="940" t="s">
        <v>1951</v>
      </c>
      <c r="E340" s="940" t="s">
        <v>1830</v>
      </c>
      <c r="F340" s="959">
        <v>2.25</v>
      </c>
      <c r="G340" s="940" t="s">
        <v>1812</v>
      </c>
      <c r="H340" s="940" t="s">
        <v>1237</v>
      </c>
      <c r="I340" s="958">
        <v>43785</v>
      </c>
      <c r="J340" s="958">
        <v>45364</v>
      </c>
      <c r="K340" s="661"/>
      <c r="L340" s="661"/>
    </row>
    <row r="341" spans="1:12">
      <c r="A341" s="661"/>
      <c r="B341" s="940">
        <v>337</v>
      </c>
      <c r="C341" s="940" t="s">
        <v>1395</v>
      </c>
      <c r="D341" s="940" t="s">
        <v>1952</v>
      </c>
      <c r="E341" s="940" t="s">
        <v>1832</v>
      </c>
      <c r="F341" s="959">
        <v>2.25</v>
      </c>
      <c r="G341" s="940" t="s">
        <v>1812</v>
      </c>
      <c r="H341" s="940" t="s">
        <v>1237</v>
      </c>
      <c r="I341" s="958">
        <v>43785</v>
      </c>
      <c r="J341" s="958">
        <v>45364</v>
      </c>
      <c r="K341" s="661"/>
      <c r="L341" s="661"/>
    </row>
    <row r="342" spans="1:12">
      <c r="A342" s="661"/>
      <c r="B342" s="940">
        <v>338</v>
      </c>
      <c r="C342" s="940" t="s">
        <v>1395</v>
      </c>
      <c r="D342" s="940" t="s">
        <v>1953</v>
      </c>
      <c r="E342" s="940" t="s">
        <v>1834</v>
      </c>
      <c r="F342" s="959">
        <v>3</v>
      </c>
      <c r="G342" s="940" t="s">
        <v>1812</v>
      </c>
      <c r="H342" s="940" t="s">
        <v>1237</v>
      </c>
      <c r="I342" s="958">
        <v>43785</v>
      </c>
      <c r="J342" s="958">
        <v>45364</v>
      </c>
      <c r="K342" s="661"/>
      <c r="L342" s="661"/>
    </row>
    <row r="343" spans="1:12">
      <c r="A343" s="661"/>
      <c r="B343" s="940">
        <v>339</v>
      </c>
      <c r="C343" s="940" t="s">
        <v>1395</v>
      </c>
      <c r="D343" s="940" t="s">
        <v>1954</v>
      </c>
      <c r="E343" s="940" t="s">
        <v>1811</v>
      </c>
      <c r="F343" s="959">
        <v>0.5</v>
      </c>
      <c r="G343" s="940" t="s">
        <v>1812</v>
      </c>
      <c r="H343" s="940" t="s">
        <v>1237</v>
      </c>
      <c r="I343" s="958">
        <v>43785</v>
      </c>
      <c r="J343" s="958">
        <v>45364</v>
      </c>
      <c r="K343" s="661"/>
      <c r="L343" s="661"/>
    </row>
    <row r="344" spans="1:12">
      <c r="A344" s="661"/>
      <c r="B344" s="940">
        <v>340</v>
      </c>
      <c r="C344" s="940" t="s">
        <v>1395</v>
      </c>
      <c r="D344" s="940" t="s">
        <v>1955</v>
      </c>
      <c r="E344" s="940" t="s">
        <v>1814</v>
      </c>
      <c r="F344" s="959">
        <v>1</v>
      </c>
      <c r="G344" s="940" t="s">
        <v>1812</v>
      </c>
      <c r="H344" s="940" t="s">
        <v>1237</v>
      </c>
      <c r="I344" s="958">
        <v>43785</v>
      </c>
      <c r="J344" s="958">
        <v>45364</v>
      </c>
      <c r="K344" s="661"/>
      <c r="L344" s="661"/>
    </row>
    <row r="345" spans="1:12">
      <c r="A345" s="661"/>
      <c r="B345" s="940">
        <v>341</v>
      </c>
      <c r="C345" s="940" t="s">
        <v>1395</v>
      </c>
      <c r="D345" s="940" t="s">
        <v>1956</v>
      </c>
      <c r="E345" s="940" t="s">
        <v>1816</v>
      </c>
      <c r="F345" s="959">
        <v>1</v>
      </c>
      <c r="G345" s="940" t="s">
        <v>1812</v>
      </c>
      <c r="H345" s="940" t="s">
        <v>1237</v>
      </c>
      <c r="I345" s="958">
        <v>43785</v>
      </c>
      <c r="J345" s="958">
        <v>45364</v>
      </c>
      <c r="K345" s="661"/>
      <c r="L345" s="661"/>
    </row>
    <row r="346" spans="1:12">
      <c r="A346" s="661"/>
      <c r="B346" s="940">
        <v>342</v>
      </c>
      <c r="C346" s="940" t="s">
        <v>1395</v>
      </c>
      <c r="D346" s="940" t="s">
        <v>1957</v>
      </c>
      <c r="E346" s="940" t="s">
        <v>1818</v>
      </c>
      <c r="F346" s="959">
        <v>1</v>
      </c>
      <c r="G346" s="940" t="s">
        <v>1812</v>
      </c>
      <c r="H346" s="940" t="s">
        <v>1237</v>
      </c>
      <c r="I346" s="958">
        <v>43785</v>
      </c>
      <c r="J346" s="958">
        <v>45364</v>
      </c>
      <c r="K346" s="661"/>
      <c r="L346" s="661"/>
    </row>
    <row r="347" spans="1:12">
      <c r="A347" s="661"/>
      <c r="B347" s="940">
        <v>343</v>
      </c>
      <c r="C347" s="940" t="s">
        <v>1395</v>
      </c>
      <c r="D347" s="940" t="s">
        <v>1958</v>
      </c>
      <c r="E347" s="940" t="s">
        <v>1820</v>
      </c>
      <c r="F347" s="959">
        <v>1</v>
      </c>
      <c r="G347" s="940" t="s">
        <v>1812</v>
      </c>
      <c r="H347" s="940" t="s">
        <v>1237</v>
      </c>
      <c r="I347" s="958">
        <v>43785</v>
      </c>
      <c r="J347" s="958">
        <v>45364</v>
      </c>
      <c r="K347" s="661"/>
      <c r="L347" s="661"/>
    </row>
    <row r="348" spans="1:12">
      <c r="A348" s="661"/>
      <c r="B348" s="940">
        <v>344</v>
      </c>
      <c r="C348" s="940" t="s">
        <v>1395</v>
      </c>
      <c r="D348" s="940" t="s">
        <v>1959</v>
      </c>
      <c r="E348" s="940" t="s">
        <v>1822</v>
      </c>
      <c r="F348" s="959">
        <v>1</v>
      </c>
      <c r="G348" s="940" t="s">
        <v>1812</v>
      </c>
      <c r="H348" s="940" t="s">
        <v>1237</v>
      </c>
      <c r="I348" s="958">
        <v>43785</v>
      </c>
      <c r="J348" s="958">
        <v>45364</v>
      </c>
      <c r="K348" s="661"/>
      <c r="L348" s="661"/>
    </row>
    <row r="349" spans="1:12">
      <c r="A349" s="661"/>
      <c r="B349" s="940">
        <v>345</v>
      </c>
      <c r="C349" s="940" t="s">
        <v>1395</v>
      </c>
      <c r="D349" s="940" t="s">
        <v>1960</v>
      </c>
      <c r="E349" s="940" t="s">
        <v>1824</v>
      </c>
      <c r="F349" s="959">
        <v>1</v>
      </c>
      <c r="G349" s="940" t="s">
        <v>1812</v>
      </c>
      <c r="H349" s="940" t="s">
        <v>1237</v>
      </c>
      <c r="I349" s="958">
        <v>43785</v>
      </c>
      <c r="J349" s="958">
        <v>45364</v>
      </c>
      <c r="K349" s="661"/>
      <c r="L349" s="661"/>
    </row>
    <row r="350" spans="1:12">
      <c r="A350" s="661"/>
      <c r="B350" s="940">
        <v>346</v>
      </c>
      <c r="C350" s="940" t="s">
        <v>1395</v>
      </c>
      <c r="D350" s="940" t="s">
        <v>1961</v>
      </c>
      <c r="E350" s="940" t="s">
        <v>1826</v>
      </c>
      <c r="F350" s="959">
        <v>1</v>
      </c>
      <c r="G350" s="940" t="s">
        <v>1812</v>
      </c>
      <c r="H350" s="940" t="s">
        <v>1237</v>
      </c>
      <c r="I350" s="958">
        <v>43785</v>
      </c>
      <c r="J350" s="958">
        <v>45364</v>
      </c>
      <c r="K350" s="661"/>
      <c r="L350" s="661"/>
    </row>
    <row r="351" spans="1:12">
      <c r="A351" s="661"/>
      <c r="B351" s="940">
        <v>347</v>
      </c>
      <c r="C351" s="940" t="s">
        <v>1395</v>
      </c>
      <c r="D351" s="940" t="s">
        <v>1962</v>
      </c>
      <c r="E351" s="940" t="s">
        <v>1828</v>
      </c>
      <c r="F351" s="959">
        <v>1</v>
      </c>
      <c r="G351" s="940" t="s">
        <v>1812</v>
      </c>
      <c r="H351" s="940" t="s">
        <v>1237</v>
      </c>
      <c r="I351" s="958">
        <v>43785</v>
      </c>
      <c r="J351" s="958">
        <v>45364</v>
      </c>
      <c r="K351" s="661"/>
      <c r="L351" s="661"/>
    </row>
    <row r="352" spans="1:12">
      <c r="A352" s="661"/>
      <c r="B352" s="940">
        <v>348</v>
      </c>
      <c r="C352" s="940" t="s">
        <v>1395</v>
      </c>
      <c r="D352" s="940" t="s">
        <v>1963</v>
      </c>
      <c r="E352" s="940" t="s">
        <v>1830</v>
      </c>
      <c r="F352" s="959">
        <v>1</v>
      </c>
      <c r="G352" s="940" t="s">
        <v>1812</v>
      </c>
      <c r="H352" s="940" t="s">
        <v>1237</v>
      </c>
      <c r="I352" s="958">
        <v>43785</v>
      </c>
      <c r="J352" s="958">
        <v>45364</v>
      </c>
      <c r="K352" s="661"/>
      <c r="L352" s="661"/>
    </row>
    <row r="353" spans="1:12">
      <c r="A353" s="661"/>
      <c r="B353" s="940">
        <v>349</v>
      </c>
      <c r="C353" s="940" t="s">
        <v>1395</v>
      </c>
      <c r="D353" s="940" t="s">
        <v>1964</v>
      </c>
      <c r="E353" s="940" t="s">
        <v>1832</v>
      </c>
      <c r="F353" s="959">
        <v>1</v>
      </c>
      <c r="G353" s="940" t="s">
        <v>1812</v>
      </c>
      <c r="H353" s="940" t="s">
        <v>1237</v>
      </c>
      <c r="I353" s="958">
        <v>43785</v>
      </c>
      <c r="J353" s="958">
        <v>45364</v>
      </c>
      <c r="K353" s="661"/>
      <c r="L353" s="661"/>
    </row>
    <row r="354" spans="1:12">
      <c r="A354" s="661"/>
      <c r="B354" s="940">
        <v>350</v>
      </c>
      <c r="C354" s="940" t="s">
        <v>1395</v>
      </c>
      <c r="D354" s="940" t="s">
        <v>1965</v>
      </c>
      <c r="E354" s="940" t="s">
        <v>1834</v>
      </c>
      <c r="F354" s="959">
        <v>1</v>
      </c>
      <c r="G354" s="940" t="s">
        <v>1812</v>
      </c>
      <c r="H354" s="940" t="s">
        <v>1237</v>
      </c>
      <c r="I354" s="958">
        <v>43785</v>
      </c>
      <c r="J354" s="958">
        <v>45364</v>
      </c>
      <c r="K354" s="661"/>
      <c r="L354" s="661"/>
    </row>
    <row r="355" spans="1:12">
      <c r="A355" s="661"/>
      <c r="B355" s="940">
        <v>351</v>
      </c>
      <c r="C355" s="940" t="s">
        <v>1395</v>
      </c>
      <c r="D355" s="940" t="s">
        <v>1966</v>
      </c>
      <c r="E355" s="940"/>
      <c r="F355" s="957">
        <v>25</v>
      </c>
      <c r="G355" s="940" t="s">
        <v>1699</v>
      </c>
      <c r="H355" s="940" t="s">
        <v>1660</v>
      </c>
      <c r="I355" s="958">
        <v>42609</v>
      </c>
      <c r="J355" s="958">
        <v>42609</v>
      </c>
      <c r="K355" s="661"/>
      <c r="L355" s="661"/>
    </row>
    <row r="356" spans="1:12">
      <c r="A356" s="661"/>
      <c r="B356" s="940">
        <v>352</v>
      </c>
      <c r="C356" s="940" t="s">
        <v>1395</v>
      </c>
      <c r="D356" s="940" t="s">
        <v>1967</v>
      </c>
      <c r="E356" s="940"/>
      <c r="F356" s="957">
        <v>50</v>
      </c>
      <c r="G356" s="940" t="s">
        <v>1699</v>
      </c>
      <c r="H356" s="940" t="s">
        <v>1237</v>
      </c>
      <c r="I356" s="958">
        <v>43785</v>
      </c>
      <c r="J356" s="958">
        <v>45364</v>
      </c>
      <c r="K356" s="661"/>
      <c r="L356" s="661"/>
    </row>
    <row r="357" spans="1:12">
      <c r="A357" s="661"/>
      <c r="B357" s="940">
        <v>353</v>
      </c>
      <c r="C357" s="940" t="s">
        <v>1395</v>
      </c>
      <c r="D357" s="940" t="s">
        <v>1968</v>
      </c>
      <c r="E357" s="940">
        <v>63.5</v>
      </c>
      <c r="F357" s="957">
        <v>2</v>
      </c>
      <c r="G357" s="940" t="s">
        <v>1969</v>
      </c>
      <c r="H357" s="940" t="s">
        <v>1660</v>
      </c>
      <c r="I357" s="958">
        <v>42609</v>
      </c>
      <c r="J357" s="958">
        <v>42609</v>
      </c>
      <c r="K357" s="661"/>
      <c r="L357" s="661"/>
    </row>
    <row r="358" spans="1:12">
      <c r="A358" s="661"/>
      <c r="B358" s="940">
        <v>354</v>
      </c>
      <c r="C358" s="940" t="s">
        <v>1395</v>
      </c>
      <c r="D358" s="940" t="s">
        <v>1970</v>
      </c>
      <c r="E358" s="940" t="s">
        <v>1971</v>
      </c>
      <c r="F358" s="957">
        <v>2</v>
      </c>
      <c r="G358" s="940" t="s">
        <v>1969</v>
      </c>
      <c r="H358" s="940" t="s">
        <v>1660</v>
      </c>
      <c r="I358" s="958">
        <v>42609</v>
      </c>
      <c r="J358" s="958">
        <v>42609</v>
      </c>
      <c r="K358" s="661"/>
      <c r="L358" s="661"/>
    </row>
    <row r="359" spans="1:12">
      <c r="A359" s="661"/>
      <c r="B359" s="940">
        <v>355</v>
      </c>
      <c r="C359" s="940" t="s">
        <v>1395</v>
      </c>
      <c r="D359" s="940" t="s">
        <v>1972</v>
      </c>
      <c r="E359" s="940" t="s">
        <v>1973</v>
      </c>
      <c r="F359" s="957">
        <v>2.5</v>
      </c>
      <c r="G359" s="940" t="s">
        <v>1969</v>
      </c>
      <c r="H359" s="940" t="s">
        <v>1660</v>
      </c>
      <c r="I359" s="958">
        <v>42609</v>
      </c>
      <c r="J359" s="958">
        <v>42609</v>
      </c>
      <c r="K359" s="661"/>
      <c r="L359" s="661"/>
    </row>
    <row r="360" spans="1:12">
      <c r="A360" s="661"/>
      <c r="B360" s="940">
        <v>356</v>
      </c>
      <c r="C360" s="940" t="s">
        <v>1395</v>
      </c>
      <c r="D360" s="940" t="s">
        <v>1974</v>
      </c>
      <c r="E360" s="940" t="s">
        <v>1975</v>
      </c>
      <c r="F360" s="957">
        <v>0.6</v>
      </c>
      <c r="G360" s="940" t="s">
        <v>1969</v>
      </c>
      <c r="H360" s="940" t="s">
        <v>1660</v>
      </c>
      <c r="I360" s="958">
        <v>42609</v>
      </c>
      <c r="J360" s="958">
        <v>42609</v>
      </c>
      <c r="K360" s="661"/>
      <c r="L360" s="661"/>
    </row>
    <row r="361" spans="1:12">
      <c r="A361" s="661"/>
      <c r="B361" s="940">
        <v>357</v>
      </c>
      <c r="C361" s="940" t="s">
        <v>1395</v>
      </c>
      <c r="D361" s="940" t="s">
        <v>1976</v>
      </c>
      <c r="E361" s="940" t="s">
        <v>1977</v>
      </c>
      <c r="F361" s="957">
        <v>1.5</v>
      </c>
      <c r="G361" s="940" t="s">
        <v>1969</v>
      </c>
      <c r="H361" s="940" t="s">
        <v>1660</v>
      </c>
      <c r="I361" s="958">
        <v>42609</v>
      </c>
      <c r="J361" s="958">
        <v>42609</v>
      </c>
      <c r="K361" s="661"/>
      <c r="L361" s="661"/>
    </row>
    <row r="362" spans="1:12">
      <c r="A362" s="661"/>
      <c r="B362" s="940">
        <v>358</v>
      </c>
      <c r="C362" s="940" t="s">
        <v>1395</v>
      </c>
      <c r="D362" s="940" t="s">
        <v>1978</v>
      </c>
      <c r="E362" s="940" t="s">
        <v>1975</v>
      </c>
      <c r="F362" s="957">
        <v>1.5</v>
      </c>
      <c r="G362" s="940" t="s">
        <v>1969</v>
      </c>
      <c r="H362" s="940" t="s">
        <v>1660</v>
      </c>
      <c r="I362" s="958">
        <v>42609</v>
      </c>
      <c r="J362" s="958">
        <v>42609</v>
      </c>
      <c r="K362" s="661"/>
      <c r="L362" s="661"/>
    </row>
    <row r="363" spans="1:12">
      <c r="A363" s="661"/>
      <c r="B363" s="940">
        <v>359</v>
      </c>
      <c r="C363" s="940" t="s">
        <v>1395</v>
      </c>
      <c r="D363" s="940" t="s">
        <v>1979</v>
      </c>
      <c r="E363" s="940" t="s">
        <v>1977</v>
      </c>
      <c r="F363" s="957">
        <v>3</v>
      </c>
      <c r="G363" s="940" t="s">
        <v>1969</v>
      </c>
      <c r="H363" s="940" t="s">
        <v>1660</v>
      </c>
      <c r="I363" s="958">
        <v>42609</v>
      </c>
      <c r="J363" s="958">
        <v>42609</v>
      </c>
      <c r="K363" s="661"/>
      <c r="L363" s="661"/>
    </row>
    <row r="364" spans="1:12">
      <c r="A364" s="661"/>
      <c r="B364" s="940">
        <v>360</v>
      </c>
      <c r="C364" s="940" t="s">
        <v>1395</v>
      </c>
      <c r="D364" s="940" t="s">
        <v>1831</v>
      </c>
      <c r="E364" s="940" t="s">
        <v>1832</v>
      </c>
      <c r="F364" s="957">
        <v>2</v>
      </c>
      <c r="G364" s="940" t="s">
        <v>1812</v>
      </c>
      <c r="H364" s="940" t="s">
        <v>1660</v>
      </c>
      <c r="I364" s="958">
        <v>42609</v>
      </c>
      <c r="J364" s="958">
        <v>42609</v>
      </c>
      <c r="K364" s="661"/>
      <c r="L364" s="661"/>
    </row>
    <row r="365" spans="1:12">
      <c r="A365" s="661"/>
      <c r="B365" s="940">
        <v>361</v>
      </c>
      <c r="C365" s="940" t="s">
        <v>1395</v>
      </c>
      <c r="D365" s="940" t="s">
        <v>1833</v>
      </c>
      <c r="E365" s="940" t="s">
        <v>1834</v>
      </c>
      <c r="F365" s="957">
        <v>2.5</v>
      </c>
      <c r="G365" s="940" t="s">
        <v>1812</v>
      </c>
      <c r="H365" s="940" t="s">
        <v>1660</v>
      </c>
      <c r="I365" s="958">
        <v>42609</v>
      </c>
      <c r="J365" s="958">
        <v>42609</v>
      </c>
      <c r="K365" s="661"/>
      <c r="L365" s="661"/>
    </row>
    <row r="366" spans="1:12">
      <c r="A366" s="661"/>
      <c r="B366" s="940">
        <v>362</v>
      </c>
      <c r="C366" s="940" t="s">
        <v>1203</v>
      </c>
      <c r="D366" s="940" t="s">
        <v>1980</v>
      </c>
      <c r="E366" s="940" t="s">
        <v>1981</v>
      </c>
      <c r="F366" s="957">
        <v>1</v>
      </c>
      <c r="G366" s="940" t="s">
        <v>1659</v>
      </c>
      <c r="H366" s="940" t="s">
        <v>1660</v>
      </c>
      <c r="I366" s="958">
        <v>42609</v>
      </c>
      <c r="J366" s="958">
        <v>42609</v>
      </c>
      <c r="K366" s="661"/>
      <c r="L366" s="661"/>
    </row>
    <row r="367" spans="1:12">
      <c r="A367" s="661"/>
      <c r="B367" s="940">
        <v>363</v>
      </c>
      <c r="C367" s="940" t="s">
        <v>1203</v>
      </c>
      <c r="D367" s="940" t="s">
        <v>1982</v>
      </c>
      <c r="E367" s="940"/>
      <c r="F367" s="957">
        <v>1</v>
      </c>
      <c r="G367" s="940" t="s">
        <v>1983</v>
      </c>
      <c r="H367" s="940" t="s">
        <v>1660</v>
      </c>
      <c r="I367" s="958">
        <v>42609</v>
      </c>
      <c r="J367" s="958">
        <v>42609</v>
      </c>
      <c r="K367" s="661"/>
      <c r="L367" s="661"/>
    </row>
    <row r="368" spans="1:12">
      <c r="A368" s="661"/>
      <c r="B368" s="940">
        <v>364</v>
      </c>
      <c r="C368" s="940" t="s">
        <v>1203</v>
      </c>
      <c r="D368" s="940" t="s">
        <v>1984</v>
      </c>
      <c r="E368" s="940"/>
      <c r="F368" s="957">
        <v>10</v>
      </c>
      <c r="G368" s="940" t="s">
        <v>1699</v>
      </c>
      <c r="H368" s="940" t="s">
        <v>1660</v>
      </c>
      <c r="I368" s="958">
        <v>42609</v>
      </c>
      <c r="J368" s="958">
        <v>42609</v>
      </c>
      <c r="K368" s="661"/>
      <c r="L368" s="661"/>
    </row>
    <row r="369" spans="1:12">
      <c r="A369" s="661"/>
      <c r="B369" s="940">
        <v>365</v>
      </c>
      <c r="C369" s="940" t="s">
        <v>1203</v>
      </c>
      <c r="D369" s="940" t="s">
        <v>1985</v>
      </c>
      <c r="E369" s="940" t="s">
        <v>1986</v>
      </c>
      <c r="F369" s="957">
        <v>2</v>
      </c>
      <c r="G369" s="940" t="s">
        <v>1983</v>
      </c>
      <c r="H369" s="940" t="s">
        <v>1660</v>
      </c>
      <c r="I369" s="958">
        <v>42609</v>
      </c>
      <c r="J369" s="958">
        <v>42609</v>
      </c>
      <c r="K369" s="661"/>
      <c r="L369" s="661"/>
    </row>
    <row r="370" spans="1:12">
      <c r="A370" s="661"/>
      <c r="B370" s="940">
        <v>366</v>
      </c>
      <c r="C370" s="940" t="s">
        <v>1203</v>
      </c>
      <c r="D370" s="940" t="s">
        <v>1985</v>
      </c>
      <c r="E370" s="940" t="s">
        <v>1987</v>
      </c>
      <c r="F370" s="957">
        <v>3</v>
      </c>
      <c r="G370" s="940" t="s">
        <v>1983</v>
      </c>
      <c r="H370" s="940" t="s">
        <v>1660</v>
      </c>
      <c r="I370" s="958">
        <v>42609</v>
      </c>
      <c r="J370" s="958">
        <v>42609</v>
      </c>
      <c r="K370" s="661"/>
      <c r="L370" s="661"/>
    </row>
    <row r="371" spans="1:12">
      <c r="A371" s="661"/>
      <c r="B371" s="940">
        <v>367</v>
      </c>
      <c r="C371" s="940" t="s">
        <v>1203</v>
      </c>
      <c r="D371" s="940" t="s">
        <v>798</v>
      </c>
      <c r="E371" s="940" t="s">
        <v>1986</v>
      </c>
      <c r="F371" s="957">
        <v>1</v>
      </c>
      <c r="G371" s="940" t="s">
        <v>1983</v>
      </c>
      <c r="H371" s="940" t="s">
        <v>1660</v>
      </c>
      <c r="I371" s="958">
        <v>42609</v>
      </c>
      <c r="J371" s="958">
        <v>42609</v>
      </c>
      <c r="K371" s="661"/>
      <c r="L371" s="661"/>
    </row>
    <row r="372" spans="1:12">
      <c r="A372" s="661"/>
      <c r="B372" s="940">
        <v>368</v>
      </c>
      <c r="C372" s="940" t="s">
        <v>1203</v>
      </c>
      <c r="D372" s="940" t="s">
        <v>798</v>
      </c>
      <c r="E372" s="940" t="s">
        <v>1987</v>
      </c>
      <c r="F372" s="957">
        <v>1.5</v>
      </c>
      <c r="G372" s="940" t="s">
        <v>1983</v>
      </c>
      <c r="H372" s="940" t="s">
        <v>1660</v>
      </c>
      <c r="I372" s="958">
        <v>42609</v>
      </c>
      <c r="J372" s="958">
        <v>42609</v>
      </c>
      <c r="K372" s="661"/>
      <c r="L372" s="661"/>
    </row>
    <row r="373" spans="1:12">
      <c r="A373" s="661"/>
      <c r="B373" s="940">
        <v>369</v>
      </c>
      <c r="C373" s="940" t="s">
        <v>1203</v>
      </c>
      <c r="D373" s="940" t="s">
        <v>1988</v>
      </c>
      <c r="E373" s="940" t="s">
        <v>1989</v>
      </c>
      <c r="F373" s="957">
        <v>1</v>
      </c>
      <c r="G373" s="940" t="s">
        <v>1990</v>
      </c>
      <c r="H373" s="940" t="s">
        <v>1660</v>
      </c>
      <c r="I373" s="958">
        <v>42609</v>
      </c>
      <c r="J373" s="958">
        <v>42609</v>
      </c>
      <c r="K373" s="661"/>
      <c r="L373" s="661"/>
    </row>
    <row r="374" spans="1:12">
      <c r="A374" s="661"/>
      <c r="B374" s="940">
        <v>370</v>
      </c>
      <c r="C374" s="940" t="s">
        <v>1203</v>
      </c>
      <c r="D374" s="940" t="s">
        <v>1991</v>
      </c>
      <c r="E374" s="940"/>
      <c r="F374" s="957">
        <v>1</v>
      </c>
      <c r="G374" s="940" t="s">
        <v>1990</v>
      </c>
      <c r="H374" s="940" t="s">
        <v>1660</v>
      </c>
      <c r="I374" s="958">
        <v>42609</v>
      </c>
      <c r="J374" s="958">
        <v>42609</v>
      </c>
      <c r="K374" s="661"/>
      <c r="L374" s="661"/>
    </row>
    <row r="375" spans="1:12">
      <c r="A375" s="661"/>
      <c r="B375" s="940">
        <v>371</v>
      </c>
      <c r="C375" s="940" t="s">
        <v>1203</v>
      </c>
      <c r="D375" s="940" t="s">
        <v>1992</v>
      </c>
      <c r="E375" s="940"/>
      <c r="F375" s="957">
        <v>1</v>
      </c>
      <c r="G375" s="940" t="s">
        <v>1990</v>
      </c>
      <c r="H375" s="940" t="s">
        <v>1660</v>
      </c>
      <c r="I375" s="958">
        <v>42609</v>
      </c>
      <c r="J375" s="958">
        <v>42609</v>
      </c>
      <c r="K375" s="661"/>
      <c r="L375" s="661"/>
    </row>
    <row r="376" spans="1:12">
      <c r="A376" s="661"/>
      <c r="B376" s="940">
        <v>372</v>
      </c>
      <c r="C376" s="940" t="s">
        <v>1203</v>
      </c>
      <c r="D376" s="940" t="s">
        <v>1993</v>
      </c>
      <c r="E376" s="940"/>
      <c r="F376" s="957">
        <v>2.5</v>
      </c>
      <c r="G376" s="940" t="s">
        <v>1994</v>
      </c>
      <c r="H376" s="940" t="s">
        <v>1660</v>
      </c>
      <c r="I376" s="958">
        <v>42609</v>
      </c>
      <c r="J376" s="958">
        <v>42609</v>
      </c>
      <c r="K376" s="661"/>
      <c r="L376" s="661"/>
    </row>
    <row r="377" spans="1:12">
      <c r="A377" s="661"/>
      <c r="B377" s="940">
        <v>373</v>
      </c>
      <c r="C377" s="940" t="s">
        <v>1203</v>
      </c>
      <c r="D377" s="940" t="s">
        <v>1995</v>
      </c>
      <c r="E377" s="940"/>
      <c r="F377" s="957">
        <v>2</v>
      </c>
      <c r="G377" s="940" t="s">
        <v>1659</v>
      </c>
      <c r="H377" s="940" t="s">
        <v>1660</v>
      </c>
      <c r="I377" s="958">
        <v>42609</v>
      </c>
      <c r="J377" s="958">
        <v>42609</v>
      </c>
      <c r="K377" s="661"/>
      <c r="L377" s="661"/>
    </row>
    <row r="378" spans="1:12">
      <c r="A378" s="661"/>
      <c r="B378" s="940">
        <v>374</v>
      </c>
      <c r="C378" s="940" t="s">
        <v>1203</v>
      </c>
      <c r="D378" s="940" t="s">
        <v>1996</v>
      </c>
      <c r="E378" s="940" t="s">
        <v>1997</v>
      </c>
      <c r="F378" s="957">
        <v>185</v>
      </c>
      <c r="G378" s="940" t="s">
        <v>1990</v>
      </c>
      <c r="H378" s="940" t="s">
        <v>1660</v>
      </c>
      <c r="I378" s="958">
        <v>42609</v>
      </c>
      <c r="J378" s="958">
        <v>42609</v>
      </c>
      <c r="K378" s="661"/>
      <c r="L378" s="661"/>
    </row>
    <row r="379" spans="1:12">
      <c r="A379" s="661"/>
      <c r="B379" s="940">
        <v>375</v>
      </c>
      <c r="C379" s="940" t="s">
        <v>1203</v>
      </c>
      <c r="D379" s="940" t="s">
        <v>1996</v>
      </c>
      <c r="E379" s="940" t="s">
        <v>1998</v>
      </c>
      <c r="F379" s="957">
        <v>210</v>
      </c>
      <c r="G379" s="940" t="s">
        <v>1990</v>
      </c>
      <c r="H379" s="940" t="s">
        <v>1660</v>
      </c>
      <c r="I379" s="958">
        <v>42609</v>
      </c>
      <c r="J379" s="958">
        <v>42609</v>
      </c>
      <c r="K379" s="661"/>
      <c r="L379" s="661"/>
    </row>
    <row r="380" spans="1:12">
      <c r="A380" s="661"/>
      <c r="B380" s="940">
        <v>376</v>
      </c>
      <c r="C380" s="940" t="s">
        <v>1203</v>
      </c>
      <c r="D380" s="940" t="s">
        <v>1999</v>
      </c>
      <c r="E380" s="940"/>
      <c r="F380" s="957">
        <v>24</v>
      </c>
      <c r="G380" s="940" t="s">
        <v>1990</v>
      </c>
      <c r="H380" s="940" t="s">
        <v>1660</v>
      </c>
      <c r="I380" s="958">
        <v>42609</v>
      </c>
      <c r="J380" s="958">
        <v>42609</v>
      </c>
      <c r="K380" s="661"/>
      <c r="L380" s="661"/>
    </row>
    <row r="381" spans="1:12">
      <c r="A381" s="661"/>
      <c r="B381" s="935">
        <v>377</v>
      </c>
      <c r="C381" s="935" t="s">
        <v>1203</v>
      </c>
      <c r="D381" s="935" t="s">
        <v>2000</v>
      </c>
      <c r="E381" s="935" t="s">
        <v>2001</v>
      </c>
      <c r="F381" s="960">
        <v>10</v>
      </c>
      <c r="G381" s="935" t="s">
        <v>1699</v>
      </c>
      <c r="H381" s="935" t="s">
        <v>1660</v>
      </c>
      <c r="I381" s="961">
        <v>42609</v>
      </c>
      <c r="J381" s="961">
        <v>42609</v>
      </c>
      <c r="K381" s="661"/>
      <c r="L381" s="661"/>
    </row>
    <row r="382" spans="1:12">
      <c r="A382" s="661"/>
      <c r="B382" s="940">
        <v>378</v>
      </c>
      <c r="C382" s="940" t="s">
        <v>2002</v>
      </c>
      <c r="D382" s="940" t="s">
        <v>2003</v>
      </c>
      <c r="E382" s="940"/>
      <c r="F382" s="957">
        <v>1.3</v>
      </c>
      <c r="G382" s="940" t="s">
        <v>311</v>
      </c>
      <c r="H382" s="940" t="s">
        <v>1660</v>
      </c>
      <c r="I382" s="958">
        <v>42609</v>
      </c>
      <c r="J382" s="958">
        <v>42609</v>
      </c>
      <c r="K382" s="661"/>
      <c r="L382" s="661"/>
    </row>
    <row r="383" spans="1:12">
      <c r="A383" s="661"/>
      <c r="B383" s="940">
        <v>379</v>
      </c>
      <c r="C383" s="940" t="s">
        <v>2002</v>
      </c>
      <c r="D383" s="940" t="s">
        <v>2004</v>
      </c>
      <c r="E383" s="940"/>
      <c r="F383" s="957">
        <v>1.7</v>
      </c>
      <c r="G383" s="940" t="s">
        <v>311</v>
      </c>
      <c r="H383" s="940" t="s">
        <v>1660</v>
      </c>
      <c r="I383" s="958">
        <v>42609</v>
      </c>
      <c r="J383" s="958">
        <v>42609</v>
      </c>
      <c r="K383" s="661"/>
      <c r="L383" s="661"/>
    </row>
    <row r="384" spans="1:12">
      <c r="A384" s="661"/>
      <c r="B384" s="940">
        <v>380</v>
      </c>
      <c r="C384" s="940" t="s">
        <v>2002</v>
      </c>
      <c r="D384" s="940" t="s">
        <v>2005</v>
      </c>
      <c r="E384" s="940"/>
      <c r="F384" s="957">
        <v>12</v>
      </c>
      <c r="G384" s="940" t="s">
        <v>311</v>
      </c>
      <c r="H384" s="940" t="s">
        <v>1660</v>
      </c>
      <c r="I384" s="958">
        <v>42609</v>
      </c>
      <c r="J384" s="958">
        <v>42609</v>
      </c>
      <c r="K384" s="661"/>
      <c r="L384" s="661"/>
    </row>
    <row r="385" spans="1:12">
      <c r="A385" s="661"/>
      <c r="B385" s="940">
        <v>381</v>
      </c>
      <c r="C385" s="940" t="s">
        <v>2002</v>
      </c>
      <c r="D385" s="940" t="s">
        <v>2004</v>
      </c>
      <c r="E385" s="940"/>
      <c r="F385" s="957">
        <v>101</v>
      </c>
      <c r="G385" s="940" t="s">
        <v>2006</v>
      </c>
      <c r="H385" s="940" t="s">
        <v>1660</v>
      </c>
      <c r="I385" s="958">
        <v>42609</v>
      </c>
      <c r="J385" s="958">
        <v>42609</v>
      </c>
      <c r="K385" s="661"/>
      <c r="L385" s="661"/>
    </row>
    <row r="386" spans="1:12">
      <c r="A386" s="661"/>
      <c r="B386" s="962">
        <v>384</v>
      </c>
      <c r="C386" s="962" t="s">
        <v>804</v>
      </c>
      <c r="D386" s="962" t="s">
        <v>2007</v>
      </c>
      <c r="E386" s="962"/>
      <c r="F386" s="963">
        <v>20</v>
      </c>
      <c r="G386" s="962" t="s">
        <v>1699</v>
      </c>
      <c r="H386" s="962" t="s">
        <v>1660</v>
      </c>
      <c r="I386" s="964">
        <v>42609</v>
      </c>
      <c r="J386" s="964">
        <v>42609</v>
      </c>
      <c r="K386" s="661"/>
      <c r="L386" s="661"/>
    </row>
    <row r="387" spans="1:12">
      <c r="A387" s="661"/>
      <c r="B387" s="940">
        <v>385</v>
      </c>
      <c r="C387" s="940" t="s">
        <v>804</v>
      </c>
      <c r="D387" s="940" t="s">
        <v>2008</v>
      </c>
      <c r="E387" s="940"/>
      <c r="F387" s="957">
        <v>25</v>
      </c>
      <c r="G387" s="940" t="s">
        <v>1699</v>
      </c>
      <c r="H387" s="940" t="s">
        <v>1660</v>
      </c>
      <c r="I387" s="958">
        <v>42609</v>
      </c>
      <c r="J387" s="958">
        <v>42609</v>
      </c>
      <c r="K387" s="661"/>
      <c r="L387" s="661"/>
    </row>
    <row r="388" spans="1:12">
      <c r="A388" s="661"/>
      <c r="B388" s="940">
        <v>386</v>
      </c>
      <c r="C388" s="940" t="s">
        <v>804</v>
      </c>
      <c r="D388" s="940" t="s">
        <v>2009</v>
      </c>
      <c r="E388" s="940"/>
      <c r="F388" s="957">
        <v>30</v>
      </c>
      <c r="G388" s="940" t="s">
        <v>1699</v>
      </c>
      <c r="H388" s="940" t="s">
        <v>1660</v>
      </c>
      <c r="I388" s="958">
        <v>42609</v>
      </c>
      <c r="J388" s="958">
        <v>42609</v>
      </c>
      <c r="K388" s="661"/>
      <c r="L388" s="661"/>
    </row>
    <row r="389" spans="1:12">
      <c r="A389" s="661"/>
      <c r="B389" s="940">
        <v>387</v>
      </c>
      <c r="C389" s="940" t="s">
        <v>2010</v>
      </c>
      <c r="D389" s="940" t="s">
        <v>2011</v>
      </c>
      <c r="E389" s="940" t="s">
        <v>2010</v>
      </c>
      <c r="F389" s="957">
        <v>0.15</v>
      </c>
      <c r="G389" s="940" t="s">
        <v>2012</v>
      </c>
      <c r="H389" s="940" t="s">
        <v>1660</v>
      </c>
      <c r="I389" s="958">
        <v>42609</v>
      </c>
      <c r="J389" s="958">
        <v>42609</v>
      </c>
      <c r="K389" s="661"/>
      <c r="L389" s="661"/>
    </row>
    <row r="390" spans="1:12">
      <c r="A390" s="661"/>
      <c r="B390" s="935">
        <v>388</v>
      </c>
      <c r="C390" s="935" t="s">
        <v>2010</v>
      </c>
      <c r="D390" s="935" t="s">
        <v>2013</v>
      </c>
      <c r="E390" s="935" t="s">
        <v>2010</v>
      </c>
      <c r="F390" s="960">
        <v>2.1</v>
      </c>
      <c r="G390" s="935" t="s">
        <v>1706</v>
      </c>
      <c r="H390" s="935" t="s">
        <v>1660</v>
      </c>
      <c r="I390" s="961">
        <v>42609</v>
      </c>
      <c r="J390" s="961">
        <v>42609</v>
      </c>
      <c r="K390" s="661"/>
      <c r="L390" s="661"/>
    </row>
    <row r="391" spans="1:12">
      <c r="A391" s="661"/>
      <c r="B391" s="940">
        <v>389</v>
      </c>
      <c r="C391" s="940" t="s">
        <v>2002</v>
      </c>
      <c r="D391" s="940" t="s">
        <v>2014</v>
      </c>
      <c r="E391" s="940"/>
      <c r="F391" s="957">
        <v>149</v>
      </c>
      <c r="G391" s="940" t="s">
        <v>2006</v>
      </c>
      <c r="H391" s="940" t="s">
        <v>1660</v>
      </c>
      <c r="I391" s="956">
        <v>45386</v>
      </c>
      <c r="J391" s="956">
        <v>45386</v>
      </c>
      <c r="K391" s="661"/>
      <c r="L391" s="661"/>
    </row>
    <row r="392" spans="1:12">
      <c r="A392" s="661"/>
      <c r="B392" s="940">
        <v>390</v>
      </c>
      <c r="C392" s="940" t="s">
        <v>2002</v>
      </c>
      <c r="D392" s="940" t="s">
        <v>2015</v>
      </c>
      <c r="E392" s="940"/>
      <c r="F392" s="957">
        <v>144</v>
      </c>
      <c r="G392" s="940" t="s">
        <v>2006</v>
      </c>
      <c r="H392" s="940" t="s">
        <v>1660</v>
      </c>
      <c r="I392" s="956">
        <v>45386</v>
      </c>
      <c r="J392" s="956">
        <v>45386</v>
      </c>
      <c r="K392" s="661"/>
      <c r="L392" s="661"/>
    </row>
    <row r="393" spans="1:12">
      <c r="A393" s="661"/>
      <c r="B393" s="940">
        <v>391</v>
      </c>
      <c r="C393" s="940" t="s">
        <v>2002</v>
      </c>
      <c r="D393" s="940" t="s">
        <v>2016</v>
      </c>
      <c r="E393" s="940"/>
      <c r="F393" s="957">
        <v>154</v>
      </c>
      <c r="G393" s="940" t="s">
        <v>2006</v>
      </c>
      <c r="H393" s="940" t="s">
        <v>1660</v>
      </c>
      <c r="I393" s="956">
        <v>45386</v>
      </c>
      <c r="J393" s="956">
        <v>45386</v>
      </c>
      <c r="K393" s="661"/>
      <c r="L393" s="661"/>
    </row>
    <row r="394" spans="1:12">
      <c r="A394" s="661"/>
      <c r="B394" s="940">
        <v>392</v>
      </c>
      <c r="C394" s="940" t="s">
        <v>2002</v>
      </c>
      <c r="D394" s="940" t="s">
        <v>2017</v>
      </c>
      <c r="E394" s="940"/>
      <c r="F394" s="957">
        <v>169</v>
      </c>
      <c r="G394" s="940" t="s">
        <v>2006</v>
      </c>
      <c r="H394" s="940" t="s">
        <v>1660</v>
      </c>
      <c r="I394" s="956">
        <v>45386</v>
      </c>
      <c r="J394" s="956">
        <v>45386</v>
      </c>
      <c r="K394" s="661"/>
      <c r="L394" s="661"/>
    </row>
    <row r="395" spans="1:12">
      <c r="A395" s="661"/>
      <c r="B395" s="940">
        <v>393</v>
      </c>
      <c r="C395" s="940" t="s">
        <v>2002</v>
      </c>
      <c r="D395" s="940" t="s">
        <v>2018</v>
      </c>
      <c r="E395" s="940"/>
      <c r="F395" s="957">
        <v>75</v>
      </c>
      <c r="G395" s="940" t="s">
        <v>2006</v>
      </c>
      <c r="H395" s="940" t="s">
        <v>1660</v>
      </c>
      <c r="I395" s="956">
        <v>43466</v>
      </c>
      <c r="J395" s="956">
        <v>43466</v>
      </c>
      <c r="K395" s="661"/>
      <c r="L395" s="661"/>
    </row>
    <row r="396" spans="1:12">
      <c r="A396" s="661"/>
      <c r="B396" s="940">
        <v>394</v>
      </c>
      <c r="C396" s="940" t="s">
        <v>2002</v>
      </c>
      <c r="D396" s="940" t="s">
        <v>2019</v>
      </c>
      <c r="E396" s="940"/>
      <c r="F396" s="957">
        <v>225</v>
      </c>
      <c r="G396" s="940" t="s">
        <v>2006</v>
      </c>
      <c r="H396" s="940" t="s">
        <v>1660</v>
      </c>
      <c r="I396" s="956">
        <v>43466</v>
      </c>
      <c r="J396" s="956">
        <v>43466</v>
      </c>
      <c r="K396" s="661"/>
      <c r="L396" s="661"/>
    </row>
    <row r="397" spans="1:12">
      <c r="A397" s="661"/>
      <c r="B397" s="940">
        <v>395</v>
      </c>
      <c r="C397" s="940" t="s">
        <v>2002</v>
      </c>
      <c r="D397" s="940" t="s">
        <v>2020</v>
      </c>
      <c r="E397" s="940"/>
      <c r="F397" s="957">
        <v>25</v>
      </c>
      <c r="G397" s="940" t="s">
        <v>2006</v>
      </c>
      <c r="H397" s="940" t="s">
        <v>1660</v>
      </c>
      <c r="I397" s="956">
        <v>43466</v>
      </c>
      <c r="J397" s="956">
        <v>43466</v>
      </c>
      <c r="K397" s="661"/>
      <c r="L397" s="661"/>
    </row>
    <row r="398" spans="1:12">
      <c r="A398" s="661"/>
      <c r="B398" s="962">
        <v>396</v>
      </c>
      <c r="C398" s="962" t="s">
        <v>2021</v>
      </c>
      <c r="D398" s="962" t="s">
        <v>2022</v>
      </c>
      <c r="E398" s="962" t="s">
        <v>2023</v>
      </c>
      <c r="F398" s="963">
        <v>0.879</v>
      </c>
      <c r="G398" s="962" t="s">
        <v>311</v>
      </c>
      <c r="H398" s="962" t="s">
        <v>1237</v>
      </c>
      <c r="I398" s="965">
        <v>45351</v>
      </c>
      <c r="J398" s="965">
        <v>45351</v>
      </c>
      <c r="K398" s="661"/>
      <c r="L398" s="661"/>
    </row>
    <row r="399" spans="1:12">
      <c r="A399" s="661"/>
      <c r="B399" s="940">
        <v>397</v>
      </c>
      <c r="C399" s="940" t="s">
        <v>2021</v>
      </c>
      <c r="D399" s="940" t="s">
        <v>2024</v>
      </c>
      <c r="E399" s="940" t="s">
        <v>2023</v>
      </c>
      <c r="F399" s="957">
        <v>0.65</v>
      </c>
      <c r="G399" s="940" t="s">
        <v>311</v>
      </c>
      <c r="H399" s="940" t="s">
        <v>1237</v>
      </c>
      <c r="I399" s="956">
        <v>43466</v>
      </c>
      <c r="J399" s="956">
        <v>43466</v>
      </c>
      <c r="K399" s="661"/>
      <c r="L399" s="661"/>
    </row>
    <row r="400" spans="1:12">
      <c r="A400" s="661"/>
      <c r="B400" s="940">
        <v>398</v>
      </c>
      <c r="C400" s="940" t="s">
        <v>2021</v>
      </c>
      <c r="D400" s="940" t="s">
        <v>2025</v>
      </c>
      <c r="E400" s="940" t="s">
        <v>2023</v>
      </c>
      <c r="F400" s="957">
        <v>1.05</v>
      </c>
      <c r="G400" s="940" t="s">
        <v>311</v>
      </c>
      <c r="H400" s="940" t="s">
        <v>1237</v>
      </c>
      <c r="I400" s="956">
        <v>43466</v>
      </c>
      <c r="J400" s="956">
        <v>43466</v>
      </c>
      <c r="K400" s="661"/>
      <c r="L400" s="661"/>
    </row>
    <row r="401" spans="1:12">
      <c r="A401" s="661"/>
      <c r="B401" s="935">
        <v>399</v>
      </c>
      <c r="C401" s="935" t="s">
        <v>2021</v>
      </c>
      <c r="D401" s="935" t="s">
        <v>2026</v>
      </c>
      <c r="E401" s="935" t="s">
        <v>2027</v>
      </c>
      <c r="F401" s="960">
        <v>1</v>
      </c>
      <c r="G401" s="935" t="s">
        <v>311</v>
      </c>
      <c r="H401" s="935" t="s">
        <v>1237</v>
      </c>
      <c r="I401" s="946">
        <v>43466</v>
      </c>
      <c r="J401" s="946">
        <v>43466</v>
      </c>
      <c r="K401" s="661"/>
      <c r="L401" s="661"/>
    </row>
    <row r="402" spans="1:12">
      <c r="A402" s="661"/>
      <c r="B402" s="940">
        <v>400</v>
      </c>
      <c r="C402" s="940" t="s">
        <v>2002</v>
      </c>
      <c r="D402" s="940" t="s">
        <v>2028</v>
      </c>
      <c r="E402" s="940" t="s">
        <v>2027</v>
      </c>
      <c r="F402" s="957">
        <v>0.42</v>
      </c>
      <c r="G402" s="940" t="s">
        <v>311</v>
      </c>
      <c r="H402" s="940" t="s">
        <v>1237</v>
      </c>
      <c r="I402" s="956">
        <v>43466</v>
      </c>
      <c r="J402" s="956">
        <v>43466</v>
      </c>
      <c r="K402" s="661"/>
      <c r="L402" s="661"/>
    </row>
    <row r="403" spans="1:12">
      <c r="A403" s="661"/>
      <c r="B403" s="962">
        <v>401</v>
      </c>
      <c r="C403" s="962" t="s">
        <v>1656</v>
      </c>
      <c r="D403" s="962" t="s">
        <v>2029</v>
      </c>
      <c r="E403" s="962" t="s">
        <v>2030</v>
      </c>
      <c r="F403" s="963">
        <v>8</v>
      </c>
      <c r="G403" s="962" t="s">
        <v>311</v>
      </c>
      <c r="H403" s="962" t="s">
        <v>1237</v>
      </c>
      <c r="I403" s="965">
        <v>43466</v>
      </c>
      <c r="J403" s="965">
        <v>43466</v>
      </c>
      <c r="K403" s="661"/>
      <c r="L403" s="661"/>
    </row>
    <row r="404" spans="1:12">
      <c r="A404" s="661"/>
      <c r="B404" s="940">
        <v>402</v>
      </c>
      <c r="C404" s="940" t="s">
        <v>1656</v>
      </c>
      <c r="D404" s="940" t="s">
        <v>2031</v>
      </c>
      <c r="E404" s="940" t="s">
        <v>2030</v>
      </c>
      <c r="F404" s="957">
        <v>15</v>
      </c>
      <c r="G404" s="940" t="s">
        <v>311</v>
      </c>
      <c r="H404" s="940" t="s">
        <v>1237</v>
      </c>
      <c r="I404" s="956">
        <v>43466</v>
      </c>
      <c r="J404" s="956">
        <v>43466</v>
      </c>
      <c r="K404" s="661"/>
      <c r="L404" s="661"/>
    </row>
    <row r="405" spans="1:12">
      <c r="A405" s="661"/>
      <c r="B405" s="940">
        <v>403</v>
      </c>
      <c r="C405" s="940" t="s">
        <v>1656</v>
      </c>
      <c r="D405" s="940" t="s">
        <v>2032</v>
      </c>
      <c r="E405" s="940"/>
      <c r="F405" s="957">
        <v>7</v>
      </c>
      <c r="G405" s="940" t="s">
        <v>311</v>
      </c>
      <c r="H405" s="940" t="s">
        <v>1237</v>
      </c>
      <c r="I405" s="956">
        <v>43466</v>
      </c>
      <c r="J405" s="956">
        <v>43466</v>
      </c>
      <c r="K405" s="661"/>
      <c r="L405" s="661"/>
    </row>
    <row r="406" spans="1:12">
      <c r="A406" s="661"/>
      <c r="B406" s="940">
        <v>404</v>
      </c>
      <c r="C406" s="940" t="s">
        <v>2033</v>
      </c>
      <c r="D406" s="940" t="s">
        <v>2034</v>
      </c>
      <c r="E406" s="940" t="s">
        <v>2035</v>
      </c>
      <c r="F406" s="957">
        <v>1.1742792740000001</v>
      </c>
      <c r="G406" s="940" t="s">
        <v>311</v>
      </c>
      <c r="H406" s="940" t="s">
        <v>2036</v>
      </c>
      <c r="I406" s="956">
        <v>44593</v>
      </c>
      <c r="J406" s="956">
        <v>44593</v>
      </c>
      <c r="K406" s="661"/>
      <c r="L406" s="661"/>
    </row>
    <row r="407" spans="1:12">
      <c r="A407" s="661"/>
      <c r="B407" s="940">
        <v>405</v>
      </c>
      <c r="C407" s="940" t="s">
        <v>2033</v>
      </c>
      <c r="D407" s="940" t="s">
        <v>2037</v>
      </c>
      <c r="E407" s="940" t="s">
        <v>2035</v>
      </c>
      <c r="F407" s="957">
        <v>1.5657056979999999</v>
      </c>
      <c r="G407" s="940" t="s">
        <v>311</v>
      </c>
      <c r="H407" s="940" t="s">
        <v>2036</v>
      </c>
      <c r="I407" s="956">
        <v>44593</v>
      </c>
      <c r="J407" s="956">
        <v>44593</v>
      </c>
      <c r="K407" s="661"/>
      <c r="L407" s="661"/>
    </row>
    <row r="408" spans="1:12">
      <c r="A408" s="661"/>
      <c r="B408" s="940">
        <v>406</v>
      </c>
      <c r="C408" s="940" t="s">
        <v>2033</v>
      </c>
      <c r="D408" s="940" t="s">
        <v>2038</v>
      </c>
      <c r="E408" s="940" t="s">
        <v>2035</v>
      </c>
      <c r="F408" s="957">
        <v>1.9571321230000001</v>
      </c>
      <c r="G408" s="940" t="s">
        <v>311</v>
      </c>
      <c r="H408" s="940" t="s">
        <v>2036</v>
      </c>
      <c r="I408" s="956">
        <v>44593</v>
      </c>
      <c r="J408" s="956">
        <v>44593</v>
      </c>
      <c r="K408" s="661"/>
      <c r="L408" s="661"/>
    </row>
    <row r="409" spans="1:12">
      <c r="A409" s="661"/>
      <c r="B409" s="940">
        <v>407</v>
      </c>
      <c r="C409" s="940" t="s">
        <v>2033</v>
      </c>
      <c r="D409" s="940" t="s">
        <v>2039</v>
      </c>
      <c r="E409" s="940" t="s">
        <v>2035</v>
      </c>
      <c r="F409" s="957">
        <v>2.3485585480000002</v>
      </c>
      <c r="G409" s="940" t="s">
        <v>311</v>
      </c>
      <c r="H409" s="940" t="s">
        <v>2036</v>
      </c>
      <c r="I409" s="956">
        <v>44593</v>
      </c>
      <c r="J409" s="956">
        <v>44593</v>
      </c>
      <c r="K409" s="661"/>
      <c r="L409" s="661"/>
    </row>
    <row r="410" spans="1:12">
      <c r="A410" s="661"/>
      <c r="B410" s="940">
        <v>408</v>
      </c>
      <c r="C410" s="940" t="s">
        <v>2033</v>
      </c>
      <c r="D410" s="940" t="s">
        <v>2034</v>
      </c>
      <c r="E410" s="940" t="s">
        <v>2040</v>
      </c>
      <c r="F410" s="957">
        <v>0.39142642500000002</v>
      </c>
      <c r="G410" s="940" t="s">
        <v>311</v>
      </c>
      <c r="H410" s="940" t="s">
        <v>2036</v>
      </c>
      <c r="I410" s="956">
        <v>44593</v>
      </c>
      <c r="J410" s="956">
        <v>44593</v>
      </c>
      <c r="K410" s="661"/>
      <c r="L410" s="661"/>
    </row>
    <row r="411" spans="1:12">
      <c r="A411" s="661"/>
      <c r="B411" s="940">
        <v>409</v>
      </c>
      <c r="C411" s="940" t="s">
        <v>2033</v>
      </c>
      <c r="D411" s="940" t="s">
        <v>2037</v>
      </c>
      <c r="E411" s="940" t="s">
        <v>2040</v>
      </c>
      <c r="F411" s="957">
        <v>0.78285284899999996</v>
      </c>
      <c r="G411" s="940" t="s">
        <v>311</v>
      </c>
      <c r="H411" s="940" t="s">
        <v>2036</v>
      </c>
      <c r="I411" s="956">
        <v>44593</v>
      </c>
      <c r="J411" s="956">
        <v>44593</v>
      </c>
      <c r="K411" s="661"/>
      <c r="L411" s="661"/>
    </row>
    <row r="412" spans="1:12">
      <c r="A412" s="661"/>
      <c r="B412" s="940">
        <v>410</v>
      </c>
      <c r="C412" s="940" t="s">
        <v>2033</v>
      </c>
      <c r="D412" s="940" t="s">
        <v>2038</v>
      </c>
      <c r="E412" s="940" t="s">
        <v>2040</v>
      </c>
      <c r="F412" s="957">
        <v>1.1742792740000001</v>
      </c>
      <c r="G412" s="940" t="s">
        <v>311</v>
      </c>
      <c r="H412" s="940" t="s">
        <v>2036</v>
      </c>
      <c r="I412" s="956">
        <v>44593</v>
      </c>
      <c r="J412" s="956">
        <v>44593</v>
      </c>
      <c r="K412" s="661"/>
      <c r="L412" s="661"/>
    </row>
    <row r="413" spans="1:12">
      <c r="A413" s="661"/>
      <c r="B413" s="940">
        <v>411</v>
      </c>
      <c r="C413" s="940" t="s">
        <v>2033</v>
      </c>
      <c r="D413" s="940" t="s">
        <v>2039</v>
      </c>
      <c r="E413" s="940" t="s">
        <v>2040</v>
      </c>
      <c r="F413" s="957">
        <v>1.5657056979999999</v>
      </c>
      <c r="G413" s="940" t="s">
        <v>311</v>
      </c>
      <c r="H413" s="940" t="s">
        <v>2036</v>
      </c>
      <c r="I413" s="956">
        <v>44593</v>
      </c>
      <c r="J413" s="956">
        <v>44593</v>
      </c>
      <c r="K413" s="661"/>
      <c r="L413" s="661"/>
    </row>
    <row r="414" spans="1:12">
      <c r="A414" s="661"/>
      <c r="B414" s="940">
        <v>412</v>
      </c>
      <c r="C414" s="940" t="s">
        <v>2033</v>
      </c>
      <c r="D414" s="940" t="s">
        <v>2038</v>
      </c>
      <c r="E414" s="940" t="s">
        <v>2041</v>
      </c>
      <c r="F414" s="957">
        <v>0.78285284899999996</v>
      </c>
      <c r="G414" s="940" t="s">
        <v>311</v>
      </c>
      <c r="H414" s="940" t="s">
        <v>2036</v>
      </c>
      <c r="I414" s="956">
        <v>44593</v>
      </c>
      <c r="J414" s="956">
        <v>44593</v>
      </c>
      <c r="K414" s="661"/>
      <c r="L414" s="661"/>
    </row>
    <row r="415" spans="1:12">
      <c r="A415" s="661"/>
      <c r="B415" s="940">
        <v>413</v>
      </c>
      <c r="C415" s="940" t="s">
        <v>2033</v>
      </c>
      <c r="D415" s="940" t="s">
        <v>2039</v>
      </c>
      <c r="E415" s="940" t="s">
        <v>2041</v>
      </c>
      <c r="F415" s="957">
        <v>0.78285284899999996</v>
      </c>
      <c r="G415" s="940" t="s">
        <v>311</v>
      </c>
      <c r="H415" s="940" t="s">
        <v>2036</v>
      </c>
      <c r="I415" s="956">
        <v>44593</v>
      </c>
      <c r="J415" s="956">
        <v>44593</v>
      </c>
      <c r="K415" s="661"/>
      <c r="L415" s="661"/>
    </row>
    <row r="416" spans="1:12">
      <c r="A416" s="661"/>
      <c r="B416" s="940">
        <v>414</v>
      </c>
      <c r="C416" s="940" t="s">
        <v>2033</v>
      </c>
      <c r="D416" s="940" t="s">
        <v>2042</v>
      </c>
      <c r="E416" s="940"/>
      <c r="F416" s="957">
        <v>449.1</v>
      </c>
      <c r="G416" s="940" t="s">
        <v>2043</v>
      </c>
      <c r="H416" s="940" t="s">
        <v>1237</v>
      </c>
      <c r="I416" s="956">
        <v>43466</v>
      </c>
      <c r="J416" s="956">
        <v>43466</v>
      </c>
      <c r="K416" s="661"/>
      <c r="L416" s="661"/>
    </row>
    <row r="417" spans="1:12">
      <c r="A417" s="661"/>
      <c r="B417" s="935">
        <v>415</v>
      </c>
      <c r="C417" s="935" t="s">
        <v>2033</v>
      </c>
      <c r="D417" s="935" t="s">
        <v>2044</v>
      </c>
      <c r="E417" s="935"/>
      <c r="F417" s="960">
        <v>636.23</v>
      </c>
      <c r="G417" s="935" t="s">
        <v>2043</v>
      </c>
      <c r="H417" s="935" t="s">
        <v>1237</v>
      </c>
      <c r="I417" s="946">
        <v>43466</v>
      </c>
      <c r="J417" s="946">
        <v>43466</v>
      </c>
      <c r="K417" s="661"/>
      <c r="L417" s="661"/>
    </row>
    <row r="418" spans="1:12">
      <c r="A418" s="661"/>
      <c r="B418" s="940">
        <v>416</v>
      </c>
      <c r="C418" s="939" t="s">
        <v>2002</v>
      </c>
      <c r="D418" s="939" t="s">
        <v>2045</v>
      </c>
      <c r="E418" s="939" t="s">
        <v>2046</v>
      </c>
      <c r="F418" s="959">
        <v>2.25</v>
      </c>
      <c r="G418" s="939" t="s">
        <v>311</v>
      </c>
      <c r="H418" s="940" t="s">
        <v>1237</v>
      </c>
      <c r="I418" s="941">
        <v>43466</v>
      </c>
      <c r="J418" s="941">
        <v>43466</v>
      </c>
      <c r="K418" s="661"/>
      <c r="L418" s="661"/>
    </row>
    <row r="419" spans="1:12">
      <c r="A419" s="661"/>
      <c r="B419" s="962">
        <v>417</v>
      </c>
      <c r="C419" s="962" t="s">
        <v>1570</v>
      </c>
      <c r="D419" s="962" t="s">
        <v>2047</v>
      </c>
      <c r="E419" s="962"/>
      <c r="F419" s="963">
        <v>445</v>
      </c>
      <c r="G419" s="962" t="s">
        <v>2043</v>
      </c>
      <c r="H419" s="962" t="s">
        <v>2036</v>
      </c>
      <c r="I419" s="965">
        <v>44593</v>
      </c>
      <c r="J419" s="965">
        <v>44593</v>
      </c>
      <c r="K419" s="661"/>
      <c r="L419" s="661"/>
    </row>
    <row r="420" spans="1:12">
      <c r="A420" s="661"/>
      <c r="B420" s="940">
        <v>418</v>
      </c>
      <c r="C420" s="940" t="s">
        <v>2048</v>
      </c>
      <c r="D420" s="940" t="s">
        <v>2049</v>
      </c>
      <c r="E420" s="940"/>
      <c r="F420" s="957">
        <v>2.2200000000000002</v>
      </c>
      <c r="G420" s="940" t="s">
        <v>2050</v>
      </c>
      <c r="H420" s="940" t="s">
        <v>2036</v>
      </c>
      <c r="I420" s="956">
        <v>45146</v>
      </c>
      <c r="J420" s="956">
        <v>45146</v>
      </c>
      <c r="K420" s="661"/>
      <c r="L420" s="661"/>
    </row>
    <row r="421" spans="1:12">
      <c r="A421" s="661"/>
      <c r="B421" s="940">
        <v>419</v>
      </c>
      <c r="C421" s="940" t="s">
        <v>2048</v>
      </c>
      <c r="D421" s="940" t="s">
        <v>2051</v>
      </c>
      <c r="E421" s="940"/>
      <c r="F421" s="957">
        <v>22.6</v>
      </c>
      <c r="G421" s="940" t="s">
        <v>2050</v>
      </c>
      <c r="H421" s="940" t="s">
        <v>2036</v>
      </c>
      <c r="I421" s="956">
        <v>45146</v>
      </c>
      <c r="J421" s="956">
        <v>45146</v>
      </c>
      <c r="K421" s="661"/>
      <c r="L421" s="661"/>
    </row>
    <row r="422" spans="1:12">
      <c r="A422" s="661"/>
      <c r="B422" s="940">
        <v>420</v>
      </c>
      <c r="C422" s="940" t="s">
        <v>2048</v>
      </c>
      <c r="D422" s="940" t="s">
        <v>2052</v>
      </c>
      <c r="E422" s="940"/>
      <c r="F422" s="957">
        <v>4.24</v>
      </c>
      <c r="G422" s="940" t="s">
        <v>2050</v>
      </c>
      <c r="H422" s="940" t="s">
        <v>2036</v>
      </c>
      <c r="I422" s="956">
        <v>45146</v>
      </c>
      <c r="J422" s="956">
        <v>45146</v>
      </c>
      <c r="K422" s="661"/>
      <c r="L422" s="661"/>
    </row>
    <row r="423" spans="1:12">
      <c r="A423" s="661"/>
      <c r="B423" s="940">
        <v>421</v>
      </c>
      <c r="C423" s="940" t="s">
        <v>2048</v>
      </c>
      <c r="D423" s="940" t="s">
        <v>2053</v>
      </c>
      <c r="E423" s="940"/>
      <c r="F423" s="957">
        <v>8.08</v>
      </c>
      <c r="G423" s="940" t="s">
        <v>2050</v>
      </c>
      <c r="H423" s="940" t="s">
        <v>2036</v>
      </c>
      <c r="I423" s="956">
        <v>45146</v>
      </c>
      <c r="J423" s="956">
        <v>45146</v>
      </c>
      <c r="K423" s="661"/>
      <c r="L423" s="661"/>
    </row>
    <row r="424" spans="1:12">
      <c r="A424" s="661"/>
      <c r="B424" s="940">
        <v>422</v>
      </c>
      <c r="C424" s="940" t="s">
        <v>2048</v>
      </c>
      <c r="D424" s="940" t="s">
        <v>2054</v>
      </c>
      <c r="E424" s="940"/>
      <c r="F424" s="957">
        <v>2.63</v>
      </c>
      <c r="G424" s="940" t="s">
        <v>2055</v>
      </c>
      <c r="H424" s="940" t="s">
        <v>2036</v>
      </c>
      <c r="I424" s="956">
        <v>45146</v>
      </c>
      <c r="J424" s="956">
        <v>45146</v>
      </c>
      <c r="K424" s="661"/>
      <c r="L424" s="661"/>
    </row>
    <row r="425" spans="1:12">
      <c r="A425" s="661"/>
      <c r="B425" s="940">
        <v>423</v>
      </c>
      <c r="C425" s="940" t="s">
        <v>2048</v>
      </c>
      <c r="D425" s="940" t="s">
        <v>2056</v>
      </c>
      <c r="E425" s="940"/>
      <c r="F425" s="957">
        <v>2.52</v>
      </c>
      <c r="G425" s="940" t="s">
        <v>2050</v>
      </c>
      <c r="H425" s="940" t="s">
        <v>2036</v>
      </c>
      <c r="I425" s="956">
        <v>45146</v>
      </c>
      <c r="J425" s="956">
        <v>45146</v>
      </c>
      <c r="K425" s="661"/>
      <c r="L425" s="661"/>
    </row>
    <row r="426" spans="1:12">
      <c r="A426" s="661"/>
      <c r="B426" s="940">
        <v>424</v>
      </c>
      <c r="C426" s="940" t="s">
        <v>2048</v>
      </c>
      <c r="D426" s="940" t="s">
        <v>2057</v>
      </c>
      <c r="E426" s="940"/>
      <c r="F426" s="957">
        <v>4.82</v>
      </c>
      <c r="G426" s="940" t="s">
        <v>2050</v>
      </c>
      <c r="H426" s="940" t="s">
        <v>2036</v>
      </c>
      <c r="I426" s="956">
        <v>45146</v>
      </c>
      <c r="J426" s="956">
        <v>45146</v>
      </c>
      <c r="K426" s="661"/>
      <c r="L426" s="661"/>
    </row>
    <row r="427" spans="1:12">
      <c r="A427" s="661"/>
      <c r="B427" s="940">
        <v>425</v>
      </c>
      <c r="C427" s="940" t="s">
        <v>2048</v>
      </c>
      <c r="D427" s="940" t="s">
        <v>2058</v>
      </c>
      <c r="E427" s="940"/>
      <c r="F427" s="957">
        <v>10.09</v>
      </c>
      <c r="G427" s="940" t="s">
        <v>2050</v>
      </c>
      <c r="H427" s="940" t="s">
        <v>2036</v>
      </c>
      <c r="I427" s="956">
        <v>45146</v>
      </c>
      <c r="J427" s="956">
        <v>45146</v>
      </c>
      <c r="K427" s="661"/>
      <c r="L427" s="661"/>
    </row>
    <row r="428" spans="1:12">
      <c r="A428" s="661"/>
      <c r="B428" s="940">
        <v>426</v>
      </c>
      <c r="C428" s="940" t="s">
        <v>2048</v>
      </c>
      <c r="D428" s="940" t="s">
        <v>2059</v>
      </c>
      <c r="E428" s="940"/>
      <c r="F428" s="957">
        <v>7.25</v>
      </c>
      <c r="G428" s="940" t="s">
        <v>2050</v>
      </c>
      <c r="H428" s="940" t="s">
        <v>2036</v>
      </c>
      <c r="I428" s="956">
        <v>45146</v>
      </c>
      <c r="J428" s="956">
        <v>45146</v>
      </c>
      <c r="K428" s="661"/>
      <c r="L428" s="661"/>
    </row>
    <row r="429" spans="1:12">
      <c r="A429" s="661"/>
      <c r="B429" s="940">
        <v>427</v>
      </c>
      <c r="C429" s="940" t="s">
        <v>2048</v>
      </c>
      <c r="D429" s="940" t="s">
        <v>2060</v>
      </c>
      <c r="E429" s="940"/>
      <c r="F429" s="957">
        <v>7.98</v>
      </c>
      <c r="G429" s="940" t="s">
        <v>2055</v>
      </c>
      <c r="H429" s="940" t="s">
        <v>2036</v>
      </c>
      <c r="I429" s="956">
        <v>45146</v>
      </c>
      <c r="J429" s="956">
        <v>45146</v>
      </c>
      <c r="K429" s="661"/>
      <c r="L429" s="661"/>
    </row>
    <row r="430" spans="1:12">
      <c r="A430" s="661"/>
      <c r="B430" s="940">
        <v>428</v>
      </c>
      <c r="C430" s="940" t="s">
        <v>2048</v>
      </c>
      <c r="D430" s="940" t="s">
        <v>2061</v>
      </c>
      <c r="E430" s="940"/>
      <c r="F430" s="957">
        <v>27.32</v>
      </c>
      <c r="G430" s="940" t="s">
        <v>2055</v>
      </c>
      <c r="H430" s="940" t="s">
        <v>2036</v>
      </c>
      <c r="I430" s="956">
        <v>45146</v>
      </c>
      <c r="J430" s="956">
        <v>45146</v>
      </c>
      <c r="K430" s="661"/>
      <c r="L430" s="661"/>
    </row>
    <row r="431" spans="1:12">
      <c r="A431" s="661"/>
      <c r="B431" s="940">
        <v>429</v>
      </c>
      <c r="C431" s="940" t="s">
        <v>2062</v>
      </c>
      <c r="D431" s="940" t="s">
        <v>526</v>
      </c>
      <c r="E431" s="940"/>
      <c r="F431" s="957">
        <v>120</v>
      </c>
      <c r="G431" s="940" t="s">
        <v>2043</v>
      </c>
      <c r="H431" s="940" t="s">
        <v>408</v>
      </c>
      <c r="I431" s="956">
        <v>45204</v>
      </c>
      <c r="J431" s="956">
        <v>45204</v>
      </c>
      <c r="K431" s="661"/>
      <c r="L431" s="661"/>
    </row>
    <row r="432" spans="1:12">
      <c r="A432" s="661"/>
      <c r="B432" s="940">
        <v>430</v>
      </c>
      <c r="C432" s="940" t="s">
        <v>2062</v>
      </c>
      <c r="D432" s="940" t="s">
        <v>2063</v>
      </c>
      <c r="E432" s="940"/>
      <c r="F432" s="957">
        <v>100</v>
      </c>
      <c r="G432" s="940" t="s">
        <v>2043</v>
      </c>
      <c r="H432" s="940" t="s">
        <v>408</v>
      </c>
      <c r="I432" s="956">
        <v>45204</v>
      </c>
      <c r="J432" s="956">
        <v>45204</v>
      </c>
      <c r="K432" s="661"/>
      <c r="L432" s="661"/>
    </row>
    <row r="433" spans="1:12">
      <c r="A433" s="661"/>
      <c r="B433" s="940">
        <v>431</v>
      </c>
      <c r="C433" s="940" t="s">
        <v>2062</v>
      </c>
      <c r="D433" s="940" t="s">
        <v>2064</v>
      </c>
      <c r="E433" s="940"/>
      <c r="F433" s="957">
        <v>80</v>
      </c>
      <c r="G433" s="940" t="s">
        <v>2043</v>
      </c>
      <c r="H433" s="940" t="s">
        <v>408</v>
      </c>
      <c r="I433" s="956">
        <v>45204</v>
      </c>
      <c r="J433" s="956">
        <v>45204</v>
      </c>
      <c r="K433" s="661"/>
      <c r="L433" s="661"/>
    </row>
    <row r="434" spans="1:12">
      <c r="A434" s="661"/>
      <c r="B434" s="940">
        <v>432</v>
      </c>
      <c r="C434" s="940" t="s">
        <v>804</v>
      </c>
      <c r="D434" s="940" t="s">
        <v>2065</v>
      </c>
      <c r="E434" s="940"/>
      <c r="F434" s="957">
        <v>60</v>
      </c>
      <c r="G434" s="940" t="s">
        <v>1628</v>
      </c>
      <c r="H434" s="940" t="s">
        <v>1237</v>
      </c>
      <c r="I434" s="956">
        <v>45272</v>
      </c>
      <c r="J434" s="956">
        <v>45272</v>
      </c>
      <c r="K434" s="661"/>
      <c r="L434" s="661"/>
    </row>
    <row r="435" spans="1:12">
      <c r="A435" s="661"/>
      <c r="B435" s="940">
        <v>433</v>
      </c>
      <c r="C435" s="940" t="s">
        <v>804</v>
      </c>
      <c r="D435" s="940" t="s">
        <v>2066</v>
      </c>
      <c r="E435" s="940"/>
      <c r="F435" s="957">
        <v>0.5</v>
      </c>
      <c r="G435" s="940" t="s">
        <v>2067</v>
      </c>
      <c r="H435" s="940" t="s">
        <v>1237</v>
      </c>
      <c r="I435" s="956">
        <v>45272</v>
      </c>
      <c r="J435" s="956">
        <v>45272</v>
      </c>
      <c r="K435" s="661"/>
      <c r="L435" s="661"/>
    </row>
    <row r="436" spans="1:12">
      <c r="A436" s="661"/>
      <c r="B436" s="940">
        <v>434</v>
      </c>
      <c r="C436" s="940" t="s">
        <v>1203</v>
      </c>
      <c r="D436" s="940" t="s">
        <v>72</v>
      </c>
      <c r="E436" s="940"/>
      <c r="F436" s="957">
        <v>0.5</v>
      </c>
      <c r="G436" s="940" t="s">
        <v>311</v>
      </c>
      <c r="H436" s="940" t="s">
        <v>1237</v>
      </c>
      <c r="I436" s="956">
        <v>45351</v>
      </c>
      <c r="J436" s="956">
        <v>45351</v>
      </c>
      <c r="K436" s="661"/>
      <c r="L436" s="661"/>
    </row>
    <row r="437" spans="1:12">
      <c r="A437" s="661"/>
      <c r="B437" s="940">
        <v>435</v>
      </c>
      <c r="C437" s="940" t="s">
        <v>881</v>
      </c>
      <c r="D437" s="940" t="s">
        <v>2068</v>
      </c>
      <c r="E437" s="940" t="s">
        <v>1811</v>
      </c>
      <c r="F437" s="959">
        <v>0.6</v>
      </c>
      <c r="G437" s="940" t="s">
        <v>1812</v>
      </c>
      <c r="H437" s="940" t="s">
        <v>1237</v>
      </c>
      <c r="I437" s="958">
        <v>43785</v>
      </c>
      <c r="J437" s="958">
        <v>45364</v>
      </c>
      <c r="K437" s="661"/>
      <c r="L437" s="661"/>
    </row>
    <row r="438" spans="1:12">
      <c r="A438" s="661"/>
      <c r="B438" s="940">
        <v>436</v>
      </c>
      <c r="C438" s="940" t="s">
        <v>881</v>
      </c>
      <c r="D438" s="940" t="s">
        <v>2069</v>
      </c>
      <c r="E438" s="940" t="s">
        <v>1814</v>
      </c>
      <c r="F438" s="959">
        <v>0.6</v>
      </c>
      <c r="G438" s="940" t="s">
        <v>1812</v>
      </c>
      <c r="H438" s="940" t="s">
        <v>1237</v>
      </c>
      <c r="I438" s="958">
        <v>43785</v>
      </c>
      <c r="J438" s="958">
        <v>45364</v>
      </c>
      <c r="K438" s="661"/>
      <c r="L438" s="661"/>
    </row>
    <row r="439" spans="1:12">
      <c r="A439" s="661"/>
      <c r="B439" s="940">
        <v>437</v>
      </c>
      <c r="C439" s="940" t="s">
        <v>881</v>
      </c>
      <c r="D439" s="940" t="s">
        <v>2070</v>
      </c>
      <c r="E439" s="940" t="s">
        <v>1816</v>
      </c>
      <c r="F439" s="959">
        <v>0.6</v>
      </c>
      <c r="G439" s="940" t="s">
        <v>1812</v>
      </c>
      <c r="H439" s="940" t="s">
        <v>1237</v>
      </c>
      <c r="I439" s="958">
        <v>43785</v>
      </c>
      <c r="J439" s="958">
        <v>45364</v>
      </c>
      <c r="K439" s="661"/>
      <c r="L439" s="661"/>
    </row>
    <row r="440" spans="1:12">
      <c r="A440" s="661"/>
      <c r="B440" s="940">
        <v>438</v>
      </c>
      <c r="C440" s="940" t="s">
        <v>881</v>
      </c>
      <c r="D440" s="940" t="s">
        <v>2071</v>
      </c>
      <c r="E440" s="940" t="s">
        <v>1818</v>
      </c>
      <c r="F440" s="959">
        <v>0.6</v>
      </c>
      <c r="G440" s="940" t="s">
        <v>1812</v>
      </c>
      <c r="H440" s="940" t="s">
        <v>1237</v>
      </c>
      <c r="I440" s="958">
        <v>43785</v>
      </c>
      <c r="J440" s="958">
        <v>45364</v>
      </c>
      <c r="K440" s="661"/>
      <c r="L440" s="661"/>
    </row>
    <row r="441" spans="1:12">
      <c r="A441" s="661"/>
      <c r="B441" s="940">
        <v>439</v>
      </c>
      <c r="C441" s="940" t="s">
        <v>881</v>
      </c>
      <c r="D441" s="940" t="s">
        <v>2072</v>
      </c>
      <c r="E441" s="940" t="s">
        <v>1820</v>
      </c>
      <c r="F441" s="959">
        <v>0.6</v>
      </c>
      <c r="G441" s="940" t="s">
        <v>1812</v>
      </c>
      <c r="H441" s="940" t="s">
        <v>1237</v>
      </c>
      <c r="I441" s="958">
        <v>43785</v>
      </c>
      <c r="J441" s="958">
        <v>45364</v>
      </c>
      <c r="K441" s="661"/>
      <c r="L441" s="661"/>
    </row>
    <row r="442" spans="1:12">
      <c r="A442" s="661"/>
      <c r="B442" s="940">
        <v>440</v>
      </c>
      <c r="C442" s="940" t="s">
        <v>881</v>
      </c>
      <c r="D442" s="940" t="s">
        <v>2073</v>
      </c>
      <c r="E442" s="940" t="s">
        <v>1822</v>
      </c>
      <c r="F442" s="959">
        <v>0.6</v>
      </c>
      <c r="G442" s="940" t="s">
        <v>1812</v>
      </c>
      <c r="H442" s="940" t="s">
        <v>1237</v>
      </c>
      <c r="I442" s="958">
        <v>43785</v>
      </c>
      <c r="J442" s="958">
        <v>45364</v>
      </c>
      <c r="K442" s="661"/>
      <c r="L442" s="661"/>
    </row>
    <row r="443" spans="1:12">
      <c r="A443" s="661"/>
      <c r="B443" s="940">
        <v>441</v>
      </c>
      <c r="C443" s="940" t="s">
        <v>881</v>
      </c>
      <c r="D443" s="940" t="s">
        <v>2074</v>
      </c>
      <c r="E443" s="940" t="s">
        <v>1824</v>
      </c>
      <c r="F443" s="959">
        <v>0.6</v>
      </c>
      <c r="G443" s="940" t="s">
        <v>1812</v>
      </c>
      <c r="H443" s="940" t="s">
        <v>1237</v>
      </c>
      <c r="I443" s="958">
        <v>43785</v>
      </c>
      <c r="J443" s="958">
        <v>45364</v>
      </c>
      <c r="K443" s="661"/>
      <c r="L443" s="661"/>
    </row>
    <row r="444" spans="1:12">
      <c r="A444" s="661"/>
      <c r="B444" s="940">
        <v>442</v>
      </c>
      <c r="C444" s="940" t="s">
        <v>881</v>
      </c>
      <c r="D444" s="940" t="s">
        <v>2075</v>
      </c>
      <c r="E444" s="940" t="s">
        <v>1826</v>
      </c>
      <c r="F444" s="959">
        <v>0.6</v>
      </c>
      <c r="G444" s="940" t="s">
        <v>1812</v>
      </c>
      <c r="H444" s="940" t="s">
        <v>1237</v>
      </c>
      <c r="I444" s="958">
        <v>43785</v>
      </c>
      <c r="J444" s="958">
        <v>45364</v>
      </c>
      <c r="K444" s="661"/>
      <c r="L444" s="661"/>
    </row>
    <row r="445" spans="1:12">
      <c r="A445" s="661"/>
      <c r="B445" s="940">
        <v>443</v>
      </c>
      <c r="C445" s="940" t="s">
        <v>881</v>
      </c>
      <c r="D445" s="940" t="s">
        <v>2076</v>
      </c>
      <c r="E445" s="940" t="s">
        <v>1828</v>
      </c>
      <c r="F445" s="959">
        <v>0.6</v>
      </c>
      <c r="G445" s="940" t="s">
        <v>1812</v>
      </c>
      <c r="H445" s="940" t="s">
        <v>1237</v>
      </c>
      <c r="I445" s="958">
        <v>43785</v>
      </c>
      <c r="J445" s="958">
        <v>45364</v>
      </c>
      <c r="K445" s="661"/>
      <c r="L445" s="661"/>
    </row>
    <row r="446" spans="1:12">
      <c r="A446" s="661"/>
      <c r="B446" s="940">
        <v>444</v>
      </c>
      <c r="C446" s="940" t="s">
        <v>881</v>
      </c>
      <c r="D446" s="940" t="s">
        <v>2077</v>
      </c>
      <c r="E446" s="940" t="s">
        <v>1830</v>
      </c>
      <c r="F446" s="959">
        <v>0.6</v>
      </c>
      <c r="G446" s="940" t="s">
        <v>1812</v>
      </c>
      <c r="H446" s="940" t="s">
        <v>1237</v>
      </c>
      <c r="I446" s="958">
        <v>43785</v>
      </c>
      <c r="J446" s="958">
        <v>45364</v>
      </c>
      <c r="K446" s="661"/>
      <c r="L446" s="661"/>
    </row>
    <row r="447" spans="1:12">
      <c r="A447" s="661"/>
      <c r="B447" s="940">
        <v>445</v>
      </c>
      <c r="C447" s="940" t="s">
        <v>881</v>
      </c>
      <c r="D447" s="940" t="s">
        <v>2078</v>
      </c>
      <c r="E447" s="940" t="s">
        <v>1832</v>
      </c>
      <c r="F447" s="959">
        <v>0.6</v>
      </c>
      <c r="G447" s="940" t="s">
        <v>1812</v>
      </c>
      <c r="H447" s="940" t="s">
        <v>1237</v>
      </c>
      <c r="I447" s="958">
        <v>43785</v>
      </c>
      <c r="J447" s="958">
        <v>45364</v>
      </c>
      <c r="K447" s="661"/>
      <c r="L447" s="661"/>
    </row>
    <row r="448" spans="1:12">
      <c r="A448" s="661"/>
      <c r="B448" s="940">
        <v>446</v>
      </c>
      <c r="C448" s="940" t="s">
        <v>881</v>
      </c>
      <c r="D448" s="940" t="s">
        <v>2079</v>
      </c>
      <c r="E448" s="940" t="s">
        <v>1834</v>
      </c>
      <c r="F448" s="959">
        <v>0.6</v>
      </c>
      <c r="G448" s="940" t="s">
        <v>1812</v>
      </c>
      <c r="H448" s="940" t="s">
        <v>1237</v>
      </c>
      <c r="I448" s="958">
        <v>43785</v>
      </c>
      <c r="J448" s="958">
        <v>45364</v>
      </c>
      <c r="K448" s="661"/>
      <c r="L448" s="661"/>
    </row>
    <row r="449" spans="1:12">
      <c r="A449" s="661"/>
      <c r="B449" s="940">
        <v>447</v>
      </c>
      <c r="C449" s="940" t="s">
        <v>881</v>
      </c>
      <c r="D449" s="940" t="s">
        <v>2080</v>
      </c>
      <c r="E449" s="940" t="s">
        <v>1811</v>
      </c>
      <c r="F449" s="959">
        <v>0.3</v>
      </c>
      <c r="G449" s="940" t="s">
        <v>1812</v>
      </c>
      <c r="H449" s="940" t="s">
        <v>1237</v>
      </c>
      <c r="I449" s="958">
        <v>43785</v>
      </c>
      <c r="J449" s="958">
        <v>45364</v>
      </c>
      <c r="K449" s="661"/>
      <c r="L449" s="661"/>
    </row>
    <row r="450" spans="1:12">
      <c r="A450" s="661"/>
      <c r="B450" s="940">
        <v>448</v>
      </c>
      <c r="C450" s="940" t="s">
        <v>881</v>
      </c>
      <c r="D450" s="940" t="s">
        <v>2081</v>
      </c>
      <c r="E450" s="940" t="s">
        <v>1814</v>
      </c>
      <c r="F450" s="959">
        <v>0.3</v>
      </c>
      <c r="G450" s="940" t="s">
        <v>1812</v>
      </c>
      <c r="H450" s="940" t="s">
        <v>1237</v>
      </c>
      <c r="I450" s="958">
        <v>43785</v>
      </c>
      <c r="J450" s="958">
        <v>45364</v>
      </c>
      <c r="K450" s="661"/>
      <c r="L450" s="661"/>
    </row>
    <row r="451" spans="1:12">
      <c r="A451" s="661"/>
      <c r="B451" s="940">
        <v>449</v>
      </c>
      <c r="C451" s="940" t="s">
        <v>881</v>
      </c>
      <c r="D451" s="940" t="s">
        <v>2082</v>
      </c>
      <c r="E451" s="940" t="s">
        <v>1816</v>
      </c>
      <c r="F451" s="959">
        <v>0.3</v>
      </c>
      <c r="G451" s="940" t="s">
        <v>1812</v>
      </c>
      <c r="H451" s="940" t="s">
        <v>1237</v>
      </c>
      <c r="I451" s="958">
        <v>43785</v>
      </c>
      <c r="J451" s="958">
        <v>45364</v>
      </c>
      <c r="K451" s="661"/>
      <c r="L451" s="661"/>
    </row>
    <row r="452" spans="1:12">
      <c r="A452" s="661"/>
      <c r="B452" s="940">
        <v>450</v>
      </c>
      <c r="C452" s="940" t="s">
        <v>881</v>
      </c>
      <c r="D452" s="940" t="s">
        <v>2083</v>
      </c>
      <c r="E452" s="940" t="s">
        <v>1818</v>
      </c>
      <c r="F452" s="959">
        <v>0.3</v>
      </c>
      <c r="G452" s="940" t="s">
        <v>1812</v>
      </c>
      <c r="H452" s="940" t="s">
        <v>1237</v>
      </c>
      <c r="I452" s="958">
        <v>43785</v>
      </c>
      <c r="J452" s="958">
        <v>45364</v>
      </c>
      <c r="K452" s="661"/>
      <c r="L452" s="661"/>
    </row>
    <row r="453" spans="1:12">
      <c r="A453" s="661"/>
      <c r="B453" s="940">
        <v>451</v>
      </c>
      <c r="C453" s="940" t="s">
        <v>881</v>
      </c>
      <c r="D453" s="940" t="s">
        <v>2084</v>
      </c>
      <c r="E453" s="940" t="s">
        <v>1820</v>
      </c>
      <c r="F453" s="959">
        <v>0.3</v>
      </c>
      <c r="G453" s="940" t="s">
        <v>1812</v>
      </c>
      <c r="H453" s="940" t="s">
        <v>1237</v>
      </c>
      <c r="I453" s="958">
        <v>43785</v>
      </c>
      <c r="J453" s="958">
        <v>45364</v>
      </c>
      <c r="K453" s="661"/>
      <c r="L453" s="661"/>
    </row>
    <row r="454" spans="1:12">
      <c r="A454" s="661"/>
      <c r="B454" s="940">
        <v>452</v>
      </c>
      <c r="C454" s="940" t="s">
        <v>881</v>
      </c>
      <c r="D454" s="940" t="s">
        <v>2085</v>
      </c>
      <c r="E454" s="940" t="s">
        <v>1822</v>
      </c>
      <c r="F454" s="959">
        <v>0.3</v>
      </c>
      <c r="G454" s="940" t="s">
        <v>1812</v>
      </c>
      <c r="H454" s="940" t="s">
        <v>1237</v>
      </c>
      <c r="I454" s="958">
        <v>43785</v>
      </c>
      <c r="J454" s="958">
        <v>45364</v>
      </c>
      <c r="K454" s="661"/>
      <c r="L454" s="661"/>
    </row>
    <row r="455" spans="1:12">
      <c r="A455" s="661"/>
      <c r="B455" s="940">
        <v>453</v>
      </c>
      <c r="C455" s="940" t="s">
        <v>881</v>
      </c>
      <c r="D455" s="940" t="s">
        <v>2086</v>
      </c>
      <c r="E455" s="940" t="s">
        <v>1824</v>
      </c>
      <c r="F455" s="959">
        <v>0.3</v>
      </c>
      <c r="G455" s="940" t="s">
        <v>1812</v>
      </c>
      <c r="H455" s="940" t="s">
        <v>1237</v>
      </c>
      <c r="I455" s="958">
        <v>43785</v>
      </c>
      <c r="J455" s="958">
        <v>45364</v>
      </c>
      <c r="K455" s="661"/>
      <c r="L455" s="661"/>
    </row>
    <row r="456" spans="1:12">
      <c r="A456" s="661"/>
      <c r="B456" s="940">
        <v>454</v>
      </c>
      <c r="C456" s="940" t="s">
        <v>881</v>
      </c>
      <c r="D456" s="940" t="s">
        <v>2087</v>
      </c>
      <c r="E456" s="940" t="s">
        <v>1826</v>
      </c>
      <c r="F456" s="959">
        <v>0.3</v>
      </c>
      <c r="G456" s="940" t="s">
        <v>1812</v>
      </c>
      <c r="H456" s="940" t="s">
        <v>1237</v>
      </c>
      <c r="I456" s="958">
        <v>43785</v>
      </c>
      <c r="J456" s="958">
        <v>45364</v>
      </c>
      <c r="K456" s="661"/>
      <c r="L456" s="661"/>
    </row>
    <row r="457" spans="1:12">
      <c r="A457" s="661"/>
      <c r="B457" s="940">
        <v>455</v>
      </c>
      <c r="C457" s="940" t="s">
        <v>881</v>
      </c>
      <c r="D457" s="940" t="s">
        <v>2088</v>
      </c>
      <c r="E457" s="940" t="s">
        <v>1828</v>
      </c>
      <c r="F457" s="959">
        <v>0.3</v>
      </c>
      <c r="G457" s="940" t="s">
        <v>1812</v>
      </c>
      <c r="H457" s="940" t="s">
        <v>1237</v>
      </c>
      <c r="I457" s="958">
        <v>43785</v>
      </c>
      <c r="J457" s="958">
        <v>45364</v>
      </c>
      <c r="K457" s="661"/>
      <c r="L457" s="661"/>
    </row>
    <row r="458" spans="1:12">
      <c r="A458" s="661"/>
      <c r="B458" s="940">
        <v>456</v>
      </c>
      <c r="C458" s="940" t="s">
        <v>881</v>
      </c>
      <c r="D458" s="940" t="s">
        <v>2089</v>
      </c>
      <c r="E458" s="940" t="s">
        <v>1830</v>
      </c>
      <c r="F458" s="959">
        <v>0.3</v>
      </c>
      <c r="G458" s="940" t="s">
        <v>1812</v>
      </c>
      <c r="H458" s="940" t="s">
        <v>1237</v>
      </c>
      <c r="I458" s="958">
        <v>43785</v>
      </c>
      <c r="J458" s="958">
        <v>45364</v>
      </c>
      <c r="K458" s="661"/>
      <c r="L458" s="661"/>
    </row>
    <row r="459" spans="1:12">
      <c r="A459" s="661"/>
      <c r="B459" s="940">
        <v>457</v>
      </c>
      <c r="C459" s="940" t="s">
        <v>881</v>
      </c>
      <c r="D459" s="940" t="s">
        <v>2090</v>
      </c>
      <c r="E459" s="940" t="s">
        <v>1832</v>
      </c>
      <c r="F459" s="959">
        <v>0.3</v>
      </c>
      <c r="G459" s="940" t="s">
        <v>1812</v>
      </c>
      <c r="H459" s="940" t="s">
        <v>1237</v>
      </c>
      <c r="I459" s="958">
        <v>43785</v>
      </c>
      <c r="J459" s="958">
        <v>45364</v>
      </c>
      <c r="K459" s="661"/>
      <c r="L459" s="661"/>
    </row>
    <row r="460" spans="1:12">
      <c r="A460" s="661"/>
      <c r="B460" s="940">
        <v>458</v>
      </c>
      <c r="C460" s="940" t="s">
        <v>881</v>
      </c>
      <c r="D460" s="940" t="s">
        <v>2091</v>
      </c>
      <c r="E460" s="940" t="s">
        <v>1834</v>
      </c>
      <c r="F460" s="959">
        <v>0.3</v>
      </c>
      <c r="G460" s="940" t="s">
        <v>1812</v>
      </c>
      <c r="H460" s="940" t="s">
        <v>1237</v>
      </c>
      <c r="I460" s="958">
        <v>43785</v>
      </c>
      <c r="J460" s="958">
        <v>45364</v>
      </c>
      <c r="K460" s="661"/>
      <c r="L460" s="661"/>
    </row>
    <row r="461" spans="1:12">
      <c r="A461" s="661"/>
      <c r="B461" s="940">
        <v>459</v>
      </c>
      <c r="C461" s="940" t="s">
        <v>1395</v>
      </c>
      <c r="D461" s="940" t="s">
        <v>2092</v>
      </c>
      <c r="E461" s="940" t="s">
        <v>1818</v>
      </c>
      <c r="F461" s="959">
        <v>3.25</v>
      </c>
      <c r="G461" s="940" t="s">
        <v>1699</v>
      </c>
      <c r="H461" s="940" t="s">
        <v>1237</v>
      </c>
      <c r="I461" s="958">
        <v>43785</v>
      </c>
      <c r="J461" s="958">
        <v>45364</v>
      </c>
      <c r="K461" s="661"/>
      <c r="L461" s="661"/>
    </row>
    <row r="462" spans="1:12">
      <c r="A462" s="661"/>
      <c r="B462" s="940">
        <v>460</v>
      </c>
      <c r="C462" s="940" t="s">
        <v>1395</v>
      </c>
      <c r="D462" s="940" t="s">
        <v>2093</v>
      </c>
      <c r="E462" s="940" t="s">
        <v>1820</v>
      </c>
      <c r="F462" s="959">
        <v>3.5</v>
      </c>
      <c r="G462" s="940" t="s">
        <v>1699</v>
      </c>
      <c r="H462" s="940" t="s">
        <v>1237</v>
      </c>
      <c r="I462" s="958">
        <v>43785</v>
      </c>
      <c r="J462" s="958">
        <v>45364</v>
      </c>
      <c r="K462" s="661"/>
      <c r="L462" s="661"/>
    </row>
    <row r="463" spans="1:12">
      <c r="A463" s="661"/>
      <c r="B463" s="940">
        <v>461</v>
      </c>
      <c r="C463" s="940" t="s">
        <v>1395</v>
      </c>
      <c r="D463" s="940" t="s">
        <v>2094</v>
      </c>
      <c r="E463" s="940" t="s">
        <v>1822</v>
      </c>
      <c r="F463" s="959">
        <v>3.75</v>
      </c>
      <c r="G463" s="940" t="s">
        <v>1699</v>
      </c>
      <c r="H463" s="940" t="s">
        <v>1237</v>
      </c>
      <c r="I463" s="958">
        <v>43785</v>
      </c>
      <c r="J463" s="958">
        <v>45364</v>
      </c>
      <c r="K463" s="661"/>
      <c r="L463" s="661"/>
    </row>
    <row r="464" spans="1:12">
      <c r="A464" s="661"/>
      <c r="B464" s="940">
        <v>462</v>
      </c>
      <c r="C464" s="940" t="s">
        <v>1395</v>
      </c>
      <c r="D464" s="940" t="s">
        <v>2095</v>
      </c>
      <c r="E464" s="940" t="s">
        <v>1811</v>
      </c>
      <c r="F464" s="959">
        <v>1</v>
      </c>
      <c r="G464" s="940" t="s">
        <v>1812</v>
      </c>
      <c r="H464" s="940" t="s">
        <v>1237</v>
      </c>
      <c r="I464" s="958">
        <v>43785</v>
      </c>
      <c r="J464" s="958">
        <v>45364</v>
      </c>
      <c r="K464" s="661"/>
      <c r="L464" s="661"/>
    </row>
    <row r="465" spans="1:12">
      <c r="A465" s="661"/>
      <c r="B465" s="940">
        <v>463</v>
      </c>
      <c r="C465" s="940" t="s">
        <v>1395</v>
      </c>
      <c r="D465" s="940" t="s">
        <v>2096</v>
      </c>
      <c r="E465" s="940" t="s">
        <v>1814</v>
      </c>
      <c r="F465" s="959">
        <v>1</v>
      </c>
      <c r="G465" s="940" t="s">
        <v>1812</v>
      </c>
      <c r="H465" s="940" t="s">
        <v>1237</v>
      </c>
      <c r="I465" s="958">
        <v>43785</v>
      </c>
      <c r="J465" s="958">
        <v>45364</v>
      </c>
      <c r="K465" s="661"/>
      <c r="L465" s="661"/>
    </row>
    <row r="466" spans="1:12">
      <c r="A466" s="661"/>
      <c r="B466" s="940">
        <v>464</v>
      </c>
      <c r="C466" s="940" t="s">
        <v>1395</v>
      </c>
      <c r="D466" s="940" t="s">
        <v>2097</v>
      </c>
      <c r="E466" s="940" t="s">
        <v>1816</v>
      </c>
      <c r="F466" s="959">
        <v>1</v>
      </c>
      <c r="G466" s="940" t="s">
        <v>1812</v>
      </c>
      <c r="H466" s="940" t="s">
        <v>1237</v>
      </c>
      <c r="I466" s="958">
        <v>43785</v>
      </c>
      <c r="J466" s="958">
        <v>45364</v>
      </c>
      <c r="K466" s="661"/>
      <c r="L466" s="661"/>
    </row>
    <row r="467" spans="1:12">
      <c r="A467" s="661"/>
      <c r="B467" s="940">
        <v>465</v>
      </c>
      <c r="C467" s="940" t="s">
        <v>1395</v>
      </c>
      <c r="D467" s="940" t="s">
        <v>2098</v>
      </c>
      <c r="E467" s="940" t="s">
        <v>1818</v>
      </c>
      <c r="F467" s="959">
        <v>1</v>
      </c>
      <c r="G467" s="940" t="s">
        <v>1812</v>
      </c>
      <c r="H467" s="940" t="s">
        <v>1237</v>
      </c>
      <c r="I467" s="958">
        <v>43785</v>
      </c>
      <c r="J467" s="958">
        <v>45364</v>
      </c>
      <c r="K467" s="661"/>
      <c r="L467" s="661"/>
    </row>
    <row r="468" spans="1:12">
      <c r="A468" s="661"/>
      <c r="B468" s="940">
        <v>466</v>
      </c>
      <c r="C468" s="940" t="s">
        <v>1395</v>
      </c>
      <c r="D468" s="940" t="s">
        <v>2099</v>
      </c>
      <c r="E468" s="940" t="s">
        <v>1820</v>
      </c>
      <c r="F468" s="959">
        <v>1.25</v>
      </c>
      <c r="G468" s="940" t="s">
        <v>1812</v>
      </c>
      <c r="H468" s="940" t="s">
        <v>1237</v>
      </c>
      <c r="I468" s="958">
        <v>43785</v>
      </c>
      <c r="J468" s="958">
        <v>45364</v>
      </c>
      <c r="K468" s="661"/>
      <c r="L468" s="661"/>
    </row>
    <row r="469" spans="1:12">
      <c r="A469" s="661"/>
      <c r="B469" s="940">
        <v>467</v>
      </c>
      <c r="C469" s="940" t="s">
        <v>1395</v>
      </c>
      <c r="D469" s="940" t="s">
        <v>2100</v>
      </c>
      <c r="E469" s="940" t="s">
        <v>1822</v>
      </c>
      <c r="F469" s="959">
        <v>1.25</v>
      </c>
      <c r="G469" s="940" t="s">
        <v>1812</v>
      </c>
      <c r="H469" s="940" t="s">
        <v>1237</v>
      </c>
      <c r="I469" s="958">
        <v>43785</v>
      </c>
      <c r="J469" s="958">
        <v>45364</v>
      </c>
      <c r="K469" s="661"/>
      <c r="L469" s="661"/>
    </row>
    <row r="470" spans="1:12">
      <c r="A470" s="661"/>
      <c r="B470" s="940">
        <v>468</v>
      </c>
      <c r="C470" s="940" t="s">
        <v>1395</v>
      </c>
      <c r="D470" s="940" t="s">
        <v>2101</v>
      </c>
      <c r="E470" s="940" t="s">
        <v>1824</v>
      </c>
      <c r="F470" s="959">
        <v>1.25</v>
      </c>
      <c r="G470" s="940" t="s">
        <v>1812</v>
      </c>
      <c r="H470" s="940" t="s">
        <v>1237</v>
      </c>
      <c r="I470" s="958">
        <v>43785</v>
      </c>
      <c r="J470" s="958">
        <v>45364</v>
      </c>
      <c r="K470" s="661"/>
      <c r="L470" s="661"/>
    </row>
    <row r="471" spans="1:12">
      <c r="A471" s="661"/>
      <c r="B471" s="940">
        <v>469</v>
      </c>
      <c r="C471" s="940" t="s">
        <v>1395</v>
      </c>
      <c r="D471" s="940" t="s">
        <v>2102</v>
      </c>
      <c r="E471" s="940" t="s">
        <v>1826</v>
      </c>
      <c r="F471" s="959">
        <v>1.25</v>
      </c>
      <c r="G471" s="940" t="s">
        <v>1812</v>
      </c>
      <c r="H471" s="940" t="s">
        <v>1237</v>
      </c>
      <c r="I471" s="958">
        <v>43785</v>
      </c>
      <c r="J471" s="958">
        <v>45364</v>
      </c>
      <c r="K471" s="661"/>
      <c r="L471" s="661"/>
    </row>
    <row r="472" spans="1:12">
      <c r="A472" s="661"/>
      <c r="B472" s="940">
        <v>470</v>
      </c>
      <c r="C472" s="940" t="s">
        <v>1395</v>
      </c>
      <c r="D472" s="940" t="s">
        <v>2103</v>
      </c>
      <c r="E472" s="940" t="s">
        <v>1828</v>
      </c>
      <c r="F472" s="959">
        <v>1.25</v>
      </c>
      <c r="G472" s="940" t="s">
        <v>1812</v>
      </c>
      <c r="H472" s="940" t="s">
        <v>1237</v>
      </c>
      <c r="I472" s="958">
        <v>43785</v>
      </c>
      <c r="J472" s="958">
        <v>45364</v>
      </c>
      <c r="K472" s="661"/>
      <c r="L472" s="661"/>
    </row>
    <row r="473" spans="1:12">
      <c r="A473" s="661"/>
      <c r="B473" s="940">
        <v>471</v>
      </c>
      <c r="C473" s="940" t="s">
        <v>1395</v>
      </c>
      <c r="D473" s="940" t="s">
        <v>2104</v>
      </c>
      <c r="E473" s="940" t="s">
        <v>1830</v>
      </c>
      <c r="F473" s="959">
        <v>1.25</v>
      </c>
      <c r="G473" s="940" t="s">
        <v>1812</v>
      </c>
      <c r="H473" s="940" t="s">
        <v>1237</v>
      </c>
      <c r="I473" s="958">
        <v>43785</v>
      </c>
      <c r="J473" s="958">
        <v>45364</v>
      </c>
      <c r="K473" s="661"/>
      <c r="L473" s="661"/>
    </row>
    <row r="474" spans="1:12">
      <c r="A474" s="661"/>
      <c r="B474" s="940">
        <v>472</v>
      </c>
      <c r="C474" s="940" t="s">
        <v>1395</v>
      </c>
      <c r="D474" s="940" t="s">
        <v>2105</v>
      </c>
      <c r="E474" s="940" t="s">
        <v>1832</v>
      </c>
      <c r="F474" s="959">
        <v>1.25</v>
      </c>
      <c r="G474" s="940" t="s">
        <v>1812</v>
      </c>
      <c r="H474" s="940" t="s">
        <v>1237</v>
      </c>
      <c r="I474" s="958">
        <v>43785</v>
      </c>
      <c r="J474" s="958">
        <v>45364</v>
      </c>
      <c r="K474" s="661"/>
      <c r="L474" s="661"/>
    </row>
    <row r="475" spans="1:12">
      <c r="A475" s="661"/>
      <c r="B475" s="940">
        <v>473</v>
      </c>
      <c r="C475" s="940" t="s">
        <v>1395</v>
      </c>
      <c r="D475" s="940" t="s">
        <v>2106</v>
      </c>
      <c r="E475" s="940" t="s">
        <v>1834</v>
      </c>
      <c r="F475" s="959">
        <v>1.25</v>
      </c>
      <c r="G475" s="940" t="s">
        <v>1812</v>
      </c>
      <c r="H475" s="940" t="s">
        <v>1237</v>
      </c>
      <c r="I475" s="958">
        <v>43785</v>
      </c>
      <c r="J475" s="958">
        <v>45364</v>
      </c>
      <c r="K475" s="661"/>
      <c r="L475" s="661"/>
    </row>
    <row r="476" spans="1:12">
      <c r="A476" s="661"/>
      <c r="B476" s="940">
        <v>474</v>
      </c>
      <c r="C476" s="940" t="s">
        <v>1395</v>
      </c>
      <c r="D476" s="940" t="s">
        <v>2107</v>
      </c>
      <c r="E476" s="940" t="s">
        <v>1811</v>
      </c>
      <c r="F476" s="959">
        <v>2</v>
      </c>
      <c r="G476" s="940" t="s">
        <v>1812</v>
      </c>
      <c r="H476" s="940" t="s">
        <v>1237</v>
      </c>
      <c r="I476" s="958">
        <v>43785</v>
      </c>
      <c r="J476" s="958">
        <v>45364</v>
      </c>
      <c r="K476" s="661"/>
      <c r="L476" s="661"/>
    </row>
    <row r="477" spans="1:12">
      <c r="A477" s="661"/>
      <c r="B477" s="940">
        <v>475</v>
      </c>
      <c r="C477" s="940" t="s">
        <v>1395</v>
      </c>
      <c r="D477" s="940" t="s">
        <v>2108</v>
      </c>
      <c r="E477" s="940" t="s">
        <v>1814</v>
      </c>
      <c r="F477" s="959">
        <v>2</v>
      </c>
      <c r="G477" s="940" t="s">
        <v>1812</v>
      </c>
      <c r="H477" s="940" t="s">
        <v>1237</v>
      </c>
      <c r="I477" s="958">
        <v>43785</v>
      </c>
      <c r="J477" s="958">
        <v>45364</v>
      </c>
      <c r="K477" s="661"/>
      <c r="L477" s="661"/>
    </row>
    <row r="478" spans="1:12">
      <c r="A478" s="661"/>
      <c r="B478" s="940">
        <v>476</v>
      </c>
      <c r="C478" s="940" t="s">
        <v>1395</v>
      </c>
      <c r="D478" s="940" t="s">
        <v>2109</v>
      </c>
      <c r="E478" s="940" t="s">
        <v>1816</v>
      </c>
      <c r="F478" s="959">
        <v>2</v>
      </c>
      <c r="G478" s="940" t="s">
        <v>1812</v>
      </c>
      <c r="H478" s="940" t="s">
        <v>1237</v>
      </c>
      <c r="I478" s="958">
        <v>43785</v>
      </c>
      <c r="J478" s="958">
        <v>45364</v>
      </c>
      <c r="K478" s="661"/>
      <c r="L478" s="661"/>
    </row>
    <row r="479" spans="1:12">
      <c r="A479" s="661"/>
      <c r="B479" s="940">
        <v>477</v>
      </c>
      <c r="C479" s="940" t="s">
        <v>1395</v>
      </c>
      <c r="D479" s="940" t="s">
        <v>2110</v>
      </c>
      <c r="E479" s="940" t="s">
        <v>1818</v>
      </c>
      <c r="F479" s="959">
        <v>2</v>
      </c>
      <c r="G479" s="940" t="s">
        <v>1812</v>
      </c>
      <c r="H479" s="940" t="s">
        <v>1237</v>
      </c>
      <c r="I479" s="958">
        <v>43785</v>
      </c>
      <c r="J479" s="958">
        <v>45364</v>
      </c>
      <c r="K479" s="661"/>
      <c r="L479" s="661"/>
    </row>
    <row r="480" spans="1:12">
      <c r="A480" s="661"/>
      <c r="B480" s="940">
        <v>478</v>
      </c>
      <c r="C480" s="940" t="s">
        <v>1395</v>
      </c>
      <c r="D480" s="940" t="s">
        <v>2111</v>
      </c>
      <c r="E480" s="940" t="s">
        <v>1820</v>
      </c>
      <c r="F480" s="959">
        <v>2.5</v>
      </c>
      <c r="G480" s="940" t="s">
        <v>1812</v>
      </c>
      <c r="H480" s="940" t="s">
        <v>1237</v>
      </c>
      <c r="I480" s="958">
        <v>43785</v>
      </c>
      <c r="J480" s="958">
        <v>45364</v>
      </c>
      <c r="K480" s="661"/>
      <c r="L480" s="661"/>
    </row>
    <row r="481" spans="1:12">
      <c r="A481" s="661"/>
      <c r="B481" s="940">
        <v>479</v>
      </c>
      <c r="C481" s="940" t="s">
        <v>1395</v>
      </c>
      <c r="D481" s="940" t="s">
        <v>2112</v>
      </c>
      <c r="E481" s="940" t="s">
        <v>1822</v>
      </c>
      <c r="F481" s="959">
        <v>2.5</v>
      </c>
      <c r="G481" s="940" t="s">
        <v>1812</v>
      </c>
      <c r="H481" s="940" t="s">
        <v>1237</v>
      </c>
      <c r="I481" s="958">
        <v>43785</v>
      </c>
      <c r="J481" s="958">
        <v>45364</v>
      </c>
      <c r="K481" s="661"/>
      <c r="L481" s="661"/>
    </row>
    <row r="482" spans="1:12">
      <c r="A482" s="661"/>
      <c r="B482" s="940">
        <v>480</v>
      </c>
      <c r="C482" s="940" t="s">
        <v>1395</v>
      </c>
      <c r="D482" s="940" t="s">
        <v>2113</v>
      </c>
      <c r="E482" s="940" t="s">
        <v>1824</v>
      </c>
      <c r="F482" s="959">
        <v>2.5</v>
      </c>
      <c r="G482" s="940" t="s">
        <v>1812</v>
      </c>
      <c r="H482" s="940" t="s">
        <v>1237</v>
      </c>
      <c r="I482" s="958">
        <v>43785</v>
      </c>
      <c r="J482" s="958">
        <v>45364</v>
      </c>
      <c r="K482" s="661"/>
      <c r="L482" s="661"/>
    </row>
    <row r="483" spans="1:12">
      <c r="A483" s="661"/>
      <c r="B483" s="940">
        <v>481</v>
      </c>
      <c r="C483" s="940" t="s">
        <v>1395</v>
      </c>
      <c r="D483" s="940" t="s">
        <v>2114</v>
      </c>
      <c r="E483" s="940" t="s">
        <v>1826</v>
      </c>
      <c r="F483" s="959">
        <v>2.5</v>
      </c>
      <c r="G483" s="940" t="s">
        <v>1812</v>
      </c>
      <c r="H483" s="940" t="s">
        <v>1237</v>
      </c>
      <c r="I483" s="958">
        <v>43785</v>
      </c>
      <c r="J483" s="958">
        <v>45364</v>
      </c>
      <c r="K483" s="661"/>
      <c r="L483" s="661"/>
    </row>
    <row r="484" spans="1:12">
      <c r="A484" s="661"/>
      <c r="B484" s="940">
        <v>482</v>
      </c>
      <c r="C484" s="940" t="s">
        <v>1395</v>
      </c>
      <c r="D484" s="940" t="s">
        <v>2115</v>
      </c>
      <c r="E484" s="940" t="s">
        <v>1828</v>
      </c>
      <c r="F484" s="959">
        <v>2.5</v>
      </c>
      <c r="G484" s="940" t="s">
        <v>1812</v>
      </c>
      <c r="H484" s="940" t="s">
        <v>1237</v>
      </c>
      <c r="I484" s="958">
        <v>43785</v>
      </c>
      <c r="J484" s="958">
        <v>45364</v>
      </c>
      <c r="K484" s="661"/>
      <c r="L484" s="661"/>
    </row>
    <row r="485" spans="1:12">
      <c r="A485" s="661"/>
      <c r="B485" s="940">
        <v>483</v>
      </c>
      <c r="C485" s="940" t="s">
        <v>1395</v>
      </c>
      <c r="D485" s="940" t="s">
        <v>2116</v>
      </c>
      <c r="E485" s="940" t="s">
        <v>1830</v>
      </c>
      <c r="F485" s="959">
        <v>2.5</v>
      </c>
      <c r="G485" s="940" t="s">
        <v>1812</v>
      </c>
      <c r="H485" s="940" t="s">
        <v>1237</v>
      </c>
      <c r="I485" s="958">
        <v>43785</v>
      </c>
      <c r="J485" s="958">
        <v>45364</v>
      </c>
      <c r="K485" s="661"/>
      <c r="L485" s="661"/>
    </row>
    <row r="486" spans="1:12">
      <c r="A486" s="661"/>
      <c r="B486" s="940">
        <v>484</v>
      </c>
      <c r="C486" s="940" t="s">
        <v>1395</v>
      </c>
      <c r="D486" s="940" t="s">
        <v>2117</v>
      </c>
      <c r="E486" s="940" t="s">
        <v>1832</v>
      </c>
      <c r="F486" s="959">
        <v>2.5</v>
      </c>
      <c r="G486" s="940" t="s">
        <v>1812</v>
      </c>
      <c r="H486" s="940" t="s">
        <v>1237</v>
      </c>
      <c r="I486" s="958">
        <v>43785</v>
      </c>
      <c r="J486" s="958">
        <v>45364</v>
      </c>
      <c r="K486" s="661"/>
      <c r="L486" s="661"/>
    </row>
    <row r="487" spans="1:12">
      <c r="A487" s="661"/>
      <c r="B487" s="940">
        <v>485</v>
      </c>
      <c r="C487" s="940" t="s">
        <v>1395</v>
      </c>
      <c r="D487" s="940" t="s">
        <v>2118</v>
      </c>
      <c r="E487" s="940" t="s">
        <v>1834</v>
      </c>
      <c r="F487" s="959">
        <v>2.5</v>
      </c>
      <c r="G487" s="940" t="s">
        <v>1812</v>
      </c>
      <c r="H487" s="940" t="s">
        <v>1237</v>
      </c>
      <c r="I487" s="958">
        <v>43785</v>
      </c>
      <c r="J487" s="958">
        <v>45364</v>
      </c>
      <c r="K487" s="661"/>
      <c r="L487" s="661"/>
    </row>
    <row r="488" spans="1:12">
      <c r="A488" s="661"/>
      <c r="B488" s="940">
        <v>486</v>
      </c>
      <c r="C488" s="940" t="s">
        <v>1395</v>
      </c>
      <c r="D488" s="940" t="s">
        <v>2119</v>
      </c>
      <c r="E488" s="940" t="s">
        <v>1811</v>
      </c>
      <c r="F488" s="959">
        <v>0.1</v>
      </c>
      <c r="G488" s="940" t="s">
        <v>1812</v>
      </c>
      <c r="H488" s="940" t="s">
        <v>1237</v>
      </c>
      <c r="I488" s="958">
        <v>43785</v>
      </c>
      <c r="J488" s="958">
        <v>45364</v>
      </c>
      <c r="K488" s="661"/>
      <c r="L488" s="661"/>
    </row>
    <row r="489" spans="1:12">
      <c r="A489" s="661"/>
      <c r="B489" s="940">
        <v>487</v>
      </c>
      <c r="C489" s="940" t="s">
        <v>1395</v>
      </c>
      <c r="D489" s="940" t="s">
        <v>2120</v>
      </c>
      <c r="E489" s="940" t="s">
        <v>1814</v>
      </c>
      <c r="F489" s="959">
        <v>0.1</v>
      </c>
      <c r="G489" s="940" t="s">
        <v>1812</v>
      </c>
      <c r="H489" s="940" t="s">
        <v>1237</v>
      </c>
      <c r="I489" s="958">
        <v>43785</v>
      </c>
      <c r="J489" s="958">
        <v>45364</v>
      </c>
      <c r="K489" s="661"/>
      <c r="L489" s="661"/>
    </row>
    <row r="490" spans="1:12">
      <c r="A490" s="661"/>
      <c r="B490" s="940">
        <v>488</v>
      </c>
      <c r="C490" s="940" t="s">
        <v>1395</v>
      </c>
      <c r="D490" s="940" t="s">
        <v>2121</v>
      </c>
      <c r="E490" s="940" t="s">
        <v>1816</v>
      </c>
      <c r="F490" s="959">
        <v>0.1</v>
      </c>
      <c r="G490" s="940" t="s">
        <v>1812</v>
      </c>
      <c r="H490" s="940" t="s">
        <v>1237</v>
      </c>
      <c r="I490" s="958">
        <v>43785</v>
      </c>
      <c r="J490" s="958">
        <v>45364</v>
      </c>
      <c r="K490" s="661"/>
      <c r="L490" s="661"/>
    </row>
    <row r="491" spans="1:12">
      <c r="A491" s="661"/>
      <c r="B491" s="940">
        <v>489</v>
      </c>
      <c r="C491" s="940" t="s">
        <v>1395</v>
      </c>
      <c r="D491" s="940" t="s">
        <v>2122</v>
      </c>
      <c r="E491" s="940" t="s">
        <v>1818</v>
      </c>
      <c r="F491" s="959">
        <v>0.1</v>
      </c>
      <c r="G491" s="940" t="s">
        <v>1812</v>
      </c>
      <c r="H491" s="940" t="s">
        <v>1237</v>
      </c>
      <c r="I491" s="958">
        <v>43785</v>
      </c>
      <c r="J491" s="958">
        <v>45364</v>
      </c>
      <c r="K491" s="661"/>
      <c r="L491" s="661"/>
    </row>
    <row r="492" spans="1:12">
      <c r="A492" s="661"/>
      <c r="B492" s="940">
        <v>490</v>
      </c>
      <c r="C492" s="940" t="s">
        <v>1395</v>
      </c>
      <c r="D492" s="940" t="s">
        <v>2123</v>
      </c>
      <c r="E492" s="940" t="s">
        <v>1820</v>
      </c>
      <c r="F492" s="959">
        <v>0.1</v>
      </c>
      <c r="G492" s="940" t="s">
        <v>1812</v>
      </c>
      <c r="H492" s="940" t="s">
        <v>1237</v>
      </c>
      <c r="I492" s="958">
        <v>43785</v>
      </c>
      <c r="J492" s="958">
        <v>45364</v>
      </c>
      <c r="K492" s="661"/>
      <c r="L492" s="661"/>
    </row>
    <row r="493" spans="1:12">
      <c r="A493" s="661"/>
      <c r="B493" s="940">
        <v>491</v>
      </c>
      <c r="C493" s="940" t="s">
        <v>1395</v>
      </c>
      <c r="D493" s="940" t="s">
        <v>2124</v>
      </c>
      <c r="E493" s="940" t="s">
        <v>1822</v>
      </c>
      <c r="F493" s="959">
        <v>0.1</v>
      </c>
      <c r="G493" s="940" t="s">
        <v>1812</v>
      </c>
      <c r="H493" s="940" t="s">
        <v>1237</v>
      </c>
      <c r="I493" s="958">
        <v>43785</v>
      </c>
      <c r="J493" s="958">
        <v>45364</v>
      </c>
      <c r="K493" s="661"/>
      <c r="L493" s="661"/>
    </row>
    <row r="494" spans="1:12">
      <c r="A494" s="661"/>
      <c r="B494" s="940">
        <v>492</v>
      </c>
      <c r="C494" s="940" t="s">
        <v>1395</v>
      </c>
      <c r="D494" s="940" t="s">
        <v>2125</v>
      </c>
      <c r="E494" s="940" t="s">
        <v>1824</v>
      </c>
      <c r="F494" s="959">
        <v>0.1</v>
      </c>
      <c r="G494" s="940" t="s">
        <v>1812</v>
      </c>
      <c r="H494" s="940" t="s">
        <v>1237</v>
      </c>
      <c r="I494" s="958">
        <v>43785</v>
      </c>
      <c r="J494" s="958">
        <v>45364</v>
      </c>
      <c r="K494" s="661"/>
      <c r="L494" s="661"/>
    </row>
    <row r="495" spans="1:12">
      <c r="A495" s="661"/>
      <c r="B495" s="940">
        <v>493</v>
      </c>
      <c r="C495" s="940" t="s">
        <v>1395</v>
      </c>
      <c r="D495" s="940" t="s">
        <v>2126</v>
      </c>
      <c r="E495" s="940" t="s">
        <v>1826</v>
      </c>
      <c r="F495" s="959">
        <v>0.1</v>
      </c>
      <c r="G495" s="940" t="s">
        <v>1812</v>
      </c>
      <c r="H495" s="940" t="s">
        <v>1237</v>
      </c>
      <c r="I495" s="958">
        <v>43785</v>
      </c>
      <c r="J495" s="958">
        <v>45364</v>
      </c>
      <c r="K495" s="661"/>
      <c r="L495" s="661"/>
    </row>
    <row r="496" spans="1:12">
      <c r="A496" s="661"/>
      <c r="B496" s="940">
        <v>494</v>
      </c>
      <c r="C496" s="940" t="s">
        <v>1395</v>
      </c>
      <c r="D496" s="940" t="s">
        <v>2127</v>
      </c>
      <c r="E496" s="940" t="s">
        <v>1828</v>
      </c>
      <c r="F496" s="959">
        <v>0.1</v>
      </c>
      <c r="G496" s="940" t="s">
        <v>1812</v>
      </c>
      <c r="H496" s="940" t="s">
        <v>1237</v>
      </c>
      <c r="I496" s="958">
        <v>43785</v>
      </c>
      <c r="J496" s="958">
        <v>45364</v>
      </c>
      <c r="K496" s="661"/>
      <c r="L496" s="661"/>
    </row>
    <row r="497" spans="1:12">
      <c r="A497" s="661"/>
      <c r="B497" s="940">
        <v>495</v>
      </c>
      <c r="C497" s="940" t="s">
        <v>1395</v>
      </c>
      <c r="D497" s="940" t="s">
        <v>2128</v>
      </c>
      <c r="E497" s="940" t="s">
        <v>1830</v>
      </c>
      <c r="F497" s="959">
        <v>0.1</v>
      </c>
      <c r="G497" s="940" t="s">
        <v>1812</v>
      </c>
      <c r="H497" s="940" t="s">
        <v>1237</v>
      </c>
      <c r="I497" s="958">
        <v>43785</v>
      </c>
      <c r="J497" s="958">
        <v>45364</v>
      </c>
      <c r="K497" s="661"/>
      <c r="L497" s="661"/>
    </row>
    <row r="498" spans="1:12">
      <c r="A498" s="661"/>
      <c r="B498" s="940">
        <v>496</v>
      </c>
      <c r="C498" s="940" t="s">
        <v>1395</v>
      </c>
      <c r="D498" s="940" t="s">
        <v>2129</v>
      </c>
      <c r="E498" s="940" t="s">
        <v>1832</v>
      </c>
      <c r="F498" s="959">
        <v>0.1</v>
      </c>
      <c r="G498" s="940" t="s">
        <v>1812</v>
      </c>
      <c r="H498" s="940" t="s">
        <v>1237</v>
      </c>
      <c r="I498" s="958">
        <v>43785</v>
      </c>
      <c r="J498" s="958">
        <v>45364</v>
      </c>
      <c r="K498" s="661"/>
      <c r="L498" s="661"/>
    </row>
    <row r="499" spans="1:12">
      <c r="A499" s="661"/>
      <c r="B499" s="940">
        <v>497</v>
      </c>
      <c r="C499" s="940" t="s">
        <v>1395</v>
      </c>
      <c r="D499" s="940" t="s">
        <v>2130</v>
      </c>
      <c r="E499" s="940" t="s">
        <v>1834</v>
      </c>
      <c r="F499" s="959">
        <v>0.1</v>
      </c>
      <c r="G499" s="940" t="s">
        <v>1812</v>
      </c>
      <c r="H499" s="940" t="s">
        <v>1237</v>
      </c>
      <c r="I499" s="958">
        <v>43785</v>
      </c>
      <c r="J499" s="958">
        <v>45364</v>
      </c>
      <c r="K499" s="661"/>
      <c r="L499" s="661"/>
    </row>
    <row r="500" spans="1:12">
      <c r="A500" s="661"/>
      <c r="B500" s="940">
        <v>498</v>
      </c>
      <c r="C500" s="940" t="s">
        <v>1395</v>
      </c>
      <c r="D500" s="940" t="s">
        <v>2131</v>
      </c>
      <c r="E500" s="940" t="s">
        <v>1811</v>
      </c>
      <c r="F500" s="959">
        <v>0.05</v>
      </c>
      <c r="G500" s="940" t="s">
        <v>1812</v>
      </c>
      <c r="H500" s="940" t="s">
        <v>1237</v>
      </c>
      <c r="I500" s="958">
        <v>43785</v>
      </c>
      <c r="J500" s="958">
        <v>45364</v>
      </c>
      <c r="K500" s="661"/>
      <c r="L500" s="661"/>
    </row>
    <row r="501" spans="1:12">
      <c r="A501" s="661"/>
      <c r="B501" s="940">
        <v>499</v>
      </c>
      <c r="C501" s="940" t="s">
        <v>1395</v>
      </c>
      <c r="D501" s="940" t="s">
        <v>2132</v>
      </c>
      <c r="E501" s="940" t="s">
        <v>1814</v>
      </c>
      <c r="F501" s="959">
        <v>0.05</v>
      </c>
      <c r="G501" s="940" t="s">
        <v>1812</v>
      </c>
      <c r="H501" s="940" t="s">
        <v>1237</v>
      </c>
      <c r="I501" s="958">
        <v>43785</v>
      </c>
      <c r="J501" s="958">
        <v>45364</v>
      </c>
      <c r="K501" s="661"/>
      <c r="L501" s="661"/>
    </row>
    <row r="502" spans="1:12">
      <c r="A502" s="661"/>
      <c r="B502" s="940">
        <v>500</v>
      </c>
      <c r="C502" s="940" t="s">
        <v>1395</v>
      </c>
      <c r="D502" s="940" t="s">
        <v>2133</v>
      </c>
      <c r="E502" s="940" t="s">
        <v>1816</v>
      </c>
      <c r="F502" s="959">
        <v>0.05</v>
      </c>
      <c r="G502" s="940" t="s">
        <v>1812</v>
      </c>
      <c r="H502" s="940" t="s">
        <v>1237</v>
      </c>
      <c r="I502" s="958">
        <v>43785</v>
      </c>
      <c r="J502" s="958">
        <v>45364</v>
      </c>
      <c r="K502" s="661"/>
      <c r="L502" s="661"/>
    </row>
    <row r="503" spans="1:12">
      <c r="A503" s="661"/>
      <c r="B503" s="940">
        <v>501</v>
      </c>
      <c r="C503" s="940" t="s">
        <v>1395</v>
      </c>
      <c r="D503" s="940" t="s">
        <v>2134</v>
      </c>
      <c r="E503" s="940" t="s">
        <v>1818</v>
      </c>
      <c r="F503" s="959">
        <v>0.05</v>
      </c>
      <c r="G503" s="940" t="s">
        <v>1812</v>
      </c>
      <c r="H503" s="940" t="s">
        <v>1237</v>
      </c>
      <c r="I503" s="958">
        <v>43785</v>
      </c>
      <c r="J503" s="958">
        <v>45364</v>
      </c>
      <c r="K503" s="661"/>
      <c r="L503" s="661"/>
    </row>
    <row r="504" spans="1:12">
      <c r="A504" s="661"/>
      <c r="B504" s="940">
        <v>502</v>
      </c>
      <c r="C504" s="940" t="s">
        <v>1395</v>
      </c>
      <c r="D504" s="940" t="s">
        <v>2135</v>
      </c>
      <c r="E504" s="940" t="s">
        <v>1820</v>
      </c>
      <c r="F504" s="959">
        <v>0.05</v>
      </c>
      <c r="G504" s="940" t="s">
        <v>1812</v>
      </c>
      <c r="H504" s="940" t="s">
        <v>1237</v>
      </c>
      <c r="I504" s="958">
        <v>43785</v>
      </c>
      <c r="J504" s="958">
        <v>45364</v>
      </c>
      <c r="K504" s="661"/>
      <c r="L504" s="661"/>
    </row>
    <row r="505" spans="1:12">
      <c r="A505" s="661"/>
      <c r="B505" s="940">
        <v>503</v>
      </c>
      <c r="C505" s="940" t="s">
        <v>1395</v>
      </c>
      <c r="D505" s="940" t="s">
        <v>2136</v>
      </c>
      <c r="E505" s="940" t="s">
        <v>1822</v>
      </c>
      <c r="F505" s="959">
        <v>0.05</v>
      </c>
      <c r="G505" s="940" t="s">
        <v>1812</v>
      </c>
      <c r="H505" s="940" t="s">
        <v>1237</v>
      </c>
      <c r="I505" s="958">
        <v>43785</v>
      </c>
      <c r="J505" s="958">
        <v>45364</v>
      </c>
      <c r="K505" s="661"/>
      <c r="L505" s="661"/>
    </row>
    <row r="506" spans="1:12">
      <c r="A506" s="661"/>
      <c r="B506" s="940">
        <v>504</v>
      </c>
      <c r="C506" s="940" t="s">
        <v>1395</v>
      </c>
      <c r="D506" s="940" t="s">
        <v>2137</v>
      </c>
      <c r="E506" s="940" t="s">
        <v>1824</v>
      </c>
      <c r="F506" s="959">
        <v>0.05</v>
      </c>
      <c r="G506" s="940" t="s">
        <v>1812</v>
      </c>
      <c r="H506" s="940" t="s">
        <v>1237</v>
      </c>
      <c r="I506" s="958">
        <v>43785</v>
      </c>
      <c r="J506" s="958">
        <v>45364</v>
      </c>
      <c r="K506" s="661"/>
      <c r="L506" s="661"/>
    </row>
    <row r="507" spans="1:12">
      <c r="A507" s="661"/>
      <c r="B507" s="940">
        <v>505</v>
      </c>
      <c r="C507" s="940" t="s">
        <v>1395</v>
      </c>
      <c r="D507" s="940" t="s">
        <v>2138</v>
      </c>
      <c r="E507" s="940" t="s">
        <v>1826</v>
      </c>
      <c r="F507" s="959">
        <v>0.05</v>
      </c>
      <c r="G507" s="940" t="s">
        <v>1812</v>
      </c>
      <c r="H507" s="940" t="s">
        <v>1237</v>
      </c>
      <c r="I507" s="958">
        <v>43785</v>
      </c>
      <c r="J507" s="958">
        <v>45364</v>
      </c>
      <c r="K507" s="661"/>
      <c r="L507" s="661"/>
    </row>
    <row r="508" spans="1:12">
      <c r="A508" s="661"/>
      <c r="B508" s="940">
        <v>506</v>
      </c>
      <c r="C508" s="940" t="s">
        <v>1395</v>
      </c>
      <c r="D508" s="940" t="s">
        <v>2139</v>
      </c>
      <c r="E508" s="940" t="s">
        <v>1828</v>
      </c>
      <c r="F508" s="959">
        <v>0.05</v>
      </c>
      <c r="G508" s="940" t="s">
        <v>1812</v>
      </c>
      <c r="H508" s="940" t="s">
        <v>1237</v>
      </c>
      <c r="I508" s="958">
        <v>43785</v>
      </c>
      <c r="J508" s="958">
        <v>45364</v>
      </c>
      <c r="K508" s="661"/>
      <c r="L508" s="661"/>
    </row>
    <row r="509" spans="1:12">
      <c r="A509" s="661"/>
      <c r="B509" s="940">
        <v>507</v>
      </c>
      <c r="C509" s="940" t="s">
        <v>1395</v>
      </c>
      <c r="D509" s="940" t="s">
        <v>2140</v>
      </c>
      <c r="E509" s="940" t="s">
        <v>1830</v>
      </c>
      <c r="F509" s="959">
        <v>0.05</v>
      </c>
      <c r="G509" s="940" t="s">
        <v>1812</v>
      </c>
      <c r="H509" s="940" t="s">
        <v>1237</v>
      </c>
      <c r="I509" s="958">
        <v>43785</v>
      </c>
      <c r="J509" s="958">
        <v>45364</v>
      </c>
      <c r="K509" s="661"/>
      <c r="L509" s="661"/>
    </row>
    <row r="510" spans="1:12">
      <c r="A510" s="661"/>
      <c r="B510" s="940">
        <v>508</v>
      </c>
      <c r="C510" s="940" t="s">
        <v>1395</v>
      </c>
      <c r="D510" s="940" t="s">
        <v>2141</v>
      </c>
      <c r="E510" s="940" t="s">
        <v>1832</v>
      </c>
      <c r="F510" s="959">
        <v>0.05</v>
      </c>
      <c r="G510" s="940" t="s">
        <v>1812</v>
      </c>
      <c r="H510" s="940" t="s">
        <v>1237</v>
      </c>
      <c r="I510" s="958">
        <v>43785</v>
      </c>
      <c r="J510" s="958">
        <v>45364</v>
      </c>
      <c r="K510" s="661"/>
      <c r="L510" s="661"/>
    </row>
    <row r="511" spans="1:12">
      <c r="A511" s="661"/>
      <c r="B511" s="940">
        <v>509</v>
      </c>
      <c r="C511" s="940" t="s">
        <v>1395</v>
      </c>
      <c r="D511" s="940" t="s">
        <v>2142</v>
      </c>
      <c r="E511" s="940" t="s">
        <v>1834</v>
      </c>
      <c r="F511" s="959">
        <v>0.05</v>
      </c>
      <c r="G511" s="940" t="s">
        <v>1812</v>
      </c>
      <c r="H511" s="940" t="s">
        <v>1237</v>
      </c>
      <c r="I511" s="958">
        <v>43785</v>
      </c>
      <c r="J511" s="958">
        <v>45364</v>
      </c>
      <c r="K511" s="661"/>
      <c r="L511" s="661"/>
    </row>
    <row r="512" spans="1:12">
      <c r="A512" s="661"/>
      <c r="B512" s="940">
        <v>510</v>
      </c>
      <c r="C512" s="940" t="s">
        <v>1395</v>
      </c>
      <c r="D512" s="940" t="s">
        <v>2143</v>
      </c>
      <c r="E512" s="940" t="s">
        <v>1811</v>
      </c>
      <c r="F512" s="959">
        <v>1.95</v>
      </c>
      <c r="G512" s="940" t="s">
        <v>1812</v>
      </c>
      <c r="H512" s="940" t="s">
        <v>1237</v>
      </c>
      <c r="I512" s="958">
        <v>43785</v>
      </c>
      <c r="J512" s="958">
        <v>45364</v>
      </c>
      <c r="K512" s="661"/>
      <c r="L512" s="661"/>
    </row>
    <row r="513" spans="1:12">
      <c r="A513" s="661"/>
      <c r="B513" s="940">
        <v>511</v>
      </c>
      <c r="C513" s="940" t="s">
        <v>1395</v>
      </c>
      <c r="D513" s="940" t="s">
        <v>2144</v>
      </c>
      <c r="E513" s="940" t="s">
        <v>1814</v>
      </c>
      <c r="F513" s="959">
        <v>2.95</v>
      </c>
      <c r="G513" s="940" t="s">
        <v>1812</v>
      </c>
      <c r="H513" s="940" t="s">
        <v>1237</v>
      </c>
      <c r="I513" s="958">
        <v>43785</v>
      </c>
      <c r="J513" s="958">
        <v>45364</v>
      </c>
      <c r="K513" s="661"/>
      <c r="L513" s="661"/>
    </row>
    <row r="514" spans="1:12">
      <c r="A514" s="661"/>
      <c r="B514" s="940">
        <v>512</v>
      </c>
      <c r="C514" s="940" t="s">
        <v>1395</v>
      </c>
      <c r="D514" s="940" t="s">
        <v>2145</v>
      </c>
      <c r="E514" s="940" t="s">
        <v>1816</v>
      </c>
      <c r="F514" s="959">
        <v>3.33</v>
      </c>
      <c r="G514" s="940" t="s">
        <v>1812</v>
      </c>
      <c r="H514" s="940" t="s">
        <v>1237</v>
      </c>
      <c r="I514" s="958">
        <v>43785</v>
      </c>
      <c r="J514" s="958">
        <v>45364</v>
      </c>
      <c r="K514" s="661"/>
      <c r="L514" s="661"/>
    </row>
    <row r="515" spans="1:12">
      <c r="A515" s="661"/>
      <c r="B515" s="940">
        <v>513</v>
      </c>
      <c r="C515" s="940" t="s">
        <v>1395</v>
      </c>
      <c r="D515" s="940" t="s">
        <v>2146</v>
      </c>
      <c r="E515" s="940" t="s">
        <v>1818</v>
      </c>
      <c r="F515" s="959">
        <v>3.47</v>
      </c>
      <c r="G515" s="940" t="s">
        <v>1812</v>
      </c>
      <c r="H515" s="940" t="s">
        <v>1237</v>
      </c>
      <c r="I515" s="958">
        <v>43785</v>
      </c>
      <c r="J515" s="958">
        <v>45364</v>
      </c>
      <c r="K515" s="661"/>
      <c r="L515" s="661"/>
    </row>
    <row r="516" spans="1:12">
      <c r="A516" s="661"/>
      <c r="B516" s="940">
        <v>514</v>
      </c>
      <c r="C516" s="940" t="s">
        <v>1395</v>
      </c>
      <c r="D516" s="940" t="s">
        <v>2147</v>
      </c>
      <c r="E516" s="940" t="s">
        <v>1820</v>
      </c>
      <c r="F516" s="959">
        <v>4.0999999999999996</v>
      </c>
      <c r="G516" s="940" t="s">
        <v>1812</v>
      </c>
      <c r="H516" s="940" t="s">
        <v>1237</v>
      </c>
      <c r="I516" s="958">
        <v>43785</v>
      </c>
      <c r="J516" s="958">
        <v>45364</v>
      </c>
      <c r="K516" s="661"/>
      <c r="L516" s="661"/>
    </row>
    <row r="517" spans="1:12">
      <c r="A517" s="661"/>
      <c r="B517" s="940">
        <v>515</v>
      </c>
      <c r="C517" s="940" t="s">
        <v>1395</v>
      </c>
      <c r="D517" s="940" t="s">
        <v>2148</v>
      </c>
      <c r="E517" s="940" t="s">
        <v>1822</v>
      </c>
      <c r="F517" s="959">
        <v>6.9</v>
      </c>
      <c r="G517" s="940" t="s">
        <v>1812</v>
      </c>
      <c r="H517" s="940" t="s">
        <v>1237</v>
      </c>
      <c r="I517" s="958">
        <v>43785</v>
      </c>
      <c r="J517" s="958">
        <v>45364</v>
      </c>
      <c r="K517" s="661"/>
      <c r="L517" s="661"/>
    </row>
    <row r="518" spans="1:12">
      <c r="A518" s="661"/>
      <c r="B518" s="940">
        <v>516</v>
      </c>
      <c r="C518" s="940" t="s">
        <v>1395</v>
      </c>
      <c r="D518" s="940" t="s">
        <v>2149</v>
      </c>
      <c r="E518" s="940" t="s">
        <v>1811</v>
      </c>
      <c r="F518" s="959">
        <v>2.9</v>
      </c>
      <c r="G518" s="940" t="s">
        <v>1812</v>
      </c>
      <c r="H518" s="940" t="s">
        <v>1237</v>
      </c>
      <c r="I518" s="958">
        <v>43785</v>
      </c>
      <c r="J518" s="958">
        <v>45364</v>
      </c>
      <c r="K518" s="661"/>
      <c r="L518" s="661"/>
    </row>
    <row r="519" spans="1:12">
      <c r="A519" s="661"/>
      <c r="B519" s="940">
        <v>517</v>
      </c>
      <c r="C519" s="940" t="s">
        <v>1395</v>
      </c>
      <c r="D519" s="940" t="s">
        <v>2150</v>
      </c>
      <c r="E519" s="940" t="s">
        <v>1814</v>
      </c>
      <c r="F519" s="959">
        <v>3.9</v>
      </c>
      <c r="G519" s="940" t="s">
        <v>1812</v>
      </c>
      <c r="H519" s="940" t="s">
        <v>1237</v>
      </c>
      <c r="I519" s="958">
        <v>43785</v>
      </c>
      <c r="J519" s="958">
        <v>45364</v>
      </c>
      <c r="K519" s="661"/>
      <c r="L519" s="661"/>
    </row>
    <row r="520" spans="1:12">
      <c r="A520" s="661"/>
      <c r="B520" s="940">
        <v>518</v>
      </c>
      <c r="C520" s="940" t="s">
        <v>1395</v>
      </c>
      <c r="D520" s="940" t="s">
        <v>2151</v>
      </c>
      <c r="E520" s="940" t="s">
        <v>1816</v>
      </c>
      <c r="F520" s="959">
        <v>4.42</v>
      </c>
      <c r="G520" s="940" t="s">
        <v>1812</v>
      </c>
      <c r="H520" s="940" t="s">
        <v>1237</v>
      </c>
      <c r="I520" s="958">
        <v>43785</v>
      </c>
      <c r="J520" s="958">
        <v>45364</v>
      </c>
      <c r="K520" s="661"/>
      <c r="L520" s="661"/>
    </row>
    <row r="521" spans="1:12">
      <c r="A521" s="661"/>
      <c r="B521" s="940">
        <v>519</v>
      </c>
      <c r="C521" s="940" t="s">
        <v>1395</v>
      </c>
      <c r="D521" s="940" t="s">
        <v>2152</v>
      </c>
      <c r="E521" s="940" t="s">
        <v>1818</v>
      </c>
      <c r="F521" s="959">
        <v>4.8499999999999996</v>
      </c>
      <c r="G521" s="940" t="s">
        <v>1812</v>
      </c>
      <c r="H521" s="940" t="s">
        <v>1237</v>
      </c>
      <c r="I521" s="958">
        <v>43785</v>
      </c>
      <c r="J521" s="958">
        <v>45364</v>
      </c>
      <c r="K521" s="661"/>
      <c r="L521" s="661"/>
    </row>
    <row r="522" spans="1:12">
      <c r="A522" s="661"/>
      <c r="B522" s="935">
        <v>520</v>
      </c>
      <c r="C522" s="935" t="s">
        <v>1395</v>
      </c>
      <c r="D522" s="935" t="s">
        <v>2153</v>
      </c>
      <c r="E522" s="935" t="s">
        <v>1820</v>
      </c>
      <c r="F522" s="966">
        <v>5.7</v>
      </c>
      <c r="G522" s="935" t="s">
        <v>1812</v>
      </c>
      <c r="H522" s="935" t="s">
        <v>1237</v>
      </c>
      <c r="I522" s="961">
        <v>43785</v>
      </c>
      <c r="J522" s="961">
        <v>45364</v>
      </c>
      <c r="K522" s="661"/>
      <c r="L522" s="661"/>
    </row>
    <row r="523" spans="1:12">
      <c r="A523" s="661"/>
      <c r="B523" s="940">
        <v>521</v>
      </c>
      <c r="C523" s="939" t="s">
        <v>2002</v>
      </c>
      <c r="D523" s="939" t="s">
        <v>2154</v>
      </c>
      <c r="E523" s="940"/>
      <c r="F523" s="957">
        <f>0.19/0.00064516</f>
        <v>294.50058900117801</v>
      </c>
      <c r="G523" s="939" t="s">
        <v>2155</v>
      </c>
      <c r="H523" s="940" t="s">
        <v>1237</v>
      </c>
      <c r="I523" s="958">
        <v>43785</v>
      </c>
      <c r="J523" s="958">
        <v>45364</v>
      </c>
      <c r="K523" s="661"/>
      <c r="L523" s="661"/>
    </row>
    <row r="524" spans="1:12">
      <c r="A524" s="661"/>
      <c r="B524" s="962">
        <v>522</v>
      </c>
      <c r="C524" s="962" t="s">
        <v>1395</v>
      </c>
      <c r="D524" s="962" t="s">
        <v>2156</v>
      </c>
      <c r="E524" s="962"/>
      <c r="F524" s="963">
        <v>3</v>
      </c>
      <c r="G524" s="962" t="s">
        <v>2157</v>
      </c>
      <c r="H524" s="962" t="s">
        <v>1237</v>
      </c>
      <c r="I524" s="964">
        <v>43785</v>
      </c>
      <c r="J524" s="964">
        <v>45364</v>
      </c>
      <c r="K524" s="661"/>
      <c r="L524" s="661"/>
    </row>
    <row r="525" spans="1:12">
      <c r="A525" s="661"/>
      <c r="B525" s="940">
        <v>523</v>
      </c>
      <c r="C525" s="940" t="s">
        <v>1395</v>
      </c>
      <c r="D525" s="940" t="s">
        <v>2158</v>
      </c>
      <c r="E525" s="940"/>
      <c r="F525" s="957">
        <v>2.25</v>
      </c>
      <c r="G525" s="940" t="s">
        <v>2157</v>
      </c>
      <c r="H525" s="940" t="s">
        <v>1237</v>
      </c>
      <c r="I525" s="958">
        <v>43785</v>
      </c>
      <c r="J525" s="958">
        <v>45364</v>
      </c>
      <c r="K525" s="661"/>
      <c r="L525" s="661"/>
    </row>
    <row r="526" spans="1:12">
      <c r="A526" s="661"/>
      <c r="B526" s="940">
        <v>524</v>
      </c>
      <c r="C526" s="940" t="s">
        <v>1395</v>
      </c>
      <c r="D526" s="940" t="s">
        <v>2159</v>
      </c>
      <c r="E526" s="940"/>
      <c r="F526" s="957">
        <v>60</v>
      </c>
      <c r="G526" s="940" t="s">
        <v>2157</v>
      </c>
      <c r="H526" s="940" t="s">
        <v>1237</v>
      </c>
      <c r="I526" s="958">
        <v>43785</v>
      </c>
      <c r="J526" s="958">
        <v>45364</v>
      </c>
      <c r="K526" s="661"/>
      <c r="L526" s="661"/>
    </row>
    <row r="527" spans="1:12">
      <c r="A527" s="661"/>
      <c r="B527" s="940">
        <v>525</v>
      </c>
      <c r="C527" s="940" t="s">
        <v>1395</v>
      </c>
      <c r="D527" s="940" t="s">
        <v>2160</v>
      </c>
      <c r="E527" s="940"/>
      <c r="F527" s="957">
        <v>7</v>
      </c>
      <c r="G527" s="940" t="s">
        <v>311</v>
      </c>
      <c r="H527" s="940" t="s">
        <v>1237</v>
      </c>
      <c r="I527" s="958">
        <v>43785</v>
      </c>
      <c r="J527" s="958">
        <v>45364</v>
      </c>
      <c r="K527" s="661"/>
      <c r="L527" s="661"/>
    </row>
    <row r="528" spans="1:12">
      <c r="A528" s="661"/>
      <c r="B528" s="940">
        <v>526</v>
      </c>
      <c r="C528" s="940" t="s">
        <v>1395</v>
      </c>
      <c r="D528" s="940" t="s">
        <v>2161</v>
      </c>
      <c r="E528" s="940"/>
      <c r="F528" s="957">
        <v>7</v>
      </c>
      <c r="G528" s="940" t="s">
        <v>311</v>
      </c>
      <c r="H528" s="940" t="s">
        <v>1237</v>
      </c>
      <c r="I528" s="958">
        <v>43785</v>
      </c>
      <c r="J528" s="958">
        <v>45364</v>
      </c>
      <c r="K528" s="661"/>
      <c r="L528" s="661"/>
    </row>
    <row r="529" spans="1:12">
      <c r="A529" s="661"/>
      <c r="B529" s="940">
        <v>527</v>
      </c>
      <c r="C529" s="940" t="s">
        <v>1395</v>
      </c>
      <c r="D529" s="940" t="s">
        <v>2162</v>
      </c>
      <c r="E529" s="940"/>
      <c r="F529" s="957">
        <v>7</v>
      </c>
      <c r="G529" s="940" t="s">
        <v>311</v>
      </c>
      <c r="H529" s="940" t="s">
        <v>1237</v>
      </c>
      <c r="I529" s="958">
        <v>43785</v>
      </c>
      <c r="J529" s="958">
        <v>45364</v>
      </c>
      <c r="K529" s="661"/>
      <c r="L529" s="661"/>
    </row>
    <row r="530" spans="1:12">
      <c r="A530" s="661"/>
      <c r="B530" s="940">
        <v>528</v>
      </c>
      <c r="C530" s="940" t="s">
        <v>1395</v>
      </c>
      <c r="D530" s="940" t="s">
        <v>2163</v>
      </c>
      <c r="E530" s="940"/>
      <c r="F530" s="957">
        <v>7</v>
      </c>
      <c r="G530" s="940" t="s">
        <v>311</v>
      </c>
      <c r="H530" s="940" t="s">
        <v>1237</v>
      </c>
      <c r="I530" s="958">
        <v>43785</v>
      </c>
      <c r="J530" s="958">
        <v>45364</v>
      </c>
      <c r="K530" s="661"/>
      <c r="L530" s="661"/>
    </row>
    <row r="531" spans="1:12">
      <c r="A531" s="661"/>
      <c r="B531" s="940">
        <v>529</v>
      </c>
      <c r="C531" s="940" t="s">
        <v>1395</v>
      </c>
      <c r="D531" s="940" t="s">
        <v>2164</v>
      </c>
      <c r="E531" s="940"/>
      <c r="F531" s="957">
        <v>7</v>
      </c>
      <c r="G531" s="940" t="s">
        <v>311</v>
      </c>
      <c r="H531" s="940" t="s">
        <v>1237</v>
      </c>
      <c r="I531" s="958">
        <v>43785</v>
      </c>
      <c r="J531" s="958">
        <v>45364</v>
      </c>
      <c r="K531" s="661"/>
      <c r="L531" s="661"/>
    </row>
    <row r="532" spans="1:12">
      <c r="A532" s="661"/>
      <c r="B532" s="940">
        <v>530</v>
      </c>
      <c r="C532" s="940" t="s">
        <v>1395</v>
      </c>
      <c r="D532" s="940" t="s">
        <v>2165</v>
      </c>
      <c r="E532" s="940"/>
      <c r="F532" s="957">
        <v>7</v>
      </c>
      <c r="G532" s="940" t="s">
        <v>311</v>
      </c>
      <c r="H532" s="940" t="s">
        <v>1237</v>
      </c>
      <c r="I532" s="958">
        <v>43785</v>
      </c>
      <c r="J532" s="958">
        <v>45364</v>
      </c>
      <c r="K532" s="661"/>
      <c r="L532" s="661"/>
    </row>
    <row r="533" spans="1:12">
      <c r="A533" s="661"/>
      <c r="B533" s="940">
        <v>531</v>
      </c>
      <c r="C533" s="940" t="s">
        <v>1395</v>
      </c>
      <c r="D533" s="940" t="s">
        <v>2166</v>
      </c>
      <c r="E533" s="940"/>
      <c r="F533" s="957">
        <v>7</v>
      </c>
      <c r="G533" s="940" t="s">
        <v>311</v>
      </c>
      <c r="H533" s="940" t="s">
        <v>1237</v>
      </c>
      <c r="I533" s="958">
        <v>43785</v>
      </c>
      <c r="J533" s="958">
        <v>45364</v>
      </c>
      <c r="K533" s="661"/>
      <c r="L533" s="661"/>
    </row>
    <row r="534" spans="1:12">
      <c r="A534" s="661"/>
      <c r="B534" s="940">
        <v>532</v>
      </c>
      <c r="C534" s="940" t="s">
        <v>1395</v>
      </c>
      <c r="D534" s="940" t="s">
        <v>2167</v>
      </c>
      <c r="E534" s="940"/>
      <c r="F534" s="957">
        <v>7</v>
      </c>
      <c r="G534" s="940" t="s">
        <v>311</v>
      </c>
      <c r="H534" s="940" t="s">
        <v>1237</v>
      </c>
      <c r="I534" s="958">
        <v>43785</v>
      </c>
      <c r="J534" s="958">
        <v>45364</v>
      </c>
      <c r="K534" s="661"/>
      <c r="L534" s="661"/>
    </row>
    <row r="535" spans="1:12">
      <c r="A535" s="661"/>
      <c r="B535" s="940">
        <v>533</v>
      </c>
      <c r="C535" s="940" t="s">
        <v>1395</v>
      </c>
      <c r="D535" s="940" t="s">
        <v>2168</v>
      </c>
      <c r="E535" s="940"/>
      <c r="F535" s="957">
        <v>7</v>
      </c>
      <c r="G535" s="940" t="s">
        <v>311</v>
      </c>
      <c r="H535" s="940" t="s">
        <v>1237</v>
      </c>
      <c r="I535" s="958">
        <v>43785</v>
      </c>
      <c r="J535" s="958">
        <v>45364</v>
      </c>
      <c r="K535" s="661"/>
      <c r="L535" s="661"/>
    </row>
    <row r="536" spans="1:12">
      <c r="A536" s="661"/>
      <c r="B536" s="940">
        <v>534</v>
      </c>
      <c r="C536" s="940" t="s">
        <v>1395</v>
      </c>
      <c r="D536" s="940" t="s">
        <v>2169</v>
      </c>
      <c r="E536" s="940"/>
      <c r="F536" s="957">
        <v>6</v>
      </c>
      <c r="G536" s="940" t="s">
        <v>1699</v>
      </c>
      <c r="H536" s="940" t="s">
        <v>1237</v>
      </c>
      <c r="I536" s="958">
        <v>43785</v>
      </c>
      <c r="J536" s="958">
        <v>45364</v>
      </c>
      <c r="K536" s="661"/>
      <c r="L536" s="661"/>
    </row>
    <row r="537" spans="1:12">
      <c r="A537" s="661"/>
      <c r="B537" s="940">
        <v>535</v>
      </c>
      <c r="C537" s="940" t="s">
        <v>1395</v>
      </c>
      <c r="D537" s="940" t="s">
        <v>2170</v>
      </c>
      <c r="E537" s="940"/>
      <c r="F537" s="957">
        <v>6</v>
      </c>
      <c r="G537" s="940" t="s">
        <v>1699</v>
      </c>
      <c r="H537" s="940" t="s">
        <v>1237</v>
      </c>
      <c r="I537" s="958">
        <v>43785</v>
      </c>
      <c r="J537" s="958">
        <v>45364</v>
      </c>
      <c r="K537" s="661"/>
      <c r="L537" s="661"/>
    </row>
    <row r="538" spans="1:12">
      <c r="A538" s="661"/>
      <c r="B538" s="940">
        <v>536</v>
      </c>
      <c r="C538" s="940" t="s">
        <v>1395</v>
      </c>
      <c r="D538" s="940" t="s">
        <v>2171</v>
      </c>
      <c r="E538" s="940"/>
      <c r="F538" s="957">
        <v>6</v>
      </c>
      <c r="G538" s="940" t="s">
        <v>1699</v>
      </c>
      <c r="H538" s="940" t="s">
        <v>1237</v>
      </c>
      <c r="I538" s="958">
        <v>43785</v>
      </c>
      <c r="J538" s="958">
        <v>45364</v>
      </c>
      <c r="K538" s="661"/>
      <c r="L538" s="661"/>
    </row>
    <row r="539" spans="1:12">
      <c r="A539" s="661"/>
      <c r="B539" s="940">
        <v>537</v>
      </c>
      <c r="C539" s="940" t="s">
        <v>1395</v>
      </c>
      <c r="D539" s="940" t="s">
        <v>2172</v>
      </c>
      <c r="E539" s="940"/>
      <c r="F539" s="957">
        <v>6</v>
      </c>
      <c r="G539" s="940" t="s">
        <v>1699</v>
      </c>
      <c r="H539" s="940" t="s">
        <v>1237</v>
      </c>
      <c r="I539" s="958">
        <v>43785</v>
      </c>
      <c r="J539" s="958">
        <v>45364</v>
      </c>
      <c r="K539" s="661"/>
      <c r="L539" s="661"/>
    </row>
    <row r="540" spans="1:12">
      <c r="A540" s="661"/>
      <c r="B540" s="940">
        <v>538</v>
      </c>
      <c r="C540" s="940" t="s">
        <v>1395</v>
      </c>
      <c r="D540" s="940" t="s">
        <v>2173</v>
      </c>
      <c r="E540" s="940"/>
      <c r="F540" s="957">
        <v>6</v>
      </c>
      <c r="G540" s="940" t="s">
        <v>1699</v>
      </c>
      <c r="H540" s="940" t="s">
        <v>1237</v>
      </c>
      <c r="I540" s="958">
        <v>43785</v>
      </c>
      <c r="J540" s="958">
        <v>45364</v>
      </c>
      <c r="K540" s="661"/>
      <c r="L540" s="661"/>
    </row>
    <row r="541" spans="1:12">
      <c r="A541" s="661"/>
      <c r="B541" s="940">
        <v>539</v>
      </c>
      <c r="C541" s="940" t="s">
        <v>1395</v>
      </c>
      <c r="D541" s="940" t="s">
        <v>2174</v>
      </c>
      <c r="E541" s="940"/>
      <c r="F541" s="957">
        <v>7.5</v>
      </c>
      <c r="G541" s="940" t="s">
        <v>1699</v>
      </c>
      <c r="H541" s="940" t="s">
        <v>1237</v>
      </c>
      <c r="I541" s="958">
        <v>43785</v>
      </c>
      <c r="J541" s="958">
        <v>45364</v>
      </c>
      <c r="K541" s="661"/>
      <c r="L541" s="661"/>
    </row>
    <row r="542" spans="1:12">
      <c r="A542" s="661"/>
      <c r="B542" s="940">
        <v>540</v>
      </c>
      <c r="C542" s="940" t="s">
        <v>1395</v>
      </c>
      <c r="D542" s="940" t="s">
        <v>2175</v>
      </c>
      <c r="E542" s="940"/>
      <c r="F542" s="957">
        <v>7.5</v>
      </c>
      <c r="G542" s="940" t="s">
        <v>1699</v>
      </c>
      <c r="H542" s="940" t="s">
        <v>1237</v>
      </c>
      <c r="I542" s="958">
        <v>43785</v>
      </c>
      <c r="J542" s="958">
        <v>45364</v>
      </c>
      <c r="K542" s="661"/>
      <c r="L542" s="661"/>
    </row>
    <row r="543" spans="1:12">
      <c r="A543" s="661"/>
      <c r="B543" s="940">
        <v>541</v>
      </c>
      <c r="C543" s="940" t="s">
        <v>1395</v>
      </c>
      <c r="D543" s="940" t="s">
        <v>2176</v>
      </c>
      <c r="E543" s="940"/>
      <c r="F543" s="957">
        <v>7.5</v>
      </c>
      <c r="G543" s="940" t="s">
        <v>1699</v>
      </c>
      <c r="H543" s="940" t="s">
        <v>1237</v>
      </c>
      <c r="I543" s="958">
        <v>43785</v>
      </c>
      <c r="J543" s="958">
        <v>45364</v>
      </c>
      <c r="K543" s="661"/>
      <c r="L543" s="661"/>
    </row>
    <row r="544" spans="1:12">
      <c r="A544" s="661"/>
      <c r="B544" s="940">
        <v>542</v>
      </c>
      <c r="C544" s="940" t="s">
        <v>1395</v>
      </c>
      <c r="D544" s="940" t="s">
        <v>2177</v>
      </c>
      <c r="E544" s="940"/>
      <c r="F544" s="957">
        <v>7.5</v>
      </c>
      <c r="G544" s="940" t="s">
        <v>1699</v>
      </c>
      <c r="H544" s="940" t="s">
        <v>1237</v>
      </c>
      <c r="I544" s="958">
        <v>43785</v>
      </c>
      <c r="J544" s="958">
        <v>45364</v>
      </c>
      <c r="K544" s="661"/>
      <c r="L544" s="661"/>
    </row>
    <row r="545" spans="1:12">
      <c r="A545" s="661"/>
      <c r="B545" s="940">
        <v>543</v>
      </c>
      <c r="C545" s="940" t="s">
        <v>1395</v>
      </c>
      <c r="D545" s="940" t="s">
        <v>2178</v>
      </c>
      <c r="E545" s="940"/>
      <c r="F545" s="957">
        <v>1.5</v>
      </c>
      <c r="G545" s="940" t="s">
        <v>1812</v>
      </c>
      <c r="H545" s="940" t="s">
        <v>1237</v>
      </c>
      <c r="I545" s="958">
        <v>43785</v>
      </c>
      <c r="J545" s="958">
        <v>45364</v>
      </c>
      <c r="K545" s="661"/>
      <c r="L545" s="661"/>
    </row>
    <row r="546" spans="1:12">
      <c r="A546" s="661"/>
      <c r="B546" s="940">
        <v>544</v>
      </c>
      <c r="C546" s="940" t="s">
        <v>1395</v>
      </c>
      <c r="D546" s="940" t="s">
        <v>2179</v>
      </c>
      <c r="E546" s="940"/>
      <c r="F546" s="957">
        <v>1.5</v>
      </c>
      <c r="G546" s="940" t="s">
        <v>1812</v>
      </c>
      <c r="H546" s="940" t="s">
        <v>1237</v>
      </c>
      <c r="I546" s="958">
        <v>43785</v>
      </c>
      <c r="J546" s="958">
        <v>45364</v>
      </c>
      <c r="K546" s="661"/>
      <c r="L546" s="661"/>
    </row>
    <row r="547" spans="1:12">
      <c r="A547" s="661"/>
      <c r="B547" s="940">
        <v>545</v>
      </c>
      <c r="C547" s="940" t="s">
        <v>1395</v>
      </c>
      <c r="D547" s="940" t="s">
        <v>2180</v>
      </c>
      <c r="E547" s="940"/>
      <c r="F547" s="957">
        <v>1.5</v>
      </c>
      <c r="G547" s="940" t="s">
        <v>1812</v>
      </c>
      <c r="H547" s="940" t="s">
        <v>1237</v>
      </c>
      <c r="I547" s="958">
        <v>43785</v>
      </c>
      <c r="J547" s="958">
        <v>45364</v>
      </c>
      <c r="K547" s="661"/>
      <c r="L547" s="661"/>
    </row>
    <row r="548" spans="1:12">
      <c r="A548" s="661"/>
      <c r="B548" s="940">
        <v>546</v>
      </c>
      <c r="C548" s="940" t="s">
        <v>1395</v>
      </c>
      <c r="D548" s="940" t="s">
        <v>2181</v>
      </c>
      <c r="E548" s="940"/>
      <c r="F548" s="957">
        <v>1.5</v>
      </c>
      <c r="G548" s="940" t="s">
        <v>1812</v>
      </c>
      <c r="H548" s="940" t="s">
        <v>1237</v>
      </c>
      <c r="I548" s="958">
        <v>43785</v>
      </c>
      <c r="J548" s="958">
        <v>45364</v>
      </c>
      <c r="K548" s="661"/>
      <c r="L548" s="661"/>
    </row>
    <row r="549" spans="1:12">
      <c r="A549" s="661"/>
      <c r="B549" s="940">
        <v>547</v>
      </c>
      <c r="C549" s="940" t="s">
        <v>1395</v>
      </c>
      <c r="D549" s="940" t="s">
        <v>2182</v>
      </c>
      <c r="E549" s="940"/>
      <c r="F549" s="957">
        <v>1.5</v>
      </c>
      <c r="G549" s="940" t="s">
        <v>1812</v>
      </c>
      <c r="H549" s="940" t="s">
        <v>1237</v>
      </c>
      <c r="I549" s="958">
        <v>43785</v>
      </c>
      <c r="J549" s="958">
        <v>45364</v>
      </c>
      <c r="K549" s="661"/>
      <c r="L549" s="661"/>
    </row>
    <row r="550" spans="1:12">
      <c r="A550" s="661"/>
      <c r="B550" s="940">
        <v>548</v>
      </c>
      <c r="C550" s="940" t="s">
        <v>1395</v>
      </c>
      <c r="D550" s="940" t="s">
        <v>2183</v>
      </c>
      <c r="E550" s="940"/>
      <c r="F550" s="957">
        <v>2.5</v>
      </c>
      <c r="G550" s="940" t="s">
        <v>1812</v>
      </c>
      <c r="H550" s="940" t="s">
        <v>1237</v>
      </c>
      <c r="I550" s="958">
        <v>43785</v>
      </c>
      <c r="J550" s="958">
        <v>45364</v>
      </c>
      <c r="K550" s="661"/>
      <c r="L550" s="661"/>
    </row>
    <row r="551" spans="1:12">
      <c r="A551" s="661"/>
      <c r="B551" s="940">
        <v>549</v>
      </c>
      <c r="C551" s="940" t="s">
        <v>1395</v>
      </c>
      <c r="D551" s="940" t="s">
        <v>2184</v>
      </c>
      <c r="E551" s="940"/>
      <c r="F551" s="957">
        <v>2.5</v>
      </c>
      <c r="G551" s="940" t="s">
        <v>1812</v>
      </c>
      <c r="H551" s="940" t="s">
        <v>1237</v>
      </c>
      <c r="I551" s="958">
        <v>43785</v>
      </c>
      <c r="J551" s="958">
        <v>45364</v>
      </c>
      <c r="K551" s="661"/>
      <c r="L551" s="661"/>
    </row>
    <row r="552" spans="1:12">
      <c r="A552" s="661"/>
      <c r="B552" s="940">
        <v>550</v>
      </c>
      <c r="C552" s="940" t="s">
        <v>1395</v>
      </c>
      <c r="D552" s="940" t="s">
        <v>2185</v>
      </c>
      <c r="E552" s="940"/>
      <c r="F552" s="957">
        <v>2.5</v>
      </c>
      <c r="G552" s="940" t="s">
        <v>1812</v>
      </c>
      <c r="H552" s="940" t="s">
        <v>1237</v>
      </c>
      <c r="I552" s="958">
        <v>43785</v>
      </c>
      <c r="J552" s="958">
        <v>45364</v>
      </c>
      <c r="K552" s="661"/>
      <c r="L552" s="661"/>
    </row>
    <row r="553" spans="1:12">
      <c r="A553" s="661"/>
      <c r="B553" s="940">
        <v>551</v>
      </c>
      <c r="C553" s="940" t="s">
        <v>1395</v>
      </c>
      <c r="D553" s="940" t="s">
        <v>2186</v>
      </c>
      <c r="E553" s="940"/>
      <c r="F553" s="957">
        <v>2.5</v>
      </c>
      <c r="G553" s="940" t="s">
        <v>1812</v>
      </c>
      <c r="H553" s="940" t="s">
        <v>1237</v>
      </c>
      <c r="I553" s="958">
        <v>43785</v>
      </c>
      <c r="J553" s="958">
        <v>45364</v>
      </c>
      <c r="K553" s="661"/>
      <c r="L553" s="661"/>
    </row>
    <row r="554" spans="1:12">
      <c r="A554" s="661"/>
      <c r="B554" s="940">
        <v>552</v>
      </c>
      <c r="C554" s="940" t="s">
        <v>1395</v>
      </c>
      <c r="D554" s="940" t="s">
        <v>2187</v>
      </c>
      <c r="E554" s="940"/>
      <c r="F554" s="957">
        <v>30</v>
      </c>
      <c r="G554" s="940" t="s">
        <v>1812</v>
      </c>
      <c r="H554" s="940" t="s">
        <v>1237</v>
      </c>
      <c r="I554" s="958">
        <v>43785</v>
      </c>
      <c r="J554" s="958">
        <v>45364</v>
      </c>
      <c r="K554" s="661"/>
      <c r="L554" s="661"/>
    </row>
    <row r="555" spans="1:12">
      <c r="A555" s="661"/>
      <c r="B555" s="940">
        <v>553</v>
      </c>
      <c r="C555" s="940" t="s">
        <v>1395</v>
      </c>
      <c r="D555" s="940" t="s">
        <v>2188</v>
      </c>
      <c r="E555" s="940"/>
      <c r="F555" s="957">
        <v>34</v>
      </c>
      <c r="G555" s="940" t="s">
        <v>1812</v>
      </c>
      <c r="H555" s="940" t="s">
        <v>1237</v>
      </c>
      <c r="I555" s="958">
        <v>43785</v>
      </c>
      <c r="J555" s="958">
        <v>45364</v>
      </c>
      <c r="K555" s="661"/>
      <c r="L555" s="661"/>
    </row>
    <row r="556" spans="1:12">
      <c r="A556" s="661"/>
      <c r="B556" s="940">
        <v>554</v>
      </c>
      <c r="C556" s="940" t="s">
        <v>1395</v>
      </c>
      <c r="D556" s="940" t="s">
        <v>2189</v>
      </c>
      <c r="E556" s="940"/>
      <c r="F556" s="957">
        <v>34</v>
      </c>
      <c r="G556" s="940" t="s">
        <v>1812</v>
      </c>
      <c r="H556" s="940" t="s">
        <v>1237</v>
      </c>
      <c r="I556" s="958">
        <v>43785</v>
      </c>
      <c r="J556" s="958">
        <v>45364</v>
      </c>
      <c r="K556" s="661"/>
      <c r="L556" s="661"/>
    </row>
    <row r="557" spans="1:12">
      <c r="A557" s="661"/>
      <c r="B557" s="940">
        <v>555</v>
      </c>
      <c r="C557" s="940" t="s">
        <v>1395</v>
      </c>
      <c r="D557" s="940" t="s">
        <v>2190</v>
      </c>
      <c r="E557" s="940"/>
      <c r="F557" s="957">
        <v>38</v>
      </c>
      <c r="G557" s="940" t="s">
        <v>1812</v>
      </c>
      <c r="H557" s="940" t="s">
        <v>1237</v>
      </c>
      <c r="I557" s="958">
        <v>43785</v>
      </c>
      <c r="J557" s="958">
        <v>45364</v>
      </c>
      <c r="K557" s="661"/>
      <c r="L557" s="661"/>
    </row>
    <row r="558" spans="1:12">
      <c r="A558" s="661"/>
      <c r="B558" s="940">
        <v>556</v>
      </c>
      <c r="C558" s="940" t="s">
        <v>1395</v>
      </c>
      <c r="D558" s="940" t="s">
        <v>2191</v>
      </c>
      <c r="E558" s="940"/>
      <c r="F558" s="957">
        <v>38</v>
      </c>
      <c r="G558" s="940" t="s">
        <v>1812</v>
      </c>
      <c r="H558" s="940" t="s">
        <v>1237</v>
      </c>
      <c r="I558" s="958">
        <v>43785</v>
      </c>
      <c r="J558" s="958">
        <v>45364</v>
      </c>
      <c r="K558" s="661"/>
      <c r="L558" s="661"/>
    </row>
    <row r="559" spans="1:12">
      <c r="A559" s="661"/>
      <c r="B559" s="940">
        <v>557</v>
      </c>
      <c r="C559" s="940" t="s">
        <v>1395</v>
      </c>
      <c r="D559" s="940" t="s">
        <v>2192</v>
      </c>
      <c r="E559" s="940"/>
      <c r="F559" s="957">
        <v>42</v>
      </c>
      <c r="G559" s="940" t="s">
        <v>1812</v>
      </c>
      <c r="H559" s="940" t="s">
        <v>1237</v>
      </c>
      <c r="I559" s="958">
        <v>43785</v>
      </c>
      <c r="J559" s="958">
        <v>45364</v>
      </c>
      <c r="K559" s="661"/>
      <c r="L559" s="661"/>
    </row>
    <row r="560" spans="1:12">
      <c r="A560" s="661"/>
      <c r="B560" s="940">
        <v>558</v>
      </c>
      <c r="C560" s="940" t="s">
        <v>1395</v>
      </c>
      <c r="D560" s="940" t="s">
        <v>2193</v>
      </c>
      <c r="E560" s="940"/>
      <c r="F560" s="957">
        <v>42</v>
      </c>
      <c r="G560" s="940" t="s">
        <v>1812</v>
      </c>
      <c r="H560" s="940" t="s">
        <v>1237</v>
      </c>
      <c r="I560" s="958">
        <v>43785</v>
      </c>
      <c r="J560" s="958">
        <v>45364</v>
      </c>
      <c r="K560" s="661"/>
      <c r="L560" s="661"/>
    </row>
    <row r="561" spans="1:12">
      <c r="A561" s="661"/>
      <c r="B561" s="940">
        <v>559</v>
      </c>
      <c r="C561" s="940" t="s">
        <v>1395</v>
      </c>
      <c r="D561" s="940" t="s">
        <v>2194</v>
      </c>
      <c r="E561" s="940"/>
      <c r="F561" s="957">
        <v>42</v>
      </c>
      <c r="G561" s="940" t="s">
        <v>1812</v>
      </c>
      <c r="H561" s="940" t="s">
        <v>1237</v>
      </c>
      <c r="I561" s="958">
        <v>43785</v>
      </c>
      <c r="J561" s="958">
        <v>45364</v>
      </c>
      <c r="K561" s="661"/>
      <c r="L561" s="661"/>
    </row>
    <row r="562" spans="1:12">
      <c r="A562" s="661"/>
      <c r="B562" s="940">
        <v>560</v>
      </c>
      <c r="C562" s="940" t="s">
        <v>1395</v>
      </c>
      <c r="D562" s="940" t="s">
        <v>2195</v>
      </c>
      <c r="E562" s="940"/>
      <c r="F562" s="957">
        <v>42</v>
      </c>
      <c r="G562" s="940" t="s">
        <v>1812</v>
      </c>
      <c r="H562" s="940" t="s">
        <v>1237</v>
      </c>
      <c r="I562" s="958">
        <v>43785</v>
      </c>
      <c r="J562" s="958">
        <v>45364</v>
      </c>
      <c r="K562" s="661"/>
      <c r="L562" s="661"/>
    </row>
    <row r="563" spans="1:12">
      <c r="A563" s="661"/>
      <c r="B563" s="940">
        <v>561</v>
      </c>
      <c r="C563" s="940" t="s">
        <v>1395</v>
      </c>
      <c r="D563" s="940" t="s">
        <v>2196</v>
      </c>
      <c r="E563" s="940"/>
      <c r="F563" s="957">
        <v>1.25</v>
      </c>
      <c r="G563" s="940" t="s">
        <v>1812</v>
      </c>
      <c r="H563" s="940" t="s">
        <v>1237</v>
      </c>
      <c r="I563" s="958">
        <v>43785</v>
      </c>
      <c r="J563" s="958">
        <v>45364</v>
      </c>
      <c r="K563" s="661"/>
      <c r="L563" s="661"/>
    </row>
    <row r="564" spans="1:12">
      <c r="A564" s="661"/>
      <c r="B564" s="940">
        <v>562</v>
      </c>
      <c r="C564" s="940" t="s">
        <v>1395</v>
      </c>
      <c r="D564" s="940" t="s">
        <v>2197</v>
      </c>
      <c r="E564" s="940"/>
      <c r="F564" s="957">
        <v>1.25</v>
      </c>
      <c r="G564" s="940" t="s">
        <v>1812</v>
      </c>
      <c r="H564" s="940" t="s">
        <v>1237</v>
      </c>
      <c r="I564" s="958">
        <v>43785</v>
      </c>
      <c r="J564" s="958">
        <v>45364</v>
      </c>
      <c r="K564" s="661"/>
      <c r="L564" s="661"/>
    </row>
    <row r="565" spans="1:12">
      <c r="A565" s="661"/>
      <c r="B565" s="940">
        <v>563</v>
      </c>
      <c r="C565" s="940" t="s">
        <v>1395</v>
      </c>
      <c r="D565" s="940" t="s">
        <v>2198</v>
      </c>
      <c r="E565" s="940"/>
      <c r="F565" s="957">
        <v>1.25</v>
      </c>
      <c r="G565" s="940" t="s">
        <v>1812</v>
      </c>
      <c r="H565" s="940" t="s">
        <v>1237</v>
      </c>
      <c r="I565" s="958">
        <v>43785</v>
      </c>
      <c r="J565" s="958">
        <v>45364</v>
      </c>
      <c r="K565" s="661"/>
      <c r="L565" s="661"/>
    </row>
    <row r="566" spans="1:12">
      <c r="A566" s="661"/>
      <c r="B566" s="940">
        <v>564</v>
      </c>
      <c r="C566" s="940" t="s">
        <v>1395</v>
      </c>
      <c r="D566" s="940" t="s">
        <v>2199</v>
      </c>
      <c r="E566" s="940"/>
      <c r="F566" s="957">
        <v>1.25</v>
      </c>
      <c r="G566" s="940" t="s">
        <v>1812</v>
      </c>
      <c r="H566" s="940" t="s">
        <v>1237</v>
      </c>
      <c r="I566" s="958">
        <v>43785</v>
      </c>
      <c r="J566" s="958">
        <v>45364</v>
      </c>
      <c r="K566" s="661"/>
      <c r="L566" s="661"/>
    </row>
    <row r="567" spans="1:12">
      <c r="A567" s="661"/>
      <c r="B567" s="940">
        <v>565</v>
      </c>
      <c r="C567" s="940" t="s">
        <v>1395</v>
      </c>
      <c r="D567" s="940" t="s">
        <v>2200</v>
      </c>
      <c r="E567" s="940"/>
      <c r="F567" s="957">
        <v>1.25</v>
      </c>
      <c r="G567" s="940" t="s">
        <v>1812</v>
      </c>
      <c r="H567" s="940" t="s">
        <v>1237</v>
      </c>
      <c r="I567" s="958">
        <v>43785</v>
      </c>
      <c r="J567" s="958">
        <v>45364</v>
      </c>
      <c r="K567" s="661"/>
      <c r="L567" s="661"/>
    </row>
    <row r="568" spans="1:12">
      <c r="A568" s="661"/>
      <c r="B568" s="940">
        <v>566</v>
      </c>
      <c r="C568" s="940" t="s">
        <v>1395</v>
      </c>
      <c r="D568" s="940" t="s">
        <v>2201</v>
      </c>
      <c r="E568" s="940"/>
      <c r="F568" s="957">
        <v>1.5</v>
      </c>
      <c r="G568" s="940" t="s">
        <v>1812</v>
      </c>
      <c r="H568" s="940" t="s">
        <v>1237</v>
      </c>
      <c r="I568" s="958">
        <v>43785</v>
      </c>
      <c r="J568" s="958">
        <v>45364</v>
      </c>
      <c r="K568" s="661"/>
      <c r="L568" s="661"/>
    </row>
    <row r="569" spans="1:12">
      <c r="A569" s="661"/>
      <c r="B569" s="940">
        <v>567</v>
      </c>
      <c r="C569" s="940" t="s">
        <v>1395</v>
      </c>
      <c r="D569" s="940" t="s">
        <v>2202</v>
      </c>
      <c r="E569" s="940"/>
      <c r="F569" s="957">
        <v>1.5</v>
      </c>
      <c r="G569" s="940" t="s">
        <v>1812</v>
      </c>
      <c r="H569" s="940" t="s">
        <v>1237</v>
      </c>
      <c r="I569" s="958">
        <v>43785</v>
      </c>
      <c r="J569" s="958">
        <v>45364</v>
      </c>
      <c r="K569" s="661"/>
      <c r="L569" s="661"/>
    </row>
    <row r="570" spans="1:12">
      <c r="A570" s="661"/>
      <c r="B570" s="940">
        <v>568</v>
      </c>
      <c r="C570" s="940" t="s">
        <v>1395</v>
      </c>
      <c r="D570" s="940" t="s">
        <v>2203</v>
      </c>
      <c r="E570" s="940"/>
      <c r="F570" s="957">
        <v>1.5</v>
      </c>
      <c r="G570" s="940" t="s">
        <v>1812</v>
      </c>
      <c r="H570" s="940" t="s">
        <v>1237</v>
      </c>
      <c r="I570" s="958">
        <v>43785</v>
      </c>
      <c r="J570" s="958">
        <v>45364</v>
      </c>
      <c r="K570" s="661"/>
      <c r="L570" s="661"/>
    </row>
    <row r="571" spans="1:12">
      <c r="A571" s="661"/>
      <c r="B571" s="940">
        <v>569</v>
      </c>
      <c r="C571" s="940" t="s">
        <v>1395</v>
      </c>
      <c r="D571" s="940" t="s">
        <v>2204</v>
      </c>
      <c r="E571" s="940"/>
      <c r="F571" s="957">
        <v>1.5</v>
      </c>
      <c r="G571" s="940" t="s">
        <v>1812</v>
      </c>
      <c r="H571" s="940" t="s">
        <v>1237</v>
      </c>
      <c r="I571" s="958">
        <v>43785</v>
      </c>
      <c r="J571" s="958">
        <v>45364</v>
      </c>
      <c r="K571" s="661"/>
      <c r="L571" s="661"/>
    </row>
    <row r="572" spans="1:12">
      <c r="A572" s="661"/>
      <c r="B572" s="940">
        <v>570</v>
      </c>
      <c r="C572" s="940" t="s">
        <v>1395</v>
      </c>
      <c r="D572" s="940" t="s">
        <v>2205</v>
      </c>
      <c r="E572" s="940"/>
      <c r="F572" s="957">
        <v>1.25</v>
      </c>
      <c r="G572" s="940" t="s">
        <v>1812</v>
      </c>
      <c r="H572" s="940" t="s">
        <v>1237</v>
      </c>
      <c r="I572" s="958">
        <v>43785</v>
      </c>
      <c r="J572" s="958">
        <v>45364</v>
      </c>
      <c r="K572" s="661"/>
      <c r="L572" s="661"/>
    </row>
    <row r="573" spans="1:12">
      <c r="A573" s="661"/>
      <c r="B573" s="940">
        <v>571</v>
      </c>
      <c r="C573" s="940" t="s">
        <v>1395</v>
      </c>
      <c r="D573" s="940" t="s">
        <v>2206</v>
      </c>
      <c r="E573" s="940"/>
      <c r="F573" s="957">
        <v>1.25</v>
      </c>
      <c r="G573" s="940" t="s">
        <v>1812</v>
      </c>
      <c r="H573" s="940" t="s">
        <v>1237</v>
      </c>
      <c r="I573" s="958">
        <v>43785</v>
      </c>
      <c r="J573" s="958">
        <v>45364</v>
      </c>
      <c r="K573" s="661"/>
      <c r="L573" s="661"/>
    </row>
    <row r="574" spans="1:12">
      <c r="A574" s="661"/>
      <c r="B574" s="940">
        <v>572</v>
      </c>
      <c r="C574" s="940" t="s">
        <v>1395</v>
      </c>
      <c r="D574" s="940" t="s">
        <v>2207</v>
      </c>
      <c r="E574" s="940"/>
      <c r="F574" s="957">
        <v>1.25</v>
      </c>
      <c r="G574" s="940" t="s">
        <v>1812</v>
      </c>
      <c r="H574" s="940" t="s">
        <v>1237</v>
      </c>
      <c r="I574" s="958">
        <v>43785</v>
      </c>
      <c r="J574" s="958">
        <v>45364</v>
      </c>
      <c r="K574" s="661"/>
      <c r="L574" s="661"/>
    </row>
    <row r="575" spans="1:12">
      <c r="A575" s="661"/>
      <c r="B575" s="940">
        <v>573</v>
      </c>
      <c r="C575" s="940" t="s">
        <v>1395</v>
      </c>
      <c r="D575" s="940" t="s">
        <v>2208</v>
      </c>
      <c r="E575" s="940"/>
      <c r="F575" s="957">
        <v>1.25</v>
      </c>
      <c r="G575" s="940" t="s">
        <v>1812</v>
      </c>
      <c r="H575" s="940" t="s">
        <v>1237</v>
      </c>
      <c r="I575" s="958">
        <v>43785</v>
      </c>
      <c r="J575" s="958">
        <v>45364</v>
      </c>
      <c r="K575" s="661"/>
      <c r="L575" s="661"/>
    </row>
    <row r="576" spans="1:12">
      <c r="A576" s="661"/>
      <c r="B576" s="940">
        <v>574</v>
      </c>
      <c r="C576" s="940" t="s">
        <v>1395</v>
      </c>
      <c r="D576" s="940" t="s">
        <v>2209</v>
      </c>
      <c r="E576" s="940"/>
      <c r="F576" s="957">
        <v>1.25</v>
      </c>
      <c r="G576" s="940" t="s">
        <v>1812</v>
      </c>
      <c r="H576" s="940" t="s">
        <v>1237</v>
      </c>
      <c r="I576" s="958">
        <v>43785</v>
      </c>
      <c r="J576" s="958">
        <v>45364</v>
      </c>
      <c r="K576" s="661"/>
      <c r="L576" s="661"/>
    </row>
    <row r="577" spans="1:12">
      <c r="A577" s="661"/>
      <c r="B577" s="940">
        <v>575</v>
      </c>
      <c r="C577" s="940" t="s">
        <v>1395</v>
      </c>
      <c r="D577" s="940" t="s">
        <v>2210</v>
      </c>
      <c r="E577" s="940"/>
      <c r="F577" s="957">
        <v>1.5</v>
      </c>
      <c r="G577" s="940" t="s">
        <v>1812</v>
      </c>
      <c r="H577" s="940" t="s">
        <v>1237</v>
      </c>
      <c r="I577" s="958">
        <v>43785</v>
      </c>
      <c r="J577" s="958">
        <v>45364</v>
      </c>
      <c r="K577" s="661"/>
      <c r="L577" s="661"/>
    </row>
    <row r="578" spans="1:12">
      <c r="A578" s="661"/>
      <c r="B578" s="940">
        <v>576</v>
      </c>
      <c r="C578" s="940" t="s">
        <v>1395</v>
      </c>
      <c r="D578" s="940" t="s">
        <v>2211</v>
      </c>
      <c r="E578" s="940"/>
      <c r="F578" s="957">
        <v>1.5</v>
      </c>
      <c r="G578" s="940" t="s">
        <v>1812</v>
      </c>
      <c r="H578" s="940" t="s">
        <v>1237</v>
      </c>
      <c r="I578" s="958">
        <v>43785</v>
      </c>
      <c r="J578" s="958">
        <v>45364</v>
      </c>
      <c r="K578" s="661"/>
      <c r="L578" s="661"/>
    </row>
    <row r="579" spans="1:12">
      <c r="A579" s="661"/>
      <c r="B579" s="940">
        <v>577</v>
      </c>
      <c r="C579" s="940" t="s">
        <v>1395</v>
      </c>
      <c r="D579" s="940" t="s">
        <v>2212</v>
      </c>
      <c r="E579" s="940"/>
      <c r="F579" s="957">
        <v>1.5</v>
      </c>
      <c r="G579" s="940" t="s">
        <v>1812</v>
      </c>
      <c r="H579" s="940" t="s">
        <v>1237</v>
      </c>
      <c r="I579" s="958">
        <v>43785</v>
      </c>
      <c r="J579" s="958">
        <v>45364</v>
      </c>
      <c r="K579" s="661"/>
      <c r="L579" s="661"/>
    </row>
    <row r="580" spans="1:12">
      <c r="A580" s="661"/>
      <c r="B580" s="940">
        <v>578</v>
      </c>
      <c r="C580" s="940" t="s">
        <v>1395</v>
      </c>
      <c r="D580" s="940" t="s">
        <v>2213</v>
      </c>
      <c r="E580" s="940"/>
      <c r="F580" s="957">
        <v>1.5</v>
      </c>
      <c r="G580" s="940" t="s">
        <v>1812</v>
      </c>
      <c r="H580" s="940" t="s">
        <v>1237</v>
      </c>
      <c r="I580" s="958">
        <v>43785</v>
      </c>
      <c r="J580" s="958">
        <v>45364</v>
      </c>
      <c r="K580" s="661"/>
      <c r="L580" s="661"/>
    </row>
    <row r="581" spans="1:12">
      <c r="A581" s="661"/>
      <c r="B581" s="940">
        <v>579</v>
      </c>
      <c r="C581" s="940" t="s">
        <v>1395</v>
      </c>
      <c r="D581" s="940" t="s">
        <v>2214</v>
      </c>
      <c r="E581" s="940"/>
      <c r="F581" s="957">
        <v>3</v>
      </c>
      <c r="G581" s="940" t="s">
        <v>1812</v>
      </c>
      <c r="H581" s="940" t="s">
        <v>1237</v>
      </c>
      <c r="I581" s="958">
        <v>43785</v>
      </c>
      <c r="J581" s="958">
        <v>45364</v>
      </c>
      <c r="K581" s="661"/>
      <c r="L581" s="661"/>
    </row>
    <row r="582" spans="1:12">
      <c r="A582" s="661"/>
      <c r="B582" s="940">
        <v>580</v>
      </c>
      <c r="C582" s="940" t="s">
        <v>1395</v>
      </c>
      <c r="D582" s="940" t="s">
        <v>2215</v>
      </c>
      <c r="E582" s="940"/>
      <c r="F582" s="957">
        <v>3</v>
      </c>
      <c r="G582" s="940" t="s">
        <v>1812</v>
      </c>
      <c r="H582" s="940" t="s">
        <v>1237</v>
      </c>
      <c r="I582" s="958">
        <v>43785</v>
      </c>
      <c r="J582" s="958">
        <v>45364</v>
      </c>
      <c r="K582" s="661"/>
      <c r="L582" s="661"/>
    </row>
    <row r="583" spans="1:12">
      <c r="A583" s="661"/>
      <c r="B583" s="940">
        <v>581</v>
      </c>
      <c r="C583" s="940" t="s">
        <v>1395</v>
      </c>
      <c r="D583" s="940" t="s">
        <v>2216</v>
      </c>
      <c r="E583" s="940"/>
      <c r="F583" s="957">
        <v>3</v>
      </c>
      <c r="G583" s="940" t="s">
        <v>1812</v>
      </c>
      <c r="H583" s="940" t="s">
        <v>1237</v>
      </c>
      <c r="I583" s="958">
        <v>43785</v>
      </c>
      <c r="J583" s="958">
        <v>45364</v>
      </c>
      <c r="K583" s="661"/>
      <c r="L583" s="661"/>
    </row>
    <row r="584" spans="1:12">
      <c r="A584" s="661"/>
      <c r="B584" s="940">
        <v>582</v>
      </c>
      <c r="C584" s="940" t="s">
        <v>1395</v>
      </c>
      <c r="D584" s="940" t="s">
        <v>2217</v>
      </c>
      <c r="E584" s="940"/>
      <c r="F584" s="957">
        <v>3</v>
      </c>
      <c r="G584" s="940" t="s">
        <v>1812</v>
      </c>
      <c r="H584" s="940" t="s">
        <v>1237</v>
      </c>
      <c r="I584" s="958">
        <v>43785</v>
      </c>
      <c r="J584" s="958">
        <v>45364</v>
      </c>
      <c r="K584" s="661"/>
      <c r="L584" s="661"/>
    </row>
    <row r="585" spans="1:12">
      <c r="A585" s="661"/>
      <c r="B585" s="940">
        <v>583</v>
      </c>
      <c r="C585" s="940" t="s">
        <v>1395</v>
      </c>
      <c r="D585" s="940" t="s">
        <v>2218</v>
      </c>
      <c r="E585" s="940"/>
      <c r="F585" s="957">
        <v>3</v>
      </c>
      <c r="G585" s="940" t="s">
        <v>1812</v>
      </c>
      <c r="H585" s="940" t="s">
        <v>1237</v>
      </c>
      <c r="I585" s="958">
        <v>43785</v>
      </c>
      <c r="J585" s="958">
        <v>45364</v>
      </c>
      <c r="K585" s="661"/>
      <c r="L585" s="661"/>
    </row>
    <row r="586" spans="1:12">
      <c r="A586" s="661"/>
      <c r="B586" s="940">
        <v>584</v>
      </c>
      <c r="C586" s="940" t="s">
        <v>1395</v>
      </c>
      <c r="D586" s="940" t="s">
        <v>2219</v>
      </c>
      <c r="E586" s="940"/>
      <c r="F586" s="957">
        <v>4</v>
      </c>
      <c r="G586" s="940" t="s">
        <v>1812</v>
      </c>
      <c r="H586" s="940" t="s">
        <v>1237</v>
      </c>
      <c r="I586" s="958">
        <v>43785</v>
      </c>
      <c r="J586" s="958">
        <v>45364</v>
      </c>
      <c r="K586" s="661"/>
      <c r="L586" s="661"/>
    </row>
    <row r="587" spans="1:12">
      <c r="A587" s="661"/>
      <c r="B587" s="940">
        <v>585</v>
      </c>
      <c r="C587" s="940" t="s">
        <v>1395</v>
      </c>
      <c r="D587" s="940" t="s">
        <v>2220</v>
      </c>
      <c r="E587" s="940"/>
      <c r="F587" s="957">
        <v>4</v>
      </c>
      <c r="G587" s="940" t="s">
        <v>1812</v>
      </c>
      <c r="H587" s="940" t="s">
        <v>1237</v>
      </c>
      <c r="I587" s="958">
        <v>43785</v>
      </c>
      <c r="J587" s="958">
        <v>45364</v>
      </c>
      <c r="K587" s="661"/>
      <c r="L587" s="661"/>
    </row>
    <row r="588" spans="1:12">
      <c r="A588" s="661"/>
      <c r="B588" s="940">
        <v>586</v>
      </c>
      <c r="C588" s="940" t="s">
        <v>1395</v>
      </c>
      <c r="D588" s="940" t="s">
        <v>2221</v>
      </c>
      <c r="E588" s="940"/>
      <c r="F588" s="957">
        <v>4</v>
      </c>
      <c r="G588" s="940" t="s">
        <v>1812</v>
      </c>
      <c r="H588" s="940" t="s">
        <v>1237</v>
      </c>
      <c r="I588" s="958">
        <v>43785</v>
      </c>
      <c r="J588" s="958">
        <v>45364</v>
      </c>
      <c r="K588" s="661"/>
      <c r="L588" s="661"/>
    </row>
    <row r="589" spans="1:12">
      <c r="A589" s="661"/>
      <c r="B589" s="940">
        <v>587</v>
      </c>
      <c r="C589" s="940" t="s">
        <v>1395</v>
      </c>
      <c r="D589" s="940" t="s">
        <v>2222</v>
      </c>
      <c r="E589" s="940"/>
      <c r="F589" s="957">
        <v>4</v>
      </c>
      <c r="G589" s="940" t="s">
        <v>1812</v>
      </c>
      <c r="H589" s="940" t="s">
        <v>1237</v>
      </c>
      <c r="I589" s="958">
        <v>43785</v>
      </c>
      <c r="J589" s="958">
        <v>45364</v>
      </c>
      <c r="K589" s="661"/>
      <c r="L589" s="661"/>
    </row>
    <row r="590" spans="1:12">
      <c r="A590" s="661"/>
      <c r="B590" s="940">
        <v>588</v>
      </c>
      <c r="C590" s="940" t="s">
        <v>1395</v>
      </c>
      <c r="D590" s="940" t="s">
        <v>2223</v>
      </c>
      <c r="E590" s="940"/>
      <c r="F590" s="957">
        <v>3</v>
      </c>
      <c r="G590" s="940" t="s">
        <v>1812</v>
      </c>
      <c r="H590" s="940" t="s">
        <v>1237</v>
      </c>
      <c r="I590" s="958">
        <v>43785</v>
      </c>
      <c r="J590" s="958">
        <v>45364</v>
      </c>
      <c r="K590" s="661"/>
      <c r="L590" s="661"/>
    </row>
    <row r="591" spans="1:12">
      <c r="A591" s="661"/>
      <c r="B591" s="940">
        <v>589</v>
      </c>
      <c r="C591" s="940" t="s">
        <v>1395</v>
      </c>
      <c r="D591" s="940" t="s">
        <v>2224</v>
      </c>
      <c r="E591" s="940"/>
      <c r="F591" s="957">
        <v>3</v>
      </c>
      <c r="G591" s="940" t="s">
        <v>1812</v>
      </c>
      <c r="H591" s="940" t="s">
        <v>1237</v>
      </c>
      <c r="I591" s="958">
        <v>43785</v>
      </c>
      <c r="J591" s="958">
        <v>45364</v>
      </c>
      <c r="K591" s="661"/>
      <c r="L591" s="661"/>
    </row>
    <row r="592" spans="1:12">
      <c r="A592" s="661"/>
      <c r="B592" s="940">
        <v>590</v>
      </c>
      <c r="C592" s="940" t="s">
        <v>1395</v>
      </c>
      <c r="D592" s="940" t="s">
        <v>2225</v>
      </c>
      <c r="E592" s="940"/>
      <c r="F592" s="957">
        <v>3</v>
      </c>
      <c r="G592" s="940" t="s">
        <v>1812</v>
      </c>
      <c r="H592" s="940" t="s">
        <v>1237</v>
      </c>
      <c r="I592" s="958">
        <v>43785</v>
      </c>
      <c r="J592" s="958">
        <v>45364</v>
      </c>
      <c r="K592" s="661"/>
      <c r="L592" s="661"/>
    </row>
    <row r="593" spans="1:12">
      <c r="A593" s="661"/>
      <c r="B593" s="940">
        <v>591</v>
      </c>
      <c r="C593" s="940" t="s">
        <v>1395</v>
      </c>
      <c r="D593" s="940" t="s">
        <v>2226</v>
      </c>
      <c r="E593" s="940"/>
      <c r="F593" s="957">
        <v>3</v>
      </c>
      <c r="G593" s="940" t="s">
        <v>1812</v>
      </c>
      <c r="H593" s="940" t="s">
        <v>1237</v>
      </c>
      <c r="I593" s="958">
        <v>43785</v>
      </c>
      <c r="J593" s="958">
        <v>45364</v>
      </c>
      <c r="K593" s="661"/>
      <c r="L593" s="661"/>
    </row>
    <row r="594" spans="1:12">
      <c r="A594" s="661"/>
      <c r="B594" s="940">
        <v>592</v>
      </c>
      <c r="C594" s="940" t="s">
        <v>1395</v>
      </c>
      <c r="D594" s="940" t="s">
        <v>2227</v>
      </c>
      <c r="E594" s="940"/>
      <c r="F594" s="957">
        <v>3</v>
      </c>
      <c r="G594" s="940" t="s">
        <v>1812</v>
      </c>
      <c r="H594" s="940" t="s">
        <v>1237</v>
      </c>
      <c r="I594" s="958">
        <v>43785</v>
      </c>
      <c r="J594" s="958">
        <v>45364</v>
      </c>
      <c r="K594" s="661"/>
      <c r="L594" s="661"/>
    </row>
    <row r="595" spans="1:12">
      <c r="A595" s="661"/>
      <c r="B595" s="940">
        <v>593</v>
      </c>
      <c r="C595" s="940" t="s">
        <v>1395</v>
      </c>
      <c r="D595" s="940" t="s">
        <v>2228</v>
      </c>
      <c r="E595" s="940"/>
      <c r="F595" s="957">
        <v>4</v>
      </c>
      <c r="G595" s="940" t="s">
        <v>1812</v>
      </c>
      <c r="H595" s="940" t="s">
        <v>1237</v>
      </c>
      <c r="I595" s="958">
        <v>43785</v>
      </c>
      <c r="J595" s="958">
        <v>45364</v>
      </c>
      <c r="K595" s="661"/>
      <c r="L595" s="661"/>
    </row>
    <row r="596" spans="1:12">
      <c r="A596" s="661"/>
      <c r="B596" s="940">
        <v>594</v>
      </c>
      <c r="C596" s="940" t="s">
        <v>1395</v>
      </c>
      <c r="D596" s="940" t="s">
        <v>2229</v>
      </c>
      <c r="E596" s="940"/>
      <c r="F596" s="957">
        <v>4</v>
      </c>
      <c r="G596" s="940" t="s">
        <v>1812</v>
      </c>
      <c r="H596" s="940" t="s">
        <v>1237</v>
      </c>
      <c r="I596" s="958">
        <v>43785</v>
      </c>
      <c r="J596" s="958">
        <v>45364</v>
      </c>
      <c r="K596" s="661"/>
      <c r="L596" s="661"/>
    </row>
    <row r="597" spans="1:12">
      <c r="A597" s="661"/>
      <c r="B597" s="940">
        <v>595</v>
      </c>
      <c r="C597" s="940" t="s">
        <v>1395</v>
      </c>
      <c r="D597" s="940" t="s">
        <v>2230</v>
      </c>
      <c r="E597" s="940"/>
      <c r="F597" s="957">
        <v>4</v>
      </c>
      <c r="G597" s="940" t="s">
        <v>1812</v>
      </c>
      <c r="H597" s="940" t="s">
        <v>1237</v>
      </c>
      <c r="I597" s="958">
        <v>43785</v>
      </c>
      <c r="J597" s="958">
        <v>45364</v>
      </c>
      <c r="K597" s="661"/>
      <c r="L597" s="661"/>
    </row>
    <row r="598" spans="1:12">
      <c r="A598" s="661"/>
      <c r="B598" s="940">
        <v>596</v>
      </c>
      <c r="C598" s="940" t="s">
        <v>1395</v>
      </c>
      <c r="D598" s="940" t="s">
        <v>2231</v>
      </c>
      <c r="E598" s="940"/>
      <c r="F598" s="957">
        <v>4</v>
      </c>
      <c r="G598" s="940" t="s">
        <v>1812</v>
      </c>
      <c r="H598" s="940" t="s">
        <v>1237</v>
      </c>
      <c r="I598" s="958">
        <v>43785</v>
      </c>
      <c r="J598" s="958">
        <v>45364</v>
      </c>
      <c r="K598" s="661"/>
      <c r="L598" s="661"/>
    </row>
    <row r="599" spans="1:12">
      <c r="A599" s="661"/>
      <c r="B599" s="940">
        <v>597</v>
      </c>
      <c r="C599" s="940" t="s">
        <v>1395</v>
      </c>
      <c r="D599" s="940" t="s">
        <v>2232</v>
      </c>
      <c r="E599" s="940"/>
      <c r="F599" s="957">
        <v>1.5</v>
      </c>
      <c r="G599" s="940" t="s">
        <v>1812</v>
      </c>
      <c r="H599" s="940" t="s">
        <v>1237</v>
      </c>
      <c r="I599" s="958">
        <v>43785</v>
      </c>
      <c r="J599" s="958">
        <v>45364</v>
      </c>
      <c r="K599" s="661"/>
      <c r="L599" s="661"/>
    </row>
    <row r="600" spans="1:12">
      <c r="A600" s="661"/>
      <c r="B600" s="940">
        <v>598</v>
      </c>
      <c r="C600" s="940" t="s">
        <v>1395</v>
      </c>
      <c r="D600" s="940" t="s">
        <v>2233</v>
      </c>
      <c r="E600" s="940"/>
      <c r="F600" s="957">
        <v>1.5</v>
      </c>
      <c r="G600" s="940" t="s">
        <v>1812</v>
      </c>
      <c r="H600" s="940" t="s">
        <v>1237</v>
      </c>
      <c r="I600" s="958">
        <v>43785</v>
      </c>
      <c r="J600" s="958">
        <v>45364</v>
      </c>
      <c r="K600" s="661"/>
      <c r="L600" s="661"/>
    </row>
    <row r="601" spans="1:12">
      <c r="A601" s="661"/>
      <c r="B601" s="940">
        <v>599</v>
      </c>
      <c r="C601" s="940" t="s">
        <v>1395</v>
      </c>
      <c r="D601" s="940" t="s">
        <v>2234</v>
      </c>
      <c r="E601" s="940"/>
      <c r="F601" s="957">
        <v>2.5</v>
      </c>
      <c r="G601" s="940" t="s">
        <v>1812</v>
      </c>
      <c r="H601" s="940" t="s">
        <v>1237</v>
      </c>
      <c r="I601" s="958">
        <v>43785</v>
      </c>
      <c r="J601" s="958">
        <v>45364</v>
      </c>
      <c r="K601" s="661"/>
      <c r="L601" s="661"/>
    </row>
    <row r="602" spans="1:12">
      <c r="A602" s="661"/>
      <c r="B602" s="940">
        <v>600</v>
      </c>
      <c r="C602" s="940" t="s">
        <v>1395</v>
      </c>
      <c r="D602" s="940" t="s">
        <v>2235</v>
      </c>
      <c r="E602" s="940"/>
      <c r="F602" s="957">
        <v>1.5</v>
      </c>
      <c r="G602" s="940" t="s">
        <v>1812</v>
      </c>
      <c r="H602" s="940" t="s">
        <v>1237</v>
      </c>
      <c r="I602" s="958">
        <v>43785</v>
      </c>
      <c r="J602" s="958">
        <v>45364</v>
      </c>
      <c r="K602" s="661"/>
      <c r="L602" s="661"/>
    </row>
    <row r="603" spans="1:12">
      <c r="A603" s="661"/>
      <c r="B603" s="940">
        <v>601</v>
      </c>
      <c r="C603" s="940" t="s">
        <v>1395</v>
      </c>
      <c r="D603" s="940" t="s">
        <v>2236</v>
      </c>
      <c r="E603" s="940"/>
      <c r="F603" s="957">
        <v>2.5</v>
      </c>
      <c r="G603" s="940" t="s">
        <v>1812</v>
      </c>
      <c r="H603" s="940" t="s">
        <v>1237</v>
      </c>
      <c r="I603" s="958">
        <v>43785</v>
      </c>
      <c r="J603" s="958">
        <v>45364</v>
      </c>
      <c r="K603" s="661"/>
      <c r="L603" s="661"/>
    </row>
    <row r="604" spans="1:12">
      <c r="A604" s="661"/>
      <c r="B604" s="940">
        <v>602</v>
      </c>
      <c r="C604" s="940" t="s">
        <v>1395</v>
      </c>
      <c r="D604" s="940" t="s">
        <v>2237</v>
      </c>
      <c r="E604" s="940"/>
      <c r="F604" s="957">
        <v>1.5</v>
      </c>
      <c r="G604" s="940" t="s">
        <v>1812</v>
      </c>
      <c r="H604" s="940" t="s">
        <v>1237</v>
      </c>
      <c r="I604" s="958">
        <v>43785</v>
      </c>
      <c r="J604" s="958">
        <v>45364</v>
      </c>
      <c r="K604" s="661"/>
      <c r="L604" s="661"/>
    </row>
    <row r="605" spans="1:12">
      <c r="A605" s="661"/>
      <c r="B605" s="940">
        <v>603</v>
      </c>
      <c r="C605" s="940" t="s">
        <v>1395</v>
      </c>
      <c r="D605" s="940" t="s">
        <v>2238</v>
      </c>
      <c r="E605" s="940"/>
      <c r="F605" s="957">
        <v>3.5</v>
      </c>
      <c r="G605" s="940" t="s">
        <v>1812</v>
      </c>
      <c r="H605" s="940" t="s">
        <v>1237</v>
      </c>
      <c r="I605" s="958">
        <v>43785</v>
      </c>
      <c r="J605" s="958">
        <v>45364</v>
      </c>
      <c r="K605" s="661"/>
      <c r="L605" s="661"/>
    </row>
    <row r="606" spans="1:12">
      <c r="A606" s="661"/>
      <c r="B606" s="940">
        <v>604</v>
      </c>
      <c r="C606" s="940" t="s">
        <v>1395</v>
      </c>
      <c r="D606" s="940" t="s">
        <v>2239</v>
      </c>
      <c r="E606" s="940"/>
      <c r="F606" s="957">
        <v>1.5</v>
      </c>
      <c r="G606" s="940" t="s">
        <v>1812</v>
      </c>
      <c r="H606" s="940" t="s">
        <v>1237</v>
      </c>
      <c r="I606" s="958">
        <v>43785</v>
      </c>
      <c r="J606" s="958">
        <v>45364</v>
      </c>
      <c r="K606" s="661"/>
      <c r="L606" s="661"/>
    </row>
    <row r="607" spans="1:12">
      <c r="A607" s="661"/>
      <c r="B607" s="940">
        <v>605</v>
      </c>
      <c r="C607" s="940" t="s">
        <v>1395</v>
      </c>
      <c r="D607" s="940" t="s">
        <v>2240</v>
      </c>
      <c r="E607" s="940"/>
      <c r="F607" s="957">
        <v>3.5</v>
      </c>
      <c r="G607" s="940" t="s">
        <v>1812</v>
      </c>
      <c r="H607" s="940" t="s">
        <v>1237</v>
      </c>
      <c r="I607" s="958">
        <v>43785</v>
      </c>
      <c r="J607" s="958">
        <v>45364</v>
      </c>
      <c r="K607" s="661"/>
      <c r="L607" s="661"/>
    </row>
    <row r="608" spans="1:12">
      <c r="A608" s="661"/>
      <c r="B608" s="940">
        <v>606</v>
      </c>
      <c r="C608" s="940" t="s">
        <v>1395</v>
      </c>
      <c r="D608" s="940" t="s">
        <v>2241</v>
      </c>
      <c r="E608" s="940"/>
      <c r="F608" s="957">
        <v>25</v>
      </c>
      <c r="G608" s="940" t="s">
        <v>1812</v>
      </c>
      <c r="H608" s="940" t="s">
        <v>1237</v>
      </c>
      <c r="I608" s="958">
        <v>43785</v>
      </c>
      <c r="J608" s="958">
        <v>45364</v>
      </c>
      <c r="K608" s="661"/>
      <c r="L608" s="661"/>
    </row>
    <row r="609" spans="1:12">
      <c r="A609" s="661"/>
      <c r="B609" s="940">
        <v>607</v>
      </c>
      <c r="C609" s="940" t="s">
        <v>1395</v>
      </c>
      <c r="D609" s="940" t="s">
        <v>2242</v>
      </c>
      <c r="E609" s="940"/>
      <c r="F609" s="957">
        <v>25</v>
      </c>
      <c r="G609" s="940" t="s">
        <v>1812</v>
      </c>
      <c r="H609" s="940" t="s">
        <v>1237</v>
      </c>
      <c r="I609" s="958">
        <v>43785</v>
      </c>
      <c r="J609" s="958">
        <v>45364</v>
      </c>
      <c r="K609" s="661"/>
      <c r="L609" s="661"/>
    </row>
    <row r="610" spans="1:12">
      <c r="A610" s="661"/>
      <c r="B610" s="940">
        <v>608</v>
      </c>
      <c r="C610" s="940" t="s">
        <v>1395</v>
      </c>
      <c r="D610" s="940" t="s">
        <v>2243</v>
      </c>
      <c r="E610" s="940"/>
      <c r="F610" s="957">
        <v>25</v>
      </c>
      <c r="G610" s="940" t="s">
        <v>1812</v>
      </c>
      <c r="H610" s="940" t="s">
        <v>1237</v>
      </c>
      <c r="I610" s="958">
        <v>43785</v>
      </c>
      <c r="J610" s="958">
        <v>45364</v>
      </c>
      <c r="K610" s="661"/>
      <c r="L610" s="661"/>
    </row>
    <row r="611" spans="1:12">
      <c r="A611" s="661"/>
      <c r="B611" s="940">
        <v>609</v>
      </c>
      <c r="C611" s="940" t="s">
        <v>1395</v>
      </c>
      <c r="D611" s="940" t="s">
        <v>2244</v>
      </c>
      <c r="E611" s="940"/>
      <c r="F611" s="957">
        <v>32</v>
      </c>
      <c r="G611" s="940" t="s">
        <v>1812</v>
      </c>
      <c r="H611" s="940" t="s">
        <v>1237</v>
      </c>
      <c r="I611" s="958">
        <v>43785</v>
      </c>
      <c r="J611" s="958">
        <v>45364</v>
      </c>
      <c r="K611" s="661"/>
      <c r="L611" s="661"/>
    </row>
    <row r="612" spans="1:12">
      <c r="A612" s="661"/>
      <c r="B612" s="940">
        <v>610</v>
      </c>
      <c r="C612" s="940" t="s">
        <v>1395</v>
      </c>
      <c r="D612" s="940" t="s">
        <v>2245</v>
      </c>
      <c r="E612" s="940"/>
      <c r="F612" s="957">
        <v>32</v>
      </c>
      <c r="G612" s="940" t="s">
        <v>1812</v>
      </c>
      <c r="H612" s="940" t="s">
        <v>1237</v>
      </c>
      <c r="I612" s="958">
        <v>43785</v>
      </c>
      <c r="J612" s="958">
        <v>45364</v>
      </c>
      <c r="K612" s="661"/>
      <c r="L612" s="661"/>
    </row>
    <row r="613" spans="1:12">
      <c r="A613" s="661"/>
      <c r="B613" s="940">
        <v>611</v>
      </c>
      <c r="C613" s="940" t="s">
        <v>1395</v>
      </c>
      <c r="D613" s="940" t="s">
        <v>2246</v>
      </c>
      <c r="E613" s="940"/>
      <c r="F613" s="957">
        <v>32</v>
      </c>
      <c r="G613" s="940" t="s">
        <v>1812</v>
      </c>
      <c r="H613" s="940" t="s">
        <v>1237</v>
      </c>
      <c r="I613" s="958">
        <v>43785</v>
      </c>
      <c r="J613" s="958">
        <v>45364</v>
      </c>
      <c r="K613" s="661"/>
      <c r="L613" s="661"/>
    </row>
    <row r="614" spans="1:12">
      <c r="A614" s="661"/>
      <c r="B614" s="940">
        <v>612</v>
      </c>
      <c r="C614" s="940" t="s">
        <v>1395</v>
      </c>
      <c r="D614" s="940" t="s">
        <v>2247</v>
      </c>
      <c r="E614" s="940"/>
      <c r="F614" s="957">
        <v>32</v>
      </c>
      <c r="G614" s="940" t="s">
        <v>1812</v>
      </c>
      <c r="H614" s="940" t="s">
        <v>1237</v>
      </c>
      <c r="I614" s="958">
        <v>43785</v>
      </c>
      <c r="J614" s="958">
        <v>45364</v>
      </c>
      <c r="K614" s="661"/>
      <c r="L614" s="661"/>
    </row>
    <row r="615" spans="1:12">
      <c r="A615" s="661"/>
      <c r="B615" s="940">
        <v>613</v>
      </c>
      <c r="C615" s="940" t="s">
        <v>1395</v>
      </c>
      <c r="D615" s="940" t="s">
        <v>2248</v>
      </c>
      <c r="E615" s="940"/>
      <c r="F615" s="957">
        <v>40</v>
      </c>
      <c r="G615" s="940" t="s">
        <v>1812</v>
      </c>
      <c r="H615" s="940" t="s">
        <v>1237</v>
      </c>
      <c r="I615" s="958">
        <v>43785</v>
      </c>
      <c r="J615" s="958">
        <v>45364</v>
      </c>
      <c r="K615" s="661"/>
      <c r="L615" s="661"/>
    </row>
    <row r="616" spans="1:12">
      <c r="A616" s="661"/>
      <c r="B616" s="940">
        <v>614</v>
      </c>
      <c r="C616" s="940" t="s">
        <v>1395</v>
      </c>
      <c r="D616" s="940" t="s">
        <v>2249</v>
      </c>
      <c r="E616" s="940"/>
      <c r="F616" s="957">
        <v>40</v>
      </c>
      <c r="G616" s="940" t="s">
        <v>1812</v>
      </c>
      <c r="H616" s="940" t="s">
        <v>1237</v>
      </c>
      <c r="I616" s="958">
        <v>43785</v>
      </c>
      <c r="J616" s="958">
        <v>45364</v>
      </c>
      <c r="K616" s="661"/>
      <c r="L616" s="661"/>
    </row>
    <row r="617" spans="1:12">
      <c r="A617" s="661"/>
      <c r="B617" s="940">
        <v>615</v>
      </c>
      <c r="C617" s="940" t="s">
        <v>1395</v>
      </c>
      <c r="D617" s="940" t="s">
        <v>2250</v>
      </c>
      <c r="E617" s="940"/>
      <c r="F617" s="957">
        <v>35</v>
      </c>
      <c r="G617" s="940" t="s">
        <v>1812</v>
      </c>
      <c r="H617" s="940" t="s">
        <v>1237</v>
      </c>
      <c r="I617" s="958">
        <v>43785</v>
      </c>
      <c r="J617" s="958">
        <v>45364</v>
      </c>
      <c r="K617" s="661"/>
      <c r="L617" s="661"/>
    </row>
    <row r="618" spans="1:12">
      <c r="A618" s="661"/>
      <c r="B618" s="940">
        <v>616</v>
      </c>
      <c r="C618" s="940" t="s">
        <v>1395</v>
      </c>
      <c r="D618" s="940" t="s">
        <v>2251</v>
      </c>
      <c r="E618" s="940"/>
      <c r="F618" s="957">
        <v>35</v>
      </c>
      <c r="G618" s="940" t="s">
        <v>1812</v>
      </c>
      <c r="H618" s="940" t="s">
        <v>1237</v>
      </c>
      <c r="I618" s="958">
        <v>43785</v>
      </c>
      <c r="J618" s="958">
        <v>45364</v>
      </c>
      <c r="K618" s="661"/>
      <c r="L618" s="661"/>
    </row>
    <row r="619" spans="1:12">
      <c r="A619" s="661"/>
      <c r="B619" s="940">
        <v>617</v>
      </c>
      <c r="C619" s="940" t="s">
        <v>1395</v>
      </c>
      <c r="D619" s="940" t="s">
        <v>2252</v>
      </c>
      <c r="E619" s="940"/>
      <c r="F619" s="957">
        <v>35</v>
      </c>
      <c r="G619" s="940" t="s">
        <v>1812</v>
      </c>
      <c r="H619" s="940" t="s">
        <v>1237</v>
      </c>
      <c r="I619" s="958">
        <v>43785</v>
      </c>
      <c r="J619" s="958">
        <v>45364</v>
      </c>
      <c r="K619" s="661"/>
      <c r="L619" s="661"/>
    </row>
    <row r="620" spans="1:12">
      <c r="A620" s="661"/>
      <c r="B620" s="940">
        <v>618</v>
      </c>
      <c r="C620" s="940" t="s">
        <v>1395</v>
      </c>
      <c r="D620" s="940" t="s">
        <v>2253</v>
      </c>
      <c r="E620" s="940"/>
      <c r="F620" s="957">
        <v>45</v>
      </c>
      <c r="G620" s="940" t="s">
        <v>1812</v>
      </c>
      <c r="H620" s="940" t="s">
        <v>1237</v>
      </c>
      <c r="I620" s="958">
        <v>43785</v>
      </c>
      <c r="J620" s="958">
        <v>45364</v>
      </c>
      <c r="K620" s="661"/>
      <c r="L620" s="661"/>
    </row>
    <row r="621" spans="1:12">
      <c r="A621" s="661"/>
      <c r="B621" s="940">
        <v>619</v>
      </c>
      <c r="C621" s="940" t="s">
        <v>1395</v>
      </c>
      <c r="D621" s="940" t="s">
        <v>2254</v>
      </c>
      <c r="E621" s="940"/>
      <c r="F621" s="957">
        <v>45</v>
      </c>
      <c r="G621" s="940" t="s">
        <v>1812</v>
      </c>
      <c r="H621" s="940" t="s">
        <v>1237</v>
      </c>
      <c r="I621" s="958">
        <v>43785</v>
      </c>
      <c r="J621" s="958">
        <v>45364</v>
      </c>
      <c r="K621" s="661"/>
      <c r="L621" s="661"/>
    </row>
    <row r="622" spans="1:12">
      <c r="A622" s="661"/>
      <c r="B622" s="940">
        <v>620</v>
      </c>
      <c r="C622" s="940" t="s">
        <v>1395</v>
      </c>
      <c r="D622" s="940" t="s">
        <v>2255</v>
      </c>
      <c r="E622" s="940"/>
      <c r="F622" s="957">
        <v>45</v>
      </c>
      <c r="G622" s="940" t="s">
        <v>1812</v>
      </c>
      <c r="H622" s="940" t="s">
        <v>1237</v>
      </c>
      <c r="I622" s="958">
        <v>43785</v>
      </c>
      <c r="J622" s="958">
        <v>45364</v>
      </c>
      <c r="K622" s="661"/>
      <c r="L622" s="661"/>
    </row>
    <row r="623" spans="1:12">
      <c r="A623" s="661"/>
      <c r="B623" s="940">
        <v>621</v>
      </c>
      <c r="C623" s="940" t="s">
        <v>1395</v>
      </c>
      <c r="D623" s="940" t="s">
        <v>2256</v>
      </c>
      <c r="E623" s="940"/>
      <c r="F623" s="957">
        <v>45</v>
      </c>
      <c r="G623" s="940" t="s">
        <v>1812</v>
      </c>
      <c r="H623" s="940" t="s">
        <v>1237</v>
      </c>
      <c r="I623" s="958">
        <v>43785</v>
      </c>
      <c r="J623" s="958">
        <v>45364</v>
      </c>
      <c r="K623" s="661"/>
      <c r="L623" s="661"/>
    </row>
    <row r="624" spans="1:12">
      <c r="A624" s="661"/>
      <c r="B624" s="940">
        <v>622</v>
      </c>
      <c r="C624" s="940" t="s">
        <v>1395</v>
      </c>
      <c r="D624" s="940" t="s">
        <v>2257</v>
      </c>
      <c r="E624" s="940"/>
      <c r="F624" s="957">
        <v>55</v>
      </c>
      <c r="G624" s="940" t="s">
        <v>1812</v>
      </c>
      <c r="H624" s="940" t="s">
        <v>1237</v>
      </c>
      <c r="I624" s="958">
        <v>43785</v>
      </c>
      <c r="J624" s="958">
        <v>45364</v>
      </c>
      <c r="K624" s="661"/>
      <c r="L624" s="661"/>
    </row>
    <row r="625" spans="1:12">
      <c r="A625" s="661"/>
      <c r="B625" s="940">
        <v>623</v>
      </c>
      <c r="C625" s="940" t="s">
        <v>1395</v>
      </c>
      <c r="D625" s="940" t="s">
        <v>2258</v>
      </c>
      <c r="E625" s="940"/>
      <c r="F625" s="957">
        <v>55</v>
      </c>
      <c r="G625" s="940" t="s">
        <v>1812</v>
      </c>
      <c r="H625" s="940" t="s">
        <v>1237</v>
      </c>
      <c r="I625" s="958">
        <v>43785</v>
      </c>
      <c r="J625" s="958">
        <v>45364</v>
      </c>
      <c r="K625" s="661"/>
      <c r="L625" s="661"/>
    </row>
    <row r="626" spans="1:12">
      <c r="A626" s="661"/>
      <c r="B626" s="940">
        <v>624</v>
      </c>
      <c r="C626" s="940" t="s">
        <v>1395</v>
      </c>
      <c r="D626" s="940" t="s">
        <v>2259</v>
      </c>
      <c r="E626" s="940"/>
      <c r="F626" s="957">
        <v>4</v>
      </c>
      <c r="G626" s="940" t="s">
        <v>2260</v>
      </c>
      <c r="H626" s="940" t="s">
        <v>1237</v>
      </c>
      <c r="I626" s="958">
        <v>43785</v>
      </c>
      <c r="J626" s="958">
        <v>45364</v>
      </c>
      <c r="K626" s="661"/>
      <c r="L626" s="661"/>
    </row>
    <row r="627" spans="1:12">
      <c r="A627" s="661"/>
      <c r="B627" s="940">
        <v>625</v>
      </c>
      <c r="C627" s="940" t="s">
        <v>1395</v>
      </c>
      <c r="D627" s="940" t="s">
        <v>2261</v>
      </c>
      <c r="E627" s="940"/>
      <c r="F627" s="957">
        <v>4</v>
      </c>
      <c r="G627" s="940" t="s">
        <v>2260</v>
      </c>
      <c r="H627" s="940" t="s">
        <v>1237</v>
      </c>
      <c r="I627" s="958">
        <v>43785</v>
      </c>
      <c r="J627" s="958">
        <v>45364</v>
      </c>
      <c r="K627" s="661"/>
      <c r="L627" s="661"/>
    </row>
    <row r="628" spans="1:12">
      <c r="A628" s="661"/>
      <c r="B628" s="940">
        <v>626</v>
      </c>
      <c r="C628" s="940" t="s">
        <v>1395</v>
      </c>
      <c r="D628" s="940" t="s">
        <v>2262</v>
      </c>
      <c r="E628" s="940"/>
      <c r="F628" s="957">
        <v>4</v>
      </c>
      <c r="G628" s="940" t="s">
        <v>2260</v>
      </c>
      <c r="H628" s="940" t="s">
        <v>1237</v>
      </c>
      <c r="I628" s="958">
        <v>43785</v>
      </c>
      <c r="J628" s="958">
        <v>45364</v>
      </c>
      <c r="K628" s="661"/>
      <c r="L628" s="661"/>
    </row>
    <row r="629" spans="1:12">
      <c r="A629" s="661"/>
      <c r="B629" s="940">
        <v>627</v>
      </c>
      <c r="C629" s="940" t="s">
        <v>1395</v>
      </c>
      <c r="D629" s="940" t="s">
        <v>2263</v>
      </c>
      <c r="E629" s="940"/>
      <c r="F629" s="957">
        <v>4</v>
      </c>
      <c r="G629" s="940" t="s">
        <v>2260</v>
      </c>
      <c r="H629" s="940" t="s">
        <v>1237</v>
      </c>
      <c r="I629" s="958">
        <v>43785</v>
      </c>
      <c r="J629" s="958">
        <v>45364</v>
      </c>
      <c r="K629" s="661"/>
      <c r="L629" s="661"/>
    </row>
    <row r="630" spans="1:12">
      <c r="A630" s="661"/>
      <c r="B630" s="940">
        <v>628</v>
      </c>
      <c r="C630" s="940" t="s">
        <v>1395</v>
      </c>
      <c r="D630" s="940" t="s">
        <v>2264</v>
      </c>
      <c r="E630" s="940"/>
      <c r="F630" s="957">
        <v>4</v>
      </c>
      <c r="G630" s="940" t="s">
        <v>2260</v>
      </c>
      <c r="H630" s="940" t="s">
        <v>1237</v>
      </c>
      <c r="I630" s="958">
        <v>43785</v>
      </c>
      <c r="J630" s="958">
        <v>45364</v>
      </c>
      <c r="K630" s="661"/>
      <c r="L630" s="661"/>
    </row>
    <row r="631" spans="1:12">
      <c r="A631" s="661"/>
      <c r="B631" s="940">
        <v>629</v>
      </c>
      <c r="C631" s="940" t="s">
        <v>1395</v>
      </c>
      <c r="D631" s="940" t="s">
        <v>2265</v>
      </c>
      <c r="E631" s="940"/>
      <c r="F631" s="957">
        <v>5</v>
      </c>
      <c r="G631" s="940" t="s">
        <v>2260</v>
      </c>
      <c r="H631" s="940" t="s">
        <v>1237</v>
      </c>
      <c r="I631" s="958">
        <v>43785</v>
      </c>
      <c r="J631" s="958">
        <v>45364</v>
      </c>
      <c r="K631" s="661"/>
      <c r="L631" s="661"/>
    </row>
    <row r="632" spans="1:12">
      <c r="A632" s="661"/>
      <c r="B632" s="940">
        <v>630</v>
      </c>
      <c r="C632" s="940" t="s">
        <v>1395</v>
      </c>
      <c r="D632" s="940" t="s">
        <v>2266</v>
      </c>
      <c r="E632" s="940"/>
      <c r="F632" s="957">
        <v>5</v>
      </c>
      <c r="G632" s="940" t="s">
        <v>2260</v>
      </c>
      <c r="H632" s="940" t="s">
        <v>1237</v>
      </c>
      <c r="I632" s="958">
        <v>43785</v>
      </c>
      <c r="J632" s="958">
        <v>45364</v>
      </c>
      <c r="K632" s="661"/>
      <c r="L632" s="661"/>
    </row>
    <row r="633" spans="1:12">
      <c r="A633" s="661"/>
      <c r="B633" s="940">
        <v>631</v>
      </c>
      <c r="C633" s="940" t="s">
        <v>1395</v>
      </c>
      <c r="D633" s="940" t="s">
        <v>2267</v>
      </c>
      <c r="E633" s="940"/>
      <c r="F633" s="957">
        <v>5</v>
      </c>
      <c r="G633" s="940" t="s">
        <v>2260</v>
      </c>
      <c r="H633" s="940" t="s">
        <v>1237</v>
      </c>
      <c r="I633" s="958">
        <v>43785</v>
      </c>
      <c r="J633" s="958">
        <v>45364</v>
      </c>
      <c r="K633" s="661"/>
      <c r="L633" s="661"/>
    </row>
    <row r="634" spans="1:12">
      <c r="A634" s="661"/>
      <c r="B634" s="940">
        <v>632</v>
      </c>
      <c r="C634" s="940" t="s">
        <v>1395</v>
      </c>
      <c r="D634" s="940" t="s">
        <v>2268</v>
      </c>
      <c r="E634" s="940"/>
      <c r="F634" s="957">
        <v>5</v>
      </c>
      <c r="G634" s="940" t="s">
        <v>2260</v>
      </c>
      <c r="H634" s="940" t="s">
        <v>1237</v>
      </c>
      <c r="I634" s="958">
        <v>43785</v>
      </c>
      <c r="J634" s="958">
        <v>45364</v>
      </c>
      <c r="K634" s="661"/>
      <c r="L634" s="661"/>
    </row>
    <row r="635" spans="1:12">
      <c r="A635" s="661"/>
      <c r="B635" s="940">
        <v>633</v>
      </c>
      <c r="C635" s="940" t="s">
        <v>1395</v>
      </c>
      <c r="D635" s="940" t="s">
        <v>2269</v>
      </c>
      <c r="E635" s="940"/>
      <c r="F635" s="957">
        <v>1</v>
      </c>
      <c r="G635" s="940" t="s">
        <v>1812</v>
      </c>
      <c r="H635" s="940" t="s">
        <v>1237</v>
      </c>
      <c r="I635" s="958">
        <v>43785</v>
      </c>
      <c r="J635" s="958">
        <v>45364</v>
      </c>
      <c r="K635" s="661"/>
      <c r="L635" s="661"/>
    </row>
    <row r="636" spans="1:12">
      <c r="A636" s="661"/>
      <c r="B636" s="940">
        <v>634</v>
      </c>
      <c r="C636" s="940" t="s">
        <v>1395</v>
      </c>
      <c r="D636" s="940" t="s">
        <v>2270</v>
      </c>
      <c r="E636" s="940"/>
      <c r="F636" s="957">
        <v>1</v>
      </c>
      <c r="G636" s="940" t="s">
        <v>1812</v>
      </c>
      <c r="H636" s="940" t="s">
        <v>1237</v>
      </c>
      <c r="I636" s="958">
        <v>43785</v>
      </c>
      <c r="J636" s="958">
        <v>45364</v>
      </c>
      <c r="K636" s="661"/>
      <c r="L636" s="661"/>
    </row>
    <row r="637" spans="1:12">
      <c r="A637" s="661"/>
      <c r="B637" s="940">
        <v>635</v>
      </c>
      <c r="C637" s="940" t="s">
        <v>1395</v>
      </c>
      <c r="D637" s="940" t="s">
        <v>2271</v>
      </c>
      <c r="E637" s="940"/>
      <c r="F637" s="957">
        <v>1</v>
      </c>
      <c r="G637" s="940" t="s">
        <v>1812</v>
      </c>
      <c r="H637" s="940" t="s">
        <v>1237</v>
      </c>
      <c r="I637" s="958">
        <v>43785</v>
      </c>
      <c r="J637" s="958">
        <v>45364</v>
      </c>
      <c r="K637" s="661"/>
      <c r="L637" s="661"/>
    </row>
    <row r="638" spans="1:12">
      <c r="A638" s="661"/>
      <c r="B638" s="940">
        <v>636</v>
      </c>
      <c r="C638" s="940" t="s">
        <v>1395</v>
      </c>
      <c r="D638" s="940" t="s">
        <v>2272</v>
      </c>
      <c r="E638" s="940"/>
      <c r="F638" s="957">
        <v>2</v>
      </c>
      <c r="G638" s="940" t="s">
        <v>1812</v>
      </c>
      <c r="H638" s="940" t="s">
        <v>1237</v>
      </c>
      <c r="I638" s="958">
        <v>43785</v>
      </c>
      <c r="J638" s="958">
        <v>45364</v>
      </c>
      <c r="K638" s="661"/>
      <c r="L638" s="661"/>
    </row>
    <row r="639" spans="1:12">
      <c r="A639" s="661"/>
      <c r="B639" s="940">
        <v>637</v>
      </c>
      <c r="C639" s="940" t="s">
        <v>1395</v>
      </c>
      <c r="D639" s="940" t="s">
        <v>2273</v>
      </c>
      <c r="E639" s="940"/>
      <c r="F639" s="957">
        <v>2</v>
      </c>
      <c r="G639" s="940" t="s">
        <v>1812</v>
      </c>
      <c r="H639" s="940" t="s">
        <v>1237</v>
      </c>
      <c r="I639" s="958">
        <v>43785</v>
      </c>
      <c r="J639" s="958">
        <v>45364</v>
      </c>
      <c r="K639" s="661"/>
      <c r="L639" s="661"/>
    </row>
    <row r="640" spans="1:12">
      <c r="A640" s="661"/>
      <c r="B640" s="940">
        <v>638</v>
      </c>
      <c r="C640" s="940" t="s">
        <v>1395</v>
      </c>
      <c r="D640" s="940" t="s">
        <v>2274</v>
      </c>
      <c r="E640" s="940"/>
      <c r="F640" s="957">
        <v>2</v>
      </c>
      <c r="G640" s="940" t="s">
        <v>1812</v>
      </c>
      <c r="H640" s="940" t="s">
        <v>1237</v>
      </c>
      <c r="I640" s="958">
        <v>43785</v>
      </c>
      <c r="J640" s="958">
        <v>45364</v>
      </c>
      <c r="K640" s="661"/>
      <c r="L640" s="661"/>
    </row>
    <row r="641" spans="1:12">
      <c r="A641" s="661"/>
      <c r="B641" s="940">
        <v>639</v>
      </c>
      <c r="C641" s="940" t="s">
        <v>1395</v>
      </c>
      <c r="D641" s="940" t="s">
        <v>2275</v>
      </c>
      <c r="E641" s="940"/>
      <c r="F641" s="957">
        <v>2</v>
      </c>
      <c r="G641" s="940" t="s">
        <v>1812</v>
      </c>
      <c r="H641" s="940" t="s">
        <v>1237</v>
      </c>
      <c r="I641" s="958">
        <v>43785</v>
      </c>
      <c r="J641" s="958">
        <v>45364</v>
      </c>
      <c r="K641" s="661"/>
      <c r="L641" s="661"/>
    </row>
    <row r="642" spans="1:12">
      <c r="A642" s="661"/>
      <c r="B642" s="940">
        <v>640</v>
      </c>
      <c r="C642" s="940" t="s">
        <v>1395</v>
      </c>
      <c r="D642" s="940" t="s">
        <v>2276</v>
      </c>
      <c r="E642" s="940"/>
      <c r="F642" s="957">
        <v>2.5</v>
      </c>
      <c r="G642" s="940" t="s">
        <v>1812</v>
      </c>
      <c r="H642" s="940" t="s">
        <v>1237</v>
      </c>
      <c r="I642" s="958">
        <v>43785</v>
      </c>
      <c r="J642" s="958">
        <v>45364</v>
      </c>
      <c r="K642" s="661"/>
      <c r="L642" s="661"/>
    </row>
    <row r="643" spans="1:12">
      <c r="A643" s="661"/>
      <c r="B643" s="940">
        <v>641</v>
      </c>
      <c r="C643" s="940" t="s">
        <v>1395</v>
      </c>
      <c r="D643" s="940" t="s">
        <v>2277</v>
      </c>
      <c r="E643" s="940"/>
      <c r="F643" s="957">
        <v>2.5</v>
      </c>
      <c r="G643" s="940" t="s">
        <v>1812</v>
      </c>
      <c r="H643" s="940" t="s">
        <v>1237</v>
      </c>
      <c r="I643" s="958">
        <v>43785</v>
      </c>
      <c r="J643" s="958">
        <v>45364</v>
      </c>
      <c r="K643" s="661"/>
      <c r="L643" s="661"/>
    </row>
    <row r="644" spans="1:12">
      <c r="A644" s="661"/>
      <c r="B644" s="940">
        <v>642</v>
      </c>
      <c r="C644" s="940" t="s">
        <v>1395</v>
      </c>
      <c r="D644" s="940" t="s">
        <v>2278</v>
      </c>
      <c r="E644" s="940"/>
      <c r="F644" s="957">
        <v>1</v>
      </c>
      <c r="G644" s="940" t="s">
        <v>1812</v>
      </c>
      <c r="H644" s="940" t="s">
        <v>1237</v>
      </c>
      <c r="I644" s="958">
        <v>43785</v>
      </c>
      <c r="J644" s="958">
        <v>45364</v>
      </c>
      <c r="K644" s="661"/>
      <c r="L644" s="661"/>
    </row>
    <row r="645" spans="1:12">
      <c r="A645" s="661"/>
      <c r="B645" s="940">
        <v>643</v>
      </c>
      <c r="C645" s="940" t="s">
        <v>1395</v>
      </c>
      <c r="D645" s="940" t="s">
        <v>2279</v>
      </c>
      <c r="E645" s="940"/>
      <c r="F645" s="957">
        <v>1</v>
      </c>
      <c r="G645" s="940" t="s">
        <v>1812</v>
      </c>
      <c r="H645" s="940" t="s">
        <v>1237</v>
      </c>
      <c r="I645" s="958">
        <v>43785</v>
      </c>
      <c r="J645" s="958">
        <v>45364</v>
      </c>
      <c r="K645" s="661"/>
      <c r="L645" s="661"/>
    </row>
    <row r="646" spans="1:12">
      <c r="A646" s="661"/>
      <c r="B646" s="940">
        <v>644</v>
      </c>
      <c r="C646" s="940" t="s">
        <v>1395</v>
      </c>
      <c r="D646" s="940" t="s">
        <v>2280</v>
      </c>
      <c r="E646" s="940"/>
      <c r="F646" s="957">
        <v>1</v>
      </c>
      <c r="G646" s="940" t="s">
        <v>1812</v>
      </c>
      <c r="H646" s="940" t="s">
        <v>1237</v>
      </c>
      <c r="I646" s="958">
        <v>43785</v>
      </c>
      <c r="J646" s="958">
        <v>45364</v>
      </c>
      <c r="K646" s="661"/>
      <c r="L646" s="661"/>
    </row>
    <row r="647" spans="1:12">
      <c r="A647" s="661"/>
      <c r="B647" s="940">
        <v>645</v>
      </c>
      <c r="C647" s="940" t="s">
        <v>1395</v>
      </c>
      <c r="D647" s="940" t="s">
        <v>2281</v>
      </c>
      <c r="E647" s="940"/>
      <c r="F647" s="957">
        <v>1</v>
      </c>
      <c r="G647" s="940" t="s">
        <v>1812</v>
      </c>
      <c r="H647" s="940" t="s">
        <v>1237</v>
      </c>
      <c r="I647" s="958">
        <v>43785</v>
      </c>
      <c r="J647" s="958">
        <v>45364</v>
      </c>
      <c r="K647" s="661"/>
      <c r="L647" s="661"/>
    </row>
    <row r="648" spans="1:12">
      <c r="A648" s="661"/>
      <c r="B648" s="940">
        <v>646</v>
      </c>
      <c r="C648" s="940" t="s">
        <v>1395</v>
      </c>
      <c r="D648" s="940" t="s">
        <v>2282</v>
      </c>
      <c r="E648" s="940"/>
      <c r="F648" s="957">
        <v>2</v>
      </c>
      <c r="G648" s="940" t="s">
        <v>1812</v>
      </c>
      <c r="H648" s="940" t="s">
        <v>1237</v>
      </c>
      <c r="I648" s="958">
        <v>43785</v>
      </c>
      <c r="J648" s="958">
        <v>45364</v>
      </c>
      <c r="K648" s="661"/>
      <c r="L648" s="661"/>
    </row>
    <row r="649" spans="1:12">
      <c r="A649" s="661"/>
      <c r="B649" s="940">
        <v>647</v>
      </c>
      <c r="C649" s="940" t="s">
        <v>1395</v>
      </c>
      <c r="D649" s="940" t="s">
        <v>2283</v>
      </c>
      <c r="E649" s="940"/>
      <c r="F649" s="957">
        <v>2</v>
      </c>
      <c r="G649" s="940" t="s">
        <v>1812</v>
      </c>
      <c r="H649" s="940" t="s">
        <v>1237</v>
      </c>
      <c r="I649" s="958">
        <v>43785</v>
      </c>
      <c r="J649" s="958">
        <v>45364</v>
      </c>
      <c r="K649" s="661"/>
      <c r="L649" s="661"/>
    </row>
    <row r="650" spans="1:12">
      <c r="A650" s="661"/>
      <c r="B650" s="940">
        <v>648</v>
      </c>
      <c r="C650" s="940" t="s">
        <v>1395</v>
      </c>
      <c r="D650" s="940" t="s">
        <v>2284</v>
      </c>
      <c r="E650" s="940"/>
      <c r="F650" s="957">
        <v>2</v>
      </c>
      <c r="G650" s="940" t="s">
        <v>1812</v>
      </c>
      <c r="H650" s="940" t="s">
        <v>1237</v>
      </c>
      <c r="I650" s="958">
        <v>43785</v>
      </c>
      <c r="J650" s="958">
        <v>45364</v>
      </c>
      <c r="K650" s="661"/>
      <c r="L650" s="661"/>
    </row>
    <row r="651" spans="1:12">
      <c r="A651" s="661"/>
      <c r="B651" s="940">
        <v>649</v>
      </c>
      <c r="C651" s="940" t="s">
        <v>1395</v>
      </c>
      <c r="D651" s="940" t="s">
        <v>2285</v>
      </c>
      <c r="E651" s="940"/>
      <c r="F651" s="957">
        <v>2.5</v>
      </c>
      <c r="G651" s="940" t="s">
        <v>1812</v>
      </c>
      <c r="H651" s="940" t="s">
        <v>1237</v>
      </c>
      <c r="I651" s="958">
        <v>43785</v>
      </c>
      <c r="J651" s="958">
        <v>45364</v>
      </c>
      <c r="K651" s="661"/>
      <c r="L651" s="661"/>
    </row>
    <row r="652" spans="1:12">
      <c r="A652" s="661"/>
      <c r="B652" s="940">
        <v>650</v>
      </c>
      <c r="C652" s="940" t="s">
        <v>1395</v>
      </c>
      <c r="D652" s="940" t="s">
        <v>2286</v>
      </c>
      <c r="E652" s="940"/>
      <c r="F652" s="957">
        <v>2.5</v>
      </c>
      <c r="G652" s="940" t="s">
        <v>1812</v>
      </c>
      <c r="H652" s="940" t="s">
        <v>1237</v>
      </c>
      <c r="I652" s="958">
        <v>43785</v>
      </c>
      <c r="J652" s="958">
        <v>45364</v>
      </c>
      <c r="K652" s="661"/>
      <c r="L652" s="661"/>
    </row>
    <row r="653" spans="1:12">
      <c r="A653" s="661"/>
      <c r="B653" s="940">
        <v>651</v>
      </c>
      <c r="C653" s="940" t="s">
        <v>1395</v>
      </c>
      <c r="D653" s="940" t="s">
        <v>2287</v>
      </c>
      <c r="E653" s="940"/>
      <c r="F653" s="957">
        <v>3</v>
      </c>
      <c r="G653" s="940" t="s">
        <v>2260</v>
      </c>
      <c r="H653" s="940" t="s">
        <v>1237</v>
      </c>
      <c r="I653" s="958">
        <v>43785</v>
      </c>
      <c r="J653" s="958">
        <v>45364</v>
      </c>
      <c r="K653" s="661"/>
      <c r="L653" s="661"/>
    </row>
    <row r="654" spans="1:12">
      <c r="A654" s="661"/>
      <c r="B654" s="940">
        <v>652</v>
      </c>
      <c r="C654" s="940" t="s">
        <v>1395</v>
      </c>
      <c r="D654" s="940" t="s">
        <v>2288</v>
      </c>
      <c r="E654" s="940"/>
      <c r="F654" s="957">
        <v>3</v>
      </c>
      <c r="G654" s="940" t="s">
        <v>2260</v>
      </c>
      <c r="H654" s="940" t="s">
        <v>1237</v>
      </c>
      <c r="I654" s="958">
        <v>43785</v>
      </c>
      <c r="J654" s="958">
        <v>45364</v>
      </c>
      <c r="K654" s="661"/>
      <c r="L654" s="661"/>
    </row>
    <row r="655" spans="1:12">
      <c r="A655" s="661"/>
      <c r="B655" s="940">
        <v>653</v>
      </c>
      <c r="C655" s="940" t="s">
        <v>1395</v>
      </c>
      <c r="D655" s="940" t="s">
        <v>2289</v>
      </c>
      <c r="E655" s="940"/>
      <c r="F655" s="957">
        <v>3</v>
      </c>
      <c r="G655" s="940" t="s">
        <v>2260</v>
      </c>
      <c r="H655" s="940" t="s">
        <v>1237</v>
      </c>
      <c r="I655" s="958">
        <v>43785</v>
      </c>
      <c r="J655" s="958">
        <v>45364</v>
      </c>
      <c r="K655" s="661"/>
      <c r="L655" s="661"/>
    </row>
    <row r="656" spans="1:12">
      <c r="A656" s="661"/>
      <c r="B656" s="940">
        <v>654</v>
      </c>
      <c r="C656" s="940" t="s">
        <v>1395</v>
      </c>
      <c r="D656" s="940" t="s">
        <v>2290</v>
      </c>
      <c r="E656" s="940"/>
      <c r="F656" s="957">
        <v>4</v>
      </c>
      <c r="G656" s="940" t="s">
        <v>2260</v>
      </c>
      <c r="H656" s="940" t="s">
        <v>1237</v>
      </c>
      <c r="I656" s="958">
        <v>43785</v>
      </c>
      <c r="J656" s="958">
        <v>45364</v>
      </c>
      <c r="K656" s="661"/>
      <c r="L656" s="661"/>
    </row>
    <row r="657" spans="1:12">
      <c r="A657" s="661"/>
      <c r="B657" s="940">
        <v>655</v>
      </c>
      <c r="C657" s="940" t="s">
        <v>1395</v>
      </c>
      <c r="D657" s="940" t="s">
        <v>2291</v>
      </c>
      <c r="E657" s="940"/>
      <c r="F657" s="957">
        <v>4</v>
      </c>
      <c r="G657" s="940" t="s">
        <v>2260</v>
      </c>
      <c r="H657" s="940" t="s">
        <v>1237</v>
      </c>
      <c r="I657" s="958">
        <v>43785</v>
      </c>
      <c r="J657" s="958">
        <v>45364</v>
      </c>
      <c r="K657" s="661"/>
      <c r="L657" s="661"/>
    </row>
    <row r="658" spans="1:12">
      <c r="A658" s="661"/>
      <c r="B658" s="940">
        <v>656</v>
      </c>
      <c r="C658" s="940" t="s">
        <v>1395</v>
      </c>
      <c r="D658" s="940" t="s">
        <v>2292</v>
      </c>
      <c r="E658" s="940"/>
      <c r="F658" s="957">
        <v>4</v>
      </c>
      <c r="G658" s="940" t="s">
        <v>2260</v>
      </c>
      <c r="H658" s="940" t="s">
        <v>1237</v>
      </c>
      <c r="I658" s="958">
        <v>43785</v>
      </c>
      <c r="J658" s="958">
        <v>45364</v>
      </c>
      <c r="K658" s="661"/>
      <c r="L658" s="661"/>
    </row>
    <row r="659" spans="1:12">
      <c r="A659" s="661"/>
      <c r="B659" s="940">
        <v>657</v>
      </c>
      <c r="C659" s="940" t="s">
        <v>1395</v>
      </c>
      <c r="D659" s="940" t="s">
        <v>2293</v>
      </c>
      <c r="E659" s="940"/>
      <c r="F659" s="957">
        <v>4</v>
      </c>
      <c r="G659" s="940" t="s">
        <v>2260</v>
      </c>
      <c r="H659" s="940" t="s">
        <v>1237</v>
      </c>
      <c r="I659" s="958">
        <v>43785</v>
      </c>
      <c r="J659" s="958">
        <v>45364</v>
      </c>
      <c r="K659" s="661"/>
      <c r="L659" s="661"/>
    </row>
    <row r="660" spans="1:12">
      <c r="A660" s="661"/>
      <c r="B660" s="940">
        <v>658</v>
      </c>
      <c r="C660" s="940" t="s">
        <v>1395</v>
      </c>
      <c r="D660" s="940" t="s">
        <v>2294</v>
      </c>
      <c r="E660" s="940"/>
      <c r="F660" s="957">
        <v>5</v>
      </c>
      <c r="G660" s="940" t="s">
        <v>2260</v>
      </c>
      <c r="H660" s="940" t="s">
        <v>1237</v>
      </c>
      <c r="I660" s="958">
        <v>43785</v>
      </c>
      <c r="J660" s="958">
        <v>45364</v>
      </c>
      <c r="K660" s="661"/>
      <c r="L660" s="661"/>
    </row>
    <row r="661" spans="1:12">
      <c r="A661" s="661"/>
      <c r="B661" s="940">
        <v>659</v>
      </c>
      <c r="C661" s="940" t="s">
        <v>1395</v>
      </c>
      <c r="D661" s="940" t="s">
        <v>2295</v>
      </c>
      <c r="E661" s="940"/>
      <c r="F661" s="957">
        <v>5</v>
      </c>
      <c r="G661" s="940" t="s">
        <v>2260</v>
      </c>
      <c r="H661" s="940" t="s">
        <v>1237</v>
      </c>
      <c r="I661" s="958">
        <v>43785</v>
      </c>
      <c r="J661" s="958">
        <v>45364</v>
      </c>
      <c r="K661" s="661"/>
      <c r="L661" s="661"/>
    </row>
    <row r="662" spans="1:12">
      <c r="A662" s="661"/>
      <c r="B662" s="940">
        <v>660</v>
      </c>
      <c r="C662" s="940" t="s">
        <v>1395</v>
      </c>
      <c r="D662" s="940" t="s">
        <v>2296</v>
      </c>
      <c r="E662" s="940"/>
      <c r="F662" s="957">
        <v>4.5</v>
      </c>
      <c r="G662" s="940" t="s">
        <v>2067</v>
      </c>
      <c r="H662" s="940" t="s">
        <v>1237</v>
      </c>
      <c r="I662" s="958">
        <v>43785</v>
      </c>
      <c r="J662" s="958">
        <v>45364</v>
      </c>
      <c r="K662" s="661"/>
      <c r="L662" s="661"/>
    </row>
    <row r="663" spans="1:12">
      <c r="A663" s="661"/>
      <c r="B663" s="940">
        <v>661</v>
      </c>
      <c r="C663" s="940" t="s">
        <v>1395</v>
      </c>
      <c r="D663" s="940" t="s">
        <v>2297</v>
      </c>
      <c r="E663" s="940"/>
      <c r="F663" s="957">
        <v>40</v>
      </c>
      <c r="G663" s="940" t="s">
        <v>2260</v>
      </c>
      <c r="H663" s="940" t="s">
        <v>1237</v>
      </c>
      <c r="I663" s="958">
        <v>43785</v>
      </c>
      <c r="J663" s="958">
        <v>45364</v>
      </c>
      <c r="K663" s="661"/>
      <c r="L663" s="661"/>
    </row>
    <row r="664" spans="1:12">
      <c r="A664" s="661"/>
      <c r="B664" s="940">
        <v>662</v>
      </c>
      <c r="C664" s="940" t="s">
        <v>1395</v>
      </c>
      <c r="D664" s="940" t="s">
        <v>2298</v>
      </c>
      <c r="E664" s="940"/>
      <c r="F664" s="957">
        <v>3</v>
      </c>
      <c r="G664" s="940" t="s">
        <v>1812</v>
      </c>
      <c r="H664" s="940" t="s">
        <v>1237</v>
      </c>
      <c r="I664" s="958">
        <v>43785</v>
      </c>
      <c r="J664" s="958">
        <v>45364</v>
      </c>
      <c r="K664" s="661"/>
      <c r="L664" s="661"/>
    </row>
    <row r="665" spans="1:12">
      <c r="A665" s="661"/>
      <c r="B665" s="940">
        <v>663</v>
      </c>
      <c r="C665" s="940" t="s">
        <v>1395</v>
      </c>
      <c r="D665" s="940" t="s">
        <v>769</v>
      </c>
      <c r="E665" s="940"/>
      <c r="F665" s="957">
        <v>4</v>
      </c>
      <c r="G665" s="940" t="s">
        <v>1812</v>
      </c>
      <c r="H665" s="940" t="s">
        <v>1237</v>
      </c>
      <c r="I665" s="958">
        <v>43785</v>
      </c>
      <c r="J665" s="958">
        <v>45364</v>
      </c>
      <c r="K665" s="661" t="s">
        <v>2299</v>
      </c>
      <c r="L665" s="661"/>
    </row>
    <row r="666" spans="1:12">
      <c r="A666" s="661"/>
      <c r="B666" s="940">
        <v>669</v>
      </c>
      <c r="C666" s="940" t="s">
        <v>1395</v>
      </c>
      <c r="D666" s="940" t="s">
        <v>771</v>
      </c>
      <c r="E666" s="940"/>
      <c r="F666" s="957">
        <v>15</v>
      </c>
      <c r="G666" s="940" t="s">
        <v>2300</v>
      </c>
      <c r="H666" s="940" t="s">
        <v>1237</v>
      </c>
      <c r="I666" s="958">
        <v>43785</v>
      </c>
      <c r="J666" s="958">
        <v>45364</v>
      </c>
      <c r="K666" s="661"/>
      <c r="L666" s="661"/>
    </row>
    <row r="667" spans="1:12">
      <c r="A667" s="661"/>
      <c r="B667" s="940">
        <v>670</v>
      </c>
      <c r="C667" s="940" t="s">
        <v>1395</v>
      </c>
      <c r="D667" s="940" t="s">
        <v>772</v>
      </c>
      <c r="E667" s="940"/>
      <c r="F667" s="957">
        <v>3</v>
      </c>
      <c r="G667" s="940" t="s">
        <v>1812</v>
      </c>
      <c r="H667" s="940" t="s">
        <v>1237</v>
      </c>
      <c r="I667" s="958">
        <v>43785</v>
      </c>
      <c r="J667" s="958">
        <v>45364</v>
      </c>
      <c r="K667" s="661"/>
      <c r="L667" s="661"/>
    </row>
    <row r="668" spans="1:12">
      <c r="A668" s="661"/>
      <c r="B668" s="940">
        <v>672</v>
      </c>
      <c r="C668" s="940" t="s">
        <v>1395</v>
      </c>
      <c r="D668" s="940" t="s">
        <v>773</v>
      </c>
      <c r="E668" s="940"/>
      <c r="F668" s="957">
        <v>2.5</v>
      </c>
      <c r="G668" s="940" t="s">
        <v>1812</v>
      </c>
      <c r="H668" s="940" t="s">
        <v>1237</v>
      </c>
      <c r="I668" s="958">
        <v>43785</v>
      </c>
      <c r="J668" s="958">
        <v>45364</v>
      </c>
      <c r="K668" s="661"/>
      <c r="L668" s="661"/>
    </row>
    <row r="669" spans="1:12">
      <c r="A669" s="661"/>
      <c r="B669" s="940">
        <v>673</v>
      </c>
      <c r="C669" s="940" t="s">
        <v>1395</v>
      </c>
      <c r="D669" s="940" t="s">
        <v>774</v>
      </c>
      <c r="E669" s="940"/>
      <c r="F669" s="957">
        <v>5</v>
      </c>
      <c r="G669" s="940" t="s">
        <v>1812</v>
      </c>
      <c r="H669" s="940" t="s">
        <v>1237</v>
      </c>
      <c r="I669" s="958">
        <v>43785</v>
      </c>
      <c r="J669" s="958">
        <v>45364</v>
      </c>
      <c r="K669" s="661"/>
      <c r="L669" s="661"/>
    </row>
    <row r="670" spans="1:12">
      <c r="A670" s="661"/>
      <c r="B670" s="940">
        <v>674</v>
      </c>
      <c r="C670" s="940" t="s">
        <v>1395</v>
      </c>
      <c r="D670" s="940" t="s">
        <v>775</v>
      </c>
      <c r="E670" s="940"/>
      <c r="F670" s="957">
        <v>6</v>
      </c>
      <c r="G670" s="940" t="s">
        <v>1812</v>
      </c>
      <c r="H670" s="940" t="s">
        <v>1237</v>
      </c>
      <c r="I670" s="958">
        <v>43785</v>
      </c>
      <c r="J670" s="958">
        <v>45364</v>
      </c>
      <c r="K670" s="661"/>
      <c r="L670" s="661"/>
    </row>
    <row r="671" spans="1:12">
      <c r="A671" s="661"/>
      <c r="B671" s="940">
        <v>675</v>
      </c>
      <c r="C671" s="940" t="s">
        <v>1395</v>
      </c>
      <c r="D671" s="940" t="s">
        <v>770</v>
      </c>
      <c r="E671" s="940"/>
      <c r="F671" s="957">
        <v>4</v>
      </c>
      <c r="G671" s="940" t="s">
        <v>1812</v>
      </c>
      <c r="H671" s="940" t="s">
        <v>1237</v>
      </c>
      <c r="I671" s="958">
        <v>43785</v>
      </c>
      <c r="J671" s="958">
        <v>45364</v>
      </c>
      <c r="K671" s="661"/>
      <c r="L671" s="661"/>
    </row>
    <row r="672" spans="1:12">
      <c r="A672" s="661"/>
      <c r="B672" s="940">
        <v>676</v>
      </c>
      <c r="C672" s="940" t="s">
        <v>1395</v>
      </c>
      <c r="D672" s="940" t="s">
        <v>780</v>
      </c>
      <c r="E672" s="940"/>
      <c r="F672" s="957">
        <v>60</v>
      </c>
      <c r="G672" s="940" t="s">
        <v>2260</v>
      </c>
      <c r="H672" s="940" t="s">
        <v>1237</v>
      </c>
      <c r="I672" s="958">
        <v>43785</v>
      </c>
      <c r="J672" s="958">
        <v>45364</v>
      </c>
      <c r="K672" s="661"/>
      <c r="L672" s="661"/>
    </row>
    <row r="673" spans="1:12">
      <c r="A673" s="661"/>
      <c r="B673" s="940">
        <v>677</v>
      </c>
      <c r="C673" s="940" t="s">
        <v>1395</v>
      </c>
      <c r="D673" s="940" t="s">
        <v>776</v>
      </c>
      <c r="E673" s="940"/>
      <c r="F673" s="957">
        <v>7</v>
      </c>
      <c r="G673" s="940" t="s">
        <v>2260</v>
      </c>
      <c r="H673" s="940" t="s">
        <v>1237</v>
      </c>
      <c r="I673" s="958">
        <v>43785</v>
      </c>
      <c r="J673" s="958">
        <v>45364</v>
      </c>
      <c r="K673" s="661"/>
      <c r="L673" s="661"/>
    </row>
    <row r="674" spans="1:12">
      <c r="A674" s="661"/>
      <c r="B674" s="940">
        <v>678</v>
      </c>
      <c r="C674" s="940" t="s">
        <v>1395</v>
      </c>
      <c r="D674" s="940" t="s">
        <v>777</v>
      </c>
      <c r="E674" s="940"/>
      <c r="F674" s="957">
        <v>5</v>
      </c>
      <c r="G674" s="940" t="s">
        <v>1812</v>
      </c>
      <c r="H674" s="940" t="s">
        <v>1237</v>
      </c>
      <c r="I674" s="958">
        <v>43785</v>
      </c>
      <c r="J674" s="958">
        <v>45364</v>
      </c>
      <c r="K674" s="661"/>
      <c r="L674" s="661"/>
    </row>
    <row r="675" spans="1:12">
      <c r="A675" s="661"/>
      <c r="B675" s="940">
        <v>679</v>
      </c>
      <c r="C675" s="940" t="s">
        <v>1395</v>
      </c>
      <c r="D675" s="940" t="s">
        <v>778</v>
      </c>
      <c r="E675" s="940"/>
      <c r="F675" s="957">
        <v>5</v>
      </c>
      <c r="G675" s="940" t="s">
        <v>1812</v>
      </c>
      <c r="H675" s="940" t="s">
        <v>1237</v>
      </c>
      <c r="I675" s="958">
        <v>43785</v>
      </c>
      <c r="J675" s="958">
        <v>45364</v>
      </c>
      <c r="K675" s="661"/>
      <c r="L675" s="661"/>
    </row>
    <row r="676" spans="1:12">
      <c r="A676" s="661"/>
      <c r="B676" s="935">
        <v>680</v>
      </c>
      <c r="C676" s="935" t="s">
        <v>1395</v>
      </c>
      <c r="D676" s="935" t="s">
        <v>779</v>
      </c>
      <c r="E676" s="935"/>
      <c r="F676" s="960">
        <v>2</v>
      </c>
      <c r="G676" s="935" t="s">
        <v>1812</v>
      </c>
      <c r="H676" s="935" t="s">
        <v>1237</v>
      </c>
      <c r="I676" s="961">
        <v>43785</v>
      </c>
      <c r="J676" s="961">
        <v>45364</v>
      </c>
      <c r="K676" s="661"/>
      <c r="L676" s="661"/>
    </row>
    <row r="677" spans="1:12">
      <c r="A677" s="661"/>
      <c r="B677" s="940">
        <v>681</v>
      </c>
      <c r="C677" s="939" t="s">
        <v>2002</v>
      </c>
      <c r="D677" s="940" t="s">
        <v>2301</v>
      </c>
      <c r="E677" s="940"/>
      <c r="F677" s="957">
        <v>154</v>
      </c>
      <c r="G677" s="939" t="s">
        <v>2155</v>
      </c>
      <c r="H677" s="940" t="s">
        <v>1660</v>
      </c>
      <c r="I677" s="956">
        <v>45386</v>
      </c>
      <c r="J677" s="956">
        <v>45386</v>
      </c>
      <c r="K677" s="661"/>
      <c r="L677" s="661"/>
    </row>
    <row r="678" spans="1:12">
      <c r="A678" s="661"/>
      <c r="B678" s="943">
        <v>682</v>
      </c>
      <c r="C678" s="943" t="s">
        <v>1395</v>
      </c>
      <c r="D678" s="943" t="s">
        <v>781</v>
      </c>
      <c r="E678" s="943"/>
      <c r="F678" s="967">
        <v>120</v>
      </c>
      <c r="G678" s="932" t="s">
        <v>2302</v>
      </c>
      <c r="H678" s="962" t="s">
        <v>1237</v>
      </c>
      <c r="I678" s="968">
        <v>43785</v>
      </c>
      <c r="J678" s="968">
        <v>45364</v>
      </c>
      <c r="K678" s="661"/>
      <c r="L678" s="661"/>
    </row>
    <row r="679" spans="1:12">
      <c r="A679" s="661"/>
      <c r="B679" s="940">
        <v>683</v>
      </c>
      <c r="C679" s="940" t="s">
        <v>1521</v>
      </c>
      <c r="D679" s="947" t="s">
        <v>2303</v>
      </c>
      <c r="E679" s="940"/>
      <c r="F679" s="969">
        <v>19</v>
      </c>
      <c r="G679" s="940" t="s">
        <v>2304</v>
      </c>
      <c r="H679" s="940" t="s">
        <v>1237</v>
      </c>
      <c r="I679" s="956">
        <v>45017</v>
      </c>
      <c r="J679" s="956">
        <v>45415</v>
      </c>
      <c r="K679" s="661"/>
      <c r="L679" s="661"/>
    </row>
    <row r="680" spans="1:12">
      <c r="A680" s="661"/>
      <c r="B680" s="940">
        <v>684</v>
      </c>
      <c r="C680" s="940" t="s">
        <v>1521</v>
      </c>
      <c r="D680" s="947" t="s">
        <v>2305</v>
      </c>
      <c r="E680" s="940"/>
      <c r="F680" s="969">
        <v>26.25</v>
      </c>
      <c r="G680" s="940" t="s">
        <v>2304</v>
      </c>
      <c r="H680" s="940" t="s">
        <v>1237</v>
      </c>
      <c r="I680" s="956">
        <v>45017</v>
      </c>
      <c r="J680" s="956">
        <v>45415</v>
      </c>
      <c r="K680" s="661"/>
      <c r="L680" s="661"/>
    </row>
    <row r="681" spans="1:12">
      <c r="A681" s="661"/>
      <c r="B681" s="940">
        <v>685</v>
      </c>
      <c r="C681" s="940" t="s">
        <v>1521</v>
      </c>
      <c r="D681" s="936" t="s">
        <v>2306</v>
      </c>
      <c r="E681" s="935"/>
      <c r="F681" s="970">
        <v>1.84</v>
      </c>
      <c r="G681" s="935" t="s">
        <v>2307</v>
      </c>
      <c r="H681" s="940" t="s">
        <v>1237</v>
      </c>
      <c r="I681" s="956">
        <v>45017</v>
      </c>
      <c r="J681" s="946">
        <v>45415</v>
      </c>
      <c r="K681" s="661"/>
      <c r="L681" s="661"/>
    </row>
    <row r="682" spans="1:12">
      <c r="A682" s="661"/>
      <c r="B682" s="935">
        <v>686</v>
      </c>
      <c r="C682" s="971" t="s">
        <v>1521</v>
      </c>
      <c r="D682" s="935" t="s">
        <v>2308</v>
      </c>
      <c r="E682" s="935"/>
      <c r="F682" s="960">
        <v>8</v>
      </c>
      <c r="G682" s="971" t="s">
        <v>2304</v>
      </c>
      <c r="H682" s="935" t="s">
        <v>1237</v>
      </c>
      <c r="I682" s="972">
        <v>45017</v>
      </c>
      <c r="J682" s="946">
        <v>45415</v>
      </c>
      <c r="K682" s="661"/>
      <c r="L682" s="661"/>
    </row>
    <row r="683" spans="1:12">
      <c r="A683" s="661"/>
      <c r="B683" s="940">
        <v>687</v>
      </c>
      <c r="C683" s="939" t="s">
        <v>2002</v>
      </c>
      <c r="D683" s="940" t="s">
        <v>2309</v>
      </c>
      <c r="E683" s="940"/>
      <c r="F683" s="957">
        <v>1</v>
      </c>
      <c r="G683" s="940" t="s">
        <v>2310</v>
      </c>
      <c r="H683" s="940" t="s">
        <v>408</v>
      </c>
      <c r="I683" s="956">
        <v>45386</v>
      </c>
      <c r="J683" s="956">
        <v>45386</v>
      </c>
      <c r="K683" s="661"/>
      <c r="L683" s="661"/>
    </row>
    <row r="684" spans="1:12">
      <c r="A684" s="661"/>
      <c r="B684" s="962">
        <v>688</v>
      </c>
      <c r="C684" s="962" t="s">
        <v>1726</v>
      </c>
      <c r="D684" s="962" t="s">
        <v>2311</v>
      </c>
      <c r="E684" s="962"/>
      <c r="F684" s="963">
        <v>20</v>
      </c>
      <c r="G684" s="962" t="s">
        <v>2310</v>
      </c>
      <c r="H684" s="962" t="s">
        <v>408</v>
      </c>
      <c r="I684" s="964">
        <v>45419</v>
      </c>
      <c r="J684" s="964">
        <v>45419</v>
      </c>
      <c r="K684" s="661"/>
      <c r="L684" s="661"/>
    </row>
    <row r="685" spans="1:12">
      <c r="A685" s="661"/>
      <c r="B685" s="940">
        <v>689</v>
      </c>
      <c r="C685" s="940" t="s">
        <v>1521</v>
      </c>
      <c r="D685" s="940" t="s">
        <v>2312</v>
      </c>
      <c r="E685" s="940"/>
      <c r="F685" s="957">
        <v>17.5</v>
      </c>
      <c r="G685" s="940" t="s">
        <v>2313</v>
      </c>
      <c r="H685" s="940" t="s">
        <v>1237</v>
      </c>
      <c r="I685" s="958">
        <v>45017</v>
      </c>
      <c r="J685" s="958">
        <v>45415</v>
      </c>
      <c r="K685" s="661"/>
      <c r="L685" s="661"/>
    </row>
    <row r="686" spans="1:12">
      <c r="A686" s="661"/>
      <c r="B686" s="940">
        <v>690</v>
      </c>
      <c r="C686" s="940" t="s">
        <v>1521</v>
      </c>
      <c r="D686" s="940" t="s">
        <v>2314</v>
      </c>
      <c r="E686" s="940"/>
      <c r="F686" s="957">
        <v>24.3</v>
      </c>
      <c r="G686" s="940" t="s">
        <v>2313</v>
      </c>
      <c r="H686" s="940" t="s">
        <v>1237</v>
      </c>
      <c r="I686" s="958">
        <v>45017</v>
      </c>
      <c r="J686" s="958">
        <v>45415</v>
      </c>
      <c r="K686" s="661"/>
      <c r="L686" s="661"/>
    </row>
    <row r="687" spans="1:12">
      <c r="A687" s="661"/>
      <c r="B687" s="940">
        <v>691</v>
      </c>
      <c r="C687" s="940" t="s">
        <v>1521</v>
      </c>
      <c r="D687" s="940" t="s">
        <v>2315</v>
      </c>
      <c r="E687" s="940"/>
      <c r="F687" s="957">
        <v>5</v>
      </c>
      <c r="G687" s="940" t="s">
        <v>2313</v>
      </c>
      <c r="H687" s="940" t="s">
        <v>1237</v>
      </c>
      <c r="I687" s="958">
        <v>45017</v>
      </c>
      <c r="J687" s="958">
        <v>45415</v>
      </c>
      <c r="K687" s="661"/>
      <c r="L687" s="661"/>
    </row>
    <row r="688" spans="1:12">
      <c r="A688" s="661"/>
      <c r="B688" s="935">
        <v>692</v>
      </c>
      <c r="C688" s="935" t="s">
        <v>1521</v>
      </c>
      <c r="D688" s="935" t="s">
        <v>2316</v>
      </c>
      <c r="E688" s="935"/>
      <c r="F688" s="960">
        <v>0.9</v>
      </c>
      <c r="G688" s="935" t="s">
        <v>2317</v>
      </c>
      <c r="H688" s="935" t="s">
        <v>1237</v>
      </c>
      <c r="I688" s="961">
        <v>45017</v>
      </c>
      <c r="J688" s="961">
        <v>45415</v>
      </c>
      <c r="K688" s="661"/>
      <c r="L688" s="661"/>
    </row>
    <row r="689" spans="1:12">
      <c r="A689" s="661"/>
      <c r="B689" s="940">
        <v>693</v>
      </c>
      <c r="C689" s="940" t="s">
        <v>1570</v>
      </c>
      <c r="D689" s="940" t="s">
        <v>272</v>
      </c>
      <c r="E689" s="940"/>
      <c r="F689" s="957">
        <v>1</v>
      </c>
      <c r="G689" s="940" t="s">
        <v>2304</v>
      </c>
      <c r="H689" s="940" t="s">
        <v>2318</v>
      </c>
      <c r="I689" s="940"/>
      <c r="J689" s="940"/>
      <c r="K689" s="661"/>
      <c r="L689" s="661"/>
    </row>
    <row r="690" spans="1:12">
      <c r="A690" s="661"/>
      <c r="B690" s="935">
        <v>694</v>
      </c>
      <c r="C690" s="936" t="s">
        <v>1726</v>
      </c>
      <c r="D690" s="936" t="s">
        <v>2319</v>
      </c>
      <c r="E690" s="936"/>
      <c r="F690" s="936">
        <v>45</v>
      </c>
      <c r="G690" s="936" t="s">
        <v>1659</v>
      </c>
      <c r="H690" s="935" t="s">
        <v>1237</v>
      </c>
      <c r="I690" s="961">
        <v>43785</v>
      </c>
      <c r="J690" s="961">
        <v>45495</v>
      </c>
      <c r="K690" s="661"/>
      <c r="L690" s="661"/>
    </row>
    <row r="691" spans="1:12">
      <c r="A691" s="661"/>
      <c r="B691" s="940">
        <v>695</v>
      </c>
      <c r="C691" s="939" t="s">
        <v>2002</v>
      </c>
      <c r="D691" s="939" t="s">
        <v>2320</v>
      </c>
      <c r="E691" s="940"/>
      <c r="F691" s="957">
        <v>15</v>
      </c>
      <c r="G691" s="939" t="s">
        <v>311</v>
      </c>
      <c r="H691" s="940" t="s">
        <v>1237</v>
      </c>
      <c r="I691" s="958">
        <v>43785</v>
      </c>
      <c r="J691" s="958">
        <v>45364</v>
      </c>
      <c r="K691" s="661"/>
      <c r="L691" s="661"/>
    </row>
    <row r="692" spans="1:12">
      <c r="A692" s="661"/>
      <c r="B692" s="943">
        <v>696</v>
      </c>
      <c r="C692" s="943" t="s">
        <v>1570</v>
      </c>
      <c r="D692" s="943" t="s">
        <v>2321</v>
      </c>
      <c r="E692" s="943"/>
      <c r="F692" s="943">
        <v>0.24</v>
      </c>
      <c r="G692" s="943" t="s">
        <v>2322</v>
      </c>
      <c r="H692" s="943" t="s">
        <v>2036</v>
      </c>
      <c r="I692" s="973">
        <v>45573</v>
      </c>
      <c r="J692" s="973">
        <v>45573</v>
      </c>
      <c r="K692" s="661"/>
      <c r="L692" s="661"/>
    </row>
    <row r="693" spans="1:12">
      <c r="A693" s="661"/>
      <c r="B693" s="940">
        <v>697</v>
      </c>
      <c r="C693" s="939" t="s">
        <v>2002</v>
      </c>
      <c r="D693" s="940" t="s">
        <v>2323</v>
      </c>
      <c r="E693" s="940"/>
      <c r="F693" s="957">
        <v>0.21</v>
      </c>
      <c r="G693" s="939" t="s">
        <v>2322</v>
      </c>
      <c r="H693" s="940" t="s">
        <v>1660</v>
      </c>
      <c r="I693" s="956">
        <v>45474</v>
      </c>
      <c r="J693" s="956">
        <v>45474</v>
      </c>
      <c r="K693" s="661"/>
      <c r="L693" s="661"/>
    </row>
    <row r="694" spans="1:12">
      <c r="A694" s="661"/>
      <c r="B694" s="943">
        <v>698</v>
      </c>
      <c r="C694" s="943" t="s">
        <v>1570</v>
      </c>
      <c r="D694" s="943" t="s">
        <v>2324</v>
      </c>
      <c r="E694" s="943"/>
      <c r="F694" s="967"/>
      <c r="G694" s="943" t="s">
        <v>1573</v>
      </c>
      <c r="H694" s="943" t="s">
        <v>1237</v>
      </c>
      <c r="I694" s="968">
        <v>43466</v>
      </c>
      <c r="J694" s="968">
        <v>43466</v>
      </c>
      <c r="K694" s="661"/>
      <c r="L694" s="661"/>
    </row>
    <row r="695" spans="1:12">
      <c r="A695" s="661"/>
      <c r="B695" s="940">
        <v>699</v>
      </c>
      <c r="C695" s="940" t="s">
        <v>1312</v>
      </c>
      <c r="D695" s="940" t="s">
        <v>2325</v>
      </c>
      <c r="E695" s="940"/>
      <c r="F695" s="940">
        <v>4138</v>
      </c>
      <c r="G695" s="940" t="s">
        <v>91</v>
      </c>
      <c r="H695" s="940" t="s">
        <v>2036</v>
      </c>
      <c r="I695" s="956">
        <v>45350</v>
      </c>
      <c r="J695" s="956">
        <v>45350</v>
      </c>
      <c r="K695" s="661"/>
      <c r="L695" s="661"/>
    </row>
    <row r="696" spans="1:12">
      <c r="A696" s="661"/>
      <c r="B696" s="935">
        <v>700</v>
      </c>
      <c r="C696" s="949" t="s">
        <v>1235</v>
      </c>
      <c r="D696" s="929" t="s">
        <v>2326</v>
      </c>
      <c r="E696" s="929" t="s">
        <v>1238</v>
      </c>
      <c r="F696" s="929">
        <v>30</v>
      </c>
      <c r="G696" s="929" t="s">
        <v>2327</v>
      </c>
      <c r="H696" s="929" t="s">
        <v>2328</v>
      </c>
      <c r="I696" s="950">
        <v>45656</v>
      </c>
      <c r="J696" s="950">
        <v>45656</v>
      </c>
      <c r="K696" s="661"/>
      <c r="L696" s="661"/>
    </row>
    <row r="697" spans="1:12">
      <c r="A697" s="661"/>
      <c r="B697" s="940">
        <v>701</v>
      </c>
      <c r="C697" s="924" t="s">
        <v>1235</v>
      </c>
      <c r="D697" s="751" t="s">
        <v>2329</v>
      </c>
      <c r="E697" s="751" t="s">
        <v>1238</v>
      </c>
      <c r="F697" s="751">
        <v>9.6</v>
      </c>
      <c r="G697" s="751" t="s">
        <v>2330</v>
      </c>
      <c r="H697" s="751" t="s">
        <v>2331</v>
      </c>
      <c r="I697" s="925">
        <v>45656</v>
      </c>
      <c r="J697" s="925">
        <v>45656</v>
      </c>
      <c r="K697" s="661"/>
      <c r="L697" s="661"/>
    </row>
    <row r="698" spans="1:12">
      <c r="A698" s="661"/>
      <c r="B698" s="935">
        <v>702</v>
      </c>
      <c r="C698" s="924" t="s">
        <v>1235</v>
      </c>
      <c r="D698" s="751" t="s">
        <v>2332</v>
      </c>
      <c r="E698" s="751" t="s">
        <v>1238</v>
      </c>
      <c r="F698" s="751">
        <v>2.08</v>
      </c>
      <c r="G698" s="751" t="s">
        <v>2327</v>
      </c>
      <c r="H698" s="751" t="s">
        <v>2328</v>
      </c>
      <c r="I698" s="925">
        <v>45656</v>
      </c>
      <c r="J698" s="925">
        <v>45656</v>
      </c>
      <c r="K698" s="661"/>
      <c r="L698" s="661"/>
    </row>
    <row r="699" spans="1:12">
      <c r="A699" s="661"/>
      <c r="B699" s="935">
        <v>703</v>
      </c>
      <c r="C699" s="942" t="s">
        <v>1235</v>
      </c>
      <c r="D699" s="933" t="s">
        <v>2333</v>
      </c>
      <c r="E699" s="933" t="s">
        <v>1238</v>
      </c>
      <c r="F699" s="933">
        <v>2.08</v>
      </c>
      <c r="G699" s="933" t="s">
        <v>2327</v>
      </c>
      <c r="H699" s="933" t="s">
        <v>2328</v>
      </c>
      <c r="I699" s="934">
        <v>45656</v>
      </c>
      <c r="J699" s="934">
        <v>45656</v>
      </c>
      <c r="K699" s="661"/>
      <c r="L699" s="661"/>
    </row>
    <row r="700" spans="1:12">
      <c r="A700" s="661"/>
      <c r="B700" s="935">
        <v>704</v>
      </c>
      <c r="C700" s="974" t="s">
        <v>804</v>
      </c>
      <c r="D700" s="974" t="s">
        <v>2334</v>
      </c>
      <c r="E700" s="974" t="s">
        <v>1238</v>
      </c>
      <c r="F700" s="974">
        <v>78.5</v>
      </c>
      <c r="G700" s="974" t="s">
        <v>1628</v>
      </c>
      <c r="H700" s="974" t="s">
        <v>1237</v>
      </c>
      <c r="I700" s="975">
        <v>45386</v>
      </c>
      <c r="J700" s="975">
        <v>45386</v>
      </c>
      <c r="K700" s="661"/>
      <c r="L700" s="661"/>
    </row>
    <row r="701" spans="1:12">
      <c r="A701" s="661"/>
      <c r="B701" s="935">
        <v>705</v>
      </c>
      <c r="C701" s="974" t="s">
        <v>804</v>
      </c>
      <c r="D701" s="974" t="s">
        <v>2335</v>
      </c>
      <c r="E701" s="974" t="s">
        <v>1238</v>
      </c>
      <c r="F701" s="974">
        <v>94.3</v>
      </c>
      <c r="G701" s="974" t="s">
        <v>1628</v>
      </c>
      <c r="H701" s="974" t="s">
        <v>1237</v>
      </c>
      <c r="I701" s="975">
        <v>45386</v>
      </c>
      <c r="J701" s="975">
        <v>45386</v>
      </c>
      <c r="K701" s="661"/>
      <c r="L701" s="661"/>
    </row>
    <row r="702" spans="1:12">
      <c r="A702" s="661"/>
      <c r="B702" s="935">
        <v>706</v>
      </c>
      <c r="C702" s="974" t="s">
        <v>804</v>
      </c>
      <c r="D702" s="974" t="s">
        <v>2336</v>
      </c>
      <c r="E702" s="974" t="s">
        <v>1238</v>
      </c>
      <c r="F702" s="974">
        <v>0.5</v>
      </c>
      <c r="G702" s="974" t="s">
        <v>1628</v>
      </c>
      <c r="H702" s="974" t="s">
        <v>1237</v>
      </c>
      <c r="I702" s="975">
        <v>45386</v>
      </c>
      <c r="J702" s="975">
        <v>45386</v>
      </c>
      <c r="K702" s="661"/>
      <c r="L702" s="661"/>
    </row>
    <row r="703" spans="1:12">
      <c r="A703" s="661"/>
      <c r="B703" s="935">
        <v>707</v>
      </c>
      <c r="C703" s="974" t="s">
        <v>804</v>
      </c>
      <c r="D703" s="974" t="s">
        <v>2337</v>
      </c>
      <c r="E703" s="974" t="s">
        <v>1238</v>
      </c>
      <c r="F703" s="974">
        <v>38</v>
      </c>
      <c r="G703" s="974" t="s">
        <v>1628</v>
      </c>
      <c r="H703" s="974" t="s">
        <v>1237</v>
      </c>
      <c r="I703" s="975">
        <v>45386</v>
      </c>
      <c r="J703" s="975">
        <v>45386</v>
      </c>
      <c r="K703" s="661"/>
      <c r="L703" s="661"/>
    </row>
    <row r="704" spans="1:12">
      <c r="A704" s="661"/>
      <c r="B704" s="935">
        <v>708</v>
      </c>
      <c r="C704" s="974" t="s">
        <v>804</v>
      </c>
      <c r="D704" s="974" t="s">
        <v>2338</v>
      </c>
      <c r="E704" s="974" t="s">
        <v>1238</v>
      </c>
      <c r="F704" s="974">
        <v>40</v>
      </c>
      <c r="G704" s="974" t="s">
        <v>1628</v>
      </c>
      <c r="H704" s="974" t="s">
        <v>1237</v>
      </c>
      <c r="I704" s="975">
        <v>45386</v>
      </c>
      <c r="J704" s="975">
        <v>45386</v>
      </c>
      <c r="K704" s="661"/>
      <c r="L704" s="661"/>
    </row>
    <row r="705" spans="1:12">
      <c r="A705" s="661"/>
      <c r="B705" s="935">
        <v>709</v>
      </c>
      <c r="C705" s="974" t="s">
        <v>804</v>
      </c>
      <c r="D705" s="974" t="s">
        <v>2339</v>
      </c>
      <c r="E705" s="974" t="s">
        <v>1238</v>
      </c>
      <c r="F705" s="974">
        <v>52</v>
      </c>
      <c r="G705" s="974" t="s">
        <v>1628</v>
      </c>
      <c r="H705" s="974" t="s">
        <v>1237</v>
      </c>
      <c r="I705" s="975">
        <v>45386</v>
      </c>
      <c r="J705" s="975">
        <v>45386</v>
      </c>
      <c r="K705" s="661"/>
      <c r="L705" s="661"/>
    </row>
    <row r="706" spans="1:12">
      <c r="A706" s="661"/>
      <c r="B706" s="935">
        <v>710</v>
      </c>
      <c r="C706" s="974" t="s">
        <v>804</v>
      </c>
      <c r="D706" s="974" t="s">
        <v>2340</v>
      </c>
      <c r="E706" s="974" t="s">
        <v>1238</v>
      </c>
      <c r="F706" s="974">
        <v>57</v>
      </c>
      <c r="G706" s="974" t="s">
        <v>1628</v>
      </c>
      <c r="H706" s="974" t="s">
        <v>1237</v>
      </c>
      <c r="I706" s="975">
        <v>45386</v>
      </c>
      <c r="J706" s="975">
        <v>45386</v>
      </c>
      <c r="K706" s="661"/>
      <c r="L706" s="661"/>
    </row>
    <row r="707" spans="1:12">
      <c r="A707" s="661"/>
      <c r="B707" s="935">
        <v>711</v>
      </c>
      <c r="C707" s="974" t="s">
        <v>804</v>
      </c>
      <c r="D707" s="974" t="s">
        <v>2341</v>
      </c>
      <c r="E707" s="974" t="s">
        <v>1238</v>
      </c>
      <c r="F707" s="974">
        <v>85</v>
      </c>
      <c r="G707" s="974" t="s">
        <v>1628</v>
      </c>
      <c r="H707" s="974" t="s">
        <v>1237</v>
      </c>
      <c r="I707" s="975">
        <v>45386</v>
      </c>
      <c r="J707" s="975">
        <v>45386</v>
      </c>
      <c r="K707" s="661"/>
      <c r="L707" s="661"/>
    </row>
    <row r="708" spans="1:12">
      <c r="A708" s="661"/>
      <c r="B708" s="935">
        <v>712</v>
      </c>
      <c r="C708" s="976" t="s">
        <v>804</v>
      </c>
      <c r="D708" s="976" t="s">
        <v>2342</v>
      </c>
      <c r="E708" s="976" t="s">
        <v>1238</v>
      </c>
      <c r="F708" s="976">
        <v>101</v>
      </c>
      <c r="G708" s="976" t="s">
        <v>1628</v>
      </c>
      <c r="H708" s="976" t="s">
        <v>1237</v>
      </c>
      <c r="I708" s="975">
        <v>45386</v>
      </c>
      <c r="J708" s="975">
        <v>45386</v>
      </c>
      <c r="K708" s="661"/>
      <c r="L708" s="661"/>
    </row>
    <row r="709" spans="1:12">
      <c r="A709" s="661"/>
      <c r="B709" s="935">
        <v>713</v>
      </c>
      <c r="C709" s="976" t="s">
        <v>804</v>
      </c>
      <c r="D709" s="976" t="s">
        <v>2343</v>
      </c>
      <c r="E709" s="976" t="s">
        <v>1238</v>
      </c>
      <c r="F709" s="976">
        <v>120</v>
      </c>
      <c r="G709" s="976" t="s">
        <v>1628</v>
      </c>
      <c r="H709" s="976" t="s">
        <v>1237</v>
      </c>
      <c r="I709" s="977">
        <v>45386</v>
      </c>
      <c r="J709" s="978">
        <v>45386</v>
      </c>
      <c r="K709" s="661"/>
      <c r="L709" s="661"/>
    </row>
    <row r="710" spans="1:12">
      <c r="A710" s="661"/>
      <c r="B710" s="940">
        <v>714</v>
      </c>
      <c r="C710" s="940" t="s">
        <v>2002</v>
      </c>
      <c r="D710" s="940" t="s">
        <v>2344</v>
      </c>
      <c r="E710" s="940"/>
      <c r="F710" s="940">
        <v>300</v>
      </c>
      <c r="G710" s="940" t="s">
        <v>2345</v>
      </c>
      <c r="H710" s="974" t="s">
        <v>1237</v>
      </c>
      <c r="I710" s="975">
        <v>45910</v>
      </c>
      <c r="J710" s="975">
        <v>45910</v>
      </c>
      <c r="K710" s="661"/>
      <c r="L710" s="661"/>
    </row>
    <row r="711" spans="1:12">
      <c r="A711" s="661"/>
      <c r="B711" s="962">
        <v>715</v>
      </c>
      <c r="C711" s="962" t="s">
        <v>2346</v>
      </c>
      <c r="D711" s="962" t="s">
        <v>2347</v>
      </c>
      <c r="E711" s="962"/>
      <c r="F711" s="962">
        <v>2.1</v>
      </c>
      <c r="G711" s="962" t="s">
        <v>1628</v>
      </c>
      <c r="H711" s="962" t="s">
        <v>2036</v>
      </c>
      <c r="I711" s="965">
        <v>45938</v>
      </c>
      <c r="J711" s="965">
        <v>45938</v>
      </c>
      <c r="K711" s="661"/>
      <c r="L711" s="661"/>
    </row>
    <row r="712" spans="1:12">
      <c r="A712" s="661"/>
      <c r="B712" s="935">
        <v>716</v>
      </c>
      <c r="C712" s="935" t="s">
        <v>2346</v>
      </c>
      <c r="D712" s="935" t="s">
        <v>2348</v>
      </c>
      <c r="E712" s="935"/>
      <c r="F712" s="935">
        <v>3.5</v>
      </c>
      <c r="G712" s="935" t="s">
        <v>1628</v>
      </c>
      <c r="H712" s="935" t="s">
        <v>2036</v>
      </c>
      <c r="I712" s="946">
        <v>45938</v>
      </c>
      <c r="J712" s="946">
        <v>45938</v>
      </c>
      <c r="K712" s="661"/>
      <c r="L712" s="661"/>
    </row>
    <row r="713" spans="1:12">
      <c r="A713" s="661"/>
      <c r="B713" s="940">
        <v>717</v>
      </c>
      <c r="C713" s="940" t="s">
        <v>2346</v>
      </c>
      <c r="D713" s="940" t="s">
        <v>2349</v>
      </c>
      <c r="E713" s="940"/>
      <c r="F713" s="940">
        <v>6.5</v>
      </c>
      <c r="G713" s="940" t="s">
        <v>1628</v>
      </c>
      <c r="H713" s="940" t="s">
        <v>2036</v>
      </c>
      <c r="I713" s="956">
        <v>45938</v>
      </c>
      <c r="J713" s="956">
        <v>45938</v>
      </c>
      <c r="K713" s="661"/>
      <c r="L713" s="661"/>
    </row>
    <row r="714" spans="1:12">
      <c r="A714" s="661"/>
      <c r="B714" s="935">
        <v>718</v>
      </c>
      <c r="C714" s="935" t="s">
        <v>105</v>
      </c>
      <c r="D714" s="935" t="s">
        <v>2350</v>
      </c>
      <c r="E714" s="935"/>
      <c r="F714" s="935">
        <v>113</v>
      </c>
      <c r="G714" s="935" t="s">
        <v>311</v>
      </c>
      <c r="H714" s="935" t="s">
        <v>2036</v>
      </c>
      <c r="I714" s="946">
        <v>45954</v>
      </c>
      <c r="J714" s="946">
        <v>45954</v>
      </c>
      <c r="K714" s="661"/>
      <c r="L714" s="661"/>
    </row>
    <row r="715" spans="1:12">
      <c r="A715" s="661"/>
      <c r="B715" s="940">
        <v>719</v>
      </c>
      <c r="C715" s="940" t="s">
        <v>1991</v>
      </c>
      <c r="D715" s="940" t="s">
        <v>2351</v>
      </c>
      <c r="E715" s="940"/>
      <c r="F715" s="940">
        <v>15</v>
      </c>
      <c r="G715" s="940" t="s">
        <v>1611</v>
      </c>
      <c r="H715" s="940" t="s">
        <v>2036</v>
      </c>
      <c r="I715" s="956">
        <v>45954</v>
      </c>
      <c r="J715" s="956">
        <v>45954</v>
      </c>
      <c r="K715" s="661"/>
      <c r="L715" s="661"/>
    </row>
  </sheetData>
  <sheetProtection selectLockedCells="1"/>
  <protectedRanges>
    <protectedRange sqref="D435:G435 C436:G436 I434:J436 E527:G664 C527:C664 C523:G526 C419:J433 C665:G681 C682:E682 G682 C418:G418 I418:J418 B683:G683 B684:H684 E685:G688 B685:C690 D689:G690 I689:J689 B691:G691 B692:J692 C695:J695 B694:B695 B696:J715" name="Range1"/>
    <protectedRange sqref="B693:G693" name="Range1_1"/>
  </protectedRange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6"/>
  <dimension ref="A1:X38"/>
  <sheetViews>
    <sheetView workbookViewId="0">
      <selection activeCell="H25" sqref="H25:H26"/>
    </sheetView>
  </sheetViews>
  <sheetFormatPr defaultRowHeight="15"/>
  <cols>
    <col min="1" max="1" width="22" bestFit="1" customWidth="1"/>
    <col min="2" max="2" width="10.140625" bestFit="1" customWidth="1"/>
    <col min="3" max="3" width="11.5703125" bestFit="1" customWidth="1"/>
    <col min="4" max="15" width="10.5703125" style="6" customWidth="1"/>
    <col min="24" max="24" width="16.140625" bestFit="1" customWidth="1"/>
  </cols>
  <sheetData>
    <row r="1" spans="1:24">
      <c r="A1" s="665" t="s">
        <v>870</v>
      </c>
      <c r="B1" s="666" t="s">
        <v>49</v>
      </c>
      <c r="C1" s="666" t="s">
        <v>50</v>
      </c>
      <c r="D1" s="666" t="s">
        <v>51</v>
      </c>
      <c r="E1" s="666" t="s">
        <v>52</v>
      </c>
      <c r="F1" s="666" t="s">
        <v>53</v>
      </c>
      <c r="G1" s="666" t="s">
        <v>54</v>
      </c>
      <c r="H1" s="666" t="s">
        <v>55</v>
      </c>
      <c r="I1" s="666" t="s">
        <v>56</v>
      </c>
      <c r="J1" s="666" t="s">
        <v>871</v>
      </c>
      <c r="K1" s="666" t="s">
        <v>58</v>
      </c>
      <c r="L1" s="666" t="s">
        <v>59</v>
      </c>
      <c r="M1" s="666" t="s">
        <v>60</v>
      </c>
      <c r="N1" s="666" t="s">
        <v>61</v>
      </c>
      <c r="O1" s="666" t="s">
        <v>62</v>
      </c>
      <c r="P1" s="666" t="s">
        <v>872</v>
      </c>
      <c r="Q1" s="666" t="s">
        <v>64</v>
      </c>
      <c r="R1" s="666" t="s">
        <v>65</v>
      </c>
      <c r="S1" s="666" t="s">
        <v>873</v>
      </c>
      <c r="T1" s="666" t="s">
        <v>67</v>
      </c>
      <c r="U1" s="666" t="s">
        <v>68</v>
      </c>
      <c r="V1" s="666" t="s">
        <v>874</v>
      </c>
      <c r="W1" s="666" t="s">
        <v>875</v>
      </c>
      <c r="X1" s="666" t="s">
        <v>876</v>
      </c>
    </row>
    <row r="2" spans="1:24">
      <c r="A2" s="667" t="s">
        <v>877</v>
      </c>
      <c r="B2" s="668">
        <v>2.2499999999999999E-2</v>
      </c>
      <c r="C2" s="669">
        <v>0</v>
      </c>
      <c r="D2" s="668">
        <v>1.4999999999999999E-2</v>
      </c>
      <c r="E2" s="670">
        <v>5.0000000000000001E-3</v>
      </c>
      <c r="F2" s="669">
        <v>0.01</v>
      </c>
      <c r="G2" s="670">
        <v>5.0000000000000001E-3</v>
      </c>
      <c r="H2" s="669">
        <v>0</v>
      </c>
      <c r="I2" s="669">
        <v>0</v>
      </c>
      <c r="J2" s="669">
        <v>0</v>
      </c>
      <c r="K2" s="669">
        <v>0</v>
      </c>
      <c r="L2" s="669">
        <v>0.02</v>
      </c>
      <c r="M2" s="669">
        <v>0</v>
      </c>
      <c r="N2" s="669">
        <v>0</v>
      </c>
      <c r="O2" s="669">
        <v>0</v>
      </c>
      <c r="P2" s="669">
        <v>0</v>
      </c>
      <c r="Q2" s="669">
        <v>0</v>
      </c>
      <c r="R2" s="669">
        <v>0.15</v>
      </c>
      <c r="S2" s="669">
        <v>0</v>
      </c>
      <c r="T2" s="669">
        <v>0.08</v>
      </c>
      <c r="U2" s="669">
        <v>0.08</v>
      </c>
      <c r="V2" s="669">
        <v>0.03</v>
      </c>
      <c r="W2" s="671">
        <v>0</v>
      </c>
      <c r="X2" s="671">
        <v>0</v>
      </c>
    </row>
    <row r="3" spans="1:24">
      <c r="A3" s="667" t="s">
        <v>878</v>
      </c>
      <c r="B3" s="668">
        <v>2.2499999999999999E-2</v>
      </c>
      <c r="C3" s="669">
        <v>0</v>
      </c>
      <c r="D3" s="668">
        <v>1.4999999999999999E-2</v>
      </c>
      <c r="E3" s="670">
        <v>5.0000000000000001E-3</v>
      </c>
      <c r="F3" s="669">
        <v>0.01</v>
      </c>
      <c r="G3" s="670">
        <v>5.0000000000000001E-3</v>
      </c>
      <c r="H3" s="669">
        <v>0</v>
      </c>
      <c r="I3" s="669">
        <v>0</v>
      </c>
      <c r="J3" s="669">
        <v>0</v>
      </c>
      <c r="K3" s="669">
        <v>0</v>
      </c>
      <c r="L3" s="669">
        <v>0.02</v>
      </c>
      <c r="M3" s="669">
        <v>0</v>
      </c>
      <c r="N3" s="669">
        <v>0</v>
      </c>
      <c r="O3" s="669">
        <v>0</v>
      </c>
      <c r="P3" s="669">
        <v>0</v>
      </c>
      <c r="Q3" s="669">
        <v>0</v>
      </c>
      <c r="R3" s="669">
        <v>0.12</v>
      </c>
      <c r="S3" s="669">
        <v>0</v>
      </c>
      <c r="T3" s="669">
        <v>0.06</v>
      </c>
      <c r="U3" s="669">
        <v>0.06</v>
      </c>
      <c r="V3" s="669">
        <v>0.03</v>
      </c>
      <c r="W3" s="671">
        <v>0</v>
      </c>
      <c r="X3" s="671">
        <v>0</v>
      </c>
    </row>
    <row r="4" spans="1:24">
      <c r="A4" s="667" t="s">
        <v>879</v>
      </c>
      <c r="B4" s="668">
        <v>2.2499999999999999E-2</v>
      </c>
      <c r="C4" s="669">
        <v>0</v>
      </c>
      <c r="D4" s="668">
        <v>1.4999999999999999E-2</v>
      </c>
      <c r="E4" s="670">
        <v>5.0000000000000001E-3</v>
      </c>
      <c r="F4" s="669">
        <v>0.01</v>
      </c>
      <c r="G4" s="670">
        <v>5.0000000000000001E-3</v>
      </c>
      <c r="H4" s="669">
        <v>0</v>
      </c>
      <c r="I4" s="669">
        <v>0</v>
      </c>
      <c r="J4" s="669">
        <v>0</v>
      </c>
      <c r="K4" s="669">
        <v>0</v>
      </c>
      <c r="L4" s="669">
        <v>0.02</v>
      </c>
      <c r="M4" s="669">
        <v>0</v>
      </c>
      <c r="N4" s="669">
        <v>0</v>
      </c>
      <c r="O4" s="669">
        <v>0</v>
      </c>
      <c r="P4" s="669">
        <v>0</v>
      </c>
      <c r="Q4" s="669">
        <v>0</v>
      </c>
      <c r="R4" s="669">
        <v>0.1</v>
      </c>
      <c r="S4" s="669">
        <v>0</v>
      </c>
      <c r="T4" s="669">
        <v>0.05</v>
      </c>
      <c r="U4" s="669">
        <v>0.05</v>
      </c>
      <c r="V4" s="669">
        <v>0.03</v>
      </c>
      <c r="W4" s="671">
        <v>0</v>
      </c>
      <c r="X4" s="671">
        <v>0</v>
      </c>
    </row>
    <row r="5" spans="1:24">
      <c r="A5" s="667" t="s">
        <v>880</v>
      </c>
      <c r="B5" s="668">
        <v>1.4E-2</v>
      </c>
      <c r="C5" s="669">
        <v>0</v>
      </c>
      <c r="D5" s="668">
        <v>1.4E-2</v>
      </c>
      <c r="E5" s="669">
        <v>0</v>
      </c>
      <c r="F5" s="669">
        <v>0.04</v>
      </c>
      <c r="G5" s="669">
        <v>0</v>
      </c>
      <c r="H5" s="669">
        <v>0</v>
      </c>
      <c r="I5" s="669">
        <v>0</v>
      </c>
      <c r="J5" s="669">
        <v>0</v>
      </c>
      <c r="K5" s="669">
        <v>0</v>
      </c>
      <c r="L5" s="669">
        <v>0</v>
      </c>
      <c r="M5" s="669">
        <v>0</v>
      </c>
      <c r="N5" s="669">
        <v>0</v>
      </c>
      <c r="O5" s="669">
        <v>0</v>
      </c>
      <c r="P5" s="669">
        <v>0</v>
      </c>
      <c r="Q5" s="669">
        <v>0</v>
      </c>
      <c r="R5" s="669">
        <v>7.0000000000000007E-2</v>
      </c>
      <c r="S5" s="669">
        <v>0</v>
      </c>
      <c r="T5" s="669">
        <v>0</v>
      </c>
      <c r="U5" s="669">
        <v>0.08</v>
      </c>
      <c r="V5" s="669">
        <v>0</v>
      </c>
      <c r="W5" s="671">
        <v>0</v>
      </c>
      <c r="X5" s="671">
        <v>0</v>
      </c>
    </row>
    <row r="6" spans="1:24">
      <c r="A6" s="667" t="s">
        <v>318</v>
      </c>
      <c r="B6" s="668">
        <v>2.2499999999999999E-2</v>
      </c>
      <c r="C6" s="669">
        <v>0</v>
      </c>
      <c r="D6" s="668">
        <v>2.2499999999999999E-2</v>
      </c>
      <c r="E6" s="669">
        <v>0</v>
      </c>
      <c r="F6" s="669">
        <v>0</v>
      </c>
      <c r="G6" s="669">
        <v>0</v>
      </c>
      <c r="H6" s="669">
        <v>0</v>
      </c>
      <c r="I6" s="669">
        <v>0</v>
      </c>
      <c r="J6" s="669">
        <v>0</v>
      </c>
      <c r="K6" s="669">
        <v>0</v>
      </c>
      <c r="L6" s="669">
        <v>0</v>
      </c>
      <c r="M6" s="669">
        <v>0</v>
      </c>
      <c r="N6" s="669">
        <v>0</v>
      </c>
      <c r="O6" s="669">
        <v>0</v>
      </c>
      <c r="P6" s="669">
        <v>0</v>
      </c>
      <c r="Q6" s="669">
        <v>0</v>
      </c>
      <c r="R6" s="669">
        <v>7.0000000000000007E-2</v>
      </c>
      <c r="S6" s="669">
        <v>0</v>
      </c>
      <c r="T6" s="669">
        <v>0.08</v>
      </c>
      <c r="U6" s="669">
        <v>0.08</v>
      </c>
      <c r="V6" s="669">
        <v>0.08</v>
      </c>
      <c r="W6" s="671">
        <v>0</v>
      </c>
      <c r="X6" s="671">
        <v>0</v>
      </c>
    </row>
    <row r="7" spans="1:24">
      <c r="A7" s="667" t="s">
        <v>881</v>
      </c>
      <c r="B7" s="669">
        <v>0</v>
      </c>
      <c r="C7" s="669">
        <v>0</v>
      </c>
      <c r="D7" s="668">
        <v>2.2499999999999999E-2</v>
      </c>
      <c r="E7" s="669">
        <v>0</v>
      </c>
      <c r="F7" s="669">
        <v>0</v>
      </c>
      <c r="G7" s="669">
        <v>0</v>
      </c>
      <c r="H7" s="669">
        <v>0</v>
      </c>
      <c r="I7" s="669">
        <v>0</v>
      </c>
      <c r="J7" s="669">
        <v>0</v>
      </c>
      <c r="K7" s="669">
        <v>0</v>
      </c>
      <c r="L7" s="669">
        <v>0</v>
      </c>
      <c r="M7" s="669">
        <v>0</v>
      </c>
      <c r="N7" s="669">
        <v>0</v>
      </c>
      <c r="O7" s="669">
        <v>0</v>
      </c>
      <c r="P7" s="669">
        <v>0</v>
      </c>
      <c r="Q7" s="669">
        <v>0</v>
      </c>
      <c r="R7" s="669">
        <v>0.05</v>
      </c>
      <c r="S7" s="669">
        <v>0</v>
      </c>
      <c r="T7" s="669">
        <v>7.0000000000000007E-2</v>
      </c>
      <c r="U7" s="669">
        <v>7.0000000000000007E-2</v>
      </c>
      <c r="V7" s="669">
        <v>0.02</v>
      </c>
      <c r="W7" s="671">
        <v>0</v>
      </c>
      <c r="X7" s="671">
        <v>0</v>
      </c>
    </row>
    <row r="8" spans="1:24">
      <c r="A8" s="667" t="s">
        <v>882</v>
      </c>
      <c r="B8" s="669">
        <v>0.02</v>
      </c>
      <c r="C8" s="669">
        <v>0</v>
      </c>
      <c r="D8" s="669">
        <v>0.02</v>
      </c>
      <c r="E8" s="669">
        <v>0.03</v>
      </c>
      <c r="F8" s="669">
        <v>0.03</v>
      </c>
      <c r="G8" s="669">
        <v>0.03</v>
      </c>
      <c r="H8" s="669">
        <v>0</v>
      </c>
      <c r="I8" s="669">
        <v>0</v>
      </c>
      <c r="J8" s="669">
        <v>0</v>
      </c>
      <c r="K8" s="669">
        <v>0</v>
      </c>
      <c r="L8" s="669">
        <v>0</v>
      </c>
      <c r="M8" s="669">
        <v>0</v>
      </c>
      <c r="N8" s="669">
        <v>0</v>
      </c>
      <c r="O8" s="669">
        <v>0</v>
      </c>
      <c r="P8" s="669">
        <v>0</v>
      </c>
      <c r="Q8" s="669">
        <v>0</v>
      </c>
      <c r="R8" s="670">
        <v>7.4999999999999997E-2</v>
      </c>
      <c r="S8" s="669">
        <v>0</v>
      </c>
      <c r="T8" s="669">
        <v>0</v>
      </c>
      <c r="U8" s="670">
        <v>7.4999999999999997E-2</v>
      </c>
      <c r="V8" s="669">
        <v>0</v>
      </c>
      <c r="W8" s="671">
        <v>0</v>
      </c>
      <c r="X8" s="671">
        <v>0</v>
      </c>
    </row>
    <row r="9" spans="1:24">
      <c r="A9" s="667" t="s">
        <v>883</v>
      </c>
      <c r="B9" s="668">
        <v>2.5000000000000001E-2</v>
      </c>
      <c r="C9" s="669">
        <v>0</v>
      </c>
      <c r="D9" s="668">
        <v>2.5000000000000001E-2</v>
      </c>
      <c r="E9" s="670">
        <v>0.02</v>
      </c>
      <c r="F9" s="670">
        <v>0.02</v>
      </c>
      <c r="G9" s="670">
        <v>0.02</v>
      </c>
      <c r="H9" s="669">
        <v>0</v>
      </c>
      <c r="I9" s="669">
        <v>0</v>
      </c>
      <c r="J9" s="669">
        <v>0</v>
      </c>
      <c r="K9" s="669">
        <v>0</v>
      </c>
      <c r="L9" s="669">
        <v>0</v>
      </c>
      <c r="M9" s="669">
        <v>0</v>
      </c>
      <c r="N9" s="669">
        <v>0</v>
      </c>
      <c r="O9" s="669">
        <v>0</v>
      </c>
      <c r="P9" s="669">
        <v>0</v>
      </c>
      <c r="Q9" s="670">
        <v>0</v>
      </c>
      <c r="R9" s="670">
        <v>0.05</v>
      </c>
      <c r="S9" s="670">
        <v>0</v>
      </c>
      <c r="T9" s="670">
        <v>0</v>
      </c>
      <c r="U9" s="670">
        <v>0.05</v>
      </c>
      <c r="V9" s="670">
        <v>0</v>
      </c>
      <c r="W9" s="671">
        <v>0</v>
      </c>
      <c r="X9" s="671">
        <v>0</v>
      </c>
    </row>
    <row r="10" spans="1:24">
      <c r="A10" s="667" t="s">
        <v>884</v>
      </c>
      <c r="B10" s="669">
        <v>0.04</v>
      </c>
      <c r="C10" s="669">
        <v>0</v>
      </c>
      <c r="D10" s="669">
        <v>0.04</v>
      </c>
      <c r="E10" s="669">
        <v>0</v>
      </c>
      <c r="F10" s="669">
        <v>0</v>
      </c>
      <c r="G10" s="669">
        <v>0</v>
      </c>
      <c r="H10" s="669">
        <v>0</v>
      </c>
      <c r="I10" s="669">
        <v>0</v>
      </c>
      <c r="J10" s="669">
        <v>0</v>
      </c>
      <c r="K10" s="669">
        <v>0</v>
      </c>
      <c r="L10" s="669">
        <v>0</v>
      </c>
      <c r="M10" s="669">
        <v>0</v>
      </c>
      <c r="N10" s="669">
        <v>0</v>
      </c>
      <c r="O10" s="669">
        <v>0</v>
      </c>
      <c r="P10" s="669">
        <v>0</v>
      </c>
      <c r="Q10" s="669">
        <v>0</v>
      </c>
      <c r="R10" s="669">
        <v>0</v>
      </c>
      <c r="S10" s="669">
        <v>0</v>
      </c>
      <c r="T10" s="669">
        <v>7.0000000000000007E-2</v>
      </c>
      <c r="U10" s="669">
        <v>7.0000000000000007E-2</v>
      </c>
      <c r="V10" s="669">
        <v>7.0000000000000007E-2</v>
      </c>
      <c r="W10" s="671">
        <v>0</v>
      </c>
      <c r="X10" s="671">
        <v>0</v>
      </c>
    </row>
    <row r="11" spans="1:24">
      <c r="A11" s="667" t="s">
        <v>1236</v>
      </c>
      <c r="B11" s="669">
        <v>0.02</v>
      </c>
      <c r="C11" s="669">
        <v>0</v>
      </c>
      <c r="D11" s="669">
        <v>0.02</v>
      </c>
      <c r="E11" s="669">
        <v>0</v>
      </c>
      <c r="F11" s="669">
        <v>0</v>
      </c>
      <c r="G11" s="669">
        <v>0</v>
      </c>
      <c r="H11" s="669">
        <v>0</v>
      </c>
      <c r="I11" s="669">
        <v>0</v>
      </c>
      <c r="J11" s="669">
        <v>0</v>
      </c>
      <c r="K11" s="669">
        <v>0</v>
      </c>
      <c r="L11" s="669">
        <v>0</v>
      </c>
      <c r="M11" s="669">
        <v>0</v>
      </c>
      <c r="N11" s="669">
        <v>0</v>
      </c>
      <c r="O11" s="669">
        <v>0</v>
      </c>
      <c r="P11" s="669">
        <v>0</v>
      </c>
      <c r="Q11" s="669">
        <v>0</v>
      </c>
      <c r="R11" s="669">
        <v>0</v>
      </c>
      <c r="S11" s="669">
        <v>0</v>
      </c>
      <c r="T11" s="669">
        <v>0.15</v>
      </c>
      <c r="U11" s="669">
        <v>0.15</v>
      </c>
      <c r="V11" s="669">
        <v>0.15</v>
      </c>
      <c r="W11" s="671">
        <v>0</v>
      </c>
      <c r="X11" s="671">
        <v>0</v>
      </c>
    </row>
    <row r="12" spans="1:24">
      <c r="A12" s="667" t="s">
        <v>886</v>
      </c>
      <c r="B12" s="669">
        <v>0.02</v>
      </c>
      <c r="C12" s="669">
        <v>0</v>
      </c>
      <c r="D12" s="669">
        <v>0.02</v>
      </c>
      <c r="E12" s="669">
        <v>0</v>
      </c>
      <c r="F12" s="669">
        <v>0</v>
      </c>
      <c r="G12" s="669">
        <v>0</v>
      </c>
      <c r="H12" s="669">
        <v>0</v>
      </c>
      <c r="I12" s="669">
        <v>0</v>
      </c>
      <c r="J12" s="669">
        <v>0</v>
      </c>
      <c r="K12" s="669">
        <v>0</v>
      </c>
      <c r="L12" s="669">
        <v>0</v>
      </c>
      <c r="M12" s="669">
        <v>0</v>
      </c>
      <c r="N12" s="669">
        <v>0</v>
      </c>
      <c r="O12" s="669">
        <v>0</v>
      </c>
      <c r="P12" s="669">
        <v>0</v>
      </c>
      <c r="Q12" s="669">
        <v>0</v>
      </c>
      <c r="R12" s="669">
        <v>0.2</v>
      </c>
      <c r="S12" s="669">
        <v>0</v>
      </c>
      <c r="T12" s="670">
        <v>7.4999999999999997E-2</v>
      </c>
      <c r="U12" s="670">
        <v>7.4999999999999997E-2</v>
      </c>
      <c r="V12" s="670">
        <v>7.4999999999999997E-2</v>
      </c>
      <c r="W12" s="671">
        <v>0</v>
      </c>
      <c r="X12" s="671">
        <v>0</v>
      </c>
    </row>
    <row r="13" spans="1:24">
      <c r="A13" s="667" t="s">
        <v>887</v>
      </c>
      <c r="B13" s="669">
        <v>0.03</v>
      </c>
      <c r="C13" s="669">
        <v>0</v>
      </c>
      <c r="D13" s="669">
        <v>0.03</v>
      </c>
      <c r="E13" s="669">
        <v>0.01</v>
      </c>
      <c r="F13" s="669">
        <v>0.01</v>
      </c>
      <c r="G13" s="669">
        <v>0.01</v>
      </c>
      <c r="H13" s="669">
        <v>0.01</v>
      </c>
      <c r="I13" s="669">
        <v>0.01</v>
      </c>
      <c r="J13" s="669">
        <v>0.01</v>
      </c>
      <c r="K13" s="669">
        <v>0.01</v>
      </c>
      <c r="L13" s="669">
        <v>0.01</v>
      </c>
      <c r="M13" s="669">
        <v>0.01</v>
      </c>
      <c r="N13" s="669">
        <v>0.02</v>
      </c>
      <c r="O13" s="669">
        <v>0.02</v>
      </c>
      <c r="P13" s="669">
        <v>0.02</v>
      </c>
      <c r="Q13" s="669">
        <v>0.05</v>
      </c>
      <c r="R13" s="669">
        <v>0.05</v>
      </c>
      <c r="S13" s="669">
        <v>0.05</v>
      </c>
      <c r="T13" s="669">
        <v>0.05</v>
      </c>
      <c r="U13" s="669">
        <v>0.1</v>
      </c>
      <c r="V13" s="669">
        <v>0.05</v>
      </c>
      <c r="W13" s="671">
        <v>0</v>
      </c>
      <c r="X13" s="671">
        <v>0</v>
      </c>
    </row>
    <row r="14" spans="1:24">
      <c r="A14" s="667" t="s">
        <v>77</v>
      </c>
      <c r="B14" s="668">
        <v>2.2499999999999999E-2</v>
      </c>
      <c r="C14" s="669">
        <v>0</v>
      </c>
      <c r="D14" s="668">
        <v>2.2499999999999999E-2</v>
      </c>
      <c r="E14" s="669">
        <v>0.03</v>
      </c>
      <c r="F14" s="669">
        <v>0.03</v>
      </c>
      <c r="G14" s="669">
        <v>0.03</v>
      </c>
      <c r="H14" s="669">
        <v>0</v>
      </c>
      <c r="I14" s="669">
        <v>0</v>
      </c>
      <c r="J14" s="669">
        <v>0</v>
      </c>
      <c r="K14" s="669">
        <v>0</v>
      </c>
      <c r="L14" s="669">
        <v>3.5000000000000003E-2</v>
      </c>
      <c r="M14" s="669">
        <v>0</v>
      </c>
      <c r="N14" s="669">
        <v>0</v>
      </c>
      <c r="O14" s="669">
        <v>0</v>
      </c>
      <c r="P14" s="669">
        <v>0</v>
      </c>
      <c r="Q14" s="669">
        <v>0</v>
      </c>
      <c r="R14" s="669">
        <v>7.0000000000000007E-2</v>
      </c>
      <c r="S14" s="669">
        <v>0</v>
      </c>
      <c r="T14" s="669">
        <v>0.09</v>
      </c>
      <c r="U14" s="669">
        <v>0.09</v>
      </c>
      <c r="V14" s="669">
        <v>0.09</v>
      </c>
      <c r="W14" s="671">
        <v>0</v>
      </c>
      <c r="X14" s="671">
        <v>0</v>
      </c>
    </row>
    <row r="15" spans="1:24">
      <c r="A15" s="218" t="s">
        <v>888</v>
      </c>
      <c r="B15" s="219">
        <v>2.2499999999999999E-2</v>
      </c>
      <c r="C15" s="672">
        <v>0</v>
      </c>
      <c r="D15" s="672">
        <v>0</v>
      </c>
      <c r="E15" s="220">
        <v>5.0000000000000001E-3</v>
      </c>
      <c r="F15" s="221">
        <v>0.01</v>
      </c>
      <c r="G15" s="221">
        <v>0</v>
      </c>
      <c r="H15" s="221">
        <v>0</v>
      </c>
      <c r="I15" s="221">
        <v>0</v>
      </c>
      <c r="J15" s="221">
        <v>0</v>
      </c>
      <c r="K15" s="221">
        <v>0</v>
      </c>
      <c r="L15" s="221">
        <v>0.02</v>
      </c>
      <c r="M15" s="221">
        <v>0</v>
      </c>
      <c r="N15" s="221">
        <v>0</v>
      </c>
      <c r="O15" s="221">
        <v>0</v>
      </c>
      <c r="P15" s="222">
        <v>0</v>
      </c>
      <c r="Q15" s="222">
        <v>0</v>
      </c>
      <c r="R15" s="222">
        <v>0.1</v>
      </c>
      <c r="S15" s="222">
        <v>0</v>
      </c>
      <c r="T15" s="222">
        <v>0.05</v>
      </c>
      <c r="U15" s="222">
        <v>0.05</v>
      </c>
      <c r="V15" s="222">
        <v>0.05</v>
      </c>
      <c r="W15" s="671">
        <v>0</v>
      </c>
      <c r="X15" s="671">
        <v>0</v>
      </c>
    </row>
    <row r="16" spans="1:24">
      <c r="A16" s="223" t="s">
        <v>889</v>
      </c>
      <c r="B16" s="219">
        <v>2.2499999999999999E-2</v>
      </c>
      <c r="C16" s="672">
        <v>0</v>
      </c>
      <c r="D16" s="672">
        <v>0</v>
      </c>
      <c r="E16" s="219">
        <v>5.0000000000000001E-3</v>
      </c>
      <c r="F16" s="222">
        <v>0.01</v>
      </c>
      <c r="G16" s="672">
        <v>0</v>
      </c>
      <c r="H16" s="672">
        <v>0</v>
      </c>
      <c r="I16" s="672">
        <v>0</v>
      </c>
      <c r="J16" s="672">
        <v>0</v>
      </c>
      <c r="K16" s="672">
        <v>0</v>
      </c>
      <c r="L16" s="222">
        <v>0.02</v>
      </c>
      <c r="M16" s="672">
        <v>0</v>
      </c>
      <c r="N16" s="672">
        <v>0</v>
      </c>
      <c r="O16" s="672">
        <v>0</v>
      </c>
      <c r="P16" s="672">
        <v>0</v>
      </c>
      <c r="Q16" s="672">
        <v>0</v>
      </c>
      <c r="R16" s="222">
        <v>0.05</v>
      </c>
      <c r="S16" s="672">
        <v>0</v>
      </c>
      <c r="T16" s="222">
        <v>0.08</v>
      </c>
      <c r="U16" s="222">
        <v>0.08</v>
      </c>
      <c r="V16" s="672">
        <v>0</v>
      </c>
      <c r="W16" s="671">
        <v>0</v>
      </c>
      <c r="X16" s="671">
        <v>0</v>
      </c>
    </row>
    <row r="17" spans="1:24">
      <c r="A17" s="666" t="s">
        <v>890</v>
      </c>
      <c r="B17" s="671">
        <v>0.01</v>
      </c>
      <c r="C17" s="672">
        <v>0</v>
      </c>
      <c r="D17" s="672">
        <v>0</v>
      </c>
      <c r="E17" s="673">
        <v>1.4999999999999999E-2</v>
      </c>
      <c r="F17" s="673">
        <v>1.4999999999999999E-2</v>
      </c>
      <c r="G17" s="671">
        <v>0</v>
      </c>
      <c r="H17" s="671">
        <v>0</v>
      </c>
      <c r="I17" s="671">
        <v>0</v>
      </c>
      <c r="J17" s="671">
        <v>0</v>
      </c>
      <c r="K17" s="671">
        <v>0</v>
      </c>
      <c r="L17" s="674">
        <v>0.01</v>
      </c>
      <c r="M17" s="671">
        <v>0</v>
      </c>
      <c r="N17" s="671">
        <v>0</v>
      </c>
      <c r="O17" s="671">
        <v>0</v>
      </c>
      <c r="P17" s="671">
        <v>0</v>
      </c>
      <c r="Q17" s="671">
        <v>0</v>
      </c>
      <c r="R17" s="671">
        <v>0.05</v>
      </c>
      <c r="S17" s="671">
        <v>0</v>
      </c>
      <c r="T17" s="671">
        <v>0.1</v>
      </c>
      <c r="U17" s="671">
        <v>0</v>
      </c>
      <c r="V17" s="671">
        <v>0</v>
      </c>
      <c r="W17" s="671">
        <v>0</v>
      </c>
      <c r="X17" s="671">
        <v>0</v>
      </c>
    </row>
    <row r="18" spans="1:24">
      <c r="A18" s="666" t="s">
        <v>891</v>
      </c>
      <c r="B18" s="671">
        <v>0</v>
      </c>
      <c r="C18" s="672">
        <v>0</v>
      </c>
      <c r="D18" s="675">
        <v>2.2499999999999999E-2</v>
      </c>
      <c r="E18" s="673">
        <v>0</v>
      </c>
      <c r="F18" s="673">
        <v>0</v>
      </c>
      <c r="G18" s="671">
        <v>0.01</v>
      </c>
      <c r="H18" s="671">
        <v>0</v>
      </c>
      <c r="I18" s="671">
        <v>0</v>
      </c>
      <c r="J18" s="671">
        <v>0</v>
      </c>
      <c r="K18" s="671">
        <v>0</v>
      </c>
      <c r="L18" s="671">
        <v>0</v>
      </c>
      <c r="M18" s="671">
        <v>0</v>
      </c>
      <c r="N18" s="671">
        <v>0</v>
      </c>
      <c r="O18" s="671">
        <v>0</v>
      </c>
      <c r="P18" s="671">
        <v>0.02</v>
      </c>
      <c r="Q18" s="671">
        <v>0</v>
      </c>
      <c r="R18" s="671">
        <v>0</v>
      </c>
      <c r="S18" s="671">
        <v>7.0000000000000007E-2</v>
      </c>
      <c r="T18" s="671">
        <v>0</v>
      </c>
      <c r="U18" s="671">
        <v>0</v>
      </c>
      <c r="V18" s="671">
        <v>0.08</v>
      </c>
      <c r="W18" s="671">
        <v>0.01</v>
      </c>
      <c r="X18" s="671">
        <v>0.02</v>
      </c>
    </row>
    <row r="19" spans="1:24">
      <c r="A19" s="666" t="s">
        <v>892</v>
      </c>
      <c r="B19" s="671">
        <v>0.01</v>
      </c>
      <c r="C19" s="672">
        <v>0</v>
      </c>
      <c r="D19" s="672">
        <v>0</v>
      </c>
      <c r="E19" s="671">
        <v>0.04</v>
      </c>
      <c r="F19" s="671">
        <v>0.04</v>
      </c>
      <c r="G19" s="671">
        <v>0</v>
      </c>
      <c r="H19" s="671">
        <v>0</v>
      </c>
      <c r="I19" s="671">
        <v>0</v>
      </c>
      <c r="J19" s="671">
        <v>0</v>
      </c>
      <c r="K19" s="671">
        <v>0</v>
      </c>
      <c r="L19" s="671">
        <v>0</v>
      </c>
      <c r="M19" s="671">
        <v>0</v>
      </c>
      <c r="N19" s="671">
        <v>0</v>
      </c>
      <c r="O19" s="671">
        <v>0</v>
      </c>
      <c r="P19" s="671">
        <v>0</v>
      </c>
      <c r="Q19" s="671">
        <v>0</v>
      </c>
      <c r="R19" s="671">
        <v>0.05</v>
      </c>
      <c r="S19" s="671">
        <v>0</v>
      </c>
      <c r="T19" s="671">
        <v>7.0000000000000007E-2</v>
      </c>
      <c r="U19" s="671">
        <v>7.0000000000000007E-2</v>
      </c>
      <c r="V19" s="671">
        <v>0</v>
      </c>
      <c r="W19" s="671">
        <v>0</v>
      </c>
      <c r="X19" s="671">
        <v>0</v>
      </c>
    </row>
    <row r="20" spans="1:24">
      <c r="A20" s="218" t="s">
        <v>893</v>
      </c>
      <c r="B20" s="222">
        <v>0.01</v>
      </c>
      <c r="C20" s="672">
        <v>0</v>
      </c>
      <c r="D20" s="672">
        <v>0</v>
      </c>
      <c r="E20" s="222">
        <v>0.02</v>
      </c>
      <c r="F20" s="222">
        <v>0.02</v>
      </c>
      <c r="G20" s="222">
        <v>0</v>
      </c>
      <c r="H20" s="222">
        <v>0</v>
      </c>
      <c r="I20" s="222">
        <v>0</v>
      </c>
      <c r="J20" s="222">
        <v>0</v>
      </c>
      <c r="K20" s="222">
        <v>0</v>
      </c>
      <c r="L20" s="222">
        <v>0.01</v>
      </c>
      <c r="M20" s="222">
        <v>0</v>
      </c>
      <c r="N20" s="222">
        <v>0</v>
      </c>
      <c r="O20" s="222">
        <v>0</v>
      </c>
      <c r="P20" s="222">
        <v>0</v>
      </c>
      <c r="Q20" s="222">
        <v>0</v>
      </c>
      <c r="R20" s="222">
        <v>7.0000000000000007E-2</v>
      </c>
      <c r="S20" s="222">
        <v>0</v>
      </c>
      <c r="T20" s="222">
        <v>0.08</v>
      </c>
      <c r="U20" s="222">
        <v>0.08</v>
      </c>
      <c r="V20" s="222">
        <v>0</v>
      </c>
      <c r="W20" s="222">
        <v>0</v>
      </c>
      <c r="X20" s="222">
        <v>0</v>
      </c>
    </row>
    <row r="21" spans="1:24">
      <c r="A21" s="666" t="s">
        <v>894</v>
      </c>
      <c r="B21" s="668">
        <v>2.2499999999999999E-2</v>
      </c>
      <c r="C21" s="669">
        <v>0</v>
      </c>
      <c r="D21" s="668">
        <v>2.2499999999999999E-2</v>
      </c>
      <c r="E21" s="670">
        <v>1.4999999999999999E-2</v>
      </c>
      <c r="F21" s="669">
        <v>1.4999999999999999E-2</v>
      </c>
      <c r="G21" s="670">
        <v>0.01</v>
      </c>
      <c r="H21" s="669">
        <v>0</v>
      </c>
      <c r="I21" s="669">
        <v>0</v>
      </c>
      <c r="J21" s="669">
        <v>0</v>
      </c>
      <c r="K21" s="669">
        <v>0</v>
      </c>
      <c r="L21" s="669">
        <v>0</v>
      </c>
      <c r="M21" s="669">
        <v>0</v>
      </c>
      <c r="N21" s="669">
        <v>0</v>
      </c>
      <c r="O21" s="669">
        <v>0</v>
      </c>
      <c r="P21" s="669">
        <v>0</v>
      </c>
      <c r="Q21" s="669">
        <v>0</v>
      </c>
      <c r="R21" s="669">
        <v>0.17</v>
      </c>
      <c r="S21" s="669">
        <v>0</v>
      </c>
      <c r="T21" s="669">
        <v>0.08</v>
      </c>
      <c r="U21" s="669">
        <v>0.08</v>
      </c>
      <c r="V21" s="669">
        <v>0.08</v>
      </c>
      <c r="W21" s="671">
        <v>0</v>
      </c>
      <c r="X21" s="671">
        <v>0</v>
      </c>
    </row>
    <row r="22" spans="1:24">
      <c r="A22" s="667" t="s">
        <v>72</v>
      </c>
      <c r="B22" s="669">
        <v>0</v>
      </c>
      <c r="C22" s="669">
        <v>0</v>
      </c>
      <c r="D22" s="669">
        <v>1.4999999999999999E-2</v>
      </c>
      <c r="E22" s="669">
        <v>0</v>
      </c>
      <c r="F22" s="262">
        <v>0.01</v>
      </c>
      <c r="G22" s="669">
        <v>5.0000000000000001E-3</v>
      </c>
      <c r="H22" s="669">
        <v>0</v>
      </c>
      <c r="I22" s="669">
        <v>0</v>
      </c>
      <c r="J22" s="669">
        <v>0</v>
      </c>
      <c r="K22" s="669">
        <v>0</v>
      </c>
      <c r="L22" s="262">
        <v>0.02</v>
      </c>
      <c r="M22" s="669">
        <v>0</v>
      </c>
      <c r="N22" s="669">
        <v>0</v>
      </c>
      <c r="O22" s="669">
        <v>0</v>
      </c>
      <c r="P22" s="669">
        <v>0</v>
      </c>
      <c r="Q22" s="669">
        <v>0</v>
      </c>
      <c r="R22" s="263">
        <v>0.12</v>
      </c>
      <c r="S22" s="669">
        <v>0</v>
      </c>
      <c r="T22" s="669">
        <v>0</v>
      </c>
      <c r="U22" s="263">
        <v>0.06</v>
      </c>
      <c r="V22" s="669">
        <v>0.03</v>
      </c>
      <c r="W22" s="671">
        <v>0</v>
      </c>
      <c r="X22" s="671">
        <v>0</v>
      </c>
    </row>
    <row r="23" spans="1:24">
      <c r="A23" s="667" t="s">
        <v>1235</v>
      </c>
      <c r="B23" s="669">
        <v>0.02</v>
      </c>
      <c r="C23" s="669">
        <v>0.02</v>
      </c>
      <c r="D23" s="669">
        <v>0</v>
      </c>
      <c r="E23" s="670">
        <v>5.0000000000000001E-3</v>
      </c>
      <c r="F23" s="752">
        <v>5.0000000000000001E-3</v>
      </c>
      <c r="G23" s="669">
        <v>0</v>
      </c>
      <c r="H23" s="669">
        <v>0</v>
      </c>
      <c r="I23" s="669">
        <v>0</v>
      </c>
      <c r="J23" s="669">
        <v>0</v>
      </c>
      <c r="K23" s="669">
        <v>0</v>
      </c>
      <c r="L23" s="262">
        <v>0</v>
      </c>
      <c r="M23" s="669">
        <v>0</v>
      </c>
      <c r="N23" s="669">
        <v>0</v>
      </c>
      <c r="O23" s="669">
        <v>0</v>
      </c>
      <c r="P23" s="669">
        <v>0</v>
      </c>
      <c r="Q23" s="669">
        <v>0.06</v>
      </c>
      <c r="R23" s="263">
        <v>0.06</v>
      </c>
      <c r="S23" s="669">
        <v>0</v>
      </c>
      <c r="T23" s="670">
        <v>5.3999999999999999E-2</v>
      </c>
      <c r="U23" s="753">
        <v>5.3999999999999999E-2</v>
      </c>
      <c r="V23" s="669">
        <v>0</v>
      </c>
      <c r="W23" s="671">
        <v>0</v>
      </c>
      <c r="X23" s="671">
        <v>0</v>
      </c>
    </row>
    <row r="24" spans="1:24">
      <c r="A24" s="661"/>
      <c r="B24" s="661"/>
      <c r="C24" s="661"/>
      <c r="D24" s="676"/>
      <c r="E24" s="676"/>
      <c r="F24" s="676"/>
      <c r="G24" s="676"/>
      <c r="H24" s="676"/>
      <c r="I24" s="676"/>
      <c r="J24" s="676"/>
      <c r="K24" s="676"/>
      <c r="L24" s="676"/>
      <c r="M24" s="676"/>
      <c r="N24" s="676"/>
      <c r="O24" s="676"/>
      <c r="P24" s="661"/>
      <c r="Q24" s="661"/>
      <c r="R24" s="661"/>
      <c r="S24" s="661"/>
      <c r="T24" s="661"/>
      <c r="U24" s="661"/>
      <c r="V24" s="661"/>
      <c r="W24" s="661"/>
      <c r="X24" s="661"/>
    </row>
    <row r="25" spans="1:24">
      <c r="A25" s="661"/>
      <c r="B25" s="661"/>
      <c r="C25" s="661"/>
      <c r="D25" s="676"/>
      <c r="E25" s="676"/>
      <c r="F25" s="676"/>
      <c r="G25" s="676"/>
      <c r="H25" s="676"/>
      <c r="I25" s="676"/>
      <c r="J25" s="676"/>
      <c r="K25" s="676"/>
      <c r="L25" s="676"/>
      <c r="M25" s="676"/>
      <c r="N25" s="676"/>
      <c r="O25" s="676"/>
      <c r="P25" s="661"/>
      <c r="Q25" s="661"/>
      <c r="R25" s="661"/>
      <c r="S25" s="661"/>
      <c r="T25" s="661"/>
      <c r="U25" s="661"/>
      <c r="V25" s="661"/>
      <c r="W25" s="661"/>
      <c r="X25" s="661"/>
    </row>
    <row r="26" spans="1:24">
      <c r="A26" s="661"/>
      <c r="B26" s="661"/>
      <c r="C26" s="661"/>
      <c r="D26" s="676"/>
      <c r="E26" s="676"/>
      <c r="F26" s="676"/>
      <c r="G26" s="676"/>
      <c r="H26" s="676"/>
      <c r="I26" s="676"/>
      <c r="J26" s="676"/>
      <c r="K26" s="676"/>
      <c r="L26" s="676"/>
      <c r="M26" s="676"/>
      <c r="N26" s="676"/>
      <c r="O26" s="676"/>
      <c r="P26" s="661"/>
      <c r="Q26" s="661"/>
      <c r="R26" s="661"/>
      <c r="S26" s="661"/>
      <c r="T26" s="661"/>
      <c r="U26" s="661"/>
      <c r="V26" s="661"/>
      <c r="W26" s="661"/>
      <c r="X26" s="661"/>
    </row>
    <row r="27" spans="1:24">
      <c r="A27" s="661"/>
      <c r="B27" s="661"/>
      <c r="C27" s="661"/>
      <c r="D27" s="676"/>
      <c r="E27" s="676"/>
      <c r="F27" s="676"/>
      <c r="G27" s="676"/>
      <c r="H27" s="676"/>
      <c r="I27" s="676"/>
      <c r="J27" s="676"/>
      <c r="K27" s="676"/>
      <c r="L27" s="676"/>
      <c r="M27" s="676"/>
      <c r="N27" s="676"/>
      <c r="O27" s="676"/>
      <c r="P27" s="661"/>
      <c r="Q27" s="661"/>
      <c r="R27" s="661"/>
      <c r="S27" s="661"/>
      <c r="T27" s="661"/>
      <c r="U27" s="661"/>
      <c r="V27" s="661"/>
      <c r="W27" s="661"/>
      <c r="X27" s="661"/>
    </row>
    <row r="28" spans="1:24">
      <c r="A28" s="661"/>
      <c r="B28" s="661"/>
      <c r="C28" s="661"/>
      <c r="D28" s="676"/>
      <c r="E28" s="676"/>
      <c r="F28" s="676"/>
      <c r="G28" s="676"/>
      <c r="H28" s="676"/>
      <c r="I28" s="676"/>
      <c r="J28" s="676"/>
      <c r="K28" s="676"/>
      <c r="L28" s="676"/>
      <c r="M28" s="676"/>
      <c r="N28" s="676"/>
      <c r="O28" s="676"/>
      <c r="P28" s="661"/>
      <c r="Q28" s="661"/>
      <c r="R28" s="661"/>
      <c r="S28" s="661"/>
      <c r="T28" s="661"/>
      <c r="U28" s="661"/>
      <c r="V28" s="661"/>
      <c r="W28" s="661"/>
      <c r="X28" s="661"/>
    </row>
    <row r="29" spans="1:24">
      <c r="A29" s="661"/>
      <c r="B29" s="661"/>
      <c r="C29" s="661"/>
      <c r="D29" s="676"/>
      <c r="E29" s="676"/>
      <c r="F29" s="676"/>
      <c r="G29" s="676"/>
      <c r="H29" s="676"/>
      <c r="I29" s="676"/>
      <c r="J29" s="676"/>
      <c r="K29" s="676"/>
      <c r="L29" s="676"/>
      <c r="M29" s="676"/>
      <c r="N29" s="676"/>
      <c r="O29" s="676"/>
      <c r="P29" s="661"/>
      <c r="Q29" s="661"/>
      <c r="R29" s="661"/>
      <c r="S29" s="661"/>
      <c r="T29" s="661"/>
      <c r="U29" s="661"/>
      <c r="V29" s="661"/>
      <c r="W29" s="661"/>
      <c r="X29" s="661"/>
    </row>
    <row r="30" spans="1:24">
      <c r="A30" s="661"/>
      <c r="B30" s="661"/>
      <c r="C30" s="661"/>
      <c r="D30" s="676"/>
      <c r="E30" s="676"/>
      <c r="F30" s="676"/>
      <c r="G30" s="676"/>
      <c r="H30" s="676"/>
      <c r="I30" s="676"/>
      <c r="J30" s="676"/>
      <c r="K30" s="676"/>
      <c r="L30" s="676"/>
      <c r="M30" s="676"/>
      <c r="N30" s="676"/>
      <c r="O30" s="676"/>
      <c r="P30" s="661"/>
      <c r="Q30" s="661"/>
      <c r="R30" s="661"/>
      <c r="S30" s="661"/>
      <c r="T30" s="661"/>
      <c r="U30" s="661"/>
      <c r="V30" s="661"/>
      <c r="W30" s="661"/>
      <c r="X30" s="661"/>
    </row>
    <row r="31" spans="1:24">
      <c r="A31" s="661"/>
      <c r="B31" s="661"/>
      <c r="C31" s="661"/>
      <c r="D31" s="661"/>
      <c r="E31" s="661"/>
      <c r="F31" s="661"/>
      <c r="G31" s="661"/>
      <c r="H31" s="661"/>
      <c r="I31" s="661"/>
      <c r="J31" s="661"/>
      <c r="K31" s="661"/>
      <c r="L31" s="661"/>
      <c r="M31" s="661"/>
      <c r="N31" s="661"/>
      <c r="O31" s="661"/>
      <c r="P31" s="661"/>
      <c r="Q31" s="661"/>
      <c r="R31" s="661"/>
      <c r="S31" s="661"/>
      <c r="T31" s="661"/>
      <c r="U31" s="661"/>
      <c r="V31" s="661"/>
      <c r="W31" s="661"/>
      <c r="X31" s="661"/>
    </row>
    <row r="32" spans="1:24">
      <c r="A32" s="661"/>
      <c r="B32" s="661"/>
      <c r="C32" s="661"/>
      <c r="D32" s="661"/>
      <c r="E32" s="661"/>
      <c r="F32" s="661"/>
      <c r="G32" s="661"/>
      <c r="H32" s="661"/>
      <c r="I32" s="661"/>
      <c r="J32" s="661"/>
      <c r="K32" s="661"/>
      <c r="L32" s="661"/>
      <c r="M32" s="661"/>
      <c r="N32" s="661"/>
      <c r="O32" s="661"/>
      <c r="P32" s="661"/>
      <c r="Q32" s="661"/>
      <c r="R32" s="661"/>
      <c r="S32" s="661"/>
      <c r="T32" s="661"/>
      <c r="U32" s="661"/>
      <c r="V32" s="661"/>
      <c r="W32" s="661"/>
      <c r="X32" s="661"/>
    </row>
    <row r="33" spans="1:24">
      <c r="A33" s="661"/>
      <c r="B33" s="661"/>
      <c r="C33" s="661"/>
      <c r="D33" s="661"/>
      <c r="E33" s="661"/>
      <c r="F33" s="661"/>
      <c r="G33" s="661"/>
      <c r="H33" s="661"/>
      <c r="I33" s="661"/>
      <c r="J33" s="661"/>
      <c r="K33" s="661"/>
      <c r="L33" s="661"/>
      <c r="M33" s="661"/>
      <c r="N33" s="661"/>
      <c r="O33" s="661"/>
      <c r="P33" s="661"/>
      <c r="Q33" s="661"/>
      <c r="R33" s="661"/>
      <c r="S33" s="661"/>
      <c r="T33" s="661"/>
      <c r="U33" s="661"/>
      <c r="V33" s="661"/>
      <c r="W33" s="661"/>
      <c r="X33" s="661"/>
    </row>
    <row r="34" spans="1:24">
      <c r="A34" s="661"/>
      <c r="B34" s="661"/>
      <c r="C34" s="661"/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61"/>
      <c r="Q34" s="661"/>
      <c r="R34" s="661"/>
      <c r="S34" s="661"/>
      <c r="T34" s="661"/>
      <c r="U34" s="661"/>
      <c r="V34" s="661"/>
      <c r="W34" s="661"/>
      <c r="X34" s="661"/>
    </row>
    <row r="35" spans="1:24">
      <c r="A35" s="661"/>
      <c r="B35" s="661"/>
      <c r="C35" s="661"/>
      <c r="D35" s="676"/>
      <c r="E35" s="676"/>
      <c r="F35" s="676"/>
      <c r="G35" s="676"/>
      <c r="H35" s="676"/>
      <c r="I35" s="676"/>
      <c r="J35" s="676"/>
      <c r="K35" s="676"/>
      <c r="L35" s="676"/>
      <c r="M35" s="676"/>
      <c r="N35" s="676"/>
      <c r="O35" s="676"/>
      <c r="P35" s="661"/>
      <c r="Q35" s="661"/>
      <c r="R35" s="661"/>
      <c r="S35" s="661"/>
      <c r="T35" s="661"/>
      <c r="U35" s="661"/>
      <c r="V35" s="661"/>
      <c r="W35" s="661"/>
      <c r="X35" s="661"/>
    </row>
    <row r="36" spans="1:24">
      <c r="A36" s="661"/>
      <c r="B36" s="661"/>
      <c r="C36" s="661"/>
      <c r="D36" s="676"/>
      <c r="E36" s="676"/>
      <c r="F36" s="676"/>
      <c r="G36" s="676"/>
      <c r="H36" s="676"/>
      <c r="I36" s="676"/>
      <c r="J36" s="676"/>
      <c r="K36" s="676"/>
      <c r="L36" s="676"/>
      <c r="M36" s="676"/>
      <c r="N36" s="676"/>
      <c r="O36" s="676"/>
      <c r="P36" s="661"/>
      <c r="Q36" s="661"/>
      <c r="R36" s="661"/>
      <c r="S36" s="661"/>
      <c r="T36" s="661"/>
      <c r="U36" s="661"/>
      <c r="V36" s="661"/>
      <c r="W36" s="661"/>
      <c r="X36" s="661"/>
    </row>
    <row r="37" spans="1:24">
      <c r="A37" s="661"/>
      <c r="B37" s="661"/>
      <c r="C37" s="661"/>
      <c r="D37" s="676"/>
      <c r="E37" s="676"/>
      <c r="F37" s="676"/>
      <c r="G37" s="676"/>
      <c r="H37" s="676"/>
      <c r="I37" s="676"/>
      <c r="J37" s="676"/>
      <c r="K37" s="676"/>
      <c r="L37" s="676"/>
      <c r="M37" s="676"/>
      <c r="N37" s="676"/>
      <c r="O37" s="676"/>
      <c r="P37" s="661"/>
      <c r="Q37" s="661"/>
      <c r="R37" s="661"/>
      <c r="S37" s="661"/>
      <c r="T37" s="661"/>
      <c r="U37" s="661"/>
      <c r="V37" s="661"/>
      <c r="W37" s="661"/>
      <c r="X37" s="661"/>
    </row>
    <row r="38" spans="1:24">
      <c r="A38" s="661">
        <v>1</v>
      </c>
      <c r="B38" s="661">
        <v>2</v>
      </c>
      <c r="C38" s="661">
        <v>3</v>
      </c>
      <c r="D38" s="661">
        <v>4</v>
      </c>
      <c r="E38" s="661">
        <v>5</v>
      </c>
      <c r="F38" s="661">
        <v>6</v>
      </c>
      <c r="G38" s="661">
        <v>7</v>
      </c>
      <c r="H38" s="661">
        <v>8</v>
      </c>
      <c r="I38" s="661">
        <v>9</v>
      </c>
      <c r="J38" s="661">
        <v>10</v>
      </c>
      <c r="K38" s="661">
        <v>11</v>
      </c>
      <c r="L38" s="661">
        <v>12</v>
      </c>
      <c r="M38" s="661">
        <v>13</v>
      </c>
      <c r="N38" s="661">
        <v>14</v>
      </c>
      <c r="O38" s="661">
        <v>15</v>
      </c>
      <c r="P38" s="661">
        <v>16</v>
      </c>
      <c r="Q38" s="661">
        <v>17</v>
      </c>
      <c r="R38" s="661">
        <v>18</v>
      </c>
      <c r="S38" s="661">
        <v>19</v>
      </c>
      <c r="T38" s="661">
        <v>20</v>
      </c>
      <c r="U38" s="661">
        <v>21</v>
      </c>
      <c r="V38" s="661">
        <v>22</v>
      </c>
      <c r="W38" s="661">
        <v>23</v>
      </c>
      <c r="X38" s="661">
        <v>24</v>
      </c>
    </row>
  </sheetData>
  <protectedRanges>
    <protectedRange sqref="B19 E19:F19 R19 T19:U19 B20:V20 A18:A21 B23:V30 B38:X38 A23:A38 B34:V37 B31:X33" name="Range1"/>
  </protectedRange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B4:AD99"/>
  <sheetViews>
    <sheetView topLeftCell="A7" zoomScaleNormal="100" workbookViewId="0">
      <selection activeCell="P33" sqref="P33"/>
    </sheetView>
  </sheetViews>
  <sheetFormatPr defaultColWidth="9.140625" defaultRowHeight="15"/>
  <cols>
    <col min="2" max="2" width="12.5703125" customWidth="1"/>
    <col min="3" max="3" width="13.28515625" customWidth="1"/>
    <col min="4" max="4" width="15.28515625" customWidth="1"/>
    <col min="5" max="5" width="11.7109375" bestFit="1" customWidth="1"/>
    <col min="6" max="6" width="12.5703125" customWidth="1"/>
    <col min="7" max="7" width="8.28515625" customWidth="1"/>
    <col min="8" max="8" width="4.5703125" customWidth="1"/>
    <col min="9" max="9" width="14.7109375" customWidth="1"/>
    <col min="10" max="10" width="5.28515625" customWidth="1"/>
    <col min="11" max="11" width="12.7109375" customWidth="1"/>
    <col min="12" max="12" width="1.5703125" customWidth="1"/>
    <col min="13" max="13" width="15.140625" customWidth="1"/>
    <col min="14" max="14" width="4.5703125" bestFit="1" customWidth="1"/>
    <col min="16" max="16" width="27" bestFit="1" customWidth="1"/>
    <col min="17" max="17" width="11" bestFit="1" customWidth="1"/>
    <col min="18" max="18" width="5.5703125" bestFit="1" customWidth="1"/>
    <col min="19" max="19" width="4.85546875" bestFit="1" customWidth="1"/>
    <col min="20" max="20" width="7.7109375" bestFit="1" customWidth="1"/>
    <col min="21" max="21" width="8.5703125" bestFit="1" customWidth="1"/>
    <col min="22" max="22" width="15" hidden="1" customWidth="1"/>
    <col min="23" max="23" width="3" hidden="1" customWidth="1"/>
    <col min="24" max="24" width="13.42578125" hidden="1" customWidth="1"/>
    <col min="25" max="25" width="12.7109375" hidden="1" customWidth="1"/>
    <col min="26" max="26" width="12.5703125" hidden="1" customWidth="1"/>
    <col min="27" max="28" width="12" hidden="1" customWidth="1"/>
    <col min="29" max="30" width="9.140625" hidden="1" customWidth="1"/>
    <col min="31" max="46" width="0" hidden="1" customWidth="1"/>
  </cols>
  <sheetData>
    <row r="4" spans="2:28">
      <c r="V4" t="s">
        <v>240</v>
      </c>
      <c r="W4">
        <f>B7</f>
        <v>88</v>
      </c>
    </row>
    <row r="5" spans="2:28">
      <c r="V5" t="s">
        <v>241</v>
      </c>
      <c r="W5">
        <f>C7</f>
        <v>60</v>
      </c>
    </row>
    <row r="6" spans="2:28">
      <c r="B6" s="104" t="s">
        <v>895</v>
      </c>
      <c r="C6" s="105" t="s">
        <v>896</v>
      </c>
      <c r="D6" s="106" t="s">
        <v>897</v>
      </c>
      <c r="I6" s="870" t="s">
        <v>898</v>
      </c>
      <c r="J6" s="871"/>
      <c r="K6" s="872"/>
      <c r="M6" s="870" t="s">
        <v>899</v>
      </c>
      <c r="N6" s="872"/>
      <c r="P6" s="870" t="s">
        <v>898</v>
      </c>
      <c r="Q6" s="871"/>
      <c r="R6" s="872"/>
      <c r="V6" t="s">
        <v>900</v>
      </c>
      <c r="W6">
        <f>D7</f>
        <v>8</v>
      </c>
    </row>
    <row r="7" spans="2:28">
      <c r="B7" s="107">
        <v>88</v>
      </c>
      <c r="C7" s="108">
        <v>60</v>
      </c>
      <c r="D7" s="109">
        <v>8</v>
      </c>
      <c r="I7" s="110" t="s">
        <v>901</v>
      </c>
      <c r="J7" s="111" t="s">
        <v>563</v>
      </c>
      <c r="K7" s="112">
        <v>265</v>
      </c>
      <c r="M7" s="886" t="s">
        <v>902</v>
      </c>
      <c r="N7" s="891">
        <v>0.7</v>
      </c>
      <c r="P7" s="110" t="s">
        <v>903</v>
      </c>
      <c r="Q7" s="111" t="s">
        <v>563</v>
      </c>
      <c r="R7" s="112">
        <v>265</v>
      </c>
    </row>
    <row r="8" spans="2:28">
      <c r="I8" s="113" t="s">
        <v>904</v>
      </c>
      <c r="J8" s="114" t="s">
        <v>563</v>
      </c>
      <c r="K8" s="115">
        <v>3</v>
      </c>
      <c r="M8" s="887"/>
      <c r="N8" s="889"/>
      <c r="P8" s="113" t="s">
        <v>904</v>
      </c>
      <c r="Q8" s="114" t="s">
        <v>563</v>
      </c>
      <c r="R8" s="115">
        <v>3</v>
      </c>
      <c r="V8" t="s">
        <v>905</v>
      </c>
      <c r="Y8" t="s">
        <v>906</v>
      </c>
      <c r="Z8" t="s">
        <v>907</v>
      </c>
      <c r="AA8" t="s">
        <v>908</v>
      </c>
      <c r="AB8" t="s">
        <v>909</v>
      </c>
    </row>
    <row r="9" spans="2:28">
      <c r="I9" s="110" t="s">
        <v>910</v>
      </c>
      <c r="J9" s="111" t="s">
        <v>565</v>
      </c>
      <c r="K9" s="112">
        <v>1</v>
      </c>
      <c r="M9" s="890" t="s">
        <v>911</v>
      </c>
      <c r="N9" s="891">
        <v>0.8</v>
      </c>
      <c r="P9" s="110" t="s">
        <v>910</v>
      </c>
      <c r="Q9" s="111" t="s">
        <v>565</v>
      </c>
      <c r="R9" s="112">
        <v>1</v>
      </c>
      <c r="V9">
        <f>1500*2500*$W$6*7.85/1000000</f>
        <v>235.5</v>
      </c>
      <c r="W9">
        <f>INT(1500/$W$4)</f>
        <v>17</v>
      </c>
      <c r="X9">
        <f>INT(2500/$W$5)</f>
        <v>41</v>
      </c>
      <c r="Y9">
        <f>$W$4*$W$5*$W$6*7.85/10^6</f>
        <v>0.33158399999999999</v>
      </c>
      <c r="Z9">
        <f>(V9-(AA9*Y9))/AA9</f>
        <v>6.2926140602582543E-3</v>
      </c>
      <c r="AA9">
        <f>X9*W9</f>
        <v>697</v>
      </c>
      <c r="AB9">
        <v>1500</v>
      </c>
    </row>
    <row r="10" spans="2:28">
      <c r="B10" s="884" t="s">
        <v>909</v>
      </c>
      <c r="C10" s="885"/>
      <c r="D10" s="116">
        <f>$Y$19</f>
        <v>1500</v>
      </c>
      <c r="I10" s="113" t="s">
        <v>912</v>
      </c>
      <c r="J10" s="114" t="s">
        <v>913</v>
      </c>
      <c r="K10" s="115">
        <v>620</v>
      </c>
      <c r="M10" s="890"/>
      <c r="N10" s="891"/>
      <c r="P10" s="113" t="s">
        <v>914</v>
      </c>
      <c r="Q10" s="114" t="s">
        <v>913</v>
      </c>
      <c r="R10" s="115">
        <v>620</v>
      </c>
      <c r="V10">
        <f>1500*2500*$W$6*7.85/1000000</f>
        <v>235.5</v>
      </c>
      <c r="W10">
        <f>INT(1500/$W$5)</f>
        <v>25</v>
      </c>
      <c r="X10">
        <f>INT(2500/$W$4)</f>
        <v>28</v>
      </c>
      <c r="Y10">
        <f>$W$4*$W$5*$W$6*7.85/10^6</f>
        <v>0.33158399999999999</v>
      </c>
      <c r="Z10">
        <f>(V10-(AA10*Y10))/AA10</f>
        <v>4.8445714285714255E-3</v>
      </c>
      <c r="AA10">
        <f>X10*W10</f>
        <v>700</v>
      </c>
      <c r="AB10">
        <v>1500</v>
      </c>
    </row>
    <row r="11" spans="2:28">
      <c r="B11" s="884" t="s">
        <v>915</v>
      </c>
      <c r="C11" s="885"/>
      <c r="D11" s="117">
        <v>2500</v>
      </c>
      <c r="I11" s="118" t="s">
        <v>899</v>
      </c>
      <c r="J11" s="119" t="s">
        <v>565</v>
      </c>
      <c r="K11" s="120">
        <f>IF(K10&lt;=100,N11,IF(K10&lt;350,N9,IF(K10&gt;=350,N7,0)))</f>
        <v>0.7</v>
      </c>
      <c r="M11" s="886" t="s">
        <v>916</v>
      </c>
      <c r="N11" s="888">
        <v>0.9</v>
      </c>
      <c r="V11">
        <f>1250*2500*$W$6*7.85/10^6</f>
        <v>196.25</v>
      </c>
      <c r="W11">
        <f>INT(1250/$W$4)</f>
        <v>14</v>
      </c>
      <c r="X11">
        <f>INT(2500/$W$5)</f>
        <v>41</v>
      </c>
      <c r="Y11">
        <f>$W$4*$W$5*$W$6*7.85/10^6</f>
        <v>0.33158399999999999</v>
      </c>
      <c r="Z11">
        <f>(V11-(AA11*Y11))/AA11</f>
        <v>1.0314954703832748E-2</v>
      </c>
      <c r="AA11">
        <f>X11*W11</f>
        <v>574</v>
      </c>
      <c r="AB11">
        <v>1250</v>
      </c>
    </row>
    <row r="12" spans="2:28">
      <c r="B12" s="884" t="s">
        <v>917</v>
      </c>
      <c r="C12" s="885"/>
      <c r="D12" s="121">
        <f>Y17</f>
        <v>4.8445714285714255E-3</v>
      </c>
      <c r="I12" s="122"/>
      <c r="M12" s="887"/>
      <c r="N12" s="889"/>
      <c r="P12" s="122"/>
      <c r="V12">
        <f>1250*2500*$W$6*7.85/10^6</f>
        <v>196.25</v>
      </c>
      <c r="W12">
        <f>INT(1250/$W$5)</f>
        <v>20</v>
      </c>
      <c r="X12">
        <f>INT(2500/$W$4)</f>
        <v>28</v>
      </c>
      <c r="Y12">
        <f>$W$4*$W$5*$W$6*7.85/10^6</f>
        <v>0.33158399999999999</v>
      </c>
      <c r="Z12">
        <f>(V12-(AA12*Y12))/AA12</f>
        <v>1.8862428571428579E-2</v>
      </c>
      <c r="AA12">
        <f>X12*W12</f>
        <v>560</v>
      </c>
      <c r="AB12">
        <v>1250</v>
      </c>
    </row>
    <row r="13" spans="2:28">
      <c r="B13" s="884" t="s">
        <v>918</v>
      </c>
      <c r="C13" s="885"/>
      <c r="D13" s="123">
        <f>Y18</f>
        <v>700</v>
      </c>
      <c r="I13" s="870" t="s">
        <v>919</v>
      </c>
      <c r="J13" s="871"/>
      <c r="K13" s="872"/>
      <c r="P13" s="870" t="s">
        <v>919</v>
      </c>
      <c r="Q13" s="871"/>
      <c r="R13" s="872"/>
    </row>
    <row r="14" spans="2:28">
      <c r="I14" s="118" t="s">
        <v>920</v>
      </c>
      <c r="J14" s="119" t="s">
        <v>567</v>
      </c>
      <c r="K14" s="124">
        <f>K7*K8*K11*K10*K9/1000</f>
        <v>345.03</v>
      </c>
      <c r="P14" s="118" t="s">
        <v>920</v>
      </c>
      <c r="Q14" s="119" t="s">
        <v>567</v>
      </c>
      <c r="R14" s="124">
        <f>R7*R8*R10*R9/1000</f>
        <v>492.9</v>
      </c>
    </row>
    <row r="15" spans="2:28">
      <c r="I15" s="118" t="s">
        <v>921</v>
      </c>
      <c r="J15" s="119" t="s">
        <v>568</v>
      </c>
      <c r="K15" s="124">
        <f>K14*0.11</f>
        <v>37.953299999999999</v>
      </c>
      <c r="P15" s="118" t="s">
        <v>921</v>
      </c>
      <c r="Q15" s="119" t="s">
        <v>568</v>
      </c>
      <c r="R15" s="124">
        <f>R14*0.11</f>
        <v>54.219000000000001</v>
      </c>
    </row>
    <row r="16" spans="2:28">
      <c r="W16" s="125"/>
    </row>
    <row r="17" spans="2:28">
      <c r="X17" s="126" t="s">
        <v>907</v>
      </c>
      <c r="Y17">
        <f>MIN(Z9:Z12)</f>
        <v>4.8445714285714255E-3</v>
      </c>
    </row>
    <row r="18" spans="2:28">
      <c r="U18" s="125"/>
      <c r="X18" s="126" t="s">
        <v>922</v>
      </c>
      <c r="Y18" s="126">
        <f>VLOOKUP(Y17,Z9:AB12,2,0)</f>
        <v>700</v>
      </c>
    </row>
    <row r="19" spans="2:28">
      <c r="Q19" s="243" t="s">
        <v>270</v>
      </c>
      <c r="R19" s="10" t="s">
        <v>923</v>
      </c>
      <c r="S19" s="10" t="s">
        <v>924</v>
      </c>
      <c r="T19" s="10" t="s">
        <v>925</v>
      </c>
      <c r="U19" s="10" t="s">
        <v>45</v>
      </c>
      <c r="X19" t="s">
        <v>909</v>
      </c>
      <c r="Y19">
        <f>VLOOKUP(Y17,Z9:AB12,3,0)</f>
        <v>1500</v>
      </c>
    </row>
    <row r="20" spans="2:28">
      <c r="Q20" s="244" t="s">
        <v>926</v>
      </c>
      <c r="R20" s="89">
        <v>410</v>
      </c>
      <c r="S20" s="89">
        <v>490</v>
      </c>
      <c r="T20" s="97">
        <f>R20+(S20-R20)*0.75</f>
        <v>470</v>
      </c>
      <c r="U20" s="89" t="s">
        <v>927</v>
      </c>
    </row>
    <row r="21" spans="2:28">
      <c r="Q21" s="244" t="s">
        <v>928</v>
      </c>
      <c r="R21" s="89">
        <v>490</v>
      </c>
      <c r="S21" s="89">
        <v>630</v>
      </c>
      <c r="T21" s="97">
        <f t="shared" ref="T21:T28" si="0">R21+(S21-R21)*0.75</f>
        <v>595</v>
      </c>
      <c r="U21" s="89"/>
    </row>
    <row r="22" spans="2:28">
      <c r="Q22" s="244" t="s">
        <v>929</v>
      </c>
      <c r="R22" s="89">
        <v>500</v>
      </c>
      <c r="S22" s="89">
        <v>640</v>
      </c>
      <c r="T22" s="97">
        <f t="shared" si="0"/>
        <v>605</v>
      </c>
      <c r="U22" s="89"/>
      <c r="X22" s="128"/>
      <c r="Y22" s="128"/>
      <c r="AB22" s="126"/>
    </row>
    <row r="23" spans="2:28">
      <c r="Q23" s="244" t="s">
        <v>930</v>
      </c>
      <c r="R23" s="89">
        <v>600</v>
      </c>
      <c r="S23" s="89">
        <v>760</v>
      </c>
      <c r="T23" s="97">
        <f t="shared" si="0"/>
        <v>720</v>
      </c>
      <c r="U23" s="89"/>
      <c r="AB23" s="126"/>
    </row>
    <row r="24" spans="2:28">
      <c r="Q24" s="244" t="s">
        <v>931</v>
      </c>
      <c r="R24" s="89">
        <v>750</v>
      </c>
      <c r="S24" s="89">
        <v>950</v>
      </c>
      <c r="T24" s="97">
        <f t="shared" si="0"/>
        <v>900</v>
      </c>
      <c r="U24" s="89"/>
    </row>
    <row r="25" spans="2:28">
      <c r="F25" s="870" t="s">
        <v>932</v>
      </c>
      <c r="G25" s="871"/>
      <c r="H25" s="872"/>
      <c r="L25" s="129"/>
      <c r="M25" s="130"/>
      <c r="N25" s="131"/>
      <c r="Q25" s="244" t="s">
        <v>933</v>
      </c>
      <c r="R25" s="89">
        <v>240</v>
      </c>
      <c r="S25" s="89">
        <v>400</v>
      </c>
      <c r="T25" s="97">
        <f t="shared" si="0"/>
        <v>360</v>
      </c>
      <c r="U25" s="89"/>
    </row>
    <row r="26" spans="2:28">
      <c r="B26" s="870" t="s">
        <v>934</v>
      </c>
      <c r="C26" s="871"/>
      <c r="D26" s="872"/>
      <c r="F26" s="132" t="s">
        <v>935</v>
      </c>
      <c r="G26" s="112" t="s">
        <v>563</v>
      </c>
      <c r="H26" s="112">
        <v>80</v>
      </c>
      <c r="L26" s="130"/>
      <c r="M26" s="130"/>
      <c r="N26" s="131"/>
      <c r="Q26" s="244" t="s">
        <v>936</v>
      </c>
      <c r="R26" s="89">
        <v>270</v>
      </c>
      <c r="S26" s="89">
        <v>410</v>
      </c>
      <c r="T26" s="97">
        <f t="shared" si="0"/>
        <v>375</v>
      </c>
      <c r="U26" s="89"/>
      <c r="X26" t="s">
        <v>937</v>
      </c>
      <c r="Y26" t="s">
        <v>938</v>
      </c>
    </row>
    <row r="27" spans="2:28">
      <c r="B27" s="110" t="s">
        <v>939</v>
      </c>
      <c r="C27" s="111" t="s">
        <v>563</v>
      </c>
      <c r="D27" s="112">
        <v>210</v>
      </c>
      <c r="F27" s="133" t="s">
        <v>940</v>
      </c>
      <c r="G27" s="115" t="s">
        <v>565</v>
      </c>
      <c r="H27" s="115">
        <v>1.2</v>
      </c>
      <c r="K27" s="882" t="s">
        <v>941</v>
      </c>
      <c r="L27" s="883"/>
      <c r="M27" s="883"/>
      <c r="N27" s="134">
        <v>2</v>
      </c>
      <c r="O27" s="131"/>
      <c r="Q27" s="244" t="s">
        <v>942</v>
      </c>
      <c r="R27" s="89">
        <v>270</v>
      </c>
      <c r="S27" s="89">
        <v>410</v>
      </c>
      <c r="T27" s="97">
        <f t="shared" si="0"/>
        <v>375</v>
      </c>
      <c r="U27" s="89"/>
      <c r="X27">
        <v>1</v>
      </c>
      <c r="Y27">
        <f>3.5*X27+3.8</f>
        <v>7.3</v>
      </c>
    </row>
    <row r="28" spans="2:28" ht="30">
      <c r="B28" s="135" t="s">
        <v>904</v>
      </c>
      <c r="C28" s="114" t="s">
        <v>563</v>
      </c>
      <c r="D28" s="115">
        <v>5</v>
      </c>
      <c r="F28" s="136" t="s">
        <v>943</v>
      </c>
      <c r="G28" s="137" t="s">
        <v>567</v>
      </c>
      <c r="H28" s="732">
        <f>H27*D27*D28^2*D29/H26/1000</f>
        <v>48.825000000000003</v>
      </c>
      <c r="K28" s="878" t="s">
        <v>944</v>
      </c>
      <c r="L28" s="879"/>
      <c r="M28" s="879"/>
      <c r="N28" s="138">
        <v>157</v>
      </c>
      <c r="O28" s="131"/>
      <c r="Q28" s="244" t="s">
        <v>945</v>
      </c>
      <c r="R28" s="89">
        <v>270</v>
      </c>
      <c r="S28" s="89">
        <v>410</v>
      </c>
      <c r="T28" s="97">
        <f t="shared" si="0"/>
        <v>375</v>
      </c>
      <c r="U28" s="89"/>
      <c r="X28">
        <v>2</v>
      </c>
      <c r="Y28">
        <f>3.5*X28+3.8</f>
        <v>10.8</v>
      </c>
    </row>
    <row r="29" spans="2:28">
      <c r="B29" s="118" t="s">
        <v>912</v>
      </c>
      <c r="C29" s="119" t="s">
        <v>913</v>
      </c>
      <c r="D29" s="137">
        <v>620</v>
      </c>
      <c r="H29" s="248">
        <f>H28*0.11</f>
        <v>5.3707500000000001</v>
      </c>
      <c r="I29" s="89" t="s">
        <v>516</v>
      </c>
      <c r="K29" s="873" t="s">
        <v>946</v>
      </c>
      <c r="L29" s="874"/>
      <c r="M29" s="874"/>
      <c r="N29" s="139">
        <f>N27*N28/1000</f>
        <v>0.314</v>
      </c>
      <c r="O29" s="131"/>
      <c r="Q29" s="244" t="s">
        <v>947</v>
      </c>
      <c r="R29" s="89"/>
      <c r="S29" s="89"/>
      <c r="T29" s="97">
        <v>530</v>
      </c>
      <c r="U29" s="89"/>
      <c r="X29">
        <v>3</v>
      </c>
      <c r="Y29">
        <v>14</v>
      </c>
    </row>
    <row r="30" spans="2:28">
      <c r="F30" s="870" t="s">
        <v>948</v>
      </c>
      <c r="G30" s="871"/>
      <c r="H30" s="877"/>
      <c r="K30" s="875" t="s">
        <v>949</v>
      </c>
      <c r="L30" s="876"/>
      <c r="M30" s="876"/>
      <c r="N30" s="138">
        <v>5</v>
      </c>
      <c r="O30" s="131"/>
      <c r="Q30" s="244"/>
      <c r="R30" s="89"/>
      <c r="S30" s="89"/>
      <c r="T30" s="97"/>
      <c r="U30" s="89"/>
      <c r="X30">
        <v>4</v>
      </c>
      <c r="Y30">
        <v>18.399999999999999</v>
      </c>
    </row>
    <row r="31" spans="2:28">
      <c r="F31" s="113" t="s">
        <v>940</v>
      </c>
      <c r="G31" s="115" t="s">
        <v>565</v>
      </c>
      <c r="H31" s="115">
        <v>0.2</v>
      </c>
      <c r="K31" s="875" t="s">
        <v>950</v>
      </c>
      <c r="L31" s="876"/>
      <c r="M31" s="876"/>
      <c r="N31" s="138">
        <v>84</v>
      </c>
      <c r="O31" s="131"/>
      <c r="Q31" s="244"/>
      <c r="R31" s="89"/>
      <c r="S31" s="89"/>
      <c r="T31" s="97"/>
      <c r="U31" s="89"/>
      <c r="X31">
        <v>5</v>
      </c>
      <c r="Y31">
        <v>21</v>
      </c>
    </row>
    <row r="32" spans="2:28">
      <c r="F32" s="118" t="s">
        <v>943</v>
      </c>
      <c r="G32" s="137" t="s">
        <v>567</v>
      </c>
      <c r="H32" s="120">
        <f>H31*D27*D28*D29/1000</f>
        <v>130.19999999999999</v>
      </c>
      <c r="K32" s="878" t="s">
        <v>951</v>
      </c>
      <c r="L32" s="879"/>
      <c r="M32" s="879"/>
      <c r="N32" s="140">
        <v>0.14399999999999999</v>
      </c>
      <c r="O32" s="131"/>
      <c r="Q32" s="244"/>
      <c r="R32" s="89"/>
      <c r="S32" s="89"/>
      <c r="T32" s="97"/>
      <c r="U32" s="89"/>
      <c r="X32">
        <v>6</v>
      </c>
      <c r="Y32">
        <f>3.5*X32+3.8</f>
        <v>24.8</v>
      </c>
    </row>
    <row r="33" spans="2:25">
      <c r="H33" s="248">
        <f>H32*0.11</f>
        <v>14.321999999999999</v>
      </c>
      <c r="I33" s="89" t="s">
        <v>516</v>
      </c>
      <c r="K33" s="878" t="s">
        <v>952</v>
      </c>
      <c r="L33" s="879"/>
      <c r="M33" s="879"/>
      <c r="N33" s="141">
        <f>N29*N32</f>
        <v>4.5215999999999999E-2</v>
      </c>
      <c r="O33" s="131"/>
      <c r="Q33" s="244"/>
      <c r="R33" s="89"/>
      <c r="S33" s="89"/>
      <c r="T33" s="97"/>
      <c r="U33" s="89"/>
      <c r="X33">
        <v>7</v>
      </c>
      <c r="Y33">
        <f>3.5*X33+3.8</f>
        <v>28.3</v>
      </c>
    </row>
    <row r="34" spans="2:25">
      <c r="F34" s="870" t="s">
        <v>953</v>
      </c>
      <c r="G34" s="871"/>
      <c r="H34" s="872"/>
      <c r="K34" s="880" t="s">
        <v>954</v>
      </c>
      <c r="L34" s="881"/>
      <c r="M34" s="881"/>
      <c r="N34" s="142">
        <f>N33*N31</f>
        <v>3.7981439999999997</v>
      </c>
      <c r="O34" s="131"/>
      <c r="Q34" s="244"/>
      <c r="R34" s="89"/>
      <c r="S34" s="89"/>
      <c r="T34" s="97"/>
      <c r="U34" s="89"/>
      <c r="X34">
        <v>8</v>
      </c>
      <c r="Y34">
        <f>3.5*X34+3.8</f>
        <v>31.8</v>
      </c>
    </row>
    <row r="35" spans="2:25">
      <c r="F35" s="113" t="s">
        <v>940</v>
      </c>
      <c r="G35" s="114" t="s">
        <v>565</v>
      </c>
      <c r="H35" s="115">
        <v>0.4</v>
      </c>
      <c r="L35" s="14"/>
      <c r="M35" s="14"/>
      <c r="X35">
        <v>9</v>
      </c>
      <c r="Y35">
        <f>3.5*X35+3.8</f>
        <v>35.299999999999997</v>
      </c>
    </row>
    <row r="36" spans="2:25">
      <c r="F36" s="118" t="s">
        <v>943</v>
      </c>
      <c r="G36" s="119" t="s">
        <v>567</v>
      </c>
      <c r="H36" s="120">
        <f>H35*D27*D28*D29/1000</f>
        <v>260.39999999999998</v>
      </c>
    </row>
    <row r="37" spans="2:25">
      <c r="H37" s="248">
        <f>H36*0.11</f>
        <v>28.643999999999998</v>
      </c>
      <c r="I37" s="89" t="s">
        <v>516</v>
      </c>
    </row>
    <row r="38" spans="2:25">
      <c r="F38" s="870" t="s">
        <v>955</v>
      </c>
      <c r="G38" s="871"/>
      <c r="H38" s="872"/>
      <c r="K38" s="873" t="s">
        <v>949</v>
      </c>
      <c r="L38" s="874"/>
      <c r="M38" s="874"/>
      <c r="N38" s="143">
        <v>1</v>
      </c>
    </row>
    <row r="39" spans="2:25">
      <c r="F39" s="113" t="s">
        <v>940</v>
      </c>
      <c r="G39" s="114" t="s">
        <v>565</v>
      </c>
      <c r="H39" s="115">
        <v>0.5</v>
      </c>
      <c r="K39" s="875" t="s">
        <v>956</v>
      </c>
      <c r="L39" s="876"/>
      <c r="M39" s="876"/>
      <c r="N39" s="142">
        <f>VLOOKUP(N38,$X$27:$Y$35,2,0)</f>
        <v>7.3</v>
      </c>
    </row>
    <row r="40" spans="2:25">
      <c r="F40" s="118" t="s">
        <v>943</v>
      </c>
      <c r="G40" s="119" t="s">
        <v>567</v>
      </c>
      <c r="H40" s="120">
        <f>H39*D27*D28*D29/1000</f>
        <v>325.5</v>
      </c>
    </row>
    <row r="41" spans="2:25">
      <c r="H41" s="248">
        <f>H40*0.11</f>
        <v>35.805</v>
      </c>
      <c r="I41" s="89" t="s">
        <v>516</v>
      </c>
    </row>
    <row r="47" spans="2:25">
      <c r="B47" s="15"/>
      <c r="C47" s="15"/>
      <c r="D47" s="34"/>
      <c r="E47" s="32"/>
      <c r="F47" s="33"/>
      <c r="G47" s="32"/>
      <c r="H47" s="32"/>
      <c r="I47" s="34"/>
      <c r="J47" s="14"/>
      <c r="K47" s="14"/>
      <c r="L47" s="14"/>
      <c r="M47" s="14"/>
      <c r="N47" s="14"/>
    </row>
    <row r="48" spans="2:25" ht="18.75">
      <c r="B48" s="15"/>
      <c r="C48" s="15"/>
      <c r="D48" s="34"/>
      <c r="E48" s="35"/>
      <c r="F48" s="32"/>
      <c r="G48" s="36"/>
      <c r="H48" s="36"/>
      <c r="I48" s="36"/>
      <c r="J48" s="36"/>
      <c r="K48" s="14"/>
      <c r="L48" s="29"/>
      <c r="M48" s="14"/>
    </row>
    <row r="49" spans="2:14">
      <c r="B49" s="16"/>
      <c r="C49" s="30"/>
      <c r="D49" s="30"/>
      <c r="E49" s="37"/>
      <c r="F49" s="31"/>
      <c r="G49" s="31"/>
      <c r="H49" s="32"/>
      <c r="I49" s="32"/>
      <c r="J49" s="34"/>
      <c r="K49" s="14"/>
      <c r="L49" s="14"/>
      <c r="M49" s="14"/>
      <c r="N49" s="14"/>
    </row>
    <row r="50" spans="2:14" ht="15.75">
      <c r="B50" s="16"/>
      <c r="C50" s="15"/>
      <c r="D50" s="38" t="s">
        <v>957</v>
      </c>
      <c r="E50" s="32"/>
      <c r="F50" s="32"/>
      <c r="G50" s="32"/>
      <c r="H50" s="34"/>
      <c r="I50" s="14"/>
      <c r="J50" s="14"/>
      <c r="M50" s="14"/>
      <c r="N50" s="14"/>
    </row>
    <row r="51" spans="2:14">
      <c r="B51" s="16"/>
      <c r="C51" s="15"/>
      <c r="I51" s="36"/>
      <c r="J51" s="14"/>
      <c r="M51" s="14"/>
    </row>
    <row r="52" spans="2:14">
      <c r="B52" s="16"/>
      <c r="C52" s="15"/>
      <c r="D52" s="36" t="s">
        <v>958</v>
      </c>
      <c r="E52" s="36"/>
      <c r="F52" s="36"/>
      <c r="G52" s="36" t="s">
        <v>959</v>
      </c>
      <c r="H52" s="36"/>
      <c r="I52" s="36"/>
      <c r="J52" s="14"/>
      <c r="M52" s="14"/>
    </row>
    <row r="53" spans="2:14">
      <c r="B53" s="16"/>
      <c r="C53" s="15"/>
      <c r="D53" s="36" t="s">
        <v>960</v>
      </c>
      <c r="E53" s="14"/>
      <c r="F53" s="14"/>
      <c r="G53" s="14" t="s">
        <v>961</v>
      </c>
      <c r="H53" s="36"/>
      <c r="I53" s="36"/>
      <c r="J53" s="14"/>
      <c r="M53" s="14"/>
    </row>
    <row r="54" spans="2:14">
      <c r="B54" s="16"/>
      <c r="C54" s="39"/>
      <c r="D54" s="40" t="s">
        <v>962</v>
      </c>
      <c r="E54" s="14"/>
      <c r="F54" s="36"/>
      <c r="G54" s="36"/>
      <c r="H54" s="14"/>
      <c r="I54" s="36"/>
      <c r="J54" s="14"/>
      <c r="M54" s="14"/>
    </row>
    <row r="55" spans="2:14" ht="15.75">
      <c r="B55" s="16"/>
      <c r="C55" s="41"/>
      <c r="D55" s="42"/>
      <c r="E55" s="42"/>
      <c r="F55" s="42"/>
      <c r="G55" s="36"/>
      <c r="H55" s="43"/>
      <c r="I55" s="36"/>
      <c r="J55" s="14"/>
      <c r="M55" s="14"/>
    </row>
    <row r="56" spans="2:14">
      <c r="B56" s="16"/>
      <c r="C56" s="15"/>
      <c r="F56" s="42"/>
      <c r="G56" s="36"/>
      <c r="H56" s="44"/>
      <c r="I56" s="36"/>
      <c r="J56" s="14"/>
      <c r="M56" s="14"/>
    </row>
    <row r="57" spans="2:14">
      <c r="B57" s="16"/>
      <c r="C57" s="15"/>
      <c r="D57" s="45" t="s">
        <v>963</v>
      </c>
      <c r="E57" s="46" t="s">
        <v>964</v>
      </c>
      <c r="F57" s="46" t="s">
        <v>965</v>
      </c>
      <c r="G57" s="45" t="s">
        <v>966</v>
      </c>
      <c r="H57" s="45" t="s">
        <v>967</v>
      </c>
      <c r="I57" s="45" t="s">
        <v>968</v>
      </c>
      <c r="J57" s="45" t="s">
        <v>145</v>
      </c>
      <c r="M57" s="14"/>
    </row>
    <row r="58" spans="2:14">
      <c r="B58" s="16"/>
      <c r="C58" s="15"/>
      <c r="D58" s="47"/>
      <c r="E58" s="47"/>
      <c r="F58" s="47">
        <v>8</v>
      </c>
      <c r="G58" s="47">
        <v>8</v>
      </c>
      <c r="H58" s="47">
        <v>90</v>
      </c>
      <c r="I58" s="48">
        <f>0.2187*LN(F58/G58)+0.6528</f>
        <v>0.65280000000000005</v>
      </c>
      <c r="J58" s="49">
        <f>D58+E58+(F58+I58*G58/2)*(3.14*H58/180)</f>
        <v>16.659584000000002</v>
      </c>
      <c r="M58" s="14"/>
    </row>
    <row r="59" spans="2:14" ht="15.75">
      <c r="B59" s="16"/>
      <c r="C59" s="34"/>
      <c r="D59" s="50"/>
      <c r="F59" s="14"/>
      <c r="G59" s="14"/>
      <c r="K59" s="14"/>
      <c r="L59" s="14"/>
      <c r="M59" s="14"/>
    </row>
    <row r="60" spans="2:14">
      <c r="B60" s="16"/>
      <c r="C60" s="16"/>
      <c r="D60" s="14"/>
      <c r="F60" s="14"/>
      <c r="G60" s="14"/>
      <c r="K60" s="14"/>
      <c r="L60" s="14"/>
      <c r="M60" s="14"/>
    </row>
    <row r="61" spans="2:14">
      <c r="B61" s="16"/>
      <c r="C61" s="16"/>
      <c r="M61" s="14"/>
    </row>
    <row r="62" spans="2:14">
      <c r="B62" s="15"/>
    </row>
    <row r="63" spans="2:14">
      <c r="B63" s="15"/>
      <c r="C63" s="30"/>
      <c r="D63" s="30"/>
      <c r="E63" s="37"/>
      <c r="F63" s="31"/>
      <c r="G63" s="31"/>
      <c r="H63" s="32"/>
      <c r="I63" s="32"/>
      <c r="J63" s="34"/>
      <c r="K63" s="14"/>
      <c r="L63" s="14"/>
      <c r="M63" s="14"/>
    </row>
    <row r="64" spans="2:14" ht="15.75">
      <c r="B64" s="15"/>
      <c r="C64" s="15"/>
      <c r="D64" s="38" t="s">
        <v>957</v>
      </c>
      <c r="E64" s="32"/>
      <c r="F64" s="32"/>
      <c r="G64" s="32"/>
      <c r="H64" s="34"/>
      <c r="I64" s="14"/>
      <c r="J64" s="14"/>
      <c r="M64" s="14"/>
    </row>
    <row r="65" spans="2:14">
      <c r="B65" s="15"/>
      <c r="C65" s="15"/>
      <c r="I65" s="36"/>
      <c r="J65" s="14"/>
      <c r="M65" s="14"/>
    </row>
    <row r="66" spans="2:14">
      <c r="B66" s="15"/>
      <c r="C66" s="15"/>
      <c r="D66" s="36" t="s">
        <v>958</v>
      </c>
      <c r="E66" s="36"/>
      <c r="F66" s="36"/>
      <c r="G66" s="36" t="s">
        <v>959</v>
      </c>
      <c r="H66" s="36"/>
      <c r="I66" s="36"/>
      <c r="J66" s="14"/>
      <c r="M66" s="14"/>
    </row>
    <row r="67" spans="2:14">
      <c r="B67" s="15"/>
      <c r="C67" s="15"/>
      <c r="D67" s="36" t="s">
        <v>960</v>
      </c>
      <c r="E67" s="14"/>
      <c r="F67" s="14"/>
      <c r="G67" s="14" t="s">
        <v>961</v>
      </c>
      <c r="H67" s="36"/>
      <c r="I67" s="36"/>
      <c r="J67" s="14"/>
      <c r="M67" s="14"/>
    </row>
    <row r="68" spans="2:14">
      <c r="B68" s="15"/>
      <c r="C68" s="39"/>
      <c r="D68" s="40" t="s">
        <v>962</v>
      </c>
      <c r="E68" s="14"/>
      <c r="F68" s="36"/>
      <c r="G68" s="36"/>
      <c r="H68" s="14"/>
      <c r="I68" s="36"/>
      <c r="J68" s="14"/>
      <c r="M68" s="14"/>
    </row>
    <row r="69" spans="2:14" ht="15.75">
      <c r="B69" s="15"/>
      <c r="C69" s="41"/>
      <c r="E69" s="42"/>
      <c r="F69" s="42"/>
      <c r="G69" s="36"/>
      <c r="H69" s="43"/>
      <c r="I69" s="36"/>
      <c r="J69" s="14"/>
      <c r="M69" s="14"/>
    </row>
    <row r="70" spans="2:14">
      <c r="B70" s="15"/>
      <c r="C70" s="15"/>
      <c r="F70" s="42"/>
      <c r="G70" s="36"/>
      <c r="H70" s="44"/>
      <c r="I70" s="36"/>
      <c r="J70" s="14"/>
      <c r="M70" s="14"/>
    </row>
    <row r="71" spans="2:14">
      <c r="B71" s="15"/>
      <c r="C71" s="15"/>
      <c r="D71" s="45" t="s">
        <v>963</v>
      </c>
      <c r="E71" s="46" t="s">
        <v>964</v>
      </c>
      <c r="F71" s="46" t="s">
        <v>969</v>
      </c>
      <c r="G71" s="46" t="s">
        <v>965</v>
      </c>
      <c r="H71" s="45" t="s">
        <v>966</v>
      </c>
      <c r="I71" s="45" t="s">
        <v>967</v>
      </c>
      <c r="J71" s="45" t="s">
        <v>968</v>
      </c>
      <c r="K71" s="45" t="s">
        <v>145</v>
      </c>
      <c r="M71" s="14"/>
    </row>
    <row r="72" spans="2:14">
      <c r="B72" s="15"/>
      <c r="C72" s="15"/>
      <c r="D72" s="47">
        <v>54</v>
      </c>
      <c r="E72" s="47">
        <v>87</v>
      </c>
      <c r="F72" s="47">
        <v>54</v>
      </c>
      <c r="G72" s="47">
        <v>8</v>
      </c>
      <c r="H72" s="47">
        <v>8</v>
      </c>
      <c r="I72" s="47">
        <v>90</v>
      </c>
      <c r="J72" s="48">
        <f>0.2187*LN(G72/H72)+0.6528</f>
        <v>0.65280000000000005</v>
      </c>
      <c r="K72" s="49">
        <f>D72+E72+F72+(G72+J72*H72/2)*(3.14*I72/180)*2</f>
        <v>228.31916799999999</v>
      </c>
      <c r="M72" s="14"/>
    </row>
    <row r="73" spans="2:14" ht="15.75">
      <c r="B73" s="15"/>
      <c r="C73" s="34"/>
      <c r="D73" s="50"/>
      <c r="F73" s="14"/>
      <c r="G73" s="14"/>
      <c r="K73" s="14"/>
      <c r="L73" s="14"/>
      <c r="M73" s="14"/>
    </row>
    <row r="74" spans="2:14">
      <c r="B74" s="15"/>
      <c r="C74" s="16"/>
      <c r="D74" s="14"/>
      <c r="F74" s="14"/>
      <c r="G74" s="14"/>
      <c r="K74" s="14"/>
      <c r="L74" s="14"/>
      <c r="M74" s="14"/>
    </row>
    <row r="75" spans="2:14">
      <c r="B75" s="15"/>
      <c r="C75" s="16"/>
      <c r="M75" s="14"/>
    </row>
    <row r="76" spans="2:14">
      <c r="B76" s="15"/>
      <c r="C76" s="51" t="s">
        <v>907</v>
      </c>
      <c r="D76" s="14"/>
      <c r="E76" s="34"/>
      <c r="F76" s="14"/>
      <c r="G76" s="14"/>
      <c r="J76" s="14"/>
      <c r="K76" s="14"/>
      <c r="L76" s="14"/>
      <c r="N76" s="14"/>
    </row>
    <row r="77" spans="2:14">
      <c r="B77" s="15"/>
      <c r="C77" s="29"/>
      <c r="D77" s="51" t="s">
        <v>970</v>
      </c>
      <c r="E77" s="34"/>
      <c r="F77" s="14"/>
      <c r="G77" s="14"/>
      <c r="I77" s="14"/>
      <c r="J77" s="14"/>
      <c r="K77" s="14"/>
      <c r="L77" s="14"/>
      <c r="N77" s="14"/>
    </row>
    <row r="78" spans="2:14">
      <c r="B78" s="16"/>
      <c r="C78" s="14"/>
      <c r="D78" s="52" t="s">
        <v>971</v>
      </c>
      <c r="E78" s="53" t="s">
        <v>972</v>
      </c>
      <c r="F78" s="53" t="s">
        <v>34</v>
      </c>
      <c r="G78" s="54" t="s">
        <v>46</v>
      </c>
      <c r="J78" s="14"/>
      <c r="K78" s="14"/>
      <c r="L78" s="14"/>
      <c r="N78" s="14"/>
    </row>
    <row r="79" spans="2:14">
      <c r="B79" s="16"/>
      <c r="C79" s="14"/>
      <c r="D79" s="47">
        <v>18</v>
      </c>
      <c r="E79" s="47">
        <v>8</v>
      </c>
      <c r="F79" s="53">
        <v>6</v>
      </c>
      <c r="G79" s="55">
        <f>PI()*D79^2*E79*7.86/4000000*F79</f>
        <v>9.6006066184054939E-2</v>
      </c>
      <c r="I79" s="11"/>
      <c r="J79" s="14"/>
      <c r="K79" s="14"/>
      <c r="L79" s="14"/>
      <c r="N79" s="14"/>
    </row>
    <row r="80" spans="2:14">
      <c r="B80" s="16"/>
      <c r="C80" s="29"/>
      <c r="D80" s="56"/>
      <c r="E80" s="34"/>
      <c r="F80" s="14"/>
      <c r="G80" s="14"/>
      <c r="J80" s="14"/>
      <c r="K80" s="14"/>
      <c r="L80" s="14"/>
      <c r="N80" s="14"/>
    </row>
    <row r="81" spans="2:14">
      <c r="B81" s="16"/>
      <c r="C81" s="51" t="s">
        <v>973</v>
      </c>
      <c r="D81" s="57"/>
      <c r="E81" s="34"/>
      <c r="F81" s="14"/>
      <c r="G81" s="14"/>
      <c r="J81" s="14"/>
      <c r="K81" s="14"/>
      <c r="L81" s="14"/>
      <c r="N81" s="14"/>
    </row>
    <row r="82" spans="2:14">
      <c r="B82" s="16"/>
      <c r="C82" s="52" t="s">
        <v>963</v>
      </c>
      <c r="D82" s="53" t="s">
        <v>964</v>
      </c>
      <c r="E82" s="53" t="s">
        <v>972</v>
      </c>
      <c r="F82" s="54" t="s">
        <v>34</v>
      </c>
      <c r="G82" s="54" t="s">
        <v>46</v>
      </c>
      <c r="J82" s="14"/>
      <c r="K82" s="14"/>
      <c r="L82" s="14"/>
      <c r="N82" s="14"/>
    </row>
    <row r="83" spans="2:14">
      <c r="B83" s="16"/>
      <c r="C83" s="47">
        <v>43</v>
      </c>
      <c r="D83" s="47">
        <v>43</v>
      </c>
      <c r="E83" s="47">
        <v>8</v>
      </c>
      <c r="F83" s="53">
        <v>1</v>
      </c>
      <c r="G83" s="58">
        <f>C83*D83*E83*7.86/10^6*F83</f>
        <v>0.11626512000000001</v>
      </c>
      <c r="I83" s="11"/>
      <c r="J83" s="14"/>
      <c r="K83" s="14"/>
      <c r="L83" s="14"/>
      <c r="N83" s="14"/>
    </row>
    <row r="84" spans="2:14">
      <c r="B84" s="16"/>
      <c r="C84" s="32"/>
      <c r="D84" s="32"/>
      <c r="E84" s="34"/>
      <c r="F84" s="14"/>
      <c r="G84" s="14"/>
      <c r="J84" s="14"/>
      <c r="K84" s="14"/>
      <c r="L84" s="14"/>
      <c r="N84" s="14"/>
    </row>
    <row r="85" spans="2:14">
      <c r="B85" s="16"/>
      <c r="C85" s="51" t="s">
        <v>974</v>
      </c>
      <c r="D85" s="57"/>
      <c r="E85" s="34"/>
      <c r="F85" s="14"/>
      <c r="G85" s="14"/>
      <c r="J85" s="14"/>
      <c r="K85" s="14"/>
      <c r="L85" s="14"/>
      <c r="N85" s="14"/>
    </row>
    <row r="86" spans="2:14">
      <c r="B86" s="16"/>
      <c r="C86" s="52" t="s">
        <v>963</v>
      </c>
      <c r="D86" s="53" t="s">
        <v>964</v>
      </c>
      <c r="E86" s="53" t="s">
        <v>972</v>
      </c>
      <c r="F86" s="54" t="s">
        <v>34</v>
      </c>
      <c r="G86" s="54" t="s">
        <v>46</v>
      </c>
      <c r="I86" s="14"/>
      <c r="J86" s="14"/>
      <c r="K86" s="14"/>
      <c r="L86" s="14"/>
      <c r="M86" s="14"/>
      <c r="N86" s="14"/>
    </row>
    <row r="87" spans="2:14">
      <c r="B87" s="16"/>
      <c r="C87" s="47">
        <v>70</v>
      </c>
      <c r="D87" s="47">
        <v>12</v>
      </c>
      <c r="E87" s="47">
        <v>5</v>
      </c>
      <c r="F87" s="53">
        <v>1</v>
      </c>
      <c r="G87" s="58">
        <f>C87*D87*E87*0.5*7.86/10^6*F87</f>
        <v>1.6506E-2</v>
      </c>
      <c r="I87" s="14"/>
      <c r="J87" s="14"/>
      <c r="K87" s="14"/>
      <c r="L87" s="14"/>
      <c r="M87" s="14"/>
      <c r="N87" s="14"/>
    </row>
    <row r="88" spans="2:14">
      <c r="B88" s="16"/>
      <c r="C88" s="17"/>
      <c r="D88" s="17"/>
      <c r="E88" s="17"/>
      <c r="F88" s="17"/>
      <c r="G88" s="16"/>
      <c r="H88" s="14"/>
      <c r="I88" s="14"/>
      <c r="J88" s="14"/>
      <c r="K88" s="14"/>
      <c r="L88" s="14"/>
      <c r="M88" s="14"/>
      <c r="N88" s="14"/>
    </row>
    <row r="89" spans="2:14">
      <c r="B89" s="16"/>
      <c r="C89" s="51" t="s">
        <v>975</v>
      </c>
      <c r="D89" s="17"/>
      <c r="E89" s="17"/>
      <c r="F89" s="17"/>
      <c r="G89" s="16"/>
      <c r="H89" s="14"/>
      <c r="I89" s="14"/>
      <c r="J89" s="14"/>
      <c r="K89" s="14"/>
      <c r="L89" s="14"/>
      <c r="M89" s="14"/>
      <c r="N89" s="14"/>
    </row>
    <row r="90" spans="2:14">
      <c r="B90" s="16"/>
      <c r="C90" s="52" t="s">
        <v>965</v>
      </c>
      <c r="D90" s="59" t="s">
        <v>976</v>
      </c>
      <c r="E90" s="53" t="s">
        <v>972</v>
      </c>
      <c r="F90" s="54" t="s">
        <v>34</v>
      </c>
      <c r="G90" s="54" t="s">
        <v>46</v>
      </c>
      <c r="H90" s="14"/>
      <c r="I90" s="14"/>
      <c r="J90" s="14"/>
      <c r="K90" s="14"/>
      <c r="L90" s="14"/>
      <c r="M90" s="14"/>
      <c r="N90" s="14"/>
    </row>
    <row r="91" spans="2:14">
      <c r="B91" s="16"/>
      <c r="C91" s="47">
        <v>214</v>
      </c>
      <c r="D91" s="47">
        <v>49.74</v>
      </c>
      <c r="E91" s="47">
        <v>5</v>
      </c>
      <c r="F91" s="53">
        <v>1</v>
      </c>
      <c r="G91" s="58">
        <f>(C91^2*0.5*((RADIANS(D91)-SIN(RADIANS(D91))))*E91*7.86)/10^6*F91</f>
        <v>9.449496975353204E-2</v>
      </c>
      <c r="H91" s="14"/>
      <c r="I91" s="14"/>
      <c r="J91" s="14"/>
      <c r="K91" s="14"/>
      <c r="L91" s="14"/>
      <c r="M91" s="14"/>
      <c r="N91" s="14"/>
    </row>
    <row r="92" spans="2:14">
      <c r="B92" s="16"/>
      <c r="C92" s="17"/>
      <c r="D92" s="17"/>
      <c r="E92" s="17"/>
      <c r="F92" s="17"/>
      <c r="G92" s="16"/>
      <c r="H92" s="14"/>
      <c r="I92" s="14"/>
      <c r="J92" s="14"/>
      <c r="K92" s="14"/>
      <c r="L92" s="14"/>
      <c r="M92" s="14"/>
      <c r="N92" s="14"/>
    </row>
    <row r="93" spans="2:14">
      <c r="B93" s="16"/>
      <c r="C93" s="61" t="s">
        <v>977</v>
      </c>
      <c r="D93" s="17"/>
      <c r="E93" s="17"/>
      <c r="F93" s="17"/>
      <c r="G93" s="16"/>
      <c r="H93" s="14"/>
      <c r="I93" s="60"/>
      <c r="J93" s="14"/>
      <c r="K93" s="14"/>
      <c r="L93" s="14"/>
      <c r="M93" s="14"/>
      <c r="N93" s="14"/>
    </row>
    <row r="94" spans="2:14">
      <c r="B94" s="16"/>
      <c r="C94" s="62" t="s">
        <v>978</v>
      </c>
      <c r="D94" s="62" t="s">
        <v>979</v>
      </c>
      <c r="E94" s="62" t="s">
        <v>980</v>
      </c>
      <c r="F94" s="17"/>
      <c r="G94" s="16"/>
      <c r="H94" s="14"/>
      <c r="I94" s="14"/>
      <c r="J94" s="14"/>
      <c r="K94" s="14"/>
      <c r="L94" s="14"/>
      <c r="M94" s="14"/>
      <c r="N94" s="14"/>
    </row>
    <row r="95" spans="2:14">
      <c r="B95" s="16"/>
      <c r="C95" s="47">
        <v>25</v>
      </c>
      <c r="D95" s="47">
        <v>152</v>
      </c>
      <c r="E95" s="63">
        <f>SQRT(C95^2+D95^2)</f>
        <v>154.042202009709</v>
      </c>
      <c r="F95" s="17"/>
      <c r="G95" s="16"/>
      <c r="H95" s="14"/>
      <c r="I95" s="14"/>
      <c r="J95" s="14"/>
      <c r="K95" s="14"/>
      <c r="L95" s="14"/>
      <c r="M95" s="14"/>
      <c r="N95" s="14"/>
    </row>
    <row r="96" spans="2:14">
      <c r="B96" s="16"/>
      <c r="C96" s="17"/>
      <c r="D96" s="17"/>
      <c r="E96" s="17"/>
      <c r="F96" s="17"/>
      <c r="G96" s="16"/>
      <c r="H96" s="14"/>
      <c r="I96" s="14"/>
      <c r="J96" s="14"/>
      <c r="K96" s="14"/>
      <c r="L96" s="14"/>
      <c r="M96" s="14"/>
      <c r="N96" s="14"/>
    </row>
    <row r="97" spans="2:14">
      <c r="B97" s="16"/>
      <c r="C97" s="144" t="s">
        <v>980</v>
      </c>
      <c r="D97" s="62" t="s">
        <v>981</v>
      </c>
      <c r="E97" s="62" t="s">
        <v>981</v>
      </c>
      <c r="F97" s="17"/>
      <c r="G97" s="16"/>
      <c r="H97" s="14"/>
      <c r="I97" s="14"/>
      <c r="J97" s="14"/>
      <c r="K97" s="14"/>
      <c r="L97" s="14"/>
      <c r="M97" s="14"/>
      <c r="N97" s="14"/>
    </row>
    <row r="98" spans="2:14">
      <c r="B98" s="16"/>
      <c r="C98" s="47">
        <v>110</v>
      </c>
      <c r="D98" s="47">
        <v>40</v>
      </c>
      <c r="E98" s="63">
        <f>SQRT(C98^2-D98^2)</f>
        <v>102.46950765959599</v>
      </c>
      <c r="F98" s="17"/>
      <c r="G98" s="16"/>
      <c r="H98" s="14"/>
      <c r="I98" s="14"/>
      <c r="J98" s="14"/>
      <c r="K98" s="14"/>
      <c r="L98" s="14"/>
      <c r="M98" s="14"/>
      <c r="N98" s="14"/>
    </row>
    <row r="99" spans="2:14">
      <c r="B99" s="16"/>
      <c r="C99" s="15"/>
      <c r="D99" s="16"/>
      <c r="E99" s="17"/>
      <c r="F99" s="17"/>
      <c r="G99" s="17"/>
      <c r="H99" s="17"/>
      <c r="I99" s="16"/>
      <c r="J99" s="14"/>
      <c r="K99" s="14"/>
      <c r="L99" s="14"/>
      <c r="M99" s="14"/>
      <c r="N99" s="14"/>
    </row>
  </sheetData>
  <mergeCells count="30">
    <mergeCell ref="I6:K6"/>
    <mergeCell ref="M6:N6"/>
    <mergeCell ref="P6:R6"/>
    <mergeCell ref="M7:M8"/>
    <mergeCell ref="N7:N8"/>
    <mergeCell ref="K29:M29"/>
    <mergeCell ref="B10:C10"/>
    <mergeCell ref="B11:C11"/>
    <mergeCell ref="M11:M12"/>
    <mergeCell ref="N11:N12"/>
    <mergeCell ref="B12:C12"/>
    <mergeCell ref="B13:C13"/>
    <mergeCell ref="I13:K13"/>
    <mergeCell ref="M9:M10"/>
    <mergeCell ref="N9:N10"/>
    <mergeCell ref="P13:R13"/>
    <mergeCell ref="F25:H25"/>
    <mergeCell ref="B26:D26"/>
    <mergeCell ref="K27:M27"/>
    <mergeCell ref="K28:M28"/>
    <mergeCell ref="F38:H38"/>
    <mergeCell ref="K38:M38"/>
    <mergeCell ref="K39:M39"/>
    <mergeCell ref="F30:H30"/>
    <mergeCell ref="K30:M30"/>
    <mergeCell ref="K31:M31"/>
    <mergeCell ref="K32:M32"/>
    <mergeCell ref="K33:M33"/>
    <mergeCell ref="F34:H34"/>
    <mergeCell ref="K34:M34"/>
  </mergeCells>
  <dataValidations disablePrompts="1" count="1">
    <dataValidation type="list" allowBlank="1" showInputMessage="1" showErrorMessage="1" sqref="N38" xr:uid="{00000000-0002-0000-1E00-000000000000}">
      <formula1>$X$27:$X$35</formula1>
    </dataValidation>
  </dataValidations>
  <hyperlinks>
    <hyperlink ref="D54" location="Calculation!BL18" display="q  - Correction factor " xr:uid="{00000000-0004-0000-1E00-000000000000}"/>
    <hyperlink ref="D68" location="Calculation!BL18" display="q  - Correction factor " xr:uid="{00000000-0004-0000-1E00-000001000000}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/>
  <dimension ref="A1:DO73"/>
  <sheetViews>
    <sheetView topLeftCell="A19" zoomScale="70" zoomScaleNormal="70" workbookViewId="0">
      <selection activeCell="AI20" sqref="AI20"/>
    </sheetView>
  </sheetViews>
  <sheetFormatPr defaultColWidth="9.140625" defaultRowHeight="15.75" outlineLevelCol="1"/>
  <cols>
    <col min="1" max="1" width="1.42578125" style="429" customWidth="1"/>
    <col min="2" max="2" width="38.140625" style="429" bestFit="1" customWidth="1"/>
    <col min="3" max="3" width="5.85546875" style="429" bestFit="1" customWidth="1"/>
    <col min="4" max="4" width="8.140625" style="429" bestFit="1" customWidth="1"/>
    <col min="5" max="5" width="6.28515625" style="429" customWidth="1"/>
    <col min="6" max="6" width="4.140625" style="429" customWidth="1" outlineLevel="1"/>
    <col min="7" max="7" width="5.7109375" style="429" bestFit="1" customWidth="1" outlineLevel="1"/>
    <col min="8" max="8" width="6.85546875" style="429" bestFit="1" customWidth="1" outlineLevel="1"/>
    <col min="9" max="9" width="5" style="429" bestFit="1" customWidth="1" outlineLevel="1"/>
    <col min="10" max="10" width="5" style="429" customWidth="1" outlineLevel="1"/>
    <col min="11" max="11" width="5" style="429" bestFit="1" customWidth="1" outlineLevel="1"/>
    <col min="12" max="12" width="5" style="429" customWidth="1" outlineLevel="1"/>
    <col min="13" max="13" width="5" style="429" bestFit="1" customWidth="1" outlineLevel="1"/>
    <col min="14" max="14" width="5" style="429" customWidth="1" outlineLevel="1"/>
    <col min="15" max="15" width="5" style="429" bestFit="1" customWidth="1" outlineLevel="1"/>
    <col min="16" max="16" width="5" style="429" customWidth="1" outlineLevel="1"/>
    <col min="17" max="17" width="32.140625" style="429" bestFit="1" customWidth="1" outlineLevel="1"/>
    <col min="18" max="18" width="37.42578125" style="429" hidden="1" customWidth="1" outlineLevel="1"/>
    <col min="19" max="19" width="5.85546875" style="429" hidden="1" customWidth="1" outlineLevel="1"/>
    <col min="20" max="20" width="8.28515625" style="429" hidden="1" customWidth="1" outlineLevel="1"/>
    <col min="21" max="21" width="5.85546875" style="429" hidden="1" customWidth="1" outlineLevel="1"/>
    <col min="22" max="22" width="9.140625" style="429" hidden="1" customWidth="1" outlineLevel="1"/>
    <col min="23" max="23" width="6.5703125" style="429" hidden="1" customWidth="1" outlineLevel="1"/>
    <col min="24" max="24" width="6.85546875" style="429" hidden="1" customWidth="1" outlineLevel="1"/>
    <col min="25" max="25" width="9.140625" style="429" hidden="1" customWidth="1" outlineLevel="1"/>
    <col min="26" max="26" width="6.85546875" style="429" hidden="1" customWidth="1" outlineLevel="1"/>
    <col min="27" max="27" width="7.5703125" style="429" hidden="1" customWidth="1" outlineLevel="1"/>
    <col min="28" max="28" width="9.140625" style="429" hidden="1" customWidth="1" outlineLevel="1"/>
    <col min="29" max="29" width="7.28515625" style="429" hidden="1" customWidth="1" outlineLevel="1"/>
    <col min="30" max="32" width="7.28515625" style="429" hidden="1" customWidth="1"/>
    <col min="33" max="33" width="6.28515625" style="429" bestFit="1" customWidth="1"/>
    <col min="34" max="34" width="16.85546875" style="429" bestFit="1" customWidth="1"/>
    <col min="35" max="35" width="20" style="429" bestFit="1" customWidth="1"/>
    <col min="36" max="36" width="19.5703125" style="429" bestFit="1" customWidth="1"/>
    <col min="37" max="37" width="13.140625" style="429" customWidth="1"/>
    <col min="38" max="38" width="35" style="429" bestFit="1" customWidth="1"/>
    <col min="39" max="39" width="4.5703125" style="429" customWidth="1"/>
    <col min="40" max="40" width="19.5703125" style="429" bestFit="1" customWidth="1"/>
    <col min="41" max="41" width="12.5703125" style="429" customWidth="1"/>
    <col min="42" max="42" width="27.7109375" style="429" bestFit="1" customWidth="1"/>
    <col min="43" max="45" width="6" style="429" customWidth="1"/>
    <col min="46" max="46" width="13.140625" style="429" bestFit="1" customWidth="1"/>
    <col min="47" max="47" width="5.7109375" style="429" bestFit="1" customWidth="1"/>
    <col min="48" max="52" width="7" style="429" bestFit="1" customWidth="1"/>
    <col min="53" max="53" width="9.140625" style="429"/>
    <col min="54" max="54" width="18.7109375" style="429" bestFit="1" customWidth="1"/>
    <col min="55" max="55" width="9.28515625" style="429" bestFit="1" customWidth="1"/>
    <col min="56" max="57" width="9.140625" style="429"/>
    <col min="58" max="58" width="9.28515625" style="429" bestFit="1" customWidth="1"/>
    <col min="59" max="60" width="9.140625" style="429"/>
    <col min="61" max="61" width="15.5703125" style="429" customWidth="1"/>
    <col min="62" max="62" width="16.5703125" style="429" customWidth="1"/>
    <col min="63" max="65" width="9.140625" style="429"/>
    <col min="66" max="67" width="9.28515625" style="429" bestFit="1" customWidth="1"/>
    <col min="68" max="70" width="11.5703125" style="429" bestFit="1" customWidth="1"/>
    <col min="71" max="71" width="9.28515625" style="429" bestFit="1" customWidth="1"/>
    <col min="72" max="72" width="9.85546875" style="429" bestFit="1" customWidth="1"/>
    <col min="73" max="73" width="10" style="429" bestFit="1" customWidth="1"/>
    <col min="74" max="74" width="9.140625" style="429"/>
    <col min="75" max="75" width="27" style="429" bestFit="1" customWidth="1"/>
    <col min="76" max="76" width="16.28515625" style="429" bestFit="1" customWidth="1"/>
    <col min="77" max="77" width="36.28515625" style="429" hidden="1" customWidth="1"/>
    <col min="78" max="78" width="68.85546875" style="429" bestFit="1" customWidth="1"/>
    <col min="79" max="79" width="18.7109375" style="429" bestFit="1" customWidth="1"/>
    <col min="80" max="80" width="19.140625" style="429" bestFit="1" customWidth="1"/>
    <col min="81" max="81" width="0" style="429" hidden="1" customWidth="1"/>
    <col min="82" max="82" width="75.28515625" style="429" bestFit="1" customWidth="1"/>
    <col min="83" max="83" width="0" style="429" hidden="1" customWidth="1"/>
    <col min="84" max="84" width="48.7109375" style="429" bestFit="1" customWidth="1"/>
    <col min="85" max="85" width="31.42578125" style="429" hidden="1" customWidth="1"/>
    <col min="86" max="86" width="30.42578125" style="429" hidden="1" customWidth="1"/>
    <col min="87" max="87" width="26.42578125" style="429" hidden="1" customWidth="1"/>
    <col min="88" max="88" width="50" style="429" hidden="1" customWidth="1"/>
    <col min="89" max="89" width="9.140625" style="429" customWidth="1"/>
    <col min="90" max="90" width="146.7109375" style="429" bestFit="1" customWidth="1"/>
    <col min="91" max="91" width="87.7109375" style="429" bestFit="1" customWidth="1"/>
    <col min="92" max="102" width="9.140625" style="429"/>
    <col min="103" max="103" width="38.85546875" style="429" bestFit="1" customWidth="1"/>
    <col min="104" max="16384" width="9.140625" style="429"/>
  </cols>
  <sheetData>
    <row r="1" spans="1:119" s="715" customFormat="1" ht="48" thickBot="1">
      <c r="A1" s="714">
        <v>1</v>
      </c>
      <c r="B1" s="721" t="s">
        <v>982</v>
      </c>
      <c r="C1" s="712"/>
      <c r="D1" s="712"/>
      <c r="E1" s="712"/>
      <c r="F1" s="712"/>
      <c r="G1" s="712"/>
      <c r="H1" s="712"/>
      <c r="I1" s="712"/>
      <c r="J1" s="713"/>
      <c r="AH1" s="430" t="s">
        <v>143</v>
      </c>
      <c r="AI1" s="892" t="s">
        <v>983</v>
      </c>
      <c r="AJ1" s="893"/>
      <c r="AK1" s="431" t="s">
        <v>143</v>
      </c>
      <c r="AL1" s="432" t="s">
        <v>143</v>
      </c>
      <c r="AN1" s="716" t="s">
        <v>132</v>
      </c>
      <c r="AO1" s="711" t="s">
        <v>984</v>
      </c>
      <c r="AP1" s="432" t="s">
        <v>45</v>
      </c>
      <c r="AT1" s="894" t="s">
        <v>985</v>
      </c>
      <c r="AU1" s="894"/>
      <c r="AV1" s="894"/>
      <c r="AW1" s="894"/>
      <c r="AX1" s="894"/>
      <c r="AY1" s="894"/>
      <c r="AZ1" s="894"/>
      <c r="BB1" s="715" t="s">
        <v>986</v>
      </c>
      <c r="BC1" s="715" t="s">
        <v>987</v>
      </c>
      <c r="BE1" s="715" t="s">
        <v>986</v>
      </c>
      <c r="BF1" s="715" t="s">
        <v>988</v>
      </c>
      <c r="BK1" s="895" t="s">
        <v>989</v>
      </c>
      <c r="BL1" s="896"/>
      <c r="BM1" s="717" t="s">
        <v>563</v>
      </c>
      <c r="BN1" s="718">
        <v>0</v>
      </c>
      <c r="BO1" s="718">
        <v>20</v>
      </c>
      <c r="BP1" s="718">
        <v>50</v>
      </c>
      <c r="BQ1" s="718">
        <v>100</v>
      </c>
      <c r="BR1" s="718">
        <v>200</v>
      </c>
      <c r="BS1" s="718">
        <v>500</v>
      </c>
      <c r="BT1" s="718">
        <v>1000</v>
      </c>
      <c r="BU1" s="718">
        <v>2000</v>
      </c>
      <c r="BW1" s="716" t="s">
        <v>132</v>
      </c>
      <c r="BX1" s="720" t="s">
        <v>990</v>
      </c>
      <c r="BY1" s="432" t="s">
        <v>45</v>
      </c>
      <c r="BZ1" s="719" t="s">
        <v>991</v>
      </c>
      <c r="CD1" s="719" t="s">
        <v>992</v>
      </c>
      <c r="CF1" s="719" t="s">
        <v>993</v>
      </c>
      <c r="CL1" s="715" t="s">
        <v>994</v>
      </c>
      <c r="CY1" s="715">
        <v>1</v>
      </c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</row>
    <row r="2" spans="1:119">
      <c r="AH2" s="436">
        <v>0</v>
      </c>
      <c r="AI2" s="435">
        <f>AI39-IM_Process!$E$5</f>
        <v>235</v>
      </c>
      <c r="AJ2" s="435">
        <f>AJ39-IM_Process!$E$5</f>
        <v>205</v>
      </c>
      <c r="AK2" s="437">
        <v>0</v>
      </c>
      <c r="AL2" s="438" t="s">
        <v>995</v>
      </c>
      <c r="AN2" s="439" t="s">
        <v>996</v>
      </c>
      <c r="AO2" s="435">
        <v>1.5</v>
      </c>
      <c r="AP2" s="706" t="s">
        <v>997</v>
      </c>
      <c r="BB2" s="435" t="s">
        <v>998</v>
      </c>
      <c r="BC2" s="435">
        <v>51</v>
      </c>
      <c r="BE2" s="435" t="s">
        <v>999</v>
      </c>
      <c r="BF2" s="435">
        <v>128</v>
      </c>
      <c r="BK2" s="897" t="s">
        <v>1000</v>
      </c>
      <c r="BL2" s="898"/>
      <c r="BM2" s="433" t="s">
        <v>572</v>
      </c>
      <c r="BN2" s="434">
        <v>0.3</v>
      </c>
      <c r="BO2" s="434">
        <v>0.3</v>
      </c>
      <c r="BP2" s="434">
        <v>0.3</v>
      </c>
      <c r="BQ2" s="434">
        <v>0.5</v>
      </c>
      <c r="BR2" s="434">
        <v>0.5</v>
      </c>
      <c r="BS2" s="434">
        <v>0.5</v>
      </c>
      <c r="BT2" s="434">
        <v>0.5</v>
      </c>
      <c r="BU2" s="434">
        <v>1</v>
      </c>
      <c r="BW2" s="439" t="s">
        <v>635</v>
      </c>
      <c r="BX2" s="435">
        <v>1.4</v>
      </c>
      <c r="BY2" s="706" t="s">
        <v>1001</v>
      </c>
      <c r="BZ2" s="429" t="s">
        <v>1002</v>
      </c>
      <c r="CA2" s="429" t="s">
        <v>1003</v>
      </c>
      <c r="CB2" s="429" t="s">
        <v>1004</v>
      </c>
      <c r="CL2" s="429" t="s">
        <v>1005</v>
      </c>
      <c r="CY2" s="487" t="str">
        <f>IF(COUNTIF(BOM!H:H,"Exhaust Pipe")&lt;&gt;0,CZ2,"")</f>
        <v/>
      </c>
      <c r="CZ2" s="1" t="s">
        <v>769</v>
      </c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</row>
    <row r="3" spans="1:119" ht="16.5" thickBot="1">
      <c r="AH3" s="436">
        <v>50</v>
      </c>
      <c r="AI3" s="435">
        <f>AI40-IM_Process!$E$5</f>
        <v>260</v>
      </c>
      <c r="AJ3" s="435">
        <f>AJ40-IM_Process!$E$5</f>
        <v>233</v>
      </c>
      <c r="AK3" s="437">
        <v>50</v>
      </c>
      <c r="AL3" s="438" t="s">
        <v>1006</v>
      </c>
      <c r="AN3" s="439" t="s">
        <v>637</v>
      </c>
      <c r="AO3" s="435">
        <v>1.33</v>
      </c>
      <c r="AP3" s="706" t="s">
        <v>1001</v>
      </c>
      <c r="AQ3" s="230"/>
      <c r="AT3" s="899" t="s">
        <v>132</v>
      </c>
      <c r="AU3" s="901" t="s">
        <v>322</v>
      </c>
      <c r="AV3" s="902"/>
      <c r="AW3" s="902"/>
      <c r="AX3" s="902"/>
      <c r="AY3" s="902"/>
      <c r="AZ3" s="903"/>
      <c r="BB3" s="435" t="s">
        <v>1007</v>
      </c>
      <c r="BC3" s="435">
        <v>81</v>
      </c>
      <c r="BE3" s="435" t="s">
        <v>1008</v>
      </c>
      <c r="BF3" s="435">
        <v>227</v>
      </c>
      <c r="BK3" s="897" t="s">
        <v>1009</v>
      </c>
      <c r="BL3" s="898"/>
      <c r="BM3" s="433" t="s">
        <v>1010</v>
      </c>
      <c r="BN3" s="434">
        <v>10</v>
      </c>
      <c r="BO3" s="434">
        <v>20</v>
      </c>
      <c r="BP3" s="434">
        <v>50</v>
      </c>
      <c r="BQ3" s="434">
        <v>100</v>
      </c>
      <c r="BR3" s="434">
        <v>150</v>
      </c>
      <c r="BS3" s="434">
        <v>400</v>
      </c>
      <c r="BT3" s="434">
        <v>600</v>
      </c>
      <c r="BU3" s="434">
        <v>1000</v>
      </c>
      <c r="BW3" s="439" t="s">
        <v>637</v>
      </c>
      <c r="BX3" s="435">
        <v>1.5</v>
      </c>
      <c r="BY3" s="706" t="s">
        <v>1011</v>
      </c>
      <c r="BZ3" s="429" t="s">
        <v>1012</v>
      </c>
      <c r="CA3" s="429">
        <v>1.02</v>
      </c>
      <c r="CB3" s="429">
        <v>1.21</v>
      </c>
      <c r="CL3" s="429" t="s">
        <v>1013</v>
      </c>
      <c r="CY3" s="487" t="str">
        <f>IF(COUNTIF(BOM!H:H,"Exhaust Pipe")&lt;&gt;0,CZ3,"")</f>
        <v/>
      </c>
      <c r="CZ3" s="1" t="s">
        <v>770</v>
      </c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</row>
    <row r="4" spans="1:119" ht="16.5" thickBot="1">
      <c r="F4" s="907" t="s">
        <v>1014</v>
      </c>
      <c r="G4" s="918"/>
      <c r="H4" s="904" t="s">
        <v>1015</v>
      </c>
      <c r="I4" s="905"/>
      <c r="J4" s="905"/>
      <c r="K4" s="905"/>
      <c r="L4" s="905"/>
      <c r="M4" s="905"/>
      <c r="N4" s="905"/>
      <c r="O4" s="905"/>
      <c r="P4" s="906"/>
      <c r="R4" s="904" t="s">
        <v>1016</v>
      </c>
      <c r="S4" s="906"/>
      <c r="T4" s="921" t="s">
        <v>1017</v>
      </c>
      <c r="U4" s="922"/>
      <c r="V4" s="922"/>
      <c r="W4" s="922"/>
      <c r="X4" s="922"/>
      <c r="Y4" s="922"/>
      <c r="Z4" s="922"/>
      <c r="AA4" s="922"/>
      <c r="AB4" s="918"/>
      <c r="AH4" s="436">
        <v>110</v>
      </c>
      <c r="AI4" s="435">
        <f>AI41-IM_Process!$E$5</f>
        <v>360</v>
      </c>
      <c r="AJ4" s="435">
        <f>AJ41-IM_Process!$E$5</f>
        <v>310</v>
      </c>
      <c r="AK4" s="437">
        <v>110</v>
      </c>
      <c r="AL4" s="438" t="s">
        <v>608</v>
      </c>
      <c r="AN4" s="439" t="s">
        <v>641</v>
      </c>
      <c r="AO4" s="435">
        <v>1.33</v>
      </c>
      <c r="AP4" s="706" t="s">
        <v>1001</v>
      </c>
      <c r="AT4" s="900"/>
      <c r="AU4" s="440">
        <v>1</v>
      </c>
      <c r="AV4" s="440">
        <v>2</v>
      </c>
      <c r="AW4" s="440">
        <v>3</v>
      </c>
      <c r="AX4" s="440">
        <v>4</v>
      </c>
      <c r="AY4" s="440">
        <v>5</v>
      </c>
      <c r="AZ4" s="440">
        <v>6</v>
      </c>
      <c r="BB4" s="435" t="s">
        <v>1018</v>
      </c>
      <c r="BC4" s="435">
        <v>132</v>
      </c>
      <c r="BK4" s="897" t="s">
        <v>1019</v>
      </c>
      <c r="BL4" s="898"/>
      <c r="BM4" s="433" t="s">
        <v>1020</v>
      </c>
      <c r="BN4" s="441">
        <f t="shared" ref="BN4:BU4" si="0">BN3/BN2</f>
        <v>33.333333333333336</v>
      </c>
      <c r="BO4" s="441">
        <f t="shared" si="0"/>
        <v>66.666666666666671</v>
      </c>
      <c r="BP4" s="441">
        <f t="shared" si="0"/>
        <v>166.66666666666669</v>
      </c>
      <c r="BQ4" s="441">
        <f t="shared" si="0"/>
        <v>200</v>
      </c>
      <c r="BR4" s="441">
        <f t="shared" si="0"/>
        <v>300</v>
      </c>
      <c r="BS4" s="441">
        <f t="shared" si="0"/>
        <v>800</v>
      </c>
      <c r="BT4" s="441">
        <f t="shared" si="0"/>
        <v>1200</v>
      </c>
      <c r="BU4" s="441">
        <f t="shared" si="0"/>
        <v>1000</v>
      </c>
      <c r="BW4" s="439" t="s">
        <v>641</v>
      </c>
      <c r="BX4" s="435">
        <v>1.6</v>
      </c>
      <c r="BY4" s="706" t="s">
        <v>1021</v>
      </c>
      <c r="BZ4" s="429" t="s">
        <v>1022</v>
      </c>
      <c r="CA4" s="429">
        <v>0.15</v>
      </c>
      <c r="CB4" s="429">
        <v>1.2</v>
      </c>
      <c r="CL4" s="429" t="s">
        <v>1023</v>
      </c>
      <c r="CY4" s="487" t="str">
        <f>IF(COUNTIF(BOM!H:H,"Exhaust Pipe")&lt;&gt;0,CZ4,"")</f>
        <v/>
      </c>
      <c r="CZ4" s="1" t="s">
        <v>771</v>
      </c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</row>
    <row r="5" spans="1:119" ht="16.5" thickBot="1">
      <c r="B5" s="904" t="s">
        <v>536</v>
      </c>
      <c r="C5" s="905"/>
      <c r="D5" s="906"/>
      <c r="F5" s="919"/>
      <c r="G5" s="920"/>
      <c r="H5" s="442">
        <v>250</v>
      </c>
      <c r="I5" s="443">
        <f>IF(AND($D$9&gt;J5,$D$9&lt;H5),$D$9,(H5-J5)/2+J5)</f>
        <v>225</v>
      </c>
      <c r="J5" s="442">
        <v>200</v>
      </c>
      <c r="K5" s="443">
        <f>IF(AND($D$9&gt;L5,$D$9&lt;J5),$D$9,(J5-L5)/2+L5)</f>
        <v>175</v>
      </c>
      <c r="L5" s="442">
        <v>150</v>
      </c>
      <c r="M5" s="443">
        <f>IF(AND($D$9&gt;N5,$D$9&lt;L5),$D$9,(L5-N5)/2+N5)</f>
        <v>125</v>
      </c>
      <c r="N5" s="442">
        <v>100</v>
      </c>
      <c r="O5" s="443">
        <f>IF(AND($D$9&gt;P5,$D$9&lt;N5),$D$9,(N5-P5)/2+P5)</f>
        <v>75</v>
      </c>
      <c r="P5" s="444">
        <v>50</v>
      </c>
      <c r="R5" s="907" t="s">
        <v>1024</v>
      </c>
      <c r="S5" s="908"/>
      <c r="T5" s="909" t="s">
        <v>1025</v>
      </c>
      <c r="U5" s="910"/>
      <c r="V5" s="911"/>
      <c r="W5" s="909" t="s">
        <v>1026</v>
      </c>
      <c r="X5" s="910"/>
      <c r="Y5" s="911"/>
      <c r="Z5" s="909" t="s">
        <v>1027</v>
      </c>
      <c r="AA5" s="910"/>
      <c r="AB5" s="911"/>
      <c r="AH5" s="436">
        <v>150</v>
      </c>
      <c r="AI5" s="435">
        <f>AI42-IM_Process!$E$5</f>
        <v>410</v>
      </c>
      <c r="AJ5" s="435">
        <f>AJ42-IM_Process!$E$5</f>
        <v>350</v>
      </c>
      <c r="AK5" s="437">
        <v>150</v>
      </c>
      <c r="AL5" s="438" t="s">
        <v>609</v>
      </c>
      <c r="AN5" s="439" t="s">
        <v>642</v>
      </c>
      <c r="AO5" s="435">
        <v>1.61</v>
      </c>
      <c r="AP5" s="706" t="s">
        <v>1028</v>
      </c>
      <c r="AT5" s="445" t="s">
        <v>996</v>
      </c>
      <c r="AU5" s="445">
        <v>1.8</v>
      </c>
      <c r="AV5" s="445">
        <v>7</v>
      </c>
      <c r="AW5" s="445">
        <v>15.8</v>
      </c>
      <c r="AX5" s="445">
        <v>28.4</v>
      </c>
      <c r="AY5" s="445">
        <v>44.4</v>
      </c>
      <c r="AZ5" s="445">
        <v>63.4</v>
      </c>
      <c r="BB5" s="435" t="s">
        <v>1029</v>
      </c>
      <c r="BC5" s="435">
        <v>177</v>
      </c>
      <c r="BW5" s="439" t="s">
        <v>642</v>
      </c>
      <c r="BX5" s="435">
        <v>1.2</v>
      </c>
      <c r="BY5" s="706" t="s">
        <v>1030</v>
      </c>
      <c r="BZ5" s="429" t="s">
        <v>1031</v>
      </c>
      <c r="CA5" s="429">
        <v>1.1000000000000001</v>
      </c>
      <c r="CB5" s="429">
        <v>1.1499999999999999</v>
      </c>
      <c r="CL5" s="429" t="s">
        <v>1032</v>
      </c>
      <c r="CY5" s="487" t="str">
        <f>IF(COUNTIF(BOM!H:H,"Exhaust Pipe")&lt;&gt;0,CZ5,"")</f>
        <v/>
      </c>
      <c r="CZ5" s="1" t="s">
        <v>772</v>
      </c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</row>
    <row r="6" spans="1:119" ht="16.5" customHeight="1" thickBot="1">
      <c r="B6" s="446" t="s">
        <v>550</v>
      </c>
      <c r="C6" s="447" t="s">
        <v>563</v>
      </c>
      <c r="D6" s="448"/>
      <c r="F6" s="912" t="s">
        <v>1033</v>
      </c>
      <c r="G6" s="449">
        <v>0.5</v>
      </c>
      <c r="H6" s="450">
        <v>1120</v>
      </c>
      <c r="I6" s="451">
        <f>IF(I5&lt;&gt;0,(H6-J6)/(H5-J5)*(I5-J5)+J6,0)</f>
        <v>990</v>
      </c>
      <c r="J6" s="450">
        <v>860</v>
      </c>
      <c r="K6" s="451">
        <f>IF(K5&lt;&gt;0,(J6-L6)/(J5-L5)*(K5-L5)+L6,0)</f>
        <v>755</v>
      </c>
      <c r="L6" s="450">
        <v>650</v>
      </c>
      <c r="M6" s="451">
        <f>IF(M5&lt;&gt;0,(L6-N6)/(L5-N5)*(M5-N5)+N6,0)</f>
        <v>545</v>
      </c>
      <c r="N6" s="450">
        <v>440</v>
      </c>
      <c r="O6" s="451">
        <f>IF(O5&lt;&gt;0,(N6-P6)/(N5-P5)*(O5-P5)+P6,0)</f>
        <v>385</v>
      </c>
      <c r="P6" s="452">
        <v>330</v>
      </c>
      <c r="R6" s="453" t="s">
        <v>1034</v>
      </c>
      <c r="S6" s="454" t="s">
        <v>1035</v>
      </c>
      <c r="T6" s="453" t="s">
        <v>1034</v>
      </c>
      <c r="U6" s="455" t="s">
        <v>1035</v>
      </c>
      <c r="V6" s="454" t="s">
        <v>1036</v>
      </c>
      <c r="W6" s="453" t="s">
        <v>1034</v>
      </c>
      <c r="X6" s="455" t="s">
        <v>1035</v>
      </c>
      <c r="Y6" s="454" t="s">
        <v>1036</v>
      </c>
      <c r="Z6" s="453" t="s">
        <v>1034</v>
      </c>
      <c r="AA6" s="455" t="s">
        <v>1035</v>
      </c>
      <c r="AB6" s="456" t="s">
        <v>1036</v>
      </c>
      <c r="AH6" s="436">
        <v>180</v>
      </c>
      <c r="AI6" s="435">
        <f>AI43-IM_Process!$E$5</f>
        <v>460</v>
      </c>
      <c r="AJ6" s="435">
        <f>AJ43-IM_Process!$E$5</f>
        <v>410</v>
      </c>
      <c r="AK6" s="437">
        <v>180</v>
      </c>
      <c r="AL6" s="438" t="s">
        <v>610</v>
      </c>
      <c r="AN6" s="439" t="s">
        <v>643</v>
      </c>
      <c r="AO6" s="435">
        <v>1</v>
      </c>
      <c r="AP6" s="706" t="s">
        <v>997</v>
      </c>
      <c r="AT6" s="445" t="s">
        <v>648</v>
      </c>
      <c r="AU6" s="445">
        <v>1.3</v>
      </c>
      <c r="AV6" s="445">
        <v>5.4</v>
      </c>
      <c r="AW6" s="445">
        <v>12.1</v>
      </c>
      <c r="AX6" s="445">
        <v>21.4</v>
      </c>
      <c r="AY6" s="445">
        <v>33.5</v>
      </c>
      <c r="AZ6" s="445">
        <v>48.4</v>
      </c>
      <c r="BB6" s="435" t="s">
        <v>1037</v>
      </c>
      <c r="BC6" s="435">
        <v>217</v>
      </c>
      <c r="BI6" s="457" t="s">
        <v>1038</v>
      </c>
      <c r="BJ6" s="457" t="s">
        <v>1039</v>
      </c>
      <c r="BW6" s="439" t="s">
        <v>643</v>
      </c>
      <c r="BX6" s="435">
        <v>0.94</v>
      </c>
      <c r="BY6" s="706" t="s">
        <v>1040</v>
      </c>
      <c r="BZ6" s="429" t="s">
        <v>1041</v>
      </c>
      <c r="CA6" s="429">
        <v>1</v>
      </c>
      <c r="CB6" s="429">
        <v>1.1000000000000001</v>
      </c>
      <c r="CL6" s="429" t="s">
        <v>1042</v>
      </c>
      <c r="CY6" s="487" t="str">
        <f>IF(COUNTIF(BOM!H:H,"Exhaust Pipe")&lt;&gt;0,CZ6,"")</f>
        <v/>
      </c>
      <c r="CZ6" s="1" t="s">
        <v>773</v>
      </c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</row>
    <row r="7" spans="1:119">
      <c r="B7" s="458" t="s">
        <v>551</v>
      </c>
      <c r="C7" s="459" t="s">
        <v>563</v>
      </c>
      <c r="D7" s="460"/>
      <c r="F7" s="913"/>
      <c r="G7" s="461">
        <f>IF(AND($D$7&gt;G6,$D$7&lt;G8),$D$7,(G8-G6)/2+G6)</f>
        <v>0.5625</v>
      </c>
      <c r="H7" s="450">
        <f>IF(G7&gt;0,(H6-H8)/(G6-G8)*(G7-G8)+H8,0)</f>
        <v>1050</v>
      </c>
      <c r="I7" s="450">
        <f>IF(G7&gt;0,(I6-I8)/(G6-G8)*(G7-G8)+I8,0)</f>
        <v>932.5</v>
      </c>
      <c r="J7" s="450">
        <f>IF(G7&gt;0,(J6-J8)/(G6-G8)*(G7-G8)+J8,0)</f>
        <v>815</v>
      </c>
      <c r="K7" s="450">
        <f>IF(G7&gt;0,(K6-K8)/(G6-G8)*(G7-G8)+K8,0)</f>
        <v>716.25</v>
      </c>
      <c r="L7" s="450">
        <f>IF(G7&gt;0,(L6-L8)/(G6-G8)*(G7-G8)+L8,0)</f>
        <v>617.5</v>
      </c>
      <c r="M7" s="450">
        <f>IF(G7&gt;0,(M6-M8)/(G6-G8)*(G7-G8)+M8,0)</f>
        <v>515</v>
      </c>
      <c r="N7" s="450">
        <f>IF(G7&gt;0,(N6-N8)/(G6-G8)*(G7-G8)+N8,0)</f>
        <v>412.5</v>
      </c>
      <c r="O7" s="450">
        <f>IF(G7&gt;0,(O6-O8)/(G6-G8)*(G7-G8)+O8,0)</f>
        <v>360</v>
      </c>
      <c r="P7" s="452">
        <f>IF(G7&gt;0,(P6-P8)/(G6-G8)*(G7-G8)+P8,0)</f>
        <v>307.5</v>
      </c>
      <c r="R7" s="462">
        <v>0</v>
      </c>
      <c r="S7" s="463">
        <f>R8</f>
        <v>8</v>
      </c>
      <c r="T7" s="464">
        <v>0.2</v>
      </c>
      <c r="U7" s="465">
        <f>T8</f>
        <v>0.4</v>
      </c>
      <c r="V7" s="466">
        <f t="shared" ref="V7:V19" si="1">AVERAGE(T7:U7)</f>
        <v>0.30000000000000004</v>
      </c>
      <c r="W7" s="464">
        <v>0.25</v>
      </c>
      <c r="X7" s="465">
        <f>W8</f>
        <v>0.5</v>
      </c>
      <c r="Y7" s="466">
        <f t="shared" ref="Y7:Y19" si="2">AVERAGE(W7:X7)</f>
        <v>0.375</v>
      </c>
      <c r="Z7" s="464">
        <v>0.3</v>
      </c>
      <c r="AA7" s="465">
        <f>Z8</f>
        <v>0.6</v>
      </c>
      <c r="AB7" s="467">
        <f t="shared" ref="AB7:AB19" si="3">AVERAGE(Z7:AA7)</f>
        <v>0.44999999999999996</v>
      </c>
      <c r="AH7" s="436">
        <v>250</v>
      </c>
      <c r="AI7" s="435">
        <f>AI44-IM_Process!$E$5</f>
        <v>520</v>
      </c>
      <c r="AJ7" s="435">
        <f>AJ44-IM_Process!$E$5</f>
        <v>470</v>
      </c>
      <c r="AK7" s="437">
        <v>250</v>
      </c>
      <c r="AL7" s="438" t="s">
        <v>611</v>
      </c>
      <c r="AN7" s="439" t="s">
        <v>644</v>
      </c>
      <c r="AO7" s="435">
        <v>1.33</v>
      </c>
      <c r="AP7" s="706" t="s">
        <v>1043</v>
      </c>
      <c r="AT7" s="445" t="s">
        <v>674</v>
      </c>
      <c r="AU7" s="445">
        <v>2.9</v>
      </c>
      <c r="AV7" s="445">
        <v>11.6</v>
      </c>
      <c r="AW7" s="445">
        <v>26.1</v>
      </c>
      <c r="AX7" s="445">
        <v>46.4</v>
      </c>
      <c r="AY7" s="445">
        <v>72.5</v>
      </c>
      <c r="AZ7" s="445">
        <v>104</v>
      </c>
      <c r="BB7" s="435" t="s">
        <v>1044</v>
      </c>
      <c r="BC7" s="435">
        <v>233</v>
      </c>
      <c r="BI7" s="468">
        <f>MIN(IM_TC!N7,HLOOKUP(IM_TC!N7,BN:BU,4,TRUE)*HLOOKUP(IM_TC!N7,BN:BU,2,TRUE)^2)</f>
        <v>75</v>
      </c>
      <c r="BJ7" s="468">
        <f>MAX(0,IM_TC!N7-BI7)</f>
        <v>212</v>
      </c>
      <c r="BW7" s="439" t="s">
        <v>644</v>
      </c>
      <c r="BX7" s="435">
        <v>1.4</v>
      </c>
      <c r="BY7" s="706" t="s">
        <v>1045</v>
      </c>
      <c r="BZ7" s="429" t="s">
        <v>1046</v>
      </c>
      <c r="CA7" s="429">
        <v>1.1000000000000001</v>
      </c>
      <c r="CB7" s="429">
        <v>1.1499999999999999</v>
      </c>
      <c r="CL7" s="429" t="s">
        <v>1047</v>
      </c>
      <c r="CY7" s="487" t="str">
        <f>IF(COUNTIF(BOM!H:H,"Exhaust Pipe")&lt;&gt;0,CZ7,"")</f>
        <v/>
      </c>
      <c r="CZ7" s="1" t="s">
        <v>774</v>
      </c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</row>
    <row r="8" spans="1:119">
      <c r="B8" s="469" t="s">
        <v>552</v>
      </c>
      <c r="C8" s="470" t="s">
        <v>565</v>
      </c>
      <c r="D8" s="471">
        <f>IF(D7&gt;0,D6/D7,50)</f>
        <v>50</v>
      </c>
      <c r="F8" s="913"/>
      <c r="G8" s="449">
        <v>0.625</v>
      </c>
      <c r="H8" s="450">
        <v>980</v>
      </c>
      <c r="I8" s="451">
        <f>IF(I5&lt;&gt;0,(H8-J8)/(H5-J5)*(I5-J5)+J8,0)</f>
        <v>875</v>
      </c>
      <c r="J8" s="450">
        <v>770</v>
      </c>
      <c r="K8" s="451">
        <f>IF(K5&lt;&gt;0,(J8-L8)/(J5-L5)*(K5-L5)+L8,0)</f>
        <v>677.5</v>
      </c>
      <c r="L8" s="450">
        <v>585</v>
      </c>
      <c r="M8" s="451">
        <f>IF(M5&lt;&gt;0,(L8-N8)/(L5-N5)*(M5-N5)+N8,0)</f>
        <v>485</v>
      </c>
      <c r="N8" s="450">
        <v>385</v>
      </c>
      <c r="O8" s="451">
        <f>IF(O5&lt;&gt;0,(N8-P8)/(N5-P5)*(O5-P5)+P8,0)</f>
        <v>335</v>
      </c>
      <c r="P8" s="452">
        <v>285</v>
      </c>
      <c r="R8" s="462">
        <v>8</v>
      </c>
      <c r="S8" s="463">
        <f>R9</f>
        <v>15</v>
      </c>
      <c r="T8" s="464">
        <v>0.4</v>
      </c>
      <c r="U8" s="465">
        <f>T9</f>
        <v>0.5</v>
      </c>
      <c r="V8" s="466">
        <f t="shared" si="1"/>
        <v>0.45</v>
      </c>
      <c r="W8" s="464">
        <v>0.5</v>
      </c>
      <c r="X8" s="465">
        <f>W9</f>
        <v>0.6</v>
      </c>
      <c r="Y8" s="466">
        <f t="shared" si="2"/>
        <v>0.55000000000000004</v>
      </c>
      <c r="Z8" s="464">
        <v>0.6</v>
      </c>
      <c r="AA8" s="465">
        <f>Z9</f>
        <v>0.75</v>
      </c>
      <c r="AB8" s="467">
        <f t="shared" si="3"/>
        <v>0.67500000000000004</v>
      </c>
      <c r="AH8" s="436">
        <v>320</v>
      </c>
      <c r="AI8" s="435">
        <f>AI45-IM_Process!$E$5</f>
        <v>580</v>
      </c>
      <c r="AJ8" s="435">
        <f>AJ45-IM_Process!$E$5</f>
        <v>520</v>
      </c>
      <c r="AK8" s="437">
        <v>320</v>
      </c>
      <c r="AL8" s="438" t="s">
        <v>612</v>
      </c>
      <c r="AN8" s="439" t="s">
        <v>645</v>
      </c>
      <c r="AO8" s="435">
        <v>1.5</v>
      </c>
      <c r="AP8" s="706" t="s">
        <v>1048</v>
      </c>
      <c r="AT8" s="445" t="s">
        <v>675</v>
      </c>
      <c r="AU8" s="445">
        <v>3.2</v>
      </c>
      <c r="AV8" s="445">
        <v>12.6</v>
      </c>
      <c r="AW8" s="445">
        <v>28.4</v>
      </c>
      <c r="AX8" s="445">
        <v>50.1</v>
      </c>
      <c r="AY8" s="445">
        <v>79</v>
      </c>
      <c r="AZ8" s="445">
        <v>114</v>
      </c>
      <c r="BB8" s="435" t="s">
        <v>1049</v>
      </c>
      <c r="BC8" s="435">
        <v>290</v>
      </c>
      <c r="BI8" s="468">
        <f>MIN(IM_TC!N8,HLOOKUP(IM_TC!N8,BN:BU,4,TRUE)*HLOOKUP(IM_TC!N8,BN:BU,2,TRUE)^2)</f>
        <v>75</v>
      </c>
      <c r="BJ8" s="468">
        <f>MAX(0,IM_TC!N8-BI8)</f>
        <v>355</v>
      </c>
      <c r="BW8" s="439" t="s">
        <v>645</v>
      </c>
      <c r="BX8" s="435">
        <v>1.4</v>
      </c>
      <c r="BY8" s="706" t="s">
        <v>1048</v>
      </c>
      <c r="BZ8" s="429" t="s">
        <v>1050</v>
      </c>
      <c r="CA8" s="429">
        <v>1.25</v>
      </c>
      <c r="CB8" s="429">
        <v>1.25</v>
      </c>
      <c r="CL8" s="429" t="s">
        <v>1051</v>
      </c>
      <c r="CY8" s="487" t="str">
        <f>IF(COUNTIF(BOM!H:H,"Exhaust Pipe")&lt;&gt;0,CZ8,"")</f>
        <v/>
      </c>
      <c r="CZ8" s="1" t="s">
        <v>775</v>
      </c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</row>
    <row r="9" spans="1:119" ht="16.5" thickBot="1">
      <c r="B9" s="472" t="s">
        <v>553</v>
      </c>
      <c r="C9" s="473" t="s">
        <v>565</v>
      </c>
      <c r="D9" s="474">
        <f>MAX(50,MIN(250,D8))</f>
        <v>50</v>
      </c>
      <c r="F9" s="913"/>
      <c r="G9" s="461">
        <f>IF(AND($D$7&gt;G8,$D$7&lt;G10),$D$7,(G10-G8)/2+G8)</f>
        <v>0.6875</v>
      </c>
      <c r="H9" s="450">
        <f>IF(G9&gt;0,(H8-H10)/(G8-G10)*(G9-G10)+H10,0)</f>
        <v>927.5</v>
      </c>
      <c r="I9" s="450">
        <f>IF(G9&gt;0,(I8-I10)/(G8-G10)*(G9-G10)+I10,0)</f>
        <v>828.75</v>
      </c>
      <c r="J9" s="450">
        <f>IF(G9&gt;0,(J8-J10)/(G8-G10)*(G9-G10)+J10,0)</f>
        <v>730</v>
      </c>
      <c r="K9" s="450">
        <f>IF(G9&gt;0,(K8-K10)/(G8-G10)*(G9-G10)+K10,0)</f>
        <v>641.25</v>
      </c>
      <c r="L9" s="450">
        <f>IF(G9&gt;0,(L8-L10)/(G8-G10)*(G9-G10)+L10,0)</f>
        <v>552.5</v>
      </c>
      <c r="M9" s="450">
        <f>IF(G9&gt;0,(M8-M10)/(G8-G10)*(G9-G10)+M10,0)</f>
        <v>458</v>
      </c>
      <c r="N9" s="450">
        <f>IF(G9&gt;0,(N8-N10)/(G8-G10)*(G9-G10)+N10,0)</f>
        <v>363.5</v>
      </c>
      <c r="O9" s="450">
        <f>IF(G9&gt;0,(O8-O10)/(G8-G10)*(G9-G10)+O10,0)</f>
        <v>316</v>
      </c>
      <c r="P9" s="452">
        <f>IF(G9&gt;0,(P8-P10)/(G8-G10)*(G9-G10)+P10,0)</f>
        <v>268.5</v>
      </c>
      <c r="R9" s="462">
        <v>15</v>
      </c>
      <c r="S9" s="463">
        <f>R10</f>
        <v>30</v>
      </c>
      <c r="T9" s="464">
        <v>0.5</v>
      </c>
      <c r="U9" s="465">
        <f>T10</f>
        <v>0.6</v>
      </c>
      <c r="V9" s="466">
        <f t="shared" si="1"/>
        <v>0.55000000000000004</v>
      </c>
      <c r="W9" s="464">
        <v>0.6</v>
      </c>
      <c r="X9" s="465">
        <f>W10</f>
        <v>0.75</v>
      </c>
      <c r="Y9" s="466">
        <f t="shared" si="2"/>
        <v>0.67500000000000004</v>
      </c>
      <c r="Z9" s="464">
        <v>0.75</v>
      </c>
      <c r="AA9" s="465">
        <f>Z10</f>
        <v>0.9</v>
      </c>
      <c r="AB9" s="467">
        <f t="shared" si="3"/>
        <v>0.82499999999999996</v>
      </c>
      <c r="AH9" s="436">
        <v>400</v>
      </c>
      <c r="AI9" s="435">
        <f>AI46-IM_Process!$E$5</f>
        <v>680</v>
      </c>
      <c r="AJ9" s="435">
        <f>AJ46-IM_Process!$E$5</f>
        <v>630</v>
      </c>
      <c r="AK9" s="437">
        <v>400</v>
      </c>
      <c r="AL9" s="438" t="s">
        <v>613</v>
      </c>
      <c r="AN9" s="439" t="s">
        <v>646</v>
      </c>
      <c r="AO9" s="435">
        <v>1</v>
      </c>
      <c r="AP9" s="706" t="s">
        <v>1052</v>
      </c>
      <c r="AT9" s="445" t="s">
        <v>1053</v>
      </c>
      <c r="AU9" s="445">
        <v>1.6</v>
      </c>
      <c r="AV9" s="445">
        <v>6.4</v>
      </c>
      <c r="AW9" s="445">
        <v>14.4</v>
      </c>
      <c r="AX9" s="445">
        <v>25.6</v>
      </c>
      <c r="AY9" s="445">
        <v>40</v>
      </c>
      <c r="AZ9" s="445">
        <v>57.6</v>
      </c>
      <c r="BB9" s="435" t="s">
        <v>1054</v>
      </c>
      <c r="BC9" s="435">
        <v>330</v>
      </c>
      <c r="BI9" s="468" t="e">
        <f>MIN(IM_TC!N9,HLOOKUP(IM_TC!N9,BN:BU,4,TRUE)*HLOOKUP(IM_TC!N9,BN:BU,2,TRUE)^2)</f>
        <v>#N/A</v>
      </c>
      <c r="BJ9" s="468" t="e">
        <f>MAX(0,IM_TC!N9-BI9)</f>
        <v>#VALUE!</v>
      </c>
      <c r="BP9" s="429">
        <f>BP4*BP2*BP2</f>
        <v>15.000000000000002</v>
      </c>
      <c r="BW9" s="439" t="s">
        <v>646</v>
      </c>
      <c r="BX9" s="435">
        <v>0.9</v>
      </c>
      <c r="BY9" s="706" t="s">
        <v>1052</v>
      </c>
      <c r="BZ9" s="429" t="s">
        <v>1055</v>
      </c>
      <c r="CA9" s="429">
        <v>1.17</v>
      </c>
      <c r="CB9" s="429">
        <v>1.19</v>
      </c>
      <c r="CL9" s="429" t="s">
        <v>1056</v>
      </c>
      <c r="CY9" s="487" t="str">
        <f>IF(COUNTIF(BOM!H:H,"Exhaust Pipe")&lt;&gt;0,CZ9,"")</f>
        <v/>
      </c>
      <c r="CZ9" s="1" t="s">
        <v>776</v>
      </c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</row>
    <row r="10" spans="1:119">
      <c r="F10" s="913"/>
      <c r="G10" s="449">
        <v>0.75</v>
      </c>
      <c r="H10" s="450">
        <v>875</v>
      </c>
      <c r="I10" s="451">
        <f>IF(I5&lt;&gt;0,(H10-J10)/(H5-J5)*(I5-J5)+J10,0)</f>
        <v>782.5</v>
      </c>
      <c r="J10" s="450">
        <v>690</v>
      </c>
      <c r="K10" s="451">
        <f>IF(K5&lt;&gt;0,(J10-L10)/(J5-L5)*(K5-L5)+L10,0)</f>
        <v>605</v>
      </c>
      <c r="L10" s="450">
        <v>520</v>
      </c>
      <c r="M10" s="451">
        <f>IF(M5&lt;&gt;0,(L10-N10)/(L5-N5)*(M5-N5)+N10,0)</f>
        <v>431</v>
      </c>
      <c r="N10" s="450">
        <v>342</v>
      </c>
      <c r="O10" s="451">
        <f>IF(O5&lt;&gt;0,(N10-P10)/(N5-P5)*(O5-P5)+P10,0)</f>
        <v>297</v>
      </c>
      <c r="P10" s="452">
        <v>252</v>
      </c>
      <c r="R10" s="462">
        <v>30</v>
      </c>
      <c r="S10" s="463">
        <f>R11</f>
        <v>50</v>
      </c>
      <c r="T10" s="464">
        <v>0.6</v>
      </c>
      <c r="U10" s="465">
        <f>T11</f>
        <v>0.8</v>
      </c>
      <c r="V10" s="466">
        <f t="shared" si="1"/>
        <v>0.7</v>
      </c>
      <c r="W10" s="464">
        <v>0.75</v>
      </c>
      <c r="X10" s="465">
        <f>W11</f>
        <v>1</v>
      </c>
      <c r="Y10" s="466">
        <f t="shared" si="2"/>
        <v>0.875</v>
      </c>
      <c r="Z10" s="464">
        <v>0.9</v>
      </c>
      <c r="AA10" s="465">
        <f>Z11</f>
        <v>1.2</v>
      </c>
      <c r="AB10" s="467">
        <f t="shared" si="3"/>
        <v>1.05</v>
      </c>
      <c r="AH10" s="436">
        <v>480</v>
      </c>
      <c r="AI10" s="435">
        <f>AI47-IM_Process!$E$5</f>
        <v>750</v>
      </c>
      <c r="AJ10" s="435">
        <f>AJ47-IM_Process!$E$5</f>
        <v>710</v>
      </c>
      <c r="AK10" s="437">
        <v>480</v>
      </c>
      <c r="AL10" s="438" t="s">
        <v>614</v>
      </c>
      <c r="AN10" s="439" t="s">
        <v>498</v>
      </c>
      <c r="AO10" s="435">
        <v>1</v>
      </c>
      <c r="AP10" s="706" t="s">
        <v>1052</v>
      </c>
      <c r="AT10" s="445" t="s">
        <v>1057</v>
      </c>
      <c r="AU10" s="445">
        <v>2.1</v>
      </c>
      <c r="AV10" s="445">
        <v>8.1999999999999993</v>
      </c>
      <c r="AW10" s="445">
        <v>18.5</v>
      </c>
      <c r="AX10" s="445">
        <v>32.799999999999997</v>
      </c>
      <c r="AY10" s="445">
        <v>51.5</v>
      </c>
      <c r="AZ10" s="445">
        <v>74.2</v>
      </c>
      <c r="BB10" s="435" t="s">
        <v>1058</v>
      </c>
      <c r="BC10" s="435">
        <v>415</v>
      </c>
      <c r="BI10" s="468" t="e">
        <f>MIN(IM_TC!N10,HLOOKUP(IM_TC!N10,BN:BU,4,TRUE)*HLOOKUP(IM_TC!N10,BN:BU,2,TRUE)^2)</f>
        <v>#N/A</v>
      </c>
      <c r="BJ10" s="468" t="e">
        <f>MAX(0,IM_TC!N10-BI10)</f>
        <v>#VALUE!</v>
      </c>
      <c r="BW10" s="439" t="s">
        <v>498</v>
      </c>
      <c r="BX10" s="435">
        <v>1.2</v>
      </c>
      <c r="BY10" s="706" t="s">
        <v>1059</v>
      </c>
      <c r="BZ10" s="429" t="s">
        <v>1060</v>
      </c>
      <c r="CA10" s="429">
        <v>1.05</v>
      </c>
      <c r="CB10" s="429">
        <v>1.07</v>
      </c>
      <c r="CL10" s="429" t="s">
        <v>1061</v>
      </c>
      <c r="CY10" s="487" t="str">
        <f>IF(COUNTIF(BOM!H:H,"Exhaust Pipe")&lt;&gt;0,CZ10,"")</f>
        <v/>
      </c>
      <c r="CZ10" s="1" t="s">
        <v>777</v>
      </c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</row>
    <row r="11" spans="1:119">
      <c r="F11" s="913"/>
      <c r="G11" s="461">
        <f>IF(AND($D$7&gt;G10,$D$7&lt;G12),$D$7,(G12-G10)/2+G10)</f>
        <v>0.8125</v>
      </c>
      <c r="H11" s="450">
        <f>IF(G11&gt;0,(H10-H12)/(G10-G12)*(G11-G12)+H12,0)</f>
        <v>827.5</v>
      </c>
      <c r="I11" s="450">
        <f>IF(G11&gt;0,(I10-I12)/(G10-G12)*(G11-G12)+I12,0)</f>
        <v>738.75</v>
      </c>
      <c r="J11" s="450">
        <f>IF(G11&gt;0,(J10-J12)/(G10-G12)*(G11-G12)+J12,0)</f>
        <v>650</v>
      </c>
      <c r="K11" s="450">
        <f>IF(G11&gt;0,(K10-K12)/(G10-G12)*(G11-G12)+K12,0)</f>
        <v>570</v>
      </c>
      <c r="L11" s="450">
        <f>IF(G11&gt;0,(L10-L12)/(G10-G12)*(G11-G12)+L12,0)</f>
        <v>490</v>
      </c>
      <c r="M11" s="450">
        <f>IF(G11&gt;0,(M10-M12)/(G10-G12)*(G11-G12)+M12,0)</f>
        <v>407.5</v>
      </c>
      <c r="N11" s="450">
        <f>IF(G11&gt;0,(N10-N12)/(G10-G12)*(G11-G12)+N12,0)</f>
        <v>325</v>
      </c>
      <c r="O11" s="450">
        <f>IF(G11&gt;0,(O10-O12)/(G10-G12)*(G11-G12)+O12,0)</f>
        <v>280.5</v>
      </c>
      <c r="P11" s="452">
        <f>IF(G11&gt;0,(P10-P12)/(G10-G12)*(G11-G12)+P12,0)</f>
        <v>236</v>
      </c>
      <c r="R11" s="462">
        <v>50</v>
      </c>
      <c r="S11" s="463">
        <f>R12</f>
        <v>80</v>
      </c>
      <c r="T11" s="464">
        <v>0.8</v>
      </c>
      <c r="U11" s="465">
        <f>T12</f>
        <v>1.2</v>
      </c>
      <c r="V11" s="466">
        <f t="shared" si="1"/>
        <v>1</v>
      </c>
      <c r="W11" s="464">
        <v>1</v>
      </c>
      <c r="X11" s="465">
        <f>W12</f>
        <v>1.5</v>
      </c>
      <c r="Y11" s="466">
        <f t="shared" si="2"/>
        <v>1.25</v>
      </c>
      <c r="Z11" s="464">
        <v>1.2</v>
      </c>
      <c r="AA11" s="465">
        <f>Z12</f>
        <v>1.8</v>
      </c>
      <c r="AB11" s="467">
        <f t="shared" si="3"/>
        <v>1.5</v>
      </c>
      <c r="AH11" s="436">
        <v>550</v>
      </c>
      <c r="AI11" s="435">
        <f>AI48-IM_Process!$E$5</f>
        <v>810</v>
      </c>
      <c r="AJ11" s="435">
        <f>AJ48-IM_Process!$E$5</f>
        <v>750</v>
      </c>
      <c r="AK11" s="437">
        <v>550</v>
      </c>
      <c r="AL11" s="438" t="s">
        <v>615</v>
      </c>
      <c r="AN11" s="439" t="s">
        <v>647</v>
      </c>
      <c r="AO11" s="435">
        <v>1.8</v>
      </c>
      <c r="AP11" s="706" t="s">
        <v>1062</v>
      </c>
      <c r="AT11" s="445" t="s">
        <v>676</v>
      </c>
      <c r="AU11" s="445">
        <v>2.2999999999999998</v>
      </c>
      <c r="AV11" s="445">
        <v>9</v>
      </c>
      <c r="AW11" s="445">
        <v>20.3</v>
      </c>
      <c r="AX11" s="445">
        <v>36.200000000000003</v>
      </c>
      <c r="AY11" s="445">
        <v>56.5</v>
      </c>
      <c r="AZ11" s="445">
        <v>81.400000000000006</v>
      </c>
      <c r="BB11" s="435" t="s">
        <v>1063</v>
      </c>
      <c r="BC11" s="435">
        <v>596</v>
      </c>
      <c r="BI11" s="468" t="e">
        <f>MIN(IM_TC!N11,HLOOKUP(IM_TC!N11,BN:BU,4,TRUE)*HLOOKUP(IM_TC!N11,BN:BU,2,TRUE)^2)</f>
        <v>#N/A</v>
      </c>
      <c r="BJ11" s="468" t="e">
        <f>MAX(0,IM_TC!N11-BI11)</f>
        <v>#VALUE!</v>
      </c>
      <c r="BW11" s="439" t="s">
        <v>647</v>
      </c>
      <c r="BX11" s="435">
        <v>1</v>
      </c>
      <c r="BY11" s="706" t="s">
        <v>1064</v>
      </c>
      <c r="BZ11" s="429" t="s">
        <v>1065</v>
      </c>
      <c r="CA11" s="429">
        <v>1.1499999999999999</v>
      </c>
      <c r="CB11" s="429">
        <v>1.1499999999999999</v>
      </c>
      <c r="CL11" s="429" t="s">
        <v>1066</v>
      </c>
      <c r="CY11" s="487" t="str">
        <f>IF(COUNTIF(BOM!H:H,"Exhaust Pipe")&lt;&gt;0,CZ11,"")</f>
        <v/>
      </c>
      <c r="CZ11" s="1" t="s">
        <v>778</v>
      </c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</row>
    <row r="12" spans="1:119">
      <c r="F12" s="913"/>
      <c r="G12" s="449">
        <v>0.875</v>
      </c>
      <c r="H12" s="450">
        <v>780</v>
      </c>
      <c r="I12" s="451">
        <f>IF(I5&lt;&gt;0,(H12-J12)/(H5-J5)*(I5-J5)+J12,0)</f>
        <v>695</v>
      </c>
      <c r="J12" s="450">
        <v>610</v>
      </c>
      <c r="K12" s="451">
        <f>IF(K5&lt;&gt;0,(J12-L12)/(J5-L5)*(K5-L5)+L12,0)</f>
        <v>535</v>
      </c>
      <c r="L12" s="450">
        <v>460</v>
      </c>
      <c r="M12" s="451">
        <f>IF(M5&lt;&gt;0,(L12-N12)/(L5-N5)*(M5-N5)+N12,0)</f>
        <v>384</v>
      </c>
      <c r="N12" s="450">
        <v>308</v>
      </c>
      <c r="O12" s="451">
        <f>IF(O5&lt;&gt;0,(N12-P12)/(N5-P5)*(O5-P5)+P12,0)</f>
        <v>264</v>
      </c>
      <c r="P12" s="452">
        <v>220</v>
      </c>
      <c r="R12" s="462">
        <v>80</v>
      </c>
      <c r="S12" s="463">
        <f>R16</f>
        <v>120</v>
      </c>
      <c r="T12" s="464">
        <v>1.2</v>
      </c>
      <c r="U12" s="465">
        <f>T16</f>
        <v>1.8</v>
      </c>
      <c r="V12" s="466">
        <f t="shared" si="1"/>
        <v>1.5</v>
      </c>
      <c r="W12" s="464">
        <v>1.5</v>
      </c>
      <c r="X12" s="465">
        <f>W16</f>
        <v>2.2000000000000002</v>
      </c>
      <c r="Y12" s="466">
        <f t="shared" si="2"/>
        <v>1.85</v>
      </c>
      <c r="Z12" s="464">
        <v>1.8</v>
      </c>
      <c r="AA12" s="465">
        <f>Z16</f>
        <v>2.7</v>
      </c>
      <c r="AB12" s="467">
        <f t="shared" si="3"/>
        <v>2.25</v>
      </c>
      <c r="AH12" s="436">
        <v>650</v>
      </c>
      <c r="AI12" s="435">
        <f>AI49-IM_Process!$E$5</f>
        <v>910</v>
      </c>
      <c r="AJ12" s="435">
        <f>AJ49-IM_Process!$E$5</f>
        <v>810</v>
      </c>
      <c r="AK12" s="437">
        <v>650</v>
      </c>
      <c r="AL12" s="438" t="s">
        <v>616</v>
      </c>
      <c r="AN12" s="439" t="s">
        <v>648</v>
      </c>
      <c r="AO12" s="435">
        <v>1</v>
      </c>
      <c r="AP12" s="706" t="s">
        <v>997</v>
      </c>
      <c r="AT12" s="445" t="s">
        <v>1067</v>
      </c>
      <c r="AU12" s="445">
        <v>1.9</v>
      </c>
      <c r="AV12" s="445">
        <v>7.7</v>
      </c>
      <c r="AW12" s="445">
        <v>17.3</v>
      </c>
      <c r="AX12" s="445">
        <v>30.7</v>
      </c>
      <c r="AY12" s="445">
        <v>48</v>
      </c>
      <c r="AZ12" s="445">
        <v>69.2</v>
      </c>
      <c r="BB12" s="435" t="s">
        <v>1068</v>
      </c>
      <c r="BC12" s="435">
        <v>793</v>
      </c>
      <c r="BI12" s="468" t="e">
        <f>MIN(IM_TC!N12,HLOOKUP(IM_TC!N12,BN:BU,4,TRUE)*HLOOKUP(IM_TC!N12,BN:BU,2,TRUE)^2)</f>
        <v>#N/A</v>
      </c>
      <c r="BJ12" s="468" t="e">
        <f>MAX(0,IM_TC!N12-BI12)</f>
        <v>#VALUE!</v>
      </c>
      <c r="BW12" s="439" t="s">
        <v>648</v>
      </c>
      <c r="BX12" s="435">
        <v>1</v>
      </c>
      <c r="BY12" s="706" t="s">
        <v>1069</v>
      </c>
      <c r="BZ12" s="429" t="s">
        <v>1070</v>
      </c>
      <c r="CA12" s="429">
        <v>1.22</v>
      </c>
      <c r="CB12" s="429">
        <v>1.34</v>
      </c>
      <c r="CL12" s="429" t="s">
        <v>1071</v>
      </c>
      <c r="CY12" s="487" t="str">
        <f>IF(COUNTIF(BOM!H:H,"Exhaust Pipe")&lt;&gt;0,CZ12,"")</f>
        <v/>
      </c>
      <c r="CZ12" s="1" t="s">
        <v>779</v>
      </c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</row>
    <row r="13" spans="1:119">
      <c r="F13" s="913"/>
      <c r="G13" s="461">
        <f>IF(AND($D$7&gt;G12,$D$7&lt;G14),$D$7,(G14-G12)/2+G12)</f>
        <v>0.9375</v>
      </c>
      <c r="H13" s="450">
        <f>IF(G13&gt;0,(H12-H14)/(G12-G14)*(G13-G14)+H14,0)</f>
        <v>735.5</v>
      </c>
      <c r="I13" s="450">
        <f>IF(G13&gt;0,(I12-I14)/(G12-G14)*(G13-G14)+I14,0)</f>
        <v>656.5</v>
      </c>
      <c r="J13" s="450">
        <f>IF(G13&gt;0,(J12-J14)/(G12-G14)*(G13-G14)+J14,0)</f>
        <v>577.5</v>
      </c>
      <c r="K13" s="450">
        <f>IF(G13&gt;0,(K12-K14)/(G12-G14)*(G13-G14)+K14,0)</f>
        <v>506.25</v>
      </c>
      <c r="L13" s="450">
        <f>IF(G13&gt;0,(L12-L14)/(G12-G14)*(G13-G14)+L14,0)</f>
        <v>435</v>
      </c>
      <c r="M13" s="450">
        <f>IF(G13&gt;0,(M12-M14)/(G12-G14)*(G13-G14)+M14,0)</f>
        <v>363.25</v>
      </c>
      <c r="N13" s="450">
        <f>IF(G13&gt;0,(N12-N14)/(G12-G14)*(G13-G14)+N14,0)</f>
        <v>291.5</v>
      </c>
      <c r="O13" s="450">
        <f>IF(G13&gt;0,(O12-O14)/(G12-G14)*(G13-G14)+O14,0)</f>
        <v>249.5</v>
      </c>
      <c r="P13" s="452">
        <f>IF(G13&gt;0,(P12-P14)/(G12-G14)*(G13-G14)+P14,0)</f>
        <v>207.5</v>
      </c>
      <c r="R13" s="462">
        <v>80</v>
      </c>
      <c r="S13" s="463">
        <f>R17</f>
        <v>180</v>
      </c>
      <c r="T13" s="464">
        <v>1.2</v>
      </c>
      <c r="U13" s="465">
        <f>T17</f>
        <v>2.6</v>
      </c>
      <c r="V13" s="466">
        <f t="shared" si="1"/>
        <v>1.9</v>
      </c>
      <c r="W13" s="464">
        <v>1.5</v>
      </c>
      <c r="X13" s="465">
        <f>W17</f>
        <v>3.2</v>
      </c>
      <c r="Y13" s="466">
        <f t="shared" si="2"/>
        <v>2.35</v>
      </c>
      <c r="Z13" s="464">
        <v>1.8</v>
      </c>
      <c r="AA13" s="465">
        <f>Z17</f>
        <v>4</v>
      </c>
      <c r="AB13" s="467">
        <f t="shared" si="3"/>
        <v>2.9</v>
      </c>
      <c r="AH13" s="436">
        <v>850</v>
      </c>
      <c r="AI13" s="435">
        <f>AI50-IM_Process!$E$5</f>
        <v>1050</v>
      </c>
      <c r="AJ13" s="435">
        <f>AJ50-IM_Process!$E$5</f>
        <v>910</v>
      </c>
      <c r="AK13" s="437">
        <v>850</v>
      </c>
      <c r="AL13" s="438" t="s">
        <v>617</v>
      </c>
      <c r="AN13" s="439" t="s">
        <v>649</v>
      </c>
      <c r="AO13" s="435">
        <v>1.5</v>
      </c>
      <c r="AP13" s="706" t="s">
        <v>997</v>
      </c>
      <c r="AT13" s="445" t="s">
        <v>667</v>
      </c>
      <c r="AU13" s="445">
        <v>2.5</v>
      </c>
      <c r="AV13" s="445">
        <v>9.9</v>
      </c>
      <c r="AW13" s="445">
        <v>22.3</v>
      </c>
      <c r="AX13" s="445">
        <v>39.5</v>
      </c>
      <c r="AY13" s="445">
        <v>61.8</v>
      </c>
      <c r="AZ13" s="445">
        <v>88.9</v>
      </c>
      <c r="BB13" s="435" t="s">
        <v>1072</v>
      </c>
      <c r="BC13" s="435">
        <v>963</v>
      </c>
      <c r="BI13" s="468" t="e">
        <f>MIN(IM_TC!N13,HLOOKUP(IM_TC!N13,BN:BU,4,TRUE)*HLOOKUP(IM_TC!N13,BN:BU,2,TRUE)^2)</f>
        <v>#N/A</v>
      </c>
      <c r="BJ13" s="468" t="e">
        <f>MAX(0,IM_TC!N13-BI13)</f>
        <v>#VALUE!</v>
      </c>
      <c r="BW13" s="439" t="s">
        <v>649</v>
      </c>
      <c r="BX13" s="435">
        <v>1.1000000000000001</v>
      </c>
      <c r="BY13" s="706" t="s">
        <v>1073</v>
      </c>
      <c r="BZ13" s="429" t="s">
        <v>1074</v>
      </c>
      <c r="CA13" s="429">
        <v>1.1499999999999999</v>
      </c>
      <c r="CB13" s="429">
        <v>1.22</v>
      </c>
      <c r="CL13" s="429" t="s">
        <v>1075</v>
      </c>
      <c r="CY13" s="487" t="str">
        <f>IF(COUNTIF(BOM!H:H,"Exhaust Pipe")&lt;&gt;0,CZ13,"")</f>
        <v/>
      </c>
      <c r="CZ13" s="1" t="s">
        <v>780</v>
      </c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</row>
    <row r="14" spans="1:119">
      <c r="F14" s="913"/>
      <c r="G14" s="449">
        <v>1</v>
      </c>
      <c r="H14" s="450">
        <v>691</v>
      </c>
      <c r="I14" s="451">
        <f>IF(I5&lt;&gt;0,(H14-J14)/(H5-J5)*(I5-J5)+J14,0)</f>
        <v>618</v>
      </c>
      <c r="J14" s="450">
        <v>545</v>
      </c>
      <c r="K14" s="451">
        <f>IF(K5&lt;&gt;0,(J14-L14)/(J5-L5)*(K5-L5)+L14,0)</f>
        <v>477.5</v>
      </c>
      <c r="L14" s="450">
        <v>410</v>
      </c>
      <c r="M14" s="451">
        <f>IF(M5&lt;&gt;0,(L14-N14)/(L5-N5)*(M5-N5)+N14,0)</f>
        <v>342.5</v>
      </c>
      <c r="N14" s="450">
        <v>275</v>
      </c>
      <c r="O14" s="451">
        <f>IF(O5&lt;&gt;0,(N14-P14)/(N5-P5)*(O5-P5)+P14,0)</f>
        <v>235</v>
      </c>
      <c r="P14" s="452">
        <v>195</v>
      </c>
      <c r="R14" s="462">
        <v>80</v>
      </c>
      <c r="S14" s="463">
        <f>R17</f>
        <v>180</v>
      </c>
      <c r="T14" s="464">
        <v>1.2</v>
      </c>
      <c r="U14" s="465">
        <f>T17</f>
        <v>2.6</v>
      </c>
      <c r="V14" s="466">
        <f t="shared" si="1"/>
        <v>1.9</v>
      </c>
      <c r="W14" s="464">
        <v>1.5</v>
      </c>
      <c r="X14" s="465">
        <f>W17</f>
        <v>3.2</v>
      </c>
      <c r="Y14" s="466">
        <f t="shared" si="2"/>
        <v>2.35</v>
      </c>
      <c r="Z14" s="464">
        <v>1.8</v>
      </c>
      <c r="AA14" s="465">
        <f>Z17</f>
        <v>4</v>
      </c>
      <c r="AB14" s="467">
        <f t="shared" si="3"/>
        <v>2.9</v>
      </c>
      <c r="AH14" s="436">
        <v>1050</v>
      </c>
      <c r="AI14" s="435">
        <f>AI51-IM_Process!$E$5</f>
        <v>1160</v>
      </c>
      <c r="AJ14" s="435">
        <f>AJ51-IM_Process!$E$5</f>
        <v>1010</v>
      </c>
      <c r="AK14" s="437">
        <v>1050</v>
      </c>
      <c r="AL14" s="438" t="s">
        <v>618</v>
      </c>
      <c r="AN14" s="439" t="s">
        <v>650</v>
      </c>
      <c r="AO14" s="435">
        <v>1.4</v>
      </c>
      <c r="AP14" s="706" t="s">
        <v>1076</v>
      </c>
      <c r="AT14" s="445" t="s">
        <v>1077</v>
      </c>
      <c r="AU14" s="445">
        <v>2.2000000000000002</v>
      </c>
      <c r="AV14" s="445">
        <v>8.9</v>
      </c>
      <c r="AW14" s="445">
        <v>20.100000000000001</v>
      </c>
      <c r="AX14" s="445">
        <v>35.700000000000003</v>
      </c>
      <c r="AY14" s="445">
        <v>55.8</v>
      </c>
      <c r="AZ14" s="445">
        <v>80.3</v>
      </c>
      <c r="BB14" s="435" t="s">
        <v>1078</v>
      </c>
      <c r="BC14" s="435">
        <v>1173</v>
      </c>
      <c r="BI14" s="468" t="e">
        <f>MIN(IM_TC!N14,HLOOKUP(IM_TC!N14,BN:BU,4,TRUE)*HLOOKUP(IM_TC!N14,BN:BU,2,TRUE)^2)</f>
        <v>#N/A</v>
      </c>
      <c r="BJ14" s="468" t="e">
        <f>MAX(0,IM_TC!N14-BI14)</f>
        <v>#VALUE!</v>
      </c>
      <c r="BW14" s="439" t="s">
        <v>650</v>
      </c>
      <c r="BX14" s="435">
        <v>1.4</v>
      </c>
      <c r="BY14" s="706" t="s">
        <v>1079</v>
      </c>
      <c r="BZ14" s="429" t="s">
        <v>1080</v>
      </c>
      <c r="CA14" s="429">
        <v>1.5</v>
      </c>
      <c r="CB14" s="429">
        <v>1.55</v>
      </c>
      <c r="CL14" s="429" t="s">
        <v>1081</v>
      </c>
      <c r="CY14" s="487" t="str">
        <f>IF(COUNTIF(BOM!H:H,"Exhaust Pipe")&lt;&gt;0,CZ14,"")</f>
        <v/>
      </c>
      <c r="CZ14" s="1" t="s">
        <v>781</v>
      </c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</row>
    <row r="15" spans="1:119">
      <c r="F15" s="913"/>
      <c r="G15" s="461">
        <f>IF(AND($D$7&gt;G14,$D$7&lt;G16),$D$7,(G16-G14)/2+G14)</f>
        <v>1.0625</v>
      </c>
      <c r="H15" s="450">
        <f>IF(G15&gt;0,(H14-H16)/(G14-G16)*(G15-G16)+H16,0)</f>
        <v>655.5</v>
      </c>
      <c r="I15" s="450">
        <f>IF(G15&gt;0,(I14-I16)/(G14-G16)*(G15-G16)+I16,0)</f>
        <v>585.25</v>
      </c>
      <c r="J15" s="450">
        <f>IF(G15&gt;0,(J14-J16)/(G14-G16)*(G15-G16)+J16,0)</f>
        <v>515</v>
      </c>
      <c r="K15" s="450">
        <f>IF(G15&gt;0,(K14-K16)/(G14-G16)*(G15-G16)+K16,0)</f>
        <v>452.5</v>
      </c>
      <c r="L15" s="450">
        <f>IF(G15&gt;0,(L14-L16)/(G14-G16)*(G15-G16)+L16,0)</f>
        <v>390</v>
      </c>
      <c r="M15" s="450">
        <f>IF(G15&gt;0,(M14-M16)/(G14-G16)*(G15-G16)+M16,0)</f>
        <v>327.25</v>
      </c>
      <c r="N15" s="450">
        <f>IF(G15&gt;0,(N14-N16)/(G14-G16)*(G15-G16)+N16,0)</f>
        <v>264.5</v>
      </c>
      <c r="O15" s="450">
        <f>IF(G15&gt;0,(O14-O16)/(G14-G16)*(G15-G16)+O16,0)</f>
        <v>224</v>
      </c>
      <c r="P15" s="452">
        <f>IF(G15&gt;0,(P14-P16)/(G14-G16)*(G15-G16)+P16,0)</f>
        <v>183.5</v>
      </c>
      <c r="R15" s="462">
        <v>80</v>
      </c>
      <c r="S15" s="463">
        <f>R18</f>
        <v>250</v>
      </c>
      <c r="T15" s="464">
        <v>1.2</v>
      </c>
      <c r="U15" s="465">
        <f>T18</f>
        <v>3.5</v>
      </c>
      <c r="V15" s="466">
        <f t="shared" si="1"/>
        <v>2.35</v>
      </c>
      <c r="W15" s="464">
        <v>1.5</v>
      </c>
      <c r="X15" s="465">
        <f>W18</f>
        <v>4.4000000000000004</v>
      </c>
      <c r="Y15" s="466">
        <f t="shared" si="2"/>
        <v>2.95</v>
      </c>
      <c r="Z15" s="464">
        <v>1.8</v>
      </c>
      <c r="AA15" s="465">
        <f>Z18</f>
        <v>5.4</v>
      </c>
      <c r="AB15" s="467">
        <f t="shared" si="3"/>
        <v>3.6</v>
      </c>
      <c r="AH15" s="436">
        <v>1450</v>
      </c>
      <c r="AI15" s="435">
        <f>AI52-IM_Process!$E$5</f>
        <v>1360</v>
      </c>
      <c r="AJ15" s="435">
        <f>AJ52-IM_Process!$E$5</f>
        <v>1160</v>
      </c>
      <c r="AK15" s="437">
        <v>1450</v>
      </c>
      <c r="AL15" s="438" t="s">
        <v>619</v>
      </c>
      <c r="AN15" s="439" t="s">
        <v>651</v>
      </c>
      <c r="AO15" s="435">
        <v>1</v>
      </c>
      <c r="AP15" s="706" t="s">
        <v>997</v>
      </c>
      <c r="AT15" s="445" t="s">
        <v>1082</v>
      </c>
      <c r="AU15" s="445">
        <v>2.7</v>
      </c>
      <c r="AV15" s="445">
        <v>10.7</v>
      </c>
      <c r="AW15" s="445">
        <v>24.3</v>
      </c>
      <c r="AX15" s="445">
        <v>43</v>
      </c>
      <c r="AY15" s="445">
        <v>67.3</v>
      </c>
      <c r="AZ15" s="445">
        <v>96.8</v>
      </c>
      <c r="BB15" s="435" t="s">
        <v>1083</v>
      </c>
      <c r="BC15" s="435">
        <v>1524</v>
      </c>
      <c r="BI15" s="468" t="e">
        <f>MIN(IM_TC!N15,HLOOKUP(IM_TC!N15,BN:BU,4,TRUE)*HLOOKUP(IM_TC!N15,BN:BU,2,TRUE)^2)</f>
        <v>#N/A</v>
      </c>
      <c r="BJ15" s="468" t="e">
        <f>MAX(0,IM_TC!N15-BI15)</f>
        <v>#VALUE!</v>
      </c>
      <c r="BW15" s="439" t="s">
        <v>651</v>
      </c>
      <c r="BX15" s="435">
        <v>1</v>
      </c>
      <c r="BY15" s="706" t="s">
        <v>1084</v>
      </c>
      <c r="BZ15" s="429" t="s">
        <v>1085</v>
      </c>
      <c r="CA15" s="429">
        <v>1.7</v>
      </c>
      <c r="CB15" s="429">
        <v>1.7</v>
      </c>
      <c r="CL15" s="429" t="s">
        <v>1086</v>
      </c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</row>
    <row r="16" spans="1:119">
      <c r="E16" s="476"/>
      <c r="F16" s="913"/>
      <c r="G16" s="449">
        <v>1.125</v>
      </c>
      <c r="H16" s="450">
        <v>620</v>
      </c>
      <c r="I16" s="451">
        <f>IF(I5&lt;&gt;0,(H16-J16)/(H5-J5)*(I5-J5)+J16,0)</f>
        <v>552.5</v>
      </c>
      <c r="J16" s="450">
        <v>485</v>
      </c>
      <c r="K16" s="451">
        <f>IF(K5&lt;&gt;0,(J16-L16)/(J5-L5)*(K5-L5)+L16,0)</f>
        <v>427.5</v>
      </c>
      <c r="L16" s="450">
        <v>370</v>
      </c>
      <c r="M16" s="451">
        <f>IF(M5&lt;&gt;0,(L16-N16)/(L5-N5)*(M5-N5)+N16,0)</f>
        <v>312</v>
      </c>
      <c r="N16" s="450">
        <v>254</v>
      </c>
      <c r="O16" s="451">
        <f>IF(O5&lt;&gt;0,(N16-P16)/(N5-P5)*(O5-P5)+P16,0)</f>
        <v>213</v>
      </c>
      <c r="P16" s="452">
        <v>172</v>
      </c>
      <c r="R16" s="462">
        <v>120</v>
      </c>
      <c r="S16" s="463">
        <f>R17</f>
        <v>180</v>
      </c>
      <c r="T16" s="464">
        <v>1.8</v>
      </c>
      <c r="U16" s="465">
        <f>T17</f>
        <v>2.6</v>
      </c>
      <c r="V16" s="466">
        <f t="shared" si="1"/>
        <v>2.2000000000000002</v>
      </c>
      <c r="W16" s="464">
        <v>2.2000000000000002</v>
      </c>
      <c r="X16" s="465">
        <f>W17</f>
        <v>3.2</v>
      </c>
      <c r="Y16" s="466">
        <f t="shared" si="2"/>
        <v>2.7</v>
      </c>
      <c r="Z16" s="464">
        <v>2.7</v>
      </c>
      <c r="AA16" s="465">
        <f>Z17</f>
        <v>4</v>
      </c>
      <c r="AB16" s="467">
        <f t="shared" si="3"/>
        <v>3.35</v>
      </c>
      <c r="AH16" s="436">
        <v>1750</v>
      </c>
      <c r="AI16" s="435">
        <f>AI53-IM_Process!$E$5</f>
        <v>1550</v>
      </c>
      <c r="AJ16" s="435">
        <f>AJ53-IM_Process!$E$5</f>
        <v>1350</v>
      </c>
      <c r="AK16" s="437">
        <v>1750</v>
      </c>
      <c r="AL16" s="438" t="s">
        <v>620</v>
      </c>
      <c r="AN16" s="439" t="s">
        <v>653</v>
      </c>
      <c r="AO16" s="435">
        <v>1.4</v>
      </c>
      <c r="AP16" s="706" t="s">
        <v>1087</v>
      </c>
      <c r="BB16" s="435" t="s">
        <v>1088</v>
      </c>
      <c r="BC16" s="435">
        <v>1655</v>
      </c>
      <c r="BI16" s="468" t="e">
        <f>MIN(IM_TC!N16,HLOOKUP(IM_TC!N16,BN:BU,4,TRUE)*HLOOKUP(IM_TC!N16,BN:BU,2,TRUE)^2)</f>
        <v>#N/A</v>
      </c>
      <c r="BJ16" s="468" t="e">
        <f>MAX(0,IM_TC!N16-BI16)</f>
        <v>#VALUE!</v>
      </c>
      <c r="BW16" s="439" t="s">
        <v>653</v>
      </c>
      <c r="BX16" s="435">
        <v>1.2</v>
      </c>
      <c r="BY16" s="706" t="s">
        <v>1089</v>
      </c>
      <c r="BZ16" s="429" t="s">
        <v>1090</v>
      </c>
      <c r="CA16" s="429">
        <v>0.92</v>
      </c>
      <c r="CB16" s="429">
        <v>0.94</v>
      </c>
      <c r="CL16" s="429" t="s">
        <v>1091</v>
      </c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</row>
    <row r="17" spans="6:119">
      <c r="F17" s="913"/>
      <c r="G17" s="461">
        <f>IF(AND($D$7&gt;G16,$D$7&lt;G18),$D$7,(G18-G16)/2+G16)</f>
        <v>1.1875</v>
      </c>
      <c r="H17" s="450">
        <f>IF(G17&gt;0,(H16-H18)/(G16-G18)*(G17-G18)+H18,0)</f>
        <v>587.5</v>
      </c>
      <c r="I17" s="450">
        <f>IF(G17&gt;0,(I16-I18)/(G16-G18)*(G17-G18)+I18,0)</f>
        <v>525</v>
      </c>
      <c r="J17" s="450">
        <f>IF(G17&gt;0,(J16-J18)/(G16-G18)*(G17-G18)+J18,0)</f>
        <v>462.5</v>
      </c>
      <c r="K17" s="450">
        <f>IF(G17&gt;0,(K16-K18)/(G16-G18)*(G17-G18)+K18,0)</f>
        <v>408.75</v>
      </c>
      <c r="L17" s="450">
        <f>IF(G17&gt;0,(L16-L18)/(G16-G18)*(G17-G18)+L18,0)</f>
        <v>355</v>
      </c>
      <c r="M17" s="450">
        <f>IF(G17&gt;0,(M16-M18)/(G16-G18)*(G17-G18)+M18,0)</f>
        <v>299.75</v>
      </c>
      <c r="N17" s="450">
        <f>IF(G17&gt;0,(N16-N18)/(G16-G18)*(G17-G18)+N18,0)</f>
        <v>244.5</v>
      </c>
      <c r="O17" s="450">
        <f>IF(G17&gt;0,(O16-O18)/(G16-G18)*(G17-G18)+O18,0)</f>
        <v>204.25</v>
      </c>
      <c r="P17" s="452">
        <f>IF(G17&gt;0,(P16-P18)/(G16-G18)*(G17-G18)+P18,0)</f>
        <v>164</v>
      </c>
      <c r="R17" s="462">
        <v>180</v>
      </c>
      <c r="S17" s="463">
        <f>R18</f>
        <v>250</v>
      </c>
      <c r="T17" s="464">
        <v>2.6</v>
      </c>
      <c r="U17" s="465">
        <f>T18</f>
        <v>3.5</v>
      </c>
      <c r="V17" s="466">
        <f t="shared" si="1"/>
        <v>3.05</v>
      </c>
      <c r="W17" s="464">
        <v>3.2</v>
      </c>
      <c r="X17" s="465">
        <f>W18</f>
        <v>4.4000000000000004</v>
      </c>
      <c r="Y17" s="466">
        <f t="shared" si="2"/>
        <v>3.8000000000000003</v>
      </c>
      <c r="Z17" s="464">
        <v>4</v>
      </c>
      <c r="AA17" s="465">
        <f>Z18</f>
        <v>5.4</v>
      </c>
      <c r="AB17" s="467">
        <f t="shared" si="3"/>
        <v>4.7</v>
      </c>
      <c r="AH17" s="436">
        <v>2200</v>
      </c>
      <c r="AI17" s="435">
        <f>AI54-IM_Process!$E$5</f>
        <v>1750</v>
      </c>
      <c r="AJ17" s="435">
        <f>AJ54-IM_Process!$E$5</f>
        <v>1450</v>
      </c>
      <c r="AK17" s="437">
        <v>2200</v>
      </c>
      <c r="AL17" s="438" t="s">
        <v>621</v>
      </c>
      <c r="AN17" s="439" t="s">
        <v>654</v>
      </c>
      <c r="AO17" s="435">
        <v>1.4</v>
      </c>
      <c r="AP17" s="706" t="s">
        <v>1092</v>
      </c>
      <c r="BB17" s="435" t="s">
        <v>1093</v>
      </c>
      <c r="BC17" s="435">
        <v>1674</v>
      </c>
      <c r="BI17" s="468">
        <f>MIN(IM_TC!N17,HLOOKUP(IM_TC!N17,BN:BU,4,TRUE)*HLOOKUP(IM_TC!N17,BN:BU,2,TRUE)^2)</f>
        <v>3</v>
      </c>
      <c r="BJ17" s="468">
        <f>MAX(0,IM_TC!N17-BI17)</f>
        <v>0</v>
      </c>
      <c r="BW17" s="439" t="s">
        <v>654</v>
      </c>
      <c r="BX17" s="435">
        <v>0.94</v>
      </c>
      <c r="BY17" s="706" t="s">
        <v>1094</v>
      </c>
      <c r="BZ17" s="429" t="s">
        <v>1095</v>
      </c>
      <c r="CA17" s="429">
        <v>1.1000000000000001</v>
      </c>
      <c r="CB17" s="429">
        <v>1.2</v>
      </c>
      <c r="CL17" s="429" t="s">
        <v>1096</v>
      </c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</row>
    <row r="18" spans="6:119">
      <c r="F18" s="913"/>
      <c r="G18" s="449">
        <v>1.25</v>
      </c>
      <c r="H18" s="450">
        <v>555</v>
      </c>
      <c r="I18" s="451">
        <f>IF(I5&lt;&gt;0,(H18-J18)/(H5-J5)*(I5-J5)+J18,0)</f>
        <v>497.5</v>
      </c>
      <c r="J18" s="450">
        <v>440</v>
      </c>
      <c r="K18" s="451">
        <f>IF(K5&lt;&gt;0,(J18-L18)/(J5-L5)*(K5-L5)+L18,0)</f>
        <v>390</v>
      </c>
      <c r="L18" s="450">
        <v>340</v>
      </c>
      <c r="M18" s="451">
        <f>IF(M5&lt;&gt;0,(L18-N18)/(L5-N5)*(M5-N5)+N18,0)</f>
        <v>287.5</v>
      </c>
      <c r="N18" s="450">
        <v>235</v>
      </c>
      <c r="O18" s="451">
        <f>IF(O5&lt;&gt;0,(N18-P18)/(N5-P5)*(O5-P5)+P18,0)</f>
        <v>195.5</v>
      </c>
      <c r="P18" s="452">
        <v>156</v>
      </c>
      <c r="R18" s="462">
        <v>250</v>
      </c>
      <c r="S18" s="463">
        <f>R19</f>
        <v>350</v>
      </c>
      <c r="T18" s="464">
        <v>3.5</v>
      </c>
      <c r="U18" s="465">
        <f>T19</f>
        <v>4.5999999999999996</v>
      </c>
      <c r="V18" s="466">
        <f t="shared" si="1"/>
        <v>4.05</v>
      </c>
      <c r="W18" s="464">
        <v>4.4000000000000004</v>
      </c>
      <c r="X18" s="465">
        <f>W19</f>
        <v>6</v>
      </c>
      <c r="Y18" s="466">
        <f t="shared" si="2"/>
        <v>5.2</v>
      </c>
      <c r="Z18" s="464">
        <v>5.4</v>
      </c>
      <c r="AA18" s="465">
        <f>Z19</f>
        <v>7.2</v>
      </c>
      <c r="AB18" s="467">
        <f t="shared" si="3"/>
        <v>6.3000000000000007</v>
      </c>
      <c r="AH18" s="436">
        <v>2750</v>
      </c>
      <c r="AI18" s="435">
        <f>AI55-IM_Process!$E$5</f>
        <v>1950</v>
      </c>
      <c r="AJ18" s="435">
        <f>AJ55-IM_Process!$E$5</f>
        <v>1550</v>
      </c>
      <c r="AK18" s="437">
        <v>2750</v>
      </c>
      <c r="AL18" s="438" t="s">
        <v>622</v>
      </c>
      <c r="AN18" s="439" t="s">
        <v>655</v>
      </c>
      <c r="AO18" s="435">
        <v>1.4</v>
      </c>
      <c r="AP18" s="706" t="s">
        <v>1092</v>
      </c>
      <c r="BI18" s="468">
        <f>MIN(IM_TC!N18,HLOOKUP(IM_TC!N18,BN:BU,4,TRUE)*HLOOKUP(IM_TC!N18,BN:BU,2,TRUE)^2)</f>
        <v>3</v>
      </c>
      <c r="BJ18" s="468">
        <f>MAX(0,IM_TC!N18-BI18)</f>
        <v>0</v>
      </c>
      <c r="BW18" s="439" t="s">
        <v>655</v>
      </c>
      <c r="BX18" s="435">
        <v>0.94</v>
      </c>
      <c r="BY18" s="706" t="s">
        <v>1097</v>
      </c>
      <c r="BZ18" s="429" t="s">
        <v>1098</v>
      </c>
      <c r="CA18" s="429">
        <v>0.94</v>
      </c>
      <c r="CB18" s="429">
        <v>0.97</v>
      </c>
      <c r="CL18" s="429" t="s">
        <v>1099</v>
      </c>
    </row>
    <row r="19" spans="6:119" ht="16.5" thickBot="1">
      <c r="F19" s="913"/>
      <c r="G19" s="461">
        <f>IF(AND($D$7&gt;G18,$D$7&lt;G20),$D$7,(G20-G18)/2+G18)</f>
        <v>1.3125</v>
      </c>
      <c r="H19" s="450">
        <f>IF(G19&gt;0,(H18-H20)/(G18-G20)*(G19-G20)+H20,0)</f>
        <v>527.5</v>
      </c>
      <c r="I19" s="450">
        <f>IF(G19&gt;0,(I18-I20)/(G18-G20)*(G19-G20)+I20,0)</f>
        <v>473.75</v>
      </c>
      <c r="J19" s="450">
        <f>IF(G19&gt;0,(J18-J20)/(G18-G20)*(G19-G20)+J20,0)</f>
        <v>420</v>
      </c>
      <c r="K19" s="450">
        <f>IF(G19&gt;0,(K18-K20)/(G18-G20)*(G19-G20)+K20,0)</f>
        <v>371.25</v>
      </c>
      <c r="L19" s="450">
        <f>IF(G19&gt;0,(L18-L20)/(G18-G20)*(G19-G20)+L20,0)</f>
        <v>322.5</v>
      </c>
      <c r="M19" s="450">
        <f>IF(G19&gt;0,(M18-M20)/(G18-G20)*(G19-G20)+M20,0)</f>
        <v>274</v>
      </c>
      <c r="N19" s="450">
        <f>IF(G19&gt;0,(N18-N20)/(G18-G20)*(G19-G20)+N20,0)</f>
        <v>225.5</v>
      </c>
      <c r="O19" s="450">
        <f>IF(G19&gt;0,(O18-O20)/(G18-G20)*(G19-G20)+O20,0)</f>
        <v>187.25</v>
      </c>
      <c r="P19" s="452">
        <f>IF(G19&gt;0,(P18-P20)/(G18-G20)*(G19-G20)+P20,0)</f>
        <v>149</v>
      </c>
      <c r="R19" s="477">
        <v>350</v>
      </c>
      <c r="S19" s="478">
        <v>550</v>
      </c>
      <c r="T19" s="479">
        <v>4.5999999999999996</v>
      </c>
      <c r="U19" s="480">
        <v>6.5</v>
      </c>
      <c r="V19" s="481">
        <f t="shared" si="1"/>
        <v>5.55</v>
      </c>
      <c r="W19" s="479">
        <v>6</v>
      </c>
      <c r="X19" s="480">
        <v>8</v>
      </c>
      <c r="Y19" s="481">
        <f t="shared" si="2"/>
        <v>7</v>
      </c>
      <c r="Z19" s="479">
        <v>7.2</v>
      </c>
      <c r="AA19" s="480">
        <v>9.5</v>
      </c>
      <c r="AB19" s="482">
        <f t="shared" si="3"/>
        <v>8.35</v>
      </c>
      <c r="AH19" s="436">
        <v>3500</v>
      </c>
      <c r="AI19" s="435">
        <f>AI56-IM_Process!$E$5</f>
        <v>2150</v>
      </c>
      <c r="AJ19" s="435">
        <f>AJ56-IM_Process!$E$5</f>
        <v>1750</v>
      </c>
      <c r="AK19" s="437">
        <v>3500</v>
      </c>
      <c r="AL19" s="438" t="s">
        <v>623</v>
      </c>
      <c r="AN19" s="439" t="s">
        <v>656</v>
      </c>
      <c r="AO19" s="435">
        <v>1.61</v>
      </c>
      <c r="AP19" s="706" t="s">
        <v>997</v>
      </c>
      <c r="BI19" s="468">
        <f>MIN(IM_TC!N19,HLOOKUP(IM_TC!N19,BN:BU,4,TRUE)*HLOOKUP(IM_TC!N19,BN:BU,2,TRUE)^2)</f>
        <v>3</v>
      </c>
      <c r="BJ19" s="468">
        <f>MAX(0,IM_TC!N19-BI19)</f>
        <v>0</v>
      </c>
      <c r="BW19" s="439" t="s">
        <v>656</v>
      </c>
      <c r="BX19" s="435">
        <v>1.2</v>
      </c>
      <c r="BY19" s="706" t="s">
        <v>1100</v>
      </c>
      <c r="BZ19" s="429" t="s">
        <v>1101</v>
      </c>
      <c r="CA19" s="429">
        <v>1.03</v>
      </c>
      <c r="CB19" s="429">
        <v>1.06</v>
      </c>
      <c r="CL19" s="429" t="s">
        <v>1102</v>
      </c>
    </row>
    <row r="20" spans="6:119" ht="16.5" thickBot="1">
      <c r="F20" s="913"/>
      <c r="G20" s="449">
        <v>1.375</v>
      </c>
      <c r="H20" s="450">
        <v>500</v>
      </c>
      <c r="I20" s="451">
        <f>IF(I5&lt;&gt;0,(H20-J20)/(H5-J5)*(I5-J5)+J20,0)</f>
        <v>450</v>
      </c>
      <c r="J20" s="450">
        <v>400</v>
      </c>
      <c r="K20" s="451">
        <f>IF(K5&lt;&gt;0,(J20-L20)/(J5-L5)*(K5-L5)+L20,0)</f>
        <v>352.5</v>
      </c>
      <c r="L20" s="450">
        <v>305</v>
      </c>
      <c r="M20" s="451">
        <f>IF(M5&lt;&gt;0,(L20-N20)/(L5-N5)*(M5-N5)+N20,0)</f>
        <v>260.5</v>
      </c>
      <c r="N20" s="450">
        <v>216</v>
      </c>
      <c r="O20" s="451">
        <f>IF(O5&lt;&gt;0,(N20-P20)/(N5-P5)*(O5-P5)+P20,0)</f>
        <v>179</v>
      </c>
      <c r="P20" s="452">
        <v>142</v>
      </c>
      <c r="AH20" s="483">
        <v>4000</v>
      </c>
      <c r="AI20" s="484">
        <f>AI57-IM_Process!$E$5</f>
        <v>2370</v>
      </c>
      <c r="AJ20" s="484">
        <f>AJ57-IM_Process!$E$5</f>
        <v>1970</v>
      </c>
      <c r="AK20" s="485">
        <v>4000</v>
      </c>
      <c r="AL20" s="486" t="s">
        <v>624</v>
      </c>
      <c r="AN20" s="439" t="s">
        <v>657</v>
      </c>
      <c r="AO20" s="435">
        <v>1.4</v>
      </c>
      <c r="AP20" s="706" t="s">
        <v>1103</v>
      </c>
      <c r="BI20" s="468">
        <f>MIN(IM_TC!N20,HLOOKUP(IM_TC!N20,BN:BU,4,TRUE)*HLOOKUP(IM_TC!N20,BN:BU,2,TRUE)^2)</f>
        <v>3</v>
      </c>
      <c r="BJ20" s="468">
        <f>MAX(0,IM_TC!N20-BI20)</f>
        <v>0</v>
      </c>
      <c r="BW20" s="439" t="s">
        <v>657</v>
      </c>
      <c r="BX20" s="435">
        <v>1</v>
      </c>
      <c r="BY20" s="706" t="s">
        <v>1104</v>
      </c>
      <c r="BZ20" s="429" t="s">
        <v>1105</v>
      </c>
      <c r="CA20" s="429">
        <v>1.1499999999999999</v>
      </c>
      <c r="CB20" s="429">
        <v>1.17</v>
      </c>
      <c r="CL20" s="429" t="s">
        <v>1106</v>
      </c>
    </row>
    <row r="21" spans="6:119">
      <c r="F21" s="913"/>
      <c r="G21" s="461">
        <f>IF(AND($D$7&gt;G20,$D$7&lt;G22),$D$7,(G22-G20)/2+G20)</f>
        <v>1.4375</v>
      </c>
      <c r="H21" s="450">
        <f>IF(G21&gt;0,(H20-H22)/(G20-G22)*(G21-G22)+H22,0)</f>
        <v>477</v>
      </c>
      <c r="I21" s="450">
        <f>IF(G21&gt;0,(I20-I22)/(G20-G22)*(G21-G22)+I22,0)</f>
        <v>429.75</v>
      </c>
      <c r="J21" s="450">
        <f>IF(G21&gt;0,(J20-J22)/(G20-G22)*(G21-G22)+J22,0)</f>
        <v>382.5</v>
      </c>
      <c r="K21" s="450">
        <f>IF(G21&gt;0,(K20-K22)/(G20-G22)*(G21-G22)+K22,0)</f>
        <v>337.5</v>
      </c>
      <c r="L21" s="450">
        <f>IF(G21&gt;0,(L20-L22)/(G20-G22)*(G21-G22)+L22,0)</f>
        <v>292.5</v>
      </c>
      <c r="M21" s="450">
        <f>IF(G21&gt;0,(M20-M22)/(G20-G22)*(G21-G22)+M22,0)</f>
        <v>249.5</v>
      </c>
      <c r="N21" s="450">
        <f>IF(G21&gt;0,(N20-N22)/(G20-G22)*(G21-G22)+N22,0)</f>
        <v>206.5</v>
      </c>
      <c r="O21" s="450">
        <f>IF(G21&gt;0,(O20-O22)/(G20-G22)*(G21-G22)+O22,0)</f>
        <v>170.75</v>
      </c>
      <c r="P21" s="452">
        <f>IF(G21&gt;0,(P20-P22)/(G20-G22)*(G21-G22)+P22,0)</f>
        <v>135</v>
      </c>
      <c r="AN21" s="439" t="s">
        <v>658</v>
      </c>
      <c r="AO21" s="435">
        <v>1.5</v>
      </c>
      <c r="AP21" s="706" t="s">
        <v>1107</v>
      </c>
      <c r="BI21" s="468">
        <f>MIN(IM_TC!N21,HLOOKUP(IM_TC!N21,BN:BU,4,TRUE)*HLOOKUP(IM_TC!N21,BN:BU,2,TRUE)^2)</f>
        <v>3</v>
      </c>
      <c r="BJ21" s="468">
        <f>MAX(0,IM_TC!N21-BI21)</f>
        <v>0</v>
      </c>
      <c r="BW21" s="439" t="s">
        <v>658</v>
      </c>
      <c r="BX21" s="435">
        <v>1</v>
      </c>
      <c r="BY21" s="706" t="s">
        <v>1107</v>
      </c>
      <c r="BZ21" s="429" t="s">
        <v>1108</v>
      </c>
      <c r="CA21" s="429">
        <v>0.91700000000000004</v>
      </c>
      <c r="CB21" s="429">
        <v>0.94</v>
      </c>
      <c r="CL21" s="429" t="s">
        <v>1109</v>
      </c>
    </row>
    <row r="22" spans="6:119">
      <c r="F22" s="913"/>
      <c r="G22" s="449">
        <v>1.5</v>
      </c>
      <c r="H22" s="450">
        <v>454</v>
      </c>
      <c r="I22" s="451">
        <f>IF(I5&lt;&gt;0,(H22-J22)/(H5-J5)*(I5-J5)+J22,0)</f>
        <v>409.5</v>
      </c>
      <c r="J22" s="450">
        <v>365</v>
      </c>
      <c r="K22" s="451">
        <f>IF(K5&lt;&gt;0,(J22-L22)/(J5-L5)*(K5-L5)+L22,0)</f>
        <v>322.5</v>
      </c>
      <c r="L22" s="450">
        <v>280</v>
      </c>
      <c r="M22" s="451">
        <f>IF(M5&lt;&gt;0,(L22-N22)/(L5-N5)*(M5-N5)+N22,0)</f>
        <v>238.5</v>
      </c>
      <c r="N22" s="450">
        <v>197</v>
      </c>
      <c r="O22" s="451">
        <f>IF(O5&lt;&gt;0,(N22-P22)/(N5-P5)*(O5-P5)+P22,0)</f>
        <v>162.5</v>
      </c>
      <c r="P22" s="452">
        <v>128</v>
      </c>
      <c r="AN22" s="439" t="s">
        <v>659</v>
      </c>
      <c r="AO22" s="435">
        <v>1.5</v>
      </c>
      <c r="AP22" s="706" t="s">
        <v>1107</v>
      </c>
      <c r="BA22" s="429" t="str">
        <f>IF(AF7&lt;&gt;"",IF(VLOOKUP(B7,IM_Process!B:O,15,0)=0,"",IF(VLOOKUP(B7,IM_Process!B:O,15,0)&lt;=50,"Less than 50 T",IF(VLOOKUP(B7,IM_Process!B:O,15,0)&lt;=110,"50 T to 110 T",IF(VLOOKUP(B7,IM_Process!B:O,15,0)&lt;=150,"110 T to 150 T",IF(VLOOKUP(B7,IM_Process!B:O,15,0)&lt;=180,"150 T to 180 T",IF(VLOOKUP(B7,IM_Process!B:O,15,0)&lt;=250,"180 T to 250 T",IF(VLOOKUP(B7,IM_Process!B:O,15,0)&lt;=320,"250 T to 320 T",IF(VLOOKUP(B7,IM_Process!B:O,15,0)&lt;=400,"320 T to 400 T",IF(VLOOKUP(B7,IM_Process!B:O,15,0)&lt;=480,"400 T to 480 T",IF(VLOOKUP(B7,IM_Process!B:O,15,0)&lt;=550,"480 T to 550 T",IF(VLOOKUP(B7,IM_Process!B:O,15,0)&lt;=650,"550 T to 650 T",IF(VLOOKUP(B7,IM_Process!B:O,15,0)&lt;=850,"650 T to 850 T",IF(VLOOKUP(B7,IM_Process!B:O,15,0)&lt;=1050,"850 T to 1050 T",IF(VLOOKUP(B7,IM_Process!B:O,15,0)&lt;=1450,"1050 T to 1450 T",IF(VLOOKUP(B7,IM_Process!B:O,15,0)&lt;=1750,"1450 T to 1750 T",IF(VLOOKUP(B7,IM_Process!B:O,15,0)&lt;=2200,"1750 T to 2200 T",IF(VLOOKUP(B7,IM_Process!B:O,15,0)&lt;=2750,"2200 T to 2750 T",IF(VLOOKUP(B7,IM_Process!B:O,15,0)&lt;=3500,"2750 T to 3500 T",IF(VLOOKUP(B7,IM_Process!B:O,15,0)&lt;=4000,"3500 T to 4000 T",""))))))))))))))))))),"")</f>
        <v/>
      </c>
      <c r="BI22" s="468">
        <f>MIN(IM_TC!N22,HLOOKUP(IM_TC!N22,BN:BU,4,TRUE)*HLOOKUP(IM_TC!N22,BN:BU,2,TRUE)^2)</f>
        <v>3</v>
      </c>
      <c r="BJ22" s="468">
        <f>MAX(0,IM_TC!N22-BI22)</f>
        <v>0</v>
      </c>
      <c r="BW22" s="439" t="s">
        <v>659</v>
      </c>
      <c r="BX22" s="435">
        <v>1</v>
      </c>
      <c r="BY22" s="706" t="s">
        <v>1107</v>
      </c>
      <c r="BZ22" s="429" t="s">
        <v>1110</v>
      </c>
      <c r="CA22" s="429">
        <v>0.91500000000000004</v>
      </c>
      <c r="CB22" s="429">
        <v>0.95</v>
      </c>
      <c r="CL22" s="429" t="s">
        <v>1111</v>
      </c>
    </row>
    <row r="23" spans="6:119">
      <c r="F23" s="913"/>
      <c r="G23" s="461">
        <f>IF(AND($D$7&gt;G22,$D$7&lt;G24),$D$7,(G24-G22)/2+G22)</f>
        <v>1.5625</v>
      </c>
      <c r="H23" s="450">
        <f>IF(G23&gt;0,(H22-H24)/(G22-G24)*(G23-G24)+H24,0)</f>
        <v>437</v>
      </c>
      <c r="I23" s="450">
        <f>IF(G23&gt;0,(I22-I24)/(G22-G24)*(G23-G24)+I24,0)</f>
        <v>394.25</v>
      </c>
      <c r="J23" s="450">
        <f>IF(G23&gt;0,(J22-J24)/(G22-G24)*(G23-G24)+J24,0)</f>
        <v>351.5</v>
      </c>
      <c r="K23" s="450">
        <f>IF(G23&gt;0,(K22-K24)/(G22-G24)*(G23-G24)+K24,0)</f>
        <v>310.25</v>
      </c>
      <c r="L23" s="450">
        <f>IF(G23&gt;0,(L22-L24)/(G22-G24)*(G23-G24)+L24,0)</f>
        <v>269</v>
      </c>
      <c r="M23" s="450">
        <f>IF(G23&gt;0,(M22-M24)/(G22-G24)*(G23-G24)+M24,0)</f>
        <v>228.5</v>
      </c>
      <c r="N23" s="450">
        <f>IF(G23&gt;0,(N22-N24)/(G22-G24)*(G23-G24)+N24,0)</f>
        <v>188</v>
      </c>
      <c r="O23" s="450">
        <f>IF(G23&gt;0,(O22-O24)/(G22-G24)*(G23-G24)+O24,0)</f>
        <v>155.5</v>
      </c>
      <c r="P23" s="452">
        <f>IF(G23&gt;0,(P22-P24)/(G22-G24)*(G23-G24)+P24,0)</f>
        <v>123</v>
      </c>
      <c r="AN23" s="439" t="s">
        <v>660</v>
      </c>
      <c r="AO23" s="435">
        <v>1.8</v>
      </c>
      <c r="AP23" s="706" t="s">
        <v>1112</v>
      </c>
      <c r="BI23" s="468">
        <f>MIN(IM_TC!N23,HLOOKUP(IM_TC!N23,BN:BU,4,TRUE)*HLOOKUP(IM_TC!N23,BN:BU,2,TRUE)^2)</f>
        <v>3</v>
      </c>
      <c r="BJ23" s="468">
        <f>MAX(0,IM_TC!N23-BI23)</f>
        <v>0</v>
      </c>
      <c r="BW23" s="439" t="s">
        <v>660</v>
      </c>
      <c r="BX23" s="435">
        <v>1.8</v>
      </c>
      <c r="BY23" s="706" t="s">
        <v>1113</v>
      </c>
      <c r="BZ23" s="429" t="s">
        <v>1114</v>
      </c>
      <c r="CA23" s="429">
        <v>1.25</v>
      </c>
      <c r="CB23" s="429">
        <v>1.27</v>
      </c>
      <c r="CL23" s="429" t="s">
        <v>1115</v>
      </c>
    </row>
    <row r="24" spans="6:119">
      <c r="F24" s="913"/>
      <c r="G24" s="449">
        <v>1.625</v>
      </c>
      <c r="H24" s="450">
        <v>420</v>
      </c>
      <c r="I24" s="451">
        <f>IF(I5&lt;&gt;0,(H24-J24)/(H5-J5)*(I5-J5)+J24,0)</f>
        <v>379</v>
      </c>
      <c r="J24" s="450">
        <v>338</v>
      </c>
      <c r="K24" s="451">
        <f>IF(K5&lt;&gt;0,(J24-L24)/(J5-L5)*(K5-L5)+L24,0)</f>
        <v>298</v>
      </c>
      <c r="L24" s="450">
        <v>258</v>
      </c>
      <c r="M24" s="451">
        <f>IF(M5&lt;&gt;0,(L24-N24)/(L5-N5)*(M5-N5)+N24,0)</f>
        <v>218.5</v>
      </c>
      <c r="N24" s="450">
        <v>179</v>
      </c>
      <c r="O24" s="451">
        <f>IF(O5&lt;&gt;0,(N24-P24)/(N5-P5)*(O5-P5)+P24,0)</f>
        <v>148.5</v>
      </c>
      <c r="P24" s="452">
        <v>118</v>
      </c>
      <c r="AN24" s="439" t="s">
        <v>662</v>
      </c>
      <c r="AO24" s="435">
        <v>1.33</v>
      </c>
      <c r="AP24" s="706" t="s">
        <v>1116</v>
      </c>
      <c r="BI24" s="468">
        <f>MIN(IM_TC!N24,HLOOKUP(IM_TC!N24,BN:BU,4,TRUE)*HLOOKUP(IM_TC!N24,BN:BU,2,TRUE)^2)</f>
        <v>3</v>
      </c>
      <c r="BJ24" s="468">
        <f>MAX(0,IM_TC!N24-BI24)</f>
        <v>0</v>
      </c>
      <c r="BW24" s="439" t="s">
        <v>662</v>
      </c>
      <c r="BX24" s="435">
        <v>1.1000000000000001</v>
      </c>
      <c r="BY24" s="706" t="s">
        <v>1117</v>
      </c>
      <c r="BZ24" s="429" t="s">
        <v>1118</v>
      </c>
      <c r="CA24" s="429">
        <v>1.1299999999999999</v>
      </c>
      <c r="CB24" s="429">
        <v>1.1299999999999999</v>
      </c>
      <c r="CL24" s="429" t="s">
        <v>1119</v>
      </c>
    </row>
    <row r="25" spans="6:119">
      <c r="F25" s="913"/>
      <c r="G25" s="461">
        <f>IF(AND($D$7&gt;G24,$D$7&lt;G26),$D$7,(G26-G24)/2+G24)</f>
        <v>1.6875</v>
      </c>
      <c r="H25" s="450">
        <f>IF(G25&gt;0,(H24-H26)/(G24-G26)*(G25-G26)+H26,0)</f>
        <v>402.5</v>
      </c>
      <c r="I25" s="450">
        <f>IF(G25&gt;0,(I24-I26)/(G24-G26)*(G25-G26)+I26,0)</f>
        <v>365.75</v>
      </c>
      <c r="J25" s="450">
        <f>IF(G25&gt;0,(J24-J26)/(G24-G26)*(G25-G26)+J26,0)</f>
        <v>329</v>
      </c>
      <c r="K25" s="450">
        <f>IF(G25&gt;0,(K24-K26)/(G24-G26)*(G25-G26)+K26,0)</f>
        <v>288.5</v>
      </c>
      <c r="L25" s="450">
        <f>IF(G25&gt;0,(L24-L26)/(G24-G26)*(G25-G26)+L26,0)</f>
        <v>248</v>
      </c>
      <c r="M25" s="450">
        <f>IF(G25&gt;0,(M24-M26)/(G24-G26)*(G25-G26)+M26,0)</f>
        <v>209.75</v>
      </c>
      <c r="N25" s="450">
        <f>IF(G25&gt;0,(N24-N26)/(G24-G26)*(G25-G26)+N26,0)</f>
        <v>171.5</v>
      </c>
      <c r="O25" s="450">
        <f>IF(G25&gt;0,(O24-O26)/(G24-G26)*(G25-G26)+O26,0)</f>
        <v>142.5</v>
      </c>
      <c r="P25" s="452">
        <f>IF(G25&gt;0,(P24-P26)/(G24-G26)*(G25-G26)+P26,0)</f>
        <v>113.5</v>
      </c>
      <c r="AN25" s="439" t="s">
        <v>663</v>
      </c>
      <c r="AO25" s="435">
        <v>1.33</v>
      </c>
      <c r="AP25" s="706" t="s">
        <v>1116</v>
      </c>
      <c r="BI25" s="468">
        <f>MIN(IM_TC!N25,HLOOKUP(IM_TC!N25,BN:BU,4,TRUE)*HLOOKUP(IM_TC!N25,BN:BU,2,TRUE)^2)</f>
        <v>3</v>
      </c>
      <c r="BJ25" s="468">
        <f>MAX(0,IM_TC!N25-BI25)</f>
        <v>0</v>
      </c>
      <c r="BW25" s="439" t="s">
        <v>663</v>
      </c>
      <c r="BX25" s="435">
        <v>1.4</v>
      </c>
      <c r="BY25" s="706" t="s">
        <v>1120</v>
      </c>
      <c r="BZ25" s="429" t="s">
        <v>1121</v>
      </c>
      <c r="CA25" s="429">
        <v>1.03</v>
      </c>
      <c r="CB25" s="429">
        <v>1.05</v>
      </c>
      <c r="CL25" s="429" t="s">
        <v>1122</v>
      </c>
    </row>
    <row r="26" spans="6:119">
      <c r="F26" s="913"/>
      <c r="G26" s="449">
        <v>1.75</v>
      </c>
      <c r="H26" s="450">
        <v>385</v>
      </c>
      <c r="I26" s="451">
        <f>IF(I5&lt;&gt;0,(H26-J26)/(H5-J5)*(I5-J5)+J26,0)</f>
        <v>352.5</v>
      </c>
      <c r="J26" s="450">
        <v>320</v>
      </c>
      <c r="K26" s="451">
        <f>IF(K5&lt;&gt;0,(J26-L26)/(J5-L5)*(K5-L5)+L26,0)</f>
        <v>279</v>
      </c>
      <c r="L26" s="450">
        <v>238</v>
      </c>
      <c r="M26" s="451">
        <f>IF(M5&lt;&gt;0,(L26-N26)/(L5-N5)*(M5-N5)+N26,0)</f>
        <v>201</v>
      </c>
      <c r="N26" s="450">
        <v>164</v>
      </c>
      <c r="O26" s="451">
        <f>IF(O5&lt;&gt;0,(N26-P26)/(N5-P5)*(O5-P5)+P26,0)</f>
        <v>136.5</v>
      </c>
      <c r="P26" s="452">
        <v>109</v>
      </c>
      <c r="AN26" s="439" t="s">
        <v>664</v>
      </c>
      <c r="AO26" s="435">
        <v>1.45</v>
      </c>
      <c r="AP26" s="706" t="s">
        <v>997</v>
      </c>
      <c r="BI26" s="468">
        <f>MIN(IM_TC!N26,HLOOKUP(IM_TC!N26,BN:BU,4,TRUE)*HLOOKUP(IM_TC!N26,BN:BU,2,TRUE)^2)</f>
        <v>3</v>
      </c>
      <c r="BJ26" s="468">
        <f>MAX(0,IM_TC!N26-BI26)</f>
        <v>0</v>
      </c>
      <c r="BW26" s="439" t="s">
        <v>664</v>
      </c>
      <c r="BX26" s="435">
        <v>1.29</v>
      </c>
      <c r="BY26" s="706" t="s">
        <v>1123</v>
      </c>
      <c r="BZ26" s="429" t="s">
        <v>1124</v>
      </c>
      <c r="CA26" s="429">
        <v>1.02</v>
      </c>
      <c r="CB26" s="429">
        <v>1.03</v>
      </c>
    </row>
    <row r="27" spans="6:119">
      <c r="F27" s="913"/>
      <c r="G27" s="461">
        <f>IF(AND($D$7&gt;G26,$D$7&lt;G28),$D$7,(G28-G26)/2+G26)</f>
        <v>1.8125</v>
      </c>
      <c r="H27" s="450">
        <f>IF(G27&gt;0,(H26-H28)/(G26-G28)*(G27-G28)+H28,0)</f>
        <v>372.5</v>
      </c>
      <c r="I27" s="450">
        <f>IF(G27&gt;0,(I26-I28)/(G26-G28)*(G27-G28)+I28,0)</f>
        <v>340</v>
      </c>
      <c r="J27" s="450">
        <f>IF(G27&gt;0,(J26-J28)/(G26-G28)*(G27-G28)+J28,0)</f>
        <v>307.5</v>
      </c>
      <c r="K27" s="450">
        <f>IF(G27&gt;0,(K26-K28)/(G26-G28)*(G27-G28)+K28,0)</f>
        <v>268.75</v>
      </c>
      <c r="L27" s="450">
        <f>IF(G27&gt;0,(L26-L28)/(G26-G28)*(G27-G28)+L28,0)</f>
        <v>230</v>
      </c>
      <c r="M27" s="450">
        <f>IF(G27&gt;0,(M26-M28)/(G26-G28)*(G27-G28)+M28,0)</f>
        <v>194.25</v>
      </c>
      <c r="N27" s="450">
        <f>IF(G27&gt;0,(N26-N28)/(G26-G28)*(G27-G28)+N28,0)</f>
        <v>158.5</v>
      </c>
      <c r="O27" s="450">
        <f>IF(G27&gt;0,(O26-O28)/(G26-G28)*(G27-G28)+O28,0)</f>
        <v>132</v>
      </c>
      <c r="P27" s="452">
        <f>IF(G27&gt;0,(P26-P28)/(G26-G28)*(G27-G28)+P28,0)</f>
        <v>105.5</v>
      </c>
      <c r="AN27" s="439" t="s">
        <v>666</v>
      </c>
      <c r="AO27" s="435">
        <v>1.45</v>
      </c>
      <c r="AP27" s="706" t="s">
        <v>1123</v>
      </c>
      <c r="BI27" s="468">
        <f>MIN(IM_TC!N27,HLOOKUP(IM_TC!N27,BN:BU,4,TRUE)*HLOOKUP(IM_TC!N27,BN:BU,2,TRUE)^2)</f>
        <v>3</v>
      </c>
      <c r="BJ27" s="468">
        <f>MAX(0,IM_TC!N27-BI27)</f>
        <v>0</v>
      </c>
      <c r="BW27" s="439" t="s">
        <v>666</v>
      </c>
      <c r="BX27" s="435">
        <v>1.1000000000000001</v>
      </c>
      <c r="BY27" s="706" t="s">
        <v>1125</v>
      </c>
      <c r="BZ27" s="429" t="s">
        <v>1126</v>
      </c>
      <c r="CA27" s="429">
        <v>1.4</v>
      </c>
      <c r="CB27" s="429">
        <v>1.4</v>
      </c>
      <c r="CL27" s="429" t="s">
        <v>689</v>
      </c>
    </row>
    <row r="28" spans="6:119">
      <c r="F28" s="913"/>
      <c r="G28" s="449">
        <v>1.875</v>
      </c>
      <c r="H28" s="450">
        <v>360</v>
      </c>
      <c r="I28" s="451">
        <f>IF(I5&lt;&gt;0,(H28-J28)/(H5-J5)*(I5-J5)+J28,0)</f>
        <v>327.5</v>
      </c>
      <c r="J28" s="450">
        <v>295</v>
      </c>
      <c r="K28" s="451">
        <f>IF(K5&lt;&gt;0,(J28-L28)/(J5-L5)*(K5-L5)+L28,0)</f>
        <v>258.5</v>
      </c>
      <c r="L28" s="450">
        <v>222</v>
      </c>
      <c r="M28" s="451">
        <f>IF(M5&lt;&gt;0,(L28-N28)/(L5-N5)*(M5-N5)+N28,0)</f>
        <v>187.5</v>
      </c>
      <c r="N28" s="450">
        <v>153</v>
      </c>
      <c r="O28" s="451">
        <f>IF(O5&lt;&gt;0,(N28-P28)/(N5-P5)*(O5-P5)+P28,0)</f>
        <v>127.5</v>
      </c>
      <c r="P28" s="452">
        <v>102</v>
      </c>
      <c r="AN28" s="439" t="s">
        <v>667</v>
      </c>
      <c r="AO28" s="435">
        <v>1</v>
      </c>
      <c r="AP28" s="706" t="s">
        <v>997</v>
      </c>
      <c r="BI28" s="468">
        <f>MIN(IM_TC!N28,HLOOKUP(IM_TC!N28,BN:BU,4,TRUE)*HLOOKUP(IM_TC!N28,BN:BU,2,TRUE)^2)</f>
        <v>3</v>
      </c>
      <c r="BJ28" s="468">
        <f>MAX(0,IM_TC!N28-BI28)</f>
        <v>0</v>
      </c>
      <c r="BW28" s="439" t="s">
        <v>667</v>
      </c>
      <c r="BX28" s="435">
        <v>0.9</v>
      </c>
      <c r="BY28" s="706" t="s">
        <v>1052</v>
      </c>
      <c r="BZ28" s="429" t="s">
        <v>1127</v>
      </c>
      <c r="CA28" s="429">
        <v>1.6</v>
      </c>
      <c r="CB28" s="429">
        <v>1.6</v>
      </c>
    </row>
    <row r="29" spans="6:119">
      <c r="F29" s="913"/>
      <c r="G29" s="461">
        <f>IF(AND($D$7&gt;G28,$D$7&lt;G30),$D$7,(G30-G28)/2+G28)</f>
        <v>1.9375</v>
      </c>
      <c r="H29" s="450">
        <f>IF(G29&gt;0,(H28-H30)/(G28-G30)*(G29-G30)+H30,0)</f>
        <v>348.5</v>
      </c>
      <c r="I29" s="450">
        <f>IF(G29&gt;0,(I28-I30)/(G28-G30)*(G29-G30)+I30,0)</f>
        <v>317.5</v>
      </c>
      <c r="J29" s="450">
        <f>IF(G29&gt;0,(J28-J30)/(G28-G30)*(G29-G30)+J30,0)</f>
        <v>286.5</v>
      </c>
      <c r="K29" s="450">
        <f>IF(G29&gt;0,(K28-K30)/(G28-G30)*(G29-G30)+K30,0)</f>
        <v>250</v>
      </c>
      <c r="L29" s="450">
        <f>IF(G29&gt;0,(L28-L30)/(G28-G30)*(G29-G30)+L30,0)</f>
        <v>213.5</v>
      </c>
      <c r="M29" s="450">
        <f>IF(G29&gt;0,(M28-M30)/(G28-G30)*(G29-G30)+M30,0)</f>
        <v>181</v>
      </c>
      <c r="N29" s="450">
        <f>IF(G29&gt;0,(N28-N30)/(G28-G30)*(G29-G30)+N30,0)</f>
        <v>148.5</v>
      </c>
      <c r="O29" s="450">
        <f>IF(G29&gt;0,(O28-O30)/(G28-G30)*(G29-G30)+O30,0)</f>
        <v>124.25</v>
      </c>
      <c r="P29" s="452">
        <f>IF(G29&gt;0,(P28-P30)/(G28-G30)*(G29-G30)+P30,0)</f>
        <v>100</v>
      </c>
      <c r="AN29" s="439" t="s">
        <v>668</v>
      </c>
      <c r="AO29" s="435">
        <v>1</v>
      </c>
      <c r="AP29" s="706" t="s">
        <v>1052</v>
      </c>
      <c r="BI29" s="468">
        <f>MIN(IM_TC!N29,HLOOKUP(IM_TC!N29,BN:BU,4,TRUE)*HLOOKUP(IM_TC!N29,BN:BU,2,TRUE)^2)</f>
        <v>3</v>
      </c>
      <c r="BJ29" s="468">
        <f>MAX(0,IM_TC!N29-BI29)</f>
        <v>0</v>
      </c>
      <c r="BW29" s="707" t="s">
        <v>668</v>
      </c>
      <c r="BX29" s="487">
        <v>1.5</v>
      </c>
      <c r="BY29" s="706" t="s">
        <v>1128</v>
      </c>
      <c r="BZ29" s="429" t="s">
        <v>1129</v>
      </c>
      <c r="CA29" s="429">
        <v>1.4</v>
      </c>
      <c r="CB29" s="429">
        <v>1.5</v>
      </c>
      <c r="CL29" s="475" t="s">
        <v>1130</v>
      </c>
    </row>
    <row r="30" spans="6:119">
      <c r="F30" s="913"/>
      <c r="G30" s="449">
        <v>2</v>
      </c>
      <c r="H30" s="450">
        <v>337</v>
      </c>
      <c r="I30" s="451">
        <f>IF(I5&lt;&gt;0,(H30-J30)/(H5-J5)*(I5-J5)+J30,0)</f>
        <v>307.5</v>
      </c>
      <c r="J30" s="450">
        <v>278</v>
      </c>
      <c r="K30" s="451">
        <f>IF(K5&lt;&gt;0,(J30-L30)/(J5-L5)*(K5-L5)+L30,0)</f>
        <v>241.5</v>
      </c>
      <c r="L30" s="450">
        <v>205</v>
      </c>
      <c r="M30" s="451">
        <f>IF(M5&lt;&gt;0,(L30-N30)/(L5-N5)*(M5-N5)+N30,0)</f>
        <v>174.5</v>
      </c>
      <c r="N30" s="450">
        <v>144</v>
      </c>
      <c r="O30" s="451">
        <f>IF(O5&lt;&gt;0,(N30-P30)/(N5-P5)*(O5-P5)+P30,0)</f>
        <v>121</v>
      </c>
      <c r="P30" s="452">
        <v>98</v>
      </c>
      <c r="AN30" s="439" t="s">
        <v>669</v>
      </c>
      <c r="AO30" s="435">
        <v>1</v>
      </c>
      <c r="AP30" s="706" t="s">
        <v>1052</v>
      </c>
      <c r="BI30" s="468">
        <f>MIN(IM_TC!N30,HLOOKUP(IM_TC!N30,BN:BU,4,TRUE)*HLOOKUP(IM_TC!N30,BN:BU,2,TRUE)^2)</f>
        <v>3</v>
      </c>
      <c r="BJ30" s="468">
        <f>MAX(0,IM_TC!N30-BI30)</f>
        <v>0</v>
      </c>
      <c r="BW30" s="439" t="s">
        <v>669</v>
      </c>
      <c r="BX30" s="435">
        <v>1.3</v>
      </c>
      <c r="BY30" s="706" t="s">
        <v>1131</v>
      </c>
      <c r="BZ30" s="429" t="s">
        <v>1132</v>
      </c>
      <c r="CA30" s="429">
        <v>1.3</v>
      </c>
      <c r="CB30" s="429">
        <v>1.4</v>
      </c>
      <c r="CL30" s="475" t="s">
        <v>1133</v>
      </c>
    </row>
    <row r="31" spans="6:119">
      <c r="F31" s="913"/>
      <c r="G31" s="461">
        <f>IF(AND($D$7&gt;G30,$D$7&lt;G32),$D$7,(G32-G30)/2+G30)</f>
        <v>2.0625</v>
      </c>
      <c r="H31" s="450">
        <f>IF(G31&gt;0,(H30-H32)/(G30-G32)*(G31-G32)+H32,0)</f>
        <v>328.5</v>
      </c>
      <c r="I31" s="450">
        <f>IF(G31&gt;0,(I30-I32)/(G30-G32)*(G31-G32)+I32,0)</f>
        <v>300</v>
      </c>
      <c r="J31" s="450">
        <f>IF(G31&gt;0,(J30-J32)/(G30-G32)*(G31-G32)+J32,0)</f>
        <v>271.5</v>
      </c>
      <c r="K31" s="450">
        <f>IF(G31&gt;0,(K30-K32)/(G30-G32)*(G31-G32)+K32,0)</f>
        <v>235.75</v>
      </c>
      <c r="L31" s="450">
        <f>IF(G31&gt;0,(L30-L32)/(G30-G32)*(G31-G32)+L32,0)</f>
        <v>200</v>
      </c>
      <c r="M31" s="450">
        <f>IF(G31&gt;0,(M30-M32)/(G30-G32)*(G31-G32)+M32,0)</f>
        <v>169.5</v>
      </c>
      <c r="N31" s="450">
        <f>IF(G31&gt;0,(N30-N32)/(G30-G32)*(G31-G32)+N32,0)</f>
        <v>139</v>
      </c>
      <c r="O31" s="450">
        <f>IF(G31&gt;0,(O30-O32)/(G30-G32)*(G31-G32)+O32,0)</f>
        <v>117.75</v>
      </c>
      <c r="P31" s="452">
        <f>IF(G31&gt;0,(P30-P32)/(G30-G32)*(G31-G32)+P32,0)</f>
        <v>96.5</v>
      </c>
      <c r="AN31" s="439" t="s">
        <v>670</v>
      </c>
      <c r="AO31" s="435">
        <v>1</v>
      </c>
      <c r="AP31" s="706" t="s">
        <v>1052</v>
      </c>
      <c r="BI31" s="468">
        <f>MIN(IM_TC!N31,HLOOKUP(IM_TC!N31,BN:BU,4,TRUE)*HLOOKUP(IM_TC!N31,BN:BU,2,TRUE)^2)</f>
        <v>3</v>
      </c>
      <c r="BJ31" s="468">
        <f>MAX(0,IM_TC!N31-BI31)</f>
        <v>0</v>
      </c>
      <c r="BW31" s="439" t="s">
        <v>670</v>
      </c>
      <c r="BX31" s="435">
        <v>1.3</v>
      </c>
      <c r="BY31" s="706" t="s">
        <v>1134</v>
      </c>
      <c r="BZ31" s="429" t="s">
        <v>1135</v>
      </c>
      <c r="CA31" s="429">
        <v>1.5</v>
      </c>
      <c r="CB31" s="429">
        <v>1.6</v>
      </c>
      <c r="CL31" s="475" t="s">
        <v>1136</v>
      </c>
    </row>
    <row r="32" spans="6:119">
      <c r="F32" s="913"/>
      <c r="G32" s="449">
        <v>2.125</v>
      </c>
      <c r="H32" s="450">
        <v>320</v>
      </c>
      <c r="I32" s="451">
        <f>IF(I5&lt;&gt;0,(H32-J32)/(H5-J5)*(I5-J5)+J32,0)</f>
        <v>292.5</v>
      </c>
      <c r="J32" s="450">
        <v>265</v>
      </c>
      <c r="K32" s="451">
        <f>IF(K5&lt;&gt;0,(J32-L32)/(J5-L5)*(K5-L5)+L32,0)</f>
        <v>230</v>
      </c>
      <c r="L32" s="450">
        <v>195</v>
      </c>
      <c r="M32" s="451">
        <f>IF(M5&lt;&gt;0,(L32-N32)/(L5-N5)*(M5-N5)+N32,0)</f>
        <v>164.5</v>
      </c>
      <c r="N32" s="450">
        <v>134</v>
      </c>
      <c r="O32" s="451">
        <f>IF(O5&lt;&gt;0,(N32-P32)/(N5-P5)*(O5-P5)+P32,0)</f>
        <v>114.5</v>
      </c>
      <c r="P32" s="452">
        <v>95</v>
      </c>
      <c r="AN32" s="439" t="s">
        <v>1137</v>
      </c>
      <c r="AO32" s="435">
        <v>1.5</v>
      </c>
      <c r="AP32" s="706" t="s">
        <v>1048</v>
      </c>
      <c r="BI32" s="468">
        <f>MIN(IM_TC!N32,HLOOKUP(IM_TC!N32,BN:BU,4,TRUE)*HLOOKUP(IM_TC!N32,BN:BU,2,TRUE)^2)</f>
        <v>3</v>
      </c>
      <c r="BJ32" s="468">
        <f>MAX(0,IM_TC!N32-BI32)</f>
        <v>0</v>
      </c>
      <c r="BW32" s="439" t="s">
        <v>671</v>
      </c>
      <c r="BX32" s="435">
        <v>1.4</v>
      </c>
      <c r="BY32" s="706" t="s">
        <v>1048</v>
      </c>
      <c r="BZ32" s="429" t="s">
        <v>1138</v>
      </c>
      <c r="CA32" s="429">
        <v>1.35</v>
      </c>
      <c r="CB32" s="429">
        <v>1.52</v>
      </c>
      <c r="CL32" s="475" t="s">
        <v>1139</v>
      </c>
    </row>
    <row r="33" spans="2:90">
      <c r="F33" s="913"/>
      <c r="G33" s="461">
        <f>IF(AND($D$7&gt;G32,$D$7&lt;G34),$D$7,(G34-G32)/2+G32)</f>
        <v>2.1875</v>
      </c>
      <c r="H33" s="450">
        <f>IF(G33&gt;0,(H32-H34)/(G32-G34)*(G33-G34)+H34,0)</f>
        <v>312.5</v>
      </c>
      <c r="I33" s="450">
        <f>IF(G33&gt;0,(I32-I34)/(G32-G34)*(G33-G34)+I34,0)</f>
        <v>286</v>
      </c>
      <c r="J33" s="450">
        <f>IF(G33&gt;0,(J32-J34)/(G32-G34)*(G33-G34)+J34,0)</f>
        <v>259.5</v>
      </c>
      <c r="K33" s="450">
        <f>IF(G33&gt;0,(K32-K34)/(G32-G34)*(G33-G34)+K34,0)</f>
        <v>224.75</v>
      </c>
      <c r="L33" s="450">
        <f>IF(G33&gt;0,(L32-L34)/(G32-G34)*(G33-G34)+L34,0)</f>
        <v>190</v>
      </c>
      <c r="M33" s="450">
        <f>IF(G33&gt;0,(M32-M34)/(G32-G34)*(G33-G34)+M34,0)</f>
        <v>160</v>
      </c>
      <c r="N33" s="450">
        <f>IF(G33&gt;0,(N32-N34)/(G32-G34)*(G33-G34)+N34,0)</f>
        <v>130</v>
      </c>
      <c r="O33" s="450">
        <f>IF(G33&gt;0,(O32-O34)/(G32-G34)*(G33-G34)+O34,0)</f>
        <v>111.75</v>
      </c>
      <c r="P33" s="452">
        <f>IF(G33&gt;0,(P32-P34)/(G32-G34)*(G33-G34)+P34,0)</f>
        <v>93.5</v>
      </c>
      <c r="AN33" s="439" t="s">
        <v>672</v>
      </c>
      <c r="AO33" s="435">
        <v>1</v>
      </c>
      <c r="AP33" s="706" t="s">
        <v>1052</v>
      </c>
      <c r="BI33" s="468">
        <f>MIN(IM_TC!N33,HLOOKUP(IM_TC!N33,BN:BU,4,TRUE)*HLOOKUP(IM_TC!N33,BN:BU,2,TRUE)^2)</f>
        <v>3</v>
      </c>
      <c r="BJ33" s="468">
        <f>MAX(0,IM_TC!N33-BI33)</f>
        <v>0</v>
      </c>
      <c r="BW33" s="439" t="s">
        <v>672</v>
      </c>
      <c r="BX33" s="435">
        <v>0.9</v>
      </c>
      <c r="BY33" s="706" t="s">
        <v>1140</v>
      </c>
      <c r="BZ33" s="429" t="s">
        <v>1141</v>
      </c>
      <c r="CA33" s="429">
        <v>1.4</v>
      </c>
      <c r="CB33" s="429">
        <v>1.5</v>
      </c>
      <c r="CL33" s="489" t="s">
        <v>1142</v>
      </c>
    </row>
    <row r="34" spans="2:90">
      <c r="F34" s="913"/>
      <c r="G34" s="449">
        <v>2.25</v>
      </c>
      <c r="H34" s="450">
        <v>305</v>
      </c>
      <c r="I34" s="451">
        <f>IF(I5&lt;&gt;0,(H34-J34)/(H5-J5)*(I5-J5)+J34,0)</f>
        <v>279.5</v>
      </c>
      <c r="J34" s="450">
        <v>254</v>
      </c>
      <c r="K34" s="451">
        <f>IF(K5&lt;&gt;0,(J34-L34)/(J5-L5)*(K5-L5)+L34,0)</f>
        <v>219.5</v>
      </c>
      <c r="L34" s="450">
        <v>185</v>
      </c>
      <c r="M34" s="451">
        <f>IF(M5&lt;&gt;0,(L34-N34)/(L5-N5)*(M5-N5)+N34,0)</f>
        <v>155.5</v>
      </c>
      <c r="N34" s="450">
        <v>126</v>
      </c>
      <c r="O34" s="451">
        <f>IF(O5&lt;&gt;0,(N34-P34)/(N5-P5)*(O5-P5)+P34,0)</f>
        <v>109</v>
      </c>
      <c r="P34" s="452">
        <v>92</v>
      </c>
      <c r="AN34" s="439" t="s">
        <v>673</v>
      </c>
      <c r="AO34" s="435" t="s">
        <v>1143</v>
      </c>
      <c r="AP34" s="706" t="s">
        <v>1144</v>
      </c>
      <c r="BI34" s="468">
        <f>MIN(IM_TC!N34,HLOOKUP(IM_TC!N34,BN:BU,4,TRUE)*HLOOKUP(IM_TC!N34,BN:BU,2,TRUE)^2)</f>
        <v>3</v>
      </c>
      <c r="BJ34" s="468">
        <f>MAX(0,IM_TC!N34-BI34)</f>
        <v>0</v>
      </c>
      <c r="BW34" s="439" t="s">
        <v>673</v>
      </c>
      <c r="BX34" s="435">
        <v>1</v>
      </c>
      <c r="BY34" s="706" t="s">
        <v>1145</v>
      </c>
      <c r="BZ34" s="429" t="s">
        <v>1146</v>
      </c>
      <c r="CA34" s="429">
        <v>1.1499999999999999</v>
      </c>
      <c r="CB34" s="429">
        <v>1.2</v>
      </c>
    </row>
    <row r="35" spans="2:90">
      <c r="F35" s="913"/>
      <c r="G35" s="461">
        <f>IF(AND($D$7&gt;G34,$D$7&lt;G36),$D$7,(G36-G34)/2+G34)</f>
        <v>2.3125</v>
      </c>
      <c r="H35" s="450">
        <f>IF(G35&gt;0,(H34-H36)/(G34-G36)*(G35-G36)+H36,0)</f>
        <v>300</v>
      </c>
      <c r="I35" s="450">
        <f>IF(G35&gt;0,(I34-I36)/(G34-G36)*(G35-G36)+I36,0)</f>
        <v>273.5</v>
      </c>
      <c r="J35" s="450">
        <f>IF(G35&gt;0,(J34-J36)/(G34-G36)*(G35-G36)+J36,0)</f>
        <v>247</v>
      </c>
      <c r="K35" s="450">
        <f>IF(G35&gt;0,(K34-K36)/(G34-G36)*(G35-G36)+K36,0)</f>
        <v>214</v>
      </c>
      <c r="L35" s="450">
        <f>IF(G35&gt;0,(L34-L36)/(G34-G36)*(G35-G36)+L36,0)</f>
        <v>181</v>
      </c>
      <c r="M35" s="450">
        <f>IF(G35&gt;0,(M34-M36)/(G34-G36)*(G35-G36)+M36,0)</f>
        <v>152.5</v>
      </c>
      <c r="N35" s="450">
        <f>IF(G35&gt;0,(N34-N36)/(G34-G36)*(G35-G36)+N36,0)</f>
        <v>124</v>
      </c>
      <c r="O35" s="450">
        <f>IF(G35&gt;0,(O34-O36)/(G34-G36)*(G35-G36)+O36,0)</f>
        <v>107.5</v>
      </c>
      <c r="P35" s="452">
        <f>IF(G35&gt;0,(P34-P36)/(G34-G36)*(G35-G36)+P36,0)</f>
        <v>91</v>
      </c>
      <c r="AN35" s="439" t="s">
        <v>674</v>
      </c>
      <c r="AO35" s="435">
        <v>1</v>
      </c>
      <c r="AP35" s="706" t="s">
        <v>1040</v>
      </c>
      <c r="BI35" s="468">
        <f>MIN(IM_TC!N35,HLOOKUP(IM_TC!N35,BN:BU,4,TRUE)*HLOOKUP(IM_TC!N35,BN:BU,2,TRUE)^2)</f>
        <v>3</v>
      </c>
      <c r="BJ35" s="468">
        <f>MAX(0,IM_TC!N35-BI35)</f>
        <v>0</v>
      </c>
      <c r="BW35" s="439" t="s">
        <v>674</v>
      </c>
      <c r="BX35" s="435">
        <v>0.95</v>
      </c>
      <c r="BY35" s="706" t="s">
        <v>1147</v>
      </c>
      <c r="BZ35" s="429" t="s">
        <v>1148</v>
      </c>
      <c r="CA35" s="429">
        <v>1.2</v>
      </c>
      <c r="CB35" s="429">
        <v>1.28</v>
      </c>
    </row>
    <row r="36" spans="2:90" ht="16.5" thickBot="1">
      <c r="E36" s="488"/>
      <c r="F36" s="913"/>
      <c r="G36" s="449">
        <v>2.375</v>
      </c>
      <c r="H36" s="450">
        <v>295</v>
      </c>
      <c r="I36" s="451">
        <f>IF(I5&lt;&gt;0,(H36-J36)/(H5-J5)*(I5-J5)+J36,0)</f>
        <v>267.5</v>
      </c>
      <c r="J36" s="450">
        <v>240</v>
      </c>
      <c r="K36" s="451">
        <f>IF(K5&lt;&gt;0,(J36-L36)/(J5-L5)*(K5-L5)+L36,0)</f>
        <v>208.5</v>
      </c>
      <c r="L36" s="450">
        <v>177</v>
      </c>
      <c r="M36" s="451">
        <f>IF(M5&lt;&gt;0,(L36-N36)/(L5-N5)*(M5-N5)+N36,0)</f>
        <v>149.5</v>
      </c>
      <c r="N36" s="450">
        <v>122</v>
      </c>
      <c r="O36" s="451">
        <f>IF(O5&lt;&gt;0,(N36-P36)/(N5-P5)*(O5-P5)+P36,0)</f>
        <v>106</v>
      </c>
      <c r="P36" s="452">
        <v>90</v>
      </c>
      <c r="AN36" s="439" t="s">
        <v>675</v>
      </c>
      <c r="AO36" s="435">
        <v>1</v>
      </c>
      <c r="AP36" s="706" t="s">
        <v>1040</v>
      </c>
      <c r="BI36" s="468">
        <f>MIN(IM_TC!N36,HLOOKUP(IM_TC!N36,BN:BU,4,TRUE)*HLOOKUP(IM_TC!N36,BN:BU,2,TRUE)^2)</f>
        <v>3</v>
      </c>
      <c r="BJ36" s="468">
        <f>MAX(0,IM_TC!N36-BI36)</f>
        <v>0</v>
      </c>
      <c r="BW36" s="439" t="s">
        <v>675</v>
      </c>
      <c r="BX36" s="435">
        <v>0.92</v>
      </c>
      <c r="BY36" s="706" t="s">
        <v>1149</v>
      </c>
      <c r="BZ36" s="429" t="s">
        <v>1150</v>
      </c>
      <c r="CA36" s="429">
        <v>1.26</v>
      </c>
      <c r="CB36" s="429">
        <v>1.32</v>
      </c>
    </row>
    <row r="37" spans="2:90" ht="16.5" thickBot="1">
      <c r="E37" s="488"/>
      <c r="F37" s="913"/>
      <c r="G37" s="461">
        <f>IF(AND($D$7&gt;G36,$D$7&lt;G38),$D$7,(G38-G36)/2+G36)</f>
        <v>2.4375</v>
      </c>
      <c r="H37" s="450">
        <f>IF(G37&gt;0,(H36-H38)/(G36-G38)*(G37-G38)+H38,0)</f>
        <v>290</v>
      </c>
      <c r="I37" s="450">
        <f>IF(G37&gt;0,(I36-I38)/(G36-G38)*(G37-G38)+I38,0)</f>
        <v>263.75</v>
      </c>
      <c r="J37" s="450">
        <f>IF(G37&gt;0,(J36-J38)/(G36-G38)*(G37-G38)+J38,0)</f>
        <v>237.5</v>
      </c>
      <c r="K37" s="450">
        <f>IF(G37&gt;0,(K36-K38)/(G36-G38)*(G37-G38)+K38,0)</f>
        <v>205.5</v>
      </c>
      <c r="L37" s="450">
        <f>IF(G37&gt;0,(L36-L38)/(G36-G38)*(G37-G38)+L38,0)</f>
        <v>173.5</v>
      </c>
      <c r="M37" s="450">
        <f>IF(G37&gt;0,(M36-M38)/(G36-G38)*(G37-G38)+M38,0)</f>
        <v>147</v>
      </c>
      <c r="N37" s="450">
        <f>IF(G37&gt;0,(N36-N38)/(G36-G38)*(G37-G38)+N38,0)</f>
        <v>120.5</v>
      </c>
      <c r="O37" s="450">
        <f>IF(G37&gt;0,(O36-O38)/(G36-G38)*(G37-G38)+O38,0)</f>
        <v>104.75</v>
      </c>
      <c r="P37" s="452">
        <f>IF(G37&gt;0,(P36-P38)/(G36-G38)*(G37-G38)+P38,0)</f>
        <v>89</v>
      </c>
      <c r="AH37" s="915"/>
      <c r="AI37" s="916"/>
      <c r="AJ37" s="916"/>
      <c r="AK37" s="916"/>
      <c r="AL37" s="917"/>
      <c r="AN37" s="439" t="s">
        <v>676</v>
      </c>
      <c r="AO37" s="435">
        <v>1.61</v>
      </c>
      <c r="AP37" s="706" t="s">
        <v>1151</v>
      </c>
      <c r="BI37" s="468">
        <f>MIN(IM_TC!N37,HLOOKUP(IM_TC!N37,BN:BU,4,TRUE)*HLOOKUP(IM_TC!N37,BN:BU,2,TRUE)^2)</f>
        <v>3</v>
      </c>
      <c r="BJ37" s="468">
        <f>MAX(0,IM_TC!N37-BI37)</f>
        <v>0</v>
      </c>
      <c r="BW37" s="439" t="s">
        <v>676</v>
      </c>
      <c r="BX37" s="435">
        <v>1.2</v>
      </c>
      <c r="BY37" s="706" t="s">
        <v>1152</v>
      </c>
      <c r="BZ37" s="429" t="s">
        <v>1153</v>
      </c>
      <c r="CA37" s="429">
        <v>1.4</v>
      </c>
      <c r="CB37" s="429">
        <v>1.44</v>
      </c>
    </row>
    <row r="38" spans="2:90">
      <c r="B38"/>
      <c r="E38" s="488"/>
      <c r="F38" s="913"/>
      <c r="G38" s="449">
        <v>2.5</v>
      </c>
      <c r="H38" s="450">
        <v>285</v>
      </c>
      <c r="I38" s="451">
        <f>IF(I5&lt;&gt;0,(H38-J38)/(H5-J5)*(I5-J5)+J38,0)</f>
        <v>260</v>
      </c>
      <c r="J38" s="450">
        <v>235</v>
      </c>
      <c r="K38" s="451">
        <f>IF(K5&lt;&gt;0,(J38-L38)/(J5-L5)*(K5-L5)+L38,0)</f>
        <v>202.5</v>
      </c>
      <c r="L38" s="450">
        <v>170</v>
      </c>
      <c r="M38" s="451">
        <f>IF(M5&lt;&gt;0,(L38-N38)/(L5-N5)*(M5-N5)+N38,0)</f>
        <v>144.5</v>
      </c>
      <c r="N38" s="450">
        <v>119</v>
      </c>
      <c r="O38" s="451">
        <f>IF(O5&lt;&gt;0,(N38-P38)/(N5-P5)*(O5-P5)+P38,0)</f>
        <v>103.5</v>
      </c>
      <c r="P38" s="452">
        <v>88</v>
      </c>
      <c r="AH38" s="490" t="s">
        <v>143</v>
      </c>
      <c r="AI38" s="491" t="s">
        <v>517</v>
      </c>
      <c r="AJ38" s="491" t="s">
        <v>518</v>
      </c>
      <c r="AK38" s="491" t="s">
        <v>143</v>
      </c>
      <c r="AL38" s="492"/>
      <c r="AN38" s="439" t="s">
        <v>677</v>
      </c>
      <c r="AO38" s="435">
        <v>1.4</v>
      </c>
      <c r="AP38" s="706" t="s">
        <v>1087</v>
      </c>
      <c r="BI38" s="468">
        <f>MIN(IM_TC!N38,HLOOKUP(IM_TC!N38,BN:BU,4,TRUE)*HLOOKUP(IM_TC!N38,BN:BU,2,TRUE)^2)</f>
        <v>3</v>
      </c>
      <c r="BJ38" s="468">
        <f>MAX(0,IM_TC!N38-BI38)</f>
        <v>0</v>
      </c>
      <c r="BW38" s="439" t="s">
        <v>677</v>
      </c>
      <c r="BX38" s="435">
        <v>1</v>
      </c>
      <c r="BY38" s="706" t="s">
        <v>1154</v>
      </c>
      <c r="BZ38" s="429" t="s">
        <v>1155</v>
      </c>
      <c r="CA38" s="429">
        <v>1.49</v>
      </c>
      <c r="CB38" s="429">
        <v>1.54</v>
      </c>
    </row>
    <row r="39" spans="2:90">
      <c r="E39" s="488"/>
      <c r="F39" s="913"/>
      <c r="G39" s="461">
        <f>IF(AND($D$7&gt;G38,$D$7&lt;G40),$D$7,(G40-G38)/2+G38)</f>
        <v>2.5625</v>
      </c>
      <c r="H39" s="450">
        <f>IF(G39&gt;0,(H38-H40)/(G38-G40)*(G39-G40)+H40,0)</f>
        <v>280</v>
      </c>
      <c r="I39" s="450">
        <f>IF(G39&gt;0,(I38-I40)/(G38-G40)*(G39-G40)+I40,0)</f>
        <v>255</v>
      </c>
      <c r="J39" s="450">
        <f>IF(G39&gt;0,(J38-J40)/(G38-G40)*(G39-G40)+J40,0)</f>
        <v>230</v>
      </c>
      <c r="K39" s="450">
        <f>IF(G39&gt;0,(K38-K40)/(G38-G40)*(G39-G40)+K40,0)</f>
        <v>198.5</v>
      </c>
      <c r="L39" s="450">
        <f>IF(G39&gt;0,(L38-L40)/(G38-G40)*(G39-G40)+L40,0)</f>
        <v>167</v>
      </c>
      <c r="M39" s="450">
        <f>IF(G39&gt;0,(M38-M40)/(G38-G40)*(G39-G40)+M40,0)</f>
        <v>142.5</v>
      </c>
      <c r="N39" s="450">
        <f>IF(G39&gt;0,(N38-N40)/(G38-G40)*(G39-G40)+N40,0)</f>
        <v>118</v>
      </c>
      <c r="O39" s="450">
        <f>IF(G39&gt;0,(O38-O40)/(G38-G40)*(G39-G40)+O40,0)</f>
        <v>102.5</v>
      </c>
      <c r="P39" s="452">
        <f>IF(G39&gt;0,(P38-P40)/(G38-G40)*(G39-G40)+P40,0)</f>
        <v>87</v>
      </c>
      <c r="AH39" s="493">
        <v>0</v>
      </c>
      <c r="AI39" s="494">
        <v>285</v>
      </c>
      <c r="AJ39" s="494">
        <v>255</v>
      </c>
      <c r="AK39" s="495">
        <v>0</v>
      </c>
      <c r="AL39" s="496" t="s">
        <v>995</v>
      </c>
      <c r="AN39" s="439" t="s">
        <v>678</v>
      </c>
      <c r="AO39" s="435">
        <v>1.33</v>
      </c>
      <c r="AP39" s="706" t="s">
        <v>1043</v>
      </c>
      <c r="BI39" s="468">
        <f>MIN(IM_TC!N39,HLOOKUP(IM_TC!N39,BN:BU,4,TRUE)*HLOOKUP(IM_TC!N39,BN:BU,2,TRUE)^2)</f>
        <v>3</v>
      </c>
      <c r="BJ39" s="468">
        <f>MAX(0,IM_TC!N39-BI39)</f>
        <v>0</v>
      </c>
      <c r="BW39" s="439" t="s">
        <v>678</v>
      </c>
      <c r="BX39" s="435">
        <v>1.4</v>
      </c>
      <c r="BY39" s="706" t="s">
        <v>1156</v>
      </c>
      <c r="BZ39" s="429" t="s">
        <v>1157</v>
      </c>
      <c r="CA39" s="429">
        <v>1.27</v>
      </c>
      <c r="CB39" s="429">
        <v>1.3</v>
      </c>
    </row>
    <row r="40" spans="2:90">
      <c r="B40" s="497"/>
      <c r="C40" s="498"/>
      <c r="F40" s="913"/>
      <c r="G40" s="449">
        <v>2.625</v>
      </c>
      <c r="H40" s="450">
        <v>275</v>
      </c>
      <c r="I40" s="451">
        <f>IF(I5&lt;&gt;0,(H40-J40)/(H5-J5)*(I5-J5)+J40,0)</f>
        <v>250</v>
      </c>
      <c r="J40" s="450">
        <v>225</v>
      </c>
      <c r="K40" s="451">
        <f>IF(K5&lt;&gt;0,(J40-L40)/(J5-L5)*(K5-L5)+L40,0)</f>
        <v>194.5</v>
      </c>
      <c r="L40" s="450">
        <v>164</v>
      </c>
      <c r="M40" s="451">
        <f>IF(M5&lt;&gt;0,(L40-N40)/(L5-N5)*(M5-N5)+N40,0)</f>
        <v>140.5</v>
      </c>
      <c r="N40" s="450">
        <v>117</v>
      </c>
      <c r="O40" s="451">
        <f>IF(O5&lt;&gt;0,(N40-P40)/(N5-P5)*(O5-P5)+P40,0)</f>
        <v>101.5</v>
      </c>
      <c r="P40" s="452">
        <v>86</v>
      </c>
      <c r="AH40" s="493">
        <v>50</v>
      </c>
      <c r="AI40" s="494">
        <v>310</v>
      </c>
      <c r="AJ40" s="494">
        <v>283</v>
      </c>
      <c r="AK40" s="495">
        <v>50</v>
      </c>
      <c r="AL40" s="496" t="s">
        <v>1006</v>
      </c>
      <c r="AN40" s="439" t="s">
        <v>679</v>
      </c>
      <c r="AO40" s="435">
        <v>1.8</v>
      </c>
      <c r="AP40" s="706" t="s">
        <v>1158</v>
      </c>
      <c r="BI40" s="468">
        <f>MIN(IM_TC!N40,HLOOKUP(IM_TC!N40,BN:BU,4,TRUE)*HLOOKUP(IM_TC!N40,BN:BU,2,TRUE)^2)</f>
        <v>3</v>
      </c>
      <c r="BJ40" s="468">
        <f>MAX(0,IM_TC!N40-BI40)</f>
        <v>0</v>
      </c>
      <c r="BW40" s="439" t="s">
        <v>679</v>
      </c>
      <c r="BX40" s="435">
        <v>1.2</v>
      </c>
      <c r="BY40" s="706" t="s">
        <v>1159</v>
      </c>
      <c r="BZ40" s="429" t="s">
        <v>1160</v>
      </c>
      <c r="CA40" s="429">
        <v>1.5</v>
      </c>
      <c r="CB40" s="429">
        <v>1.6</v>
      </c>
    </row>
    <row r="41" spans="2:90">
      <c r="B41" s="497"/>
      <c r="C41" s="498"/>
      <c r="F41" s="913"/>
      <c r="G41" s="461">
        <f>IF(AND($D$7&gt;G40,$D$7&lt;G42),$D$7,(G42-G40)/2+G40)</f>
        <v>2.6875</v>
      </c>
      <c r="H41" s="450">
        <f>IF(G41&gt;0,(H40-H42)/(G40-G42)*(G41-G42)+H42,0)</f>
        <v>271.5</v>
      </c>
      <c r="I41" s="450">
        <f>IF(G41&gt;0,(I40-I42)/(G40-G42)*(G41-G42)+I42,0)</f>
        <v>245.75</v>
      </c>
      <c r="J41" s="450">
        <f>IF(G41&gt;0,(J40-J42)/(G40-G42)*(G41-G42)+J42,0)</f>
        <v>220</v>
      </c>
      <c r="K41" s="450">
        <f>IF(G41&gt;0,(K40-K42)/(G40-G42)*(G41-G42)+K42,0)</f>
        <v>190.5</v>
      </c>
      <c r="L41" s="450">
        <f>IF(G41&gt;0,(L40-L42)/(G40-G42)*(G41-G42)+L42,0)</f>
        <v>161</v>
      </c>
      <c r="M41" s="450">
        <f>IF(G41&gt;0,(M40-M42)/(G40-G42)*(G41-G42)+M42,0)</f>
        <v>138.5</v>
      </c>
      <c r="N41" s="450">
        <f>IF(G41&gt;0,(N40-N42)/(G40-G42)*(G41-G42)+N42,0)</f>
        <v>116</v>
      </c>
      <c r="O41" s="450">
        <f>IF(G41&gt;0,(O40-O42)/(G40-G42)*(G41-G42)+O42,0)</f>
        <v>100.5</v>
      </c>
      <c r="P41" s="452">
        <f>IF(G41&gt;0,(P40-P42)/(G40-G42)*(G41-G42)+P42,0)</f>
        <v>85</v>
      </c>
      <c r="AH41" s="493">
        <v>110</v>
      </c>
      <c r="AI41" s="500">
        <v>410</v>
      </c>
      <c r="AJ41" s="494">
        <v>360</v>
      </c>
      <c r="AK41" s="495">
        <v>110</v>
      </c>
      <c r="AL41" s="496" t="s">
        <v>608</v>
      </c>
      <c r="AN41" s="439" t="s">
        <v>680</v>
      </c>
      <c r="AO41" s="435" t="s">
        <v>1143</v>
      </c>
      <c r="AP41" s="706" t="s">
        <v>1144</v>
      </c>
      <c r="BI41" s="468">
        <f>MIN(IM_TC!N41,HLOOKUP(IM_TC!N41,BN:BU,4,TRUE)*HLOOKUP(IM_TC!N41,BN:BU,2,TRUE)^2)</f>
        <v>3</v>
      </c>
      <c r="BJ41" s="468">
        <f>MAX(0,IM_TC!N41-BI41)</f>
        <v>0</v>
      </c>
      <c r="BW41" s="439" t="s">
        <v>680</v>
      </c>
      <c r="BX41" s="435">
        <v>1.8</v>
      </c>
      <c r="BY41" s="706" t="s">
        <v>1161</v>
      </c>
      <c r="BZ41" s="429" t="s">
        <v>1162</v>
      </c>
      <c r="CA41" s="429">
        <v>1.4</v>
      </c>
      <c r="CB41" s="429">
        <v>1.5</v>
      </c>
    </row>
    <row r="42" spans="2:90">
      <c r="F42" s="913"/>
      <c r="G42" s="449">
        <v>2.75</v>
      </c>
      <c r="H42" s="450">
        <v>268</v>
      </c>
      <c r="I42" s="451">
        <f>IF(I5&lt;&gt;0,(H42-J42)/(H5-J5)*(I5-J5)+J42,0)</f>
        <v>241.5</v>
      </c>
      <c r="J42" s="450">
        <v>215</v>
      </c>
      <c r="K42" s="451">
        <f>IF(K5&lt;&gt;0,(J42-L42)/(J5-L5)*(K5-L5)+L42,0)</f>
        <v>186.5</v>
      </c>
      <c r="L42" s="450">
        <v>158</v>
      </c>
      <c r="M42" s="451">
        <f>IF(M5&lt;&gt;0,(L42-N42)/(L5-N5)*(M5-N5)+N42,0)</f>
        <v>136.5</v>
      </c>
      <c r="N42" s="450">
        <v>115</v>
      </c>
      <c r="O42" s="451">
        <f>IF(O5&lt;&gt;0,(N42-P42)/(N5-P5)*(O5-P5)+P42,0)</f>
        <v>99.5</v>
      </c>
      <c r="P42" s="452">
        <v>84</v>
      </c>
      <c r="AH42" s="493">
        <v>150</v>
      </c>
      <c r="AI42" s="494">
        <v>460</v>
      </c>
      <c r="AJ42" s="494">
        <v>400</v>
      </c>
      <c r="AK42" s="495">
        <v>150</v>
      </c>
      <c r="AL42" s="496" t="s">
        <v>609</v>
      </c>
      <c r="AN42" s="707" t="s">
        <v>681</v>
      </c>
      <c r="AO42" s="487" t="s">
        <v>1143</v>
      </c>
      <c r="AP42" s="706" t="s">
        <v>1144</v>
      </c>
      <c r="BI42" s="468">
        <f>MIN(IM_TC!N42,HLOOKUP(IM_TC!N42,BN:BU,4,TRUE)*HLOOKUP(IM_TC!N42,BN:BU,2,TRUE)^2)</f>
        <v>3</v>
      </c>
      <c r="BJ42" s="468">
        <f>MAX(0,IM_TC!N42-BI42)</f>
        <v>0</v>
      </c>
      <c r="BW42" s="439" t="s">
        <v>681</v>
      </c>
      <c r="BX42" s="435">
        <v>1</v>
      </c>
      <c r="BY42" s="706" t="s">
        <v>1163</v>
      </c>
      <c r="BZ42" s="429" t="s">
        <v>1164</v>
      </c>
      <c r="CA42" s="429">
        <v>1.3</v>
      </c>
      <c r="CB42" s="429">
        <v>1.4</v>
      </c>
    </row>
    <row r="43" spans="2:90">
      <c r="F43" s="913"/>
      <c r="G43" s="461">
        <f>IF(AND($D$7&gt;G42,$D$7&lt;G44),$D$7,(G44-G42)/2+G42)</f>
        <v>2.8125</v>
      </c>
      <c r="H43" s="450">
        <f>IF(G43&gt;0,(H42-H44)/(G42-G44)*(G43-G44)+H44,0)</f>
        <v>261.5</v>
      </c>
      <c r="I43" s="450">
        <f>IF(G43&gt;0,(I42-I44)/(G42-G44)*(G43-G44)+I44,0)</f>
        <v>236.5</v>
      </c>
      <c r="J43" s="450">
        <f>IF(G43&gt;0,(J42-J44)/(G42-G44)*(G43-G44)+J44,0)</f>
        <v>211.5</v>
      </c>
      <c r="K43" s="450">
        <f>IF(G43&gt;0,(K42-K44)/(G42-G44)*(G43-G44)+K44,0)</f>
        <v>183.5</v>
      </c>
      <c r="L43" s="450">
        <f>IF(G43&gt;0,(L42-L44)/(G42-G44)*(G43-G44)+L44,0)</f>
        <v>155.5</v>
      </c>
      <c r="M43" s="450">
        <f>IF(G43&gt;0,(M42-M44)/(G42-G44)*(G43-G44)+M44,0)</f>
        <v>135</v>
      </c>
      <c r="N43" s="450">
        <f>IF(G43&gt;0,(N42-N44)/(G42-G44)*(G43-G44)+N44,0)</f>
        <v>114.5</v>
      </c>
      <c r="O43" s="450">
        <f>IF(G43&gt;0,(O42-O44)/(G42-G44)*(G43-G44)+O44,0)</f>
        <v>98.75</v>
      </c>
      <c r="P43" s="452">
        <f>IF(G43&gt;0,(P42-P44)/(G42-G44)*(G43-G44)+P44,0)</f>
        <v>83</v>
      </c>
      <c r="AH43" s="493">
        <v>180</v>
      </c>
      <c r="AI43" s="500">
        <v>510</v>
      </c>
      <c r="AJ43" s="500">
        <v>460</v>
      </c>
      <c r="AK43" s="495">
        <v>180</v>
      </c>
      <c r="AL43" s="496" t="s">
        <v>610</v>
      </c>
      <c r="AN43" s="707" t="s">
        <v>682</v>
      </c>
      <c r="AO43" s="487" t="s">
        <v>1143</v>
      </c>
      <c r="AP43" s="706" t="s">
        <v>1144</v>
      </c>
      <c r="BI43" s="468">
        <f>MIN(IM_TC!N43,HLOOKUP(IM_TC!N43,BN:BU,4,TRUE)*HLOOKUP(IM_TC!N43,BN:BU,2,TRUE)^2)</f>
        <v>3</v>
      </c>
      <c r="BJ43" s="468">
        <f>MAX(0,IM_TC!N43-BI43)</f>
        <v>0</v>
      </c>
      <c r="BW43" s="439" t="s">
        <v>682</v>
      </c>
      <c r="BX43" s="435">
        <v>1</v>
      </c>
      <c r="BY43" s="706" t="s">
        <v>1165</v>
      </c>
      <c r="BZ43" s="429" t="s">
        <v>1166</v>
      </c>
      <c r="CA43" s="429">
        <v>1.5</v>
      </c>
      <c r="CB43" s="429">
        <v>1.6</v>
      </c>
    </row>
    <row r="44" spans="2:90">
      <c r="F44" s="913"/>
      <c r="G44" s="449">
        <v>2.875</v>
      </c>
      <c r="H44" s="450">
        <v>255</v>
      </c>
      <c r="I44" s="451">
        <f>IF(I5&lt;&gt;0,(H44-J44)/(H5-J5)*(I5-J5)+J44,0)</f>
        <v>231.5</v>
      </c>
      <c r="J44" s="450">
        <v>208</v>
      </c>
      <c r="K44" s="451">
        <f>IF(K5&lt;&gt;0,(J44-L44)/(J5-L5)*(K5-L5)+L44,0)</f>
        <v>180.5</v>
      </c>
      <c r="L44" s="450">
        <v>153</v>
      </c>
      <c r="M44" s="451">
        <f>IF(M5&lt;&gt;0,(L44-N44)/(L5-N5)*(M5-N5)+N44,0)</f>
        <v>133.5</v>
      </c>
      <c r="N44" s="450">
        <v>114</v>
      </c>
      <c r="O44" s="451">
        <f>IF(O5&lt;&gt;0,(N44-P44)/(N5-P5)*(O5-P5)+P44,0)</f>
        <v>98</v>
      </c>
      <c r="P44" s="452">
        <v>82</v>
      </c>
      <c r="AH44" s="493">
        <v>250</v>
      </c>
      <c r="AI44" s="500">
        <v>570</v>
      </c>
      <c r="AJ44" s="500">
        <v>520</v>
      </c>
      <c r="AK44" s="495">
        <v>250</v>
      </c>
      <c r="AL44" s="496" t="s">
        <v>611</v>
      </c>
      <c r="AN44" s="707" t="s">
        <v>683</v>
      </c>
      <c r="AO44" s="487" t="s">
        <v>1143</v>
      </c>
      <c r="AP44" s="706" t="s">
        <v>1144</v>
      </c>
      <c r="BI44" s="468">
        <f>MIN(IM_TC!N44,HLOOKUP(IM_TC!N44,BN:BU,4,TRUE)*HLOOKUP(IM_TC!N44,BN:BU,2,TRUE)^2)</f>
        <v>3</v>
      </c>
      <c r="BJ44" s="468">
        <f>MAX(0,IM_TC!N44-BI44)</f>
        <v>0</v>
      </c>
      <c r="BW44" s="439" t="s">
        <v>683</v>
      </c>
      <c r="BX44" s="435">
        <v>1</v>
      </c>
      <c r="BY44" s="706" t="s">
        <v>1167</v>
      </c>
      <c r="BZ44" s="429" t="s">
        <v>1168</v>
      </c>
      <c r="CA44" s="429">
        <v>1.27</v>
      </c>
      <c r="CB44" s="429">
        <v>1.38</v>
      </c>
    </row>
    <row r="45" spans="2:90">
      <c r="F45" s="913"/>
      <c r="G45" s="461">
        <f>IF(AND($D$7&gt;G44,$D$7&lt;G46),$D$7,(G46-G44)/2+G44)</f>
        <v>2.9375</v>
      </c>
      <c r="H45" s="450">
        <f>IF(G45&gt;0,(H44-H46)/(G44-G46)*(G45-G46)+H46,0)</f>
        <v>252.5</v>
      </c>
      <c r="I45" s="450">
        <f>IF(G45&gt;0,(I44-I46)/(G44-G46)*(G45-G46)+I46,0)</f>
        <v>229.5</v>
      </c>
      <c r="J45" s="450">
        <f>IF(G45&gt;0,(J44-J46)/(G44-G46)*(G45-G46)+J46,0)</f>
        <v>206.5</v>
      </c>
      <c r="K45" s="450">
        <f>IF(G45&gt;0,(K44-K46)/(G44-G46)*(G45-G46)+K46,0)</f>
        <v>179</v>
      </c>
      <c r="L45" s="450">
        <f>IF(G45&gt;0,(L44-L46)/(G44-G46)*(G45-G46)+L46,0)</f>
        <v>151.5</v>
      </c>
      <c r="M45" s="450">
        <f>IF(G45&gt;0,(M44-M46)/(G44-G46)*(G45-G46)+M46,0)</f>
        <v>131.75</v>
      </c>
      <c r="N45" s="450">
        <f>IF(G45&gt;0,(N44-N46)/(G44-G46)*(G45-G46)+N46,0)</f>
        <v>112</v>
      </c>
      <c r="O45" s="450">
        <f>IF(G45&gt;0,(O44-O46)/(G44-G46)*(G45-G46)+O46,0)</f>
        <v>96.5</v>
      </c>
      <c r="P45" s="452">
        <f>IF(G45&gt;0,(P44-P46)/(G44-G46)*(G45-G46)+P46,0)</f>
        <v>81</v>
      </c>
      <c r="AH45" s="493">
        <v>320</v>
      </c>
      <c r="AI45" s="500">
        <v>630</v>
      </c>
      <c r="AJ45" s="500">
        <v>570</v>
      </c>
      <c r="AK45" s="495">
        <v>320</v>
      </c>
      <c r="AL45" s="496" t="s">
        <v>612</v>
      </c>
      <c r="AN45" s="707" t="s">
        <v>684</v>
      </c>
      <c r="AO45" s="487" t="s">
        <v>1143</v>
      </c>
      <c r="AP45" s="706" t="s">
        <v>1144</v>
      </c>
      <c r="BI45" s="468">
        <f>MIN(IM_TC!N45,HLOOKUP(IM_TC!N45,BN:BU,4,TRUE)*HLOOKUP(IM_TC!N45,BN:BU,2,TRUE)^2)</f>
        <v>3</v>
      </c>
      <c r="BJ45" s="468">
        <f>MAX(0,IM_TC!N45-BI45)</f>
        <v>0</v>
      </c>
      <c r="BW45" s="439" t="s">
        <v>684</v>
      </c>
      <c r="BX45" s="435">
        <v>1</v>
      </c>
      <c r="BY45" s="706" t="s">
        <v>1169</v>
      </c>
      <c r="BZ45" s="429" t="s">
        <v>1170</v>
      </c>
      <c r="CA45" s="429">
        <v>1.31</v>
      </c>
      <c r="CB45" s="429">
        <v>1.43</v>
      </c>
    </row>
    <row r="46" spans="2:90" ht="16.5" thickBot="1">
      <c r="F46" s="914"/>
      <c r="G46" s="501">
        <v>3</v>
      </c>
      <c r="H46" s="502">
        <v>250</v>
      </c>
      <c r="I46" s="503">
        <f>IF(I5&lt;&gt;0,(H46-J46)/(H5-J5)*(I5-J5)+J46,0)</f>
        <v>227.5</v>
      </c>
      <c r="J46" s="502">
        <v>205</v>
      </c>
      <c r="K46" s="503">
        <f>IF(K5&lt;&gt;0,(J46-L46)/(J5-L5)*(K5-L5)+L46,0)</f>
        <v>177.5</v>
      </c>
      <c r="L46" s="502">
        <v>150</v>
      </c>
      <c r="M46" s="503">
        <f>IF(M5&lt;&gt;0,(L46-N46)/(L5-N5)*(M5-N5)+N46,0)</f>
        <v>130</v>
      </c>
      <c r="N46" s="502">
        <v>110</v>
      </c>
      <c r="O46" s="503">
        <f>IF(O5&lt;&gt;0,(N46-P46)/(N5-P5)*(O5-P5)+P46,0)</f>
        <v>95</v>
      </c>
      <c r="P46" s="504">
        <v>80</v>
      </c>
      <c r="AH46" s="493">
        <v>400</v>
      </c>
      <c r="AI46" s="500">
        <v>730</v>
      </c>
      <c r="AJ46" s="500">
        <v>680</v>
      </c>
      <c r="AK46" s="495">
        <v>400</v>
      </c>
      <c r="AL46" s="496" t="s">
        <v>613</v>
      </c>
      <c r="AN46" s="707" t="s">
        <v>685</v>
      </c>
      <c r="AO46" s="487" t="s">
        <v>1143</v>
      </c>
      <c r="AP46" s="706" t="s">
        <v>1144</v>
      </c>
      <c r="BI46" s="468">
        <f>MIN(IM_TC!N46,HLOOKUP(IM_TC!N46,BN:BU,4,TRUE)*HLOOKUP(IM_TC!N46,BN:BU,2,TRUE)^2)</f>
        <v>3</v>
      </c>
      <c r="BJ46" s="468">
        <f>MAX(0,IM_TC!N46-BI46)</f>
        <v>0</v>
      </c>
      <c r="BW46" s="439" t="s">
        <v>685</v>
      </c>
      <c r="BX46" s="435">
        <v>1</v>
      </c>
      <c r="BY46" s="706" t="s">
        <v>1171</v>
      </c>
      <c r="BZ46" s="429" t="s">
        <v>1172</v>
      </c>
      <c r="CA46" s="429">
        <v>1.23</v>
      </c>
      <c r="CB46" s="429">
        <v>1.25</v>
      </c>
    </row>
    <row r="47" spans="2:90">
      <c r="AH47" s="493">
        <v>480</v>
      </c>
      <c r="AI47" s="500">
        <v>800</v>
      </c>
      <c r="AJ47" s="500">
        <v>760</v>
      </c>
      <c r="AK47" s="495">
        <v>480</v>
      </c>
      <c r="AL47" s="496" t="s">
        <v>614</v>
      </c>
      <c r="AN47" s="707" t="s">
        <v>686</v>
      </c>
      <c r="AO47" s="487">
        <v>1.33</v>
      </c>
      <c r="AP47" s="706" t="s">
        <v>1001</v>
      </c>
      <c r="BI47" s="468">
        <f>MIN(IM_TC!N47,HLOOKUP(IM_TC!N47,BN:BU,4,TRUE)*HLOOKUP(IM_TC!N47,BN:BU,2,TRUE)^2)</f>
        <v>3</v>
      </c>
      <c r="BJ47" s="468">
        <f>MAX(0,IM_TC!N47-BI47)</f>
        <v>0</v>
      </c>
      <c r="BW47" s="439" t="s">
        <v>686</v>
      </c>
      <c r="BX47" s="435">
        <v>1.5</v>
      </c>
      <c r="BY47" s="706" t="s">
        <v>1173</v>
      </c>
      <c r="BZ47" s="429" t="s">
        <v>1174</v>
      </c>
      <c r="CA47" s="429">
        <v>1.23</v>
      </c>
      <c r="CB47" s="429">
        <v>1.25</v>
      </c>
    </row>
    <row r="48" spans="2:90">
      <c r="AH48" s="493">
        <v>550</v>
      </c>
      <c r="AI48" s="500">
        <v>860</v>
      </c>
      <c r="AJ48" s="500">
        <v>800</v>
      </c>
      <c r="AK48" s="495">
        <v>550</v>
      </c>
      <c r="AL48" s="496" t="s">
        <v>615</v>
      </c>
      <c r="AN48" s="707" t="s">
        <v>687</v>
      </c>
      <c r="AO48" s="487">
        <v>1.5</v>
      </c>
      <c r="AP48" s="706" t="s">
        <v>997</v>
      </c>
      <c r="BI48" s="468">
        <f>MIN(IM_TC!N48,HLOOKUP(IM_TC!N48,BN:BU,4,TRUE)*HLOOKUP(IM_TC!N48,BN:BU,2,TRUE)^2)</f>
        <v>3</v>
      </c>
      <c r="BJ48" s="468">
        <f>MAX(0,IM_TC!N48-BI48)</f>
        <v>0</v>
      </c>
      <c r="BW48" s="439" t="s">
        <v>687</v>
      </c>
      <c r="BX48" s="435">
        <v>1.4</v>
      </c>
      <c r="BY48" s="706" t="s">
        <v>1175</v>
      </c>
      <c r="BZ48" s="429" t="s">
        <v>1176</v>
      </c>
      <c r="CA48" s="429">
        <v>1.23</v>
      </c>
      <c r="CB48" s="429">
        <v>1.25</v>
      </c>
    </row>
    <row r="49" spans="34:80">
      <c r="AH49" s="493">
        <v>650</v>
      </c>
      <c r="AI49" s="500">
        <v>960</v>
      </c>
      <c r="AJ49" s="500">
        <v>860</v>
      </c>
      <c r="AK49" s="495">
        <v>650</v>
      </c>
      <c r="AL49" s="496" t="s">
        <v>616</v>
      </c>
      <c r="AN49" s="707" t="s">
        <v>688</v>
      </c>
      <c r="AO49" s="487">
        <v>1.5</v>
      </c>
      <c r="AP49" s="706" t="s">
        <v>1107</v>
      </c>
      <c r="BI49" s="468">
        <f>MIN(IM_TC!N49,HLOOKUP(IM_TC!N49,BN:BU,4,TRUE)*HLOOKUP(IM_TC!N49,BN:BU,2,TRUE)^2)</f>
        <v>3</v>
      </c>
      <c r="BJ49" s="468">
        <f>MAX(0,IM_TC!N49-BI49)</f>
        <v>0</v>
      </c>
      <c r="BW49" s="439" t="s">
        <v>688</v>
      </c>
      <c r="BX49" s="435">
        <v>1</v>
      </c>
      <c r="BY49" s="706" t="s">
        <v>1107</v>
      </c>
      <c r="BZ49" s="429" t="s">
        <v>1177</v>
      </c>
      <c r="CA49" s="429">
        <v>1.24</v>
      </c>
      <c r="CB49" s="429">
        <v>1.26</v>
      </c>
    </row>
    <row r="50" spans="34:80" ht="16.5" thickBot="1">
      <c r="AH50" s="493">
        <v>850</v>
      </c>
      <c r="AI50" s="500">
        <v>1100</v>
      </c>
      <c r="AJ50" s="500">
        <v>960</v>
      </c>
      <c r="AK50" s="495">
        <v>850</v>
      </c>
      <c r="AL50" s="496" t="s">
        <v>617</v>
      </c>
      <c r="AN50" s="709" t="s">
        <v>689</v>
      </c>
      <c r="AO50" s="710">
        <v>1.4</v>
      </c>
      <c r="AP50" s="708" t="s">
        <v>1103</v>
      </c>
      <c r="BI50" s="468">
        <f>MIN(IM_TC!N50,HLOOKUP(IM_TC!N50,BN:BU,4,TRUE)*HLOOKUP(IM_TC!N50,BN:BU,2,TRUE)^2)</f>
        <v>3</v>
      </c>
      <c r="BJ50" s="468">
        <f>MAX(0,IM_TC!N50-BI50)</f>
        <v>0</v>
      </c>
      <c r="BW50" s="499" t="s">
        <v>689</v>
      </c>
      <c r="BX50" s="484">
        <v>1</v>
      </c>
      <c r="BY50" s="708" t="s">
        <v>1178</v>
      </c>
      <c r="BZ50" s="429" t="s">
        <v>1179</v>
      </c>
      <c r="CA50" s="429">
        <v>1.23</v>
      </c>
      <c r="CB50" s="429">
        <v>1.25</v>
      </c>
    </row>
    <row r="51" spans="34:80">
      <c r="AH51" s="493">
        <v>1050</v>
      </c>
      <c r="AI51" s="500">
        <v>1210</v>
      </c>
      <c r="AJ51" s="500">
        <v>1060</v>
      </c>
      <c r="AK51" s="495">
        <v>1050</v>
      </c>
      <c r="AL51" s="496" t="s">
        <v>618</v>
      </c>
      <c r="BI51" s="468">
        <f>MIN(IM_TC!N51,HLOOKUP(IM_TC!N51,BN:BU,4,TRUE)*HLOOKUP(IM_TC!N51,BN:BU,2,TRUE)^2)</f>
        <v>3</v>
      </c>
      <c r="BJ51" s="468">
        <f>MAX(0,IM_TC!N51-BI51)</f>
        <v>0</v>
      </c>
      <c r="BZ51" s="429" t="s">
        <v>1180</v>
      </c>
      <c r="CA51" s="429">
        <v>1.23</v>
      </c>
      <c r="CB51" s="429">
        <v>1.25</v>
      </c>
    </row>
    <row r="52" spans="34:80">
      <c r="AH52" s="493">
        <v>1450</v>
      </c>
      <c r="AI52" s="500">
        <v>1410</v>
      </c>
      <c r="AJ52" s="500">
        <v>1210</v>
      </c>
      <c r="AK52" s="495">
        <v>1450</v>
      </c>
      <c r="AL52" s="496" t="s">
        <v>619</v>
      </c>
      <c r="BI52" s="468">
        <f>MIN(IM_TC!N52,HLOOKUP(IM_TC!N52,BN:BU,4,TRUE)*HLOOKUP(IM_TC!N52,BN:BU,2,TRUE)^2)</f>
        <v>3</v>
      </c>
      <c r="BJ52" s="468">
        <f>MAX(0,IM_TC!N52-BI52)</f>
        <v>0</v>
      </c>
      <c r="BZ52" s="429" t="s">
        <v>1181</v>
      </c>
      <c r="CA52" s="429">
        <v>1.17</v>
      </c>
      <c r="CB52" s="429">
        <v>1.2</v>
      </c>
    </row>
    <row r="53" spans="34:80">
      <c r="AH53" s="493">
        <v>1750</v>
      </c>
      <c r="AI53" s="500">
        <v>1600</v>
      </c>
      <c r="AJ53" s="500">
        <v>1400</v>
      </c>
      <c r="AK53" s="495">
        <v>1750</v>
      </c>
      <c r="AL53" s="496" t="s">
        <v>620</v>
      </c>
      <c r="BI53" s="468">
        <f>MIN(IM_TC!N53,HLOOKUP(IM_TC!N53,BN:BU,4,TRUE)*HLOOKUP(IM_TC!N53,BN:BU,2,TRUE)^2)</f>
        <v>3</v>
      </c>
      <c r="BJ53" s="468">
        <f>MAX(0,IM_TC!N53-BI53)</f>
        <v>0</v>
      </c>
      <c r="BZ53" s="429" t="s">
        <v>1182</v>
      </c>
      <c r="CA53" s="429">
        <v>1.1499999999999999</v>
      </c>
      <c r="CB53" s="429">
        <v>1.25</v>
      </c>
    </row>
    <row r="54" spans="34:80">
      <c r="AH54" s="493">
        <v>2200</v>
      </c>
      <c r="AI54" s="500">
        <v>1800</v>
      </c>
      <c r="AJ54" s="500">
        <v>1500</v>
      </c>
      <c r="AK54" s="495">
        <v>2200</v>
      </c>
      <c r="AL54" s="496" t="s">
        <v>621</v>
      </c>
      <c r="BI54" s="468">
        <f>MIN(IM_TC!N54,HLOOKUP(IM_TC!N54,BN:BU,4,TRUE)*HLOOKUP(IM_TC!N54,BN:BU,2,TRUE)^2)</f>
        <v>3</v>
      </c>
      <c r="BJ54" s="468">
        <f>MAX(0,IM_TC!N54-BI54)</f>
        <v>0</v>
      </c>
      <c r="BZ54" s="429" t="s">
        <v>1183</v>
      </c>
      <c r="CA54" s="429">
        <v>1.1000000000000001</v>
      </c>
      <c r="CB54" s="429">
        <v>1.2</v>
      </c>
    </row>
    <row r="55" spans="34:80">
      <c r="AH55" s="493">
        <v>2750</v>
      </c>
      <c r="AI55" s="500">
        <v>2000</v>
      </c>
      <c r="AJ55" s="500">
        <v>1600</v>
      </c>
      <c r="AK55" s="495">
        <v>2750</v>
      </c>
      <c r="AL55" s="496" t="s">
        <v>622</v>
      </c>
      <c r="BI55" s="468">
        <f>MIN(IM_TC!N55,HLOOKUP(IM_TC!N55,BN:BU,4,TRUE)*HLOOKUP(IM_TC!N55,BN:BU,2,TRUE)^2)</f>
        <v>3</v>
      </c>
      <c r="BJ55" s="468">
        <f>MAX(0,IM_TC!N55-BI55)</f>
        <v>0</v>
      </c>
      <c r="BZ55" s="429" t="s">
        <v>1184</v>
      </c>
      <c r="CA55" s="429">
        <v>1.41</v>
      </c>
      <c r="CB55" s="429">
        <v>1.42</v>
      </c>
    </row>
    <row r="56" spans="34:80">
      <c r="AH56" s="493">
        <v>3500</v>
      </c>
      <c r="AI56" s="500">
        <v>2200</v>
      </c>
      <c r="AJ56" s="500">
        <v>1800</v>
      </c>
      <c r="AK56" s="495">
        <v>3500</v>
      </c>
      <c r="AL56" s="496" t="s">
        <v>623</v>
      </c>
      <c r="BZ56" s="429" t="s">
        <v>1185</v>
      </c>
      <c r="CA56" s="429">
        <v>1.3</v>
      </c>
      <c r="CB56" s="429">
        <v>1.35</v>
      </c>
    </row>
    <row r="57" spans="34:80">
      <c r="AH57" s="493">
        <v>4000</v>
      </c>
      <c r="AI57" s="500">
        <v>2420</v>
      </c>
      <c r="AJ57" s="500">
        <v>2020</v>
      </c>
      <c r="AK57" s="495">
        <v>4000</v>
      </c>
      <c r="AL57" s="496" t="s">
        <v>624</v>
      </c>
      <c r="BZ57" s="429" t="s">
        <v>1186</v>
      </c>
      <c r="CA57" s="429">
        <v>1.4</v>
      </c>
      <c r="CB57" s="429">
        <v>1.54</v>
      </c>
    </row>
    <row r="58" spans="34:80" ht="16.5" thickBot="1">
      <c r="AH58" s="505"/>
      <c r="AI58" s="506"/>
      <c r="AJ58" s="506"/>
      <c r="AK58" s="507"/>
      <c r="AL58" s="508"/>
      <c r="BZ58" s="429" t="s">
        <v>1187</v>
      </c>
      <c r="CA58" s="429">
        <v>1.5</v>
      </c>
      <c r="CB58" s="429">
        <v>1.6</v>
      </c>
    </row>
    <row r="59" spans="34:80">
      <c r="BZ59" s="429" t="s">
        <v>1188</v>
      </c>
      <c r="CA59" s="429">
        <v>0.97</v>
      </c>
      <c r="CB59" s="429">
        <v>1.05</v>
      </c>
    </row>
    <row r="60" spans="34:80">
      <c r="BZ60" s="429" t="s">
        <v>1189</v>
      </c>
      <c r="CA60" s="429">
        <v>0.97</v>
      </c>
      <c r="CB60" s="429">
        <v>1.25</v>
      </c>
    </row>
    <row r="61" spans="34:80">
      <c r="BZ61" s="429" t="s">
        <v>1190</v>
      </c>
      <c r="CA61" s="429">
        <v>0.97</v>
      </c>
      <c r="CB61" s="429">
        <v>1.25</v>
      </c>
    </row>
    <row r="62" spans="34:80">
      <c r="BZ62" s="429" t="s">
        <v>1191</v>
      </c>
      <c r="CA62" s="429">
        <v>1.1000000000000001</v>
      </c>
      <c r="CB62" s="429">
        <v>1.23</v>
      </c>
    </row>
    <row r="63" spans="34:80">
      <c r="BZ63" s="429" t="s">
        <v>1192</v>
      </c>
      <c r="CA63" s="429">
        <v>0.9</v>
      </c>
      <c r="CB63" s="429">
        <v>0.91</v>
      </c>
    </row>
    <row r="64" spans="34:80">
      <c r="BZ64" s="429" t="s">
        <v>1193</v>
      </c>
      <c r="CA64" s="429">
        <v>0.9</v>
      </c>
      <c r="CB64" s="429">
        <v>0.91</v>
      </c>
    </row>
    <row r="65" spans="78:80">
      <c r="BZ65" s="429" t="s">
        <v>1194</v>
      </c>
      <c r="CA65" s="429">
        <v>1.25</v>
      </c>
      <c r="CB65" s="429">
        <v>1.25</v>
      </c>
    </row>
    <row r="66" spans="78:80">
      <c r="BZ66" s="429" t="s">
        <v>1195</v>
      </c>
      <c r="CA66" s="429">
        <v>1.04</v>
      </c>
      <c r="CB66" s="429">
        <v>1.05</v>
      </c>
    </row>
    <row r="67" spans="78:80">
      <c r="BZ67" s="429" t="s">
        <v>1196</v>
      </c>
      <c r="CA67" s="429">
        <v>1.04</v>
      </c>
      <c r="CB67" s="429">
        <v>1.05</v>
      </c>
    </row>
    <row r="68" spans="78:80">
      <c r="BZ68" s="429" t="s">
        <v>1197</v>
      </c>
      <c r="CA68" s="429">
        <v>2.1</v>
      </c>
      <c r="CB68" s="429">
        <v>2.2000000000000002</v>
      </c>
    </row>
    <row r="69" spans="78:80">
      <c r="BZ69" s="429" t="s">
        <v>1198</v>
      </c>
      <c r="CA69" s="429">
        <v>2.2000000000000002</v>
      </c>
      <c r="CB69" s="429">
        <v>2.2999999999999998</v>
      </c>
    </row>
    <row r="70" spans="78:80">
      <c r="BZ70" s="429" t="s">
        <v>1199</v>
      </c>
      <c r="CA70" s="429">
        <v>1.06</v>
      </c>
      <c r="CB70" s="429">
        <v>1.1000000000000001</v>
      </c>
    </row>
    <row r="71" spans="78:80">
      <c r="BZ71" s="429" t="s">
        <v>1200</v>
      </c>
      <c r="CA71" s="429">
        <v>1.2</v>
      </c>
      <c r="CB71" s="429">
        <v>1.4</v>
      </c>
    </row>
    <row r="72" spans="78:80">
      <c r="BZ72" s="429" t="s">
        <v>1201</v>
      </c>
      <c r="CA72" s="429">
        <v>0.93</v>
      </c>
      <c r="CB72" s="429">
        <v>0.95</v>
      </c>
    </row>
    <row r="73" spans="78:80">
      <c r="BZ73" s="429" t="s">
        <v>1202</v>
      </c>
      <c r="CA73" s="429">
        <v>0.91500000000000004</v>
      </c>
      <c r="CB73" s="429">
        <v>1.4</v>
      </c>
    </row>
  </sheetData>
  <mergeCells count="19">
    <mergeCell ref="F6:F46"/>
    <mergeCell ref="AH37:AL37"/>
    <mergeCell ref="F4:G5"/>
    <mergeCell ref="H4:P4"/>
    <mergeCell ref="R4:S4"/>
    <mergeCell ref="T4:AB4"/>
    <mergeCell ref="B5:D5"/>
    <mergeCell ref="R5:S5"/>
    <mergeCell ref="T5:V5"/>
    <mergeCell ref="W5:Y5"/>
    <mergeCell ref="Z5:AB5"/>
    <mergeCell ref="AI1:AJ1"/>
    <mergeCell ref="AT1:AZ1"/>
    <mergeCell ref="BK1:BL1"/>
    <mergeCell ref="BK2:BL2"/>
    <mergeCell ref="AT3:AT4"/>
    <mergeCell ref="AU3:AZ3"/>
    <mergeCell ref="BK3:BL3"/>
    <mergeCell ref="BK4:BL4"/>
  </mergeCells>
  <dataValidations disablePrompts="1" count="5">
    <dataValidation allowBlank="1" showErrorMessage="1" sqref="C65546 C131082 C196618 C262154 C327690 C393226 C458762 C524298 C589834 C655370 C720906 C786442 C851978 C917514 C983050" xr:uid="{00000000-0002-0000-1F00-000000000000}"/>
    <dataValidation type="decimal" allowBlank="1" showInputMessage="1" showErrorMessage="1" promptTitle="Surchage" prompt="Surchage (in percent of final part weight) considering _x000a_  - punching waste _x000a_  - sprue waste_x000a_  - manifolds_x000a_etc." sqref="D983060 D65556 D131092 D196628 D262164 D327700 D393236 D458772 D524308 D589844 D655380 D720916 D786452 D851988 D917524" xr:uid="{00000000-0002-0000-1F00-000001000000}">
      <formula1>0</formula1>
      <formula2>10000</formula2>
    </dataValidation>
    <dataValidation type="decimal" allowBlank="1" showInputMessage="1" showErrorMessage="1" errorTitle="Range exceeded" error="Valid range: 0,5 mm - 3,0 mm" promptTitle="Minimum wallthickness" prompt="Please enter the minimum wallthickness on the flow path from injection point to sealing edge (0,5 - 3,0 mm)" sqref="D7 D65550 D131086 D196622 D262158 D327694 D393230 D458766 D524302 D589838 D655374 D720910 D786446 D851982 D917518 D983054" xr:uid="{00000000-0002-0000-1F00-000002000000}">
      <formula1>0.5</formula1>
      <formula2>3</formula2>
    </dataValidation>
    <dataValidation allowBlank="1" showInputMessage="1" showErrorMessage="1" promptTitle="Max. flow path" prompt="Determinate the longest flow path from injection point to the farest sealing edge" sqref="D6 D65549 D131085 D196621 D262157 D327693 D393229 D458765 D524301 D589837 D655373 D720909 D786445 D851981 D917517 D983053" xr:uid="{00000000-0002-0000-1F00-000003000000}"/>
    <dataValidation allowBlank="1" showInputMessage="1" showErrorMessage="1" errorTitle="Total number of cavities" error="Enter a whole number between 1 and 1000" sqref="D983073 D65569 D131105 D196641 D262177 D327713 D393249 D458785 D524321 D589857 D655393 D720929 D786465 D852001 D917537" xr:uid="{00000000-0002-0000-1F00-000004000000}"/>
  </dataValidations>
  <hyperlinks>
    <hyperlink ref="CD1" r:id="rId1" display="https://omnexus.specialchem.com/polymer-properties/properties/density" xr:uid="{00000000-0004-0000-1F00-000000000000}"/>
    <hyperlink ref="CF1" r:id="rId2" display="https://bitfab.io/blog/3d-printing-materials-densities/" xr:uid="{00000000-0004-0000-1F00-000001000000}"/>
    <hyperlink ref="BZ1" r:id="rId3" display="https://plasticranger.com/density-of-plastics/" xr:uid="{00000000-0004-0000-1F00-000002000000}"/>
    <hyperlink ref="CL32" r:id="rId4" display="http://www.arvicorubber.com/epdm-rubber-properties/" xr:uid="{00000000-0004-0000-1F00-000003000000}"/>
    <hyperlink ref="CL29" r:id="rId5" display="https://www.lyondellbasell.com/globalassets/documents/polymers-technical-literature/a-guide-to-polyolefin-injection-molding.pdf" xr:uid="{00000000-0004-0000-1F00-000004000000}"/>
    <hyperlink ref="CL30" r:id="rId6" display="https://www.protolabs.com/resources/guides-and-trend-reports/thermoplastic-material-selection-for-injection-molding/" xr:uid="{00000000-0004-0000-1F00-000005000000}"/>
    <hyperlink ref="CL31" r:id="rId7" display="https://engineeringproductdesign.com/knowledge-base/most-common-injection-moulding-material/" xr:uid="{00000000-0004-0000-1F00-000006000000}"/>
    <hyperlink ref="CL33" r:id="rId8" display="https://alleycho.com/clamping-force-calculation-for-injection-molding-machine/" xr:uid="{00000000-0004-0000-1F00-000007000000}"/>
  </hyperlinks>
  <pageMargins left="0.7" right="0.7" top="0.75" bottom="0.75" header="0.3" footer="0.3"/>
  <pageSetup paperSize="9" orientation="portrait" r:id="rId9"/>
  <drawing r:id="rId1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9"/>
  <dimension ref="A1:AO633"/>
  <sheetViews>
    <sheetView zoomScale="70" zoomScaleNormal="70" workbookViewId="0">
      <pane ySplit="2" topLeftCell="A3" activePane="bottomLeft" state="frozen"/>
      <selection activeCell="C23" sqref="C23"/>
      <selection pane="bottomLeft" activeCell="C23" sqref="C23"/>
    </sheetView>
  </sheetViews>
  <sheetFormatPr defaultRowHeight="15"/>
  <cols>
    <col min="1" max="1" width="0.5703125" customWidth="1"/>
    <col min="2" max="2" width="8" bestFit="1" customWidth="1"/>
    <col min="3" max="3" width="17" bestFit="1" customWidth="1"/>
    <col min="4" max="4" width="24.28515625" bestFit="1" customWidth="1"/>
    <col min="5" max="5" width="10.5703125" bestFit="1" customWidth="1"/>
    <col min="6" max="6" width="20.85546875" bestFit="1" customWidth="1"/>
    <col min="7" max="7" width="17" bestFit="1" customWidth="1"/>
    <col min="8" max="8" width="19.42578125" bestFit="1" customWidth="1"/>
    <col min="9" max="9" width="8.42578125" bestFit="1" customWidth="1"/>
    <col min="10" max="10" width="2.85546875" customWidth="1"/>
    <col min="11" max="11" width="16.28515625" bestFit="1" customWidth="1"/>
    <col min="12" max="14" width="19.42578125" hidden="1" customWidth="1"/>
    <col min="15" max="15" width="24.28515625" bestFit="1" customWidth="1"/>
    <col min="16" max="16" width="19.42578125" bestFit="1" customWidth="1"/>
    <col min="17" max="17" width="16" bestFit="1" customWidth="1"/>
    <col min="18" max="18" width="12.5703125" bestFit="1" customWidth="1"/>
    <col min="19" max="19" width="12.85546875" bestFit="1" customWidth="1"/>
    <col min="20" max="20" width="20.140625" bestFit="1" customWidth="1"/>
    <col min="21" max="21" width="17" bestFit="1" customWidth="1"/>
    <col min="22" max="22" width="15" bestFit="1" customWidth="1"/>
    <col min="23" max="23" width="13.7109375" bestFit="1" customWidth="1"/>
    <col min="24" max="24" width="24.85546875" bestFit="1" customWidth="1"/>
    <col min="25" max="25" width="23.28515625" bestFit="1" customWidth="1"/>
    <col min="26" max="26" width="18.28515625" bestFit="1" customWidth="1"/>
    <col min="27" max="27" width="17.85546875" bestFit="1" customWidth="1"/>
    <col min="28" max="28" width="8" bestFit="1" customWidth="1"/>
    <col min="29" max="29" width="10.85546875" bestFit="1" customWidth="1"/>
    <col min="30" max="30" width="8" bestFit="1" customWidth="1"/>
    <col min="31" max="31" width="17.28515625" bestFit="1" customWidth="1"/>
    <col min="32" max="32" width="13.42578125" bestFit="1" customWidth="1"/>
    <col min="34" max="36" width="0" hidden="1" customWidth="1"/>
    <col min="37" max="37" width="8.5703125" hidden="1" customWidth="1"/>
    <col min="39" max="39" width="17" bestFit="1" customWidth="1"/>
    <col min="40" max="40" width="6.42578125" bestFit="1" customWidth="1"/>
    <col min="41" max="41" width="16" bestFit="1" customWidth="1"/>
  </cols>
  <sheetData>
    <row r="1" spans="1:41" ht="56.25" customHeight="1">
      <c r="A1" s="691">
        <v>1</v>
      </c>
      <c r="K1" s="257" t="s">
        <v>1203</v>
      </c>
      <c r="L1" s="257" t="s">
        <v>877</v>
      </c>
      <c r="M1" s="257" t="s">
        <v>878</v>
      </c>
      <c r="N1" s="257" t="s">
        <v>879</v>
      </c>
      <c r="O1" s="257" t="s">
        <v>880</v>
      </c>
      <c r="P1" s="257" t="s">
        <v>318</v>
      </c>
      <c r="Q1" s="257" t="s">
        <v>881</v>
      </c>
      <c r="R1" s="257" t="s">
        <v>882</v>
      </c>
      <c r="S1" s="257" t="s">
        <v>883</v>
      </c>
      <c r="T1" s="257" t="s">
        <v>884</v>
      </c>
      <c r="U1" s="257" t="s">
        <v>885</v>
      </c>
      <c r="V1" s="257" t="s">
        <v>886</v>
      </c>
      <c r="W1" s="257" t="s">
        <v>887</v>
      </c>
      <c r="X1" s="257" t="s">
        <v>77</v>
      </c>
      <c r="Y1" s="257" t="s">
        <v>888</v>
      </c>
      <c r="Z1" s="257" t="s">
        <v>889</v>
      </c>
      <c r="AA1" s="257" t="s">
        <v>890</v>
      </c>
      <c r="AB1" s="257" t="s">
        <v>891</v>
      </c>
      <c r="AC1" s="257" t="s">
        <v>892</v>
      </c>
      <c r="AD1" s="257" t="s">
        <v>893</v>
      </c>
      <c r="AE1" s="257" t="s">
        <v>894</v>
      </c>
      <c r="AF1" s="257" t="s">
        <v>72</v>
      </c>
    </row>
    <row r="2" spans="1:41" ht="40.5" customHeight="1">
      <c r="B2" s="634" t="s">
        <v>1204</v>
      </c>
      <c r="C2" s="634" t="s">
        <v>31</v>
      </c>
      <c r="D2" s="634" t="s">
        <v>1205</v>
      </c>
      <c r="E2" s="635" t="s">
        <v>1206</v>
      </c>
      <c r="F2" s="635" t="s">
        <v>387</v>
      </c>
      <c r="G2" s="635" t="s">
        <v>386</v>
      </c>
      <c r="H2" s="636" t="s">
        <v>315</v>
      </c>
      <c r="I2" s="635" t="s">
        <v>46</v>
      </c>
      <c r="K2" s="3" t="s">
        <v>1227</v>
      </c>
      <c r="L2" s="3"/>
      <c r="M2" s="3" t="s">
        <v>1227</v>
      </c>
      <c r="N2" s="3"/>
      <c r="O2" s="3"/>
      <c r="P2" s="3"/>
      <c r="Q2" s="3"/>
      <c r="R2" s="3"/>
      <c r="S2" s="3"/>
      <c r="T2" s="3"/>
      <c r="U2" s="3"/>
      <c r="V2" s="3"/>
      <c r="W2" s="3"/>
      <c r="X2" s="3" t="s">
        <v>75</v>
      </c>
      <c r="Y2" s="3"/>
      <c r="Z2" s="3"/>
      <c r="AA2" s="3"/>
      <c r="AB2" s="3"/>
      <c r="AC2" s="3"/>
      <c r="AD2" s="3"/>
      <c r="AE2" s="3"/>
      <c r="AF2" s="3" t="s">
        <v>70</v>
      </c>
      <c r="AM2" t="s">
        <v>31</v>
      </c>
      <c r="AN2" t="s">
        <v>30</v>
      </c>
      <c r="AO2" t="s">
        <v>1207</v>
      </c>
    </row>
    <row r="3" spans="1:41">
      <c r="B3" s="205">
        <v>1</v>
      </c>
      <c r="C3" s="659">
        <f>S2</f>
        <v>0</v>
      </c>
      <c r="D3" s="1" t="s">
        <v>883</v>
      </c>
      <c r="E3" s="259">
        <f>SUMIFS(Forging_Material!$R$1:$R$10000,Forging_Material!$D$1:$D$10000,Group!C3)</f>
        <v>0</v>
      </c>
      <c r="F3" s="259">
        <f>SUMIFS(Forging_Process!$H$1:$H$10000,Forging_Process!$B$1:$B$10000,Group!$C3,Forging_Process!$C$1:$C$10000,Group!F$2)</f>
        <v>0</v>
      </c>
      <c r="G3" s="259">
        <f>SUMIFS(Forging_Process!$H$1:$H$10000,Forging_Process!$B$1:$B$10000,Group!$C3,Forging_Process!$C$1:$C$10000,Group!G$2)</f>
        <v>0</v>
      </c>
      <c r="H3" s="259">
        <f>_xlfn.IFNA(SUMIFS(Forging_Process!$H$1:$H$10000,Forging_Process!$B$1:$B$10000,Group!$C3,Forging_Process!$C$1:$C$10000,Group!H$2),0)</f>
        <v>0</v>
      </c>
      <c r="I3" s="259">
        <f>SUMIFS(Forging_Material!$J$1:$J$10000,Forging_Material!$D$1:$D$10000,Group!C3)</f>
        <v>0</v>
      </c>
      <c r="K3" s="3" t="s">
        <v>1233</v>
      </c>
      <c r="L3" s="3"/>
      <c r="M3" s="3" t="s">
        <v>1233</v>
      </c>
      <c r="N3" s="3"/>
      <c r="O3" s="3"/>
      <c r="P3" s="3"/>
      <c r="Q3" s="3"/>
      <c r="R3" s="3"/>
      <c r="S3" s="3"/>
      <c r="T3" s="3"/>
      <c r="U3" s="3"/>
      <c r="V3" s="3"/>
      <c r="W3" s="3"/>
      <c r="X3" s="3" t="s">
        <v>78</v>
      </c>
      <c r="Y3" s="3"/>
      <c r="Z3" s="3"/>
      <c r="AA3" s="3"/>
      <c r="AB3" s="3"/>
      <c r="AC3" s="3"/>
      <c r="AD3" s="3"/>
      <c r="AE3" s="3"/>
      <c r="AF3" s="3"/>
      <c r="AM3" s="1" t="str">
        <f>BOM!D3</f>
        <v>MB512123</v>
      </c>
      <c r="AN3" s="1">
        <f>BOM!C3</f>
        <v>1</v>
      </c>
      <c r="AO3" s="1" t="str">
        <f>BOM!B3</f>
        <v>MB512123</v>
      </c>
    </row>
    <row r="4" spans="1:41">
      <c r="B4" s="205">
        <v>2</v>
      </c>
      <c r="C4" s="659">
        <f t="shared" ref="C4:C52" si="0">S3</f>
        <v>0</v>
      </c>
      <c r="D4" s="1" t="s">
        <v>883</v>
      </c>
      <c r="E4" s="259">
        <f>SUMIFS(Forging_Material!$R$1:$R$10000,Forging_Material!$D$1:$D$10000,Group!C4)</f>
        <v>0</v>
      </c>
      <c r="F4" s="259">
        <f>SUMIFS(Forging_Process!$H$1:$H$10000,Forging_Process!$B$1:$B$10000,Group!$C4,Forging_Process!$C$1:$C$10000,Group!F$2)</f>
        <v>0</v>
      </c>
      <c r="G4" s="259">
        <f>SUMIFS(Forging_Process!$H$1:$H$10000,Forging_Process!$B$1:$B$10000,Group!$C4,Forging_Process!$C$1:$C$10000,Group!G$2)</f>
        <v>0</v>
      </c>
      <c r="H4" s="259">
        <f>_xlfn.IFNA(SUMIFS(Forging_Process!$H$1:$H$10000,Forging_Process!$B$1:$B$10000,Group!$C4,Forging_Process!$C$1:$C$10000,Group!H$2),0)</f>
        <v>0</v>
      </c>
      <c r="I4" s="259">
        <f>SUMIFS(Forging_Material!$J$1:$J$10000,Forging_Material!$D$1:$D$10000,Group!C4)</f>
        <v>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M4" s="1" t="str">
        <f>BOM!D4</f>
        <v>FV516568</v>
      </c>
      <c r="AN4" s="1">
        <f>BOM!C4</f>
        <v>2</v>
      </c>
      <c r="AO4" s="1" t="str">
        <f>BOM!B4</f>
        <v>MB512123</v>
      </c>
    </row>
    <row r="5" spans="1:41">
      <c r="B5" s="205">
        <v>3</v>
      </c>
      <c r="C5" s="659">
        <f t="shared" si="0"/>
        <v>0</v>
      </c>
      <c r="D5" s="1" t="s">
        <v>883</v>
      </c>
      <c r="E5" s="259">
        <f>SUMIFS(Forging_Material!$R$1:$R$10000,Forging_Material!$D$1:$D$10000,Group!C5)</f>
        <v>0</v>
      </c>
      <c r="F5" s="259">
        <f>SUMIFS(Forging_Process!$H$1:$H$10000,Forging_Process!$B$1:$B$10000,Group!$C5,Forging_Process!$C$1:$C$10000,Group!F$2)</f>
        <v>0</v>
      </c>
      <c r="G5" s="259">
        <f>SUMIFS(Forging_Process!$H$1:$H$10000,Forging_Process!$B$1:$B$10000,Group!$C5,Forging_Process!$C$1:$C$10000,Group!G$2)</f>
        <v>0</v>
      </c>
      <c r="H5" s="259">
        <f>_xlfn.IFNA(SUMIFS(Forging_Process!$H$1:$H$10000,Forging_Process!$B$1:$B$10000,Group!$C5,Forging_Process!$C$1:$C$10000,Group!H$2),0)</f>
        <v>0</v>
      </c>
      <c r="I5" s="259">
        <f>SUMIFS(Forging_Material!$J$1:$J$10000,Forging_Material!$D$1:$D$10000,Group!C5)</f>
        <v>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M5" s="1" t="str">
        <f>BOM!D5</f>
        <v>FC450368</v>
      </c>
      <c r="AN5" s="1">
        <f>BOM!C5</f>
        <v>2</v>
      </c>
      <c r="AO5" s="1" t="str">
        <f>BOM!B5</f>
        <v>MB512123</v>
      </c>
    </row>
    <row r="6" spans="1:41">
      <c r="B6" s="205">
        <v>4</v>
      </c>
      <c r="C6" s="659">
        <f t="shared" si="0"/>
        <v>0</v>
      </c>
      <c r="D6" s="1" t="s">
        <v>883</v>
      </c>
      <c r="E6" s="259">
        <f>SUMIFS(Forging_Material!$R$1:$R$10000,Forging_Material!$D$1:$D$10000,Group!C6)</f>
        <v>0</v>
      </c>
      <c r="F6" s="259">
        <f>SUMIFS(Forging_Process!$H$1:$H$10000,Forging_Process!$B$1:$B$10000,Group!$C6,Forging_Process!$C$1:$C$10000,Group!F$2)</f>
        <v>0</v>
      </c>
      <c r="G6" s="259">
        <f>SUMIFS(Forging_Process!$H$1:$H$10000,Forging_Process!$B$1:$B$10000,Group!$C6,Forging_Process!$C$1:$C$10000,Group!G$2)</f>
        <v>0</v>
      </c>
      <c r="H6" s="259">
        <f>_xlfn.IFNA(SUMIFS(Forging_Process!$H$1:$H$10000,Forging_Process!$B$1:$B$10000,Group!$C6,Forging_Process!$C$1:$C$10000,Group!H$2),0)</f>
        <v>0</v>
      </c>
      <c r="I6" s="259">
        <f>SUMIFS(Forging_Material!$J$1:$J$10000,Forging_Material!$D$1:$D$10000,Group!C6)</f>
        <v>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M6" s="1" t="str">
        <f>BOM!D6</f>
        <v>FE705510</v>
      </c>
      <c r="AN6" s="1">
        <f>BOM!C6</f>
        <v>2</v>
      </c>
      <c r="AO6" s="1" t="str">
        <f>BOM!B6</f>
        <v>MB512123</v>
      </c>
    </row>
    <row r="7" spans="1:41">
      <c r="B7" s="205">
        <v>5</v>
      </c>
      <c r="C7" s="659">
        <f t="shared" si="0"/>
        <v>0</v>
      </c>
      <c r="D7" s="1" t="s">
        <v>883</v>
      </c>
      <c r="E7" s="259">
        <f>SUMIFS(Forging_Material!$R$1:$R$10000,Forging_Material!$D$1:$D$10000,Group!C7)</f>
        <v>0</v>
      </c>
      <c r="F7" s="259">
        <f>SUMIFS(Forging_Process!$H$1:$H$10000,Forging_Process!$B$1:$B$10000,Group!$C7,Forging_Process!$C$1:$C$10000,Group!F$2)</f>
        <v>0</v>
      </c>
      <c r="G7" s="259">
        <f>SUMIFS(Forging_Process!$H$1:$H$10000,Forging_Process!$B$1:$B$10000,Group!$C7,Forging_Process!$C$1:$C$10000,Group!G$2)</f>
        <v>0</v>
      </c>
      <c r="H7" s="259">
        <f>_xlfn.IFNA(SUMIFS(Forging_Process!$H$1:$H$10000,Forging_Process!$B$1:$B$10000,Group!$C7,Forging_Process!$C$1:$C$10000,Group!H$2),0)</f>
        <v>0</v>
      </c>
      <c r="I7" s="259">
        <f>SUMIFS(Forging_Material!$J$1:$J$10000,Forging_Material!$D$1:$D$10000,Group!C7)</f>
        <v>0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M7" s="1" t="str">
        <f>BOM!D7</f>
        <v>FT901100</v>
      </c>
      <c r="AN7" s="1">
        <f>BOM!C7</f>
        <v>2</v>
      </c>
      <c r="AO7" s="1" t="str">
        <f>BOM!B7</f>
        <v>MB512123</v>
      </c>
    </row>
    <row r="8" spans="1:41">
      <c r="B8" s="205">
        <v>6</v>
      </c>
      <c r="C8" s="659">
        <f t="shared" si="0"/>
        <v>0</v>
      </c>
      <c r="D8" s="1" t="s">
        <v>883</v>
      </c>
      <c r="E8" s="259">
        <f>SUMIFS(Forging_Material!$R$1:$R$10000,Forging_Material!$D$1:$D$10000,Group!C8)</f>
        <v>0</v>
      </c>
      <c r="F8" s="259">
        <f>SUMIFS(Forging_Process!$H$1:$H$10000,Forging_Process!$B$1:$B$10000,Group!$C8,Forging_Process!$C$1:$C$10000,Group!F$2)</f>
        <v>0</v>
      </c>
      <c r="G8" s="259">
        <f>SUMIFS(Forging_Process!$H$1:$H$10000,Forging_Process!$B$1:$B$10000,Group!$C8,Forging_Process!$C$1:$C$10000,Group!G$2)</f>
        <v>0</v>
      </c>
      <c r="H8" s="259">
        <f>_xlfn.IFNA(SUMIFS(Forging_Process!$H$1:$H$10000,Forging_Process!$B$1:$B$10000,Group!$C8,Forging_Process!$C$1:$C$10000,Group!H$2),0)</f>
        <v>0</v>
      </c>
      <c r="I8" s="259">
        <f>SUMIFS(Forging_Material!$J$1:$J$10000,Forging_Material!$D$1:$D$10000,Group!C8)</f>
        <v>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M8" s="1">
        <f>BOM!D8</f>
        <v>0</v>
      </c>
      <c r="AN8" s="1">
        <f>BOM!C8</f>
        <v>0</v>
      </c>
      <c r="AO8" s="1" t="str">
        <f>BOM!B8</f>
        <v>MB512123</v>
      </c>
    </row>
    <row r="9" spans="1:41">
      <c r="B9" s="205">
        <v>7</v>
      </c>
      <c r="C9" s="659">
        <f t="shared" si="0"/>
        <v>0</v>
      </c>
      <c r="D9" s="1" t="s">
        <v>883</v>
      </c>
      <c r="E9" s="259">
        <f>SUMIFS(Forging_Material!$R$1:$R$10000,Forging_Material!$D$1:$D$10000,Group!C9)</f>
        <v>0</v>
      </c>
      <c r="F9" s="259">
        <f>SUMIFS(Forging_Process!$H$1:$H$10000,Forging_Process!$B$1:$B$10000,Group!$C9,Forging_Process!$C$1:$C$10000,Group!F$2)</f>
        <v>0</v>
      </c>
      <c r="G9" s="259">
        <f>SUMIFS(Forging_Process!$H$1:$H$10000,Forging_Process!$B$1:$B$10000,Group!$C9,Forging_Process!$C$1:$C$10000,Group!G$2)</f>
        <v>0</v>
      </c>
      <c r="H9" s="259">
        <f>_xlfn.IFNA(SUMIFS(Forging_Process!$H$1:$H$10000,Forging_Process!$B$1:$B$10000,Group!$C9,Forging_Process!$C$1:$C$10000,Group!H$2),0)</f>
        <v>0</v>
      </c>
      <c r="I9" s="259">
        <f>SUMIFS(Forging_Material!$J$1:$J$10000,Forging_Material!$D$1:$D$10000,Group!C9)</f>
        <v>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M9" s="1">
        <f>BOM!D9</f>
        <v>0</v>
      </c>
      <c r="AN9" s="1">
        <f>BOM!C9</f>
        <v>0</v>
      </c>
      <c r="AO9" s="1" t="str">
        <f>BOM!B9</f>
        <v>MB512123</v>
      </c>
    </row>
    <row r="10" spans="1:41">
      <c r="B10" s="205">
        <v>8</v>
      </c>
      <c r="C10" s="659">
        <f t="shared" si="0"/>
        <v>0</v>
      </c>
      <c r="D10" s="1" t="s">
        <v>883</v>
      </c>
      <c r="E10" s="259">
        <f>SUMIFS(Forging_Material!$R$1:$R$10000,Forging_Material!$D$1:$D$10000,Group!C10)</f>
        <v>0</v>
      </c>
      <c r="F10" s="259">
        <f>SUMIFS(Forging_Process!$H$1:$H$10000,Forging_Process!$B$1:$B$10000,Group!$C10,Forging_Process!$C$1:$C$10000,Group!F$2)</f>
        <v>0</v>
      </c>
      <c r="G10" s="259">
        <f>SUMIFS(Forging_Process!$H$1:$H$10000,Forging_Process!$B$1:$B$10000,Group!$C10,Forging_Process!$C$1:$C$10000,Group!G$2)</f>
        <v>0</v>
      </c>
      <c r="H10" s="259">
        <f>_xlfn.IFNA(SUMIFS(Forging_Process!$H$1:$H$10000,Forging_Process!$B$1:$B$10000,Group!$C10,Forging_Process!$C$1:$C$10000,Group!H$2),0)</f>
        <v>0</v>
      </c>
      <c r="I10" s="259">
        <f>SUMIFS(Forging_Material!$J$1:$J$10000,Forging_Material!$D$1:$D$10000,Group!C10)</f>
        <v>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M10" s="1">
        <f>BOM!D10</f>
        <v>0</v>
      </c>
      <c r="AN10" s="1">
        <f>BOM!C10</f>
        <v>0</v>
      </c>
      <c r="AO10" s="1" t="str">
        <f>BOM!B10</f>
        <v>MB512123</v>
      </c>
    </row>
    <row r="11" spans="1:41">
      <c r="B11" s="205">
        <v>9</v>
      </c>
      <c r="C11" s="659">
        <f t="shared" si="0"/>
        <v>0</v>
      </c>
      <c r="D11" s="1" t="s">
        <v>883</v>
      </c>
      <c r="E11" s="259">
        <f>SUMIFS(Forging_Material!$R$1:$R$10000,Forging_Material!$D$1:$D$10000,Group!C11)</f>
        <v>0</v>
      </c>
      <c r="F11" s="259">
        <f>SUMIFS(Forging_Process!$H$1:$H$10000,Forging_Process!$B$1:$B$10000,Group!$C11,Forging_Process!$C$1:$C$10000,Group!F$2)</f>
        <v>0</v>
      </c>
      <c r="G11" s="259">
        <f>SUMIFS(Forging_Process!$H$1:$H$10000,Forging_Process!$B$1:$B$10000,Group!$C11,Forging_Process!$C$1:$C$10000,Group!G$2)</f>
        <v>0</v>
      </c>
      <c r="H11" s="259">
        <f>_xlfn.IFNA(SUMIFS(Forging_Process!$H$1:$H$10000,Forging_Process!$B$1:$B$10000,Group!$C11,Forging_Process!$C$1:$C$10000,Group!H$2),0)</f>
        <v>0</v>
      </c>
      <c r="I11" s="259">
        <f>SUMIFS(Forging_Material!$J$1:$J$10000,Forging_Material!$D$1:$D$10000,Group!C11)</f>
        <v>0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M11" s="1">
        <f>BOM!D11</f>
        <v>0</v>
      </c>
      <c r="AN11" s="1">
        <f>BOM!C11</f>
        <v>0</v>
      </c>
      <c r="AO11" s="1" t="str">
        <f>BOM!B11</f>
        <v>MB512123</v>
      </c>
    </row>
    <row r="12" spans="1:41">
      <c r="B12" s="205">
        <v>10</v>
      </c>
      <c r="C12" s="659">
        <f t="shared" si="0"/>
        <v>0</v>
      </c>
      <c r="D12" s="1" t="s">
        <v>883</v>
      </c>
      <c r="E12" s="259">
        <f>SUMIFS(Forging_Material!$R$1:$R$10000,Forging_Material!$D$1:$D$10000,Group!C12)</f>
        <v>0</v>
      </c>
      <c r="F12" s="259">
        <f>SUMIFS(Forging_Process!$H$1:$H$10000,Forging_Process!$B$1:$B$10000,Group!$C12,Forging_Process!$C$1:$C$10000,Group!F$2)</f>
        <v>0</v>
      </c>
      <c r="G12" s="259">
        <f>SUMIFS(Forging_Process!$H$1:$H$10000,Forging_Process!$B$1:$B$10000,Group!$C12,Forging_Process!$C$1:$C$10000,Group!G$2)</f>
        <v>0</v>
      </c>
      <c r="H12" s="259">
        <f>_xlfn.IFNA(SUMIFS(Forging_Process!$H$1:$H$10000,Forging_Process!$B$1:$B$10000,Group!$C12,Forging_Process!$C$1:$C$10000,Group!H$2),0)</f>
        <v>0</v>
      </c>
      <c r="I12" s="259">
        <f>SUMIFS(Forging_Material!$J$1:$J$10000,Forging_Material!$D$1:$D$10000,Group!C12)</f>
        <v>0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M12" s="1">
        <f>BOM!D12</f>
        <v>0</v>
      </c>
      <c r="AN12" s="1">
        <f>BOM!C12</f>
        <v>0</v>
      </c>
      <c r="AO12" s="1" t="str">
        <f>BOM!B12</f>
        <v>MB512123</v>
      </c>
    </row>
    <row r="13" spans="1:41">
      <c r="B13" s="205">
        <v>11</v>
      </c>
      <c r="C13" s="659">
        <f t="shared" si="0"/>
        <v>0</v>
      </c>
      <c r="D13" s="1" t="s">
        <v>883</v>
      </c>
      <c r="E13" s="259">
        <f>SUMIFS(Forging_Material!$R$1:$R$10000,Forging_Material!$D$1:$D$10000,Group!C13)</f>
        <v>0</v>
      </c>
      <c r="F13" s="259">
        <f>SUMIFS(Forging_Process!$H$1:$H$10000,Forging_Process!$B$1:$B$10000,Group!$C13,Forging_Process!$C$1:$C$10000,Group!F$2)</f>
        <v>0</v>
      </c>
      <c r="G13" s="259">
        <f>SUMIFS(Forging_Process!$H$1:$H$10000,Forging_Process!$B$1:$B$10000,Group!$C13,Forging_Process!$C$1:$C$10000,Group!G$2)</f>
        <v>0</v>
      </c>
      <c r="H13" s="259">
        <f>_xlfn.IFNA(SUMIFS(Forging_Process!$H$1:$H$10000,Forging_Process!$B$1:$B$10000,Group!$C13,Forging_Process!$C$1:$C$10000,Group!H$2),0)</f>
        <v>0</v>
      </c>
      <c r="I13" s="259">
        <f>SUMIFS(Forging_Material!$J$1:$J$10000,Forging_Material!$D$1:$D$10000,Group!C13)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M13" s="1">
        <f>BOM!D13</f>
        <v>0</v>
      </c>
      <c r="AN13" s="1">
        <f>BOM!C13</f>
        <v>0</v>
      </c>
      <c r="AO13" s="1" t="str">
        <f>BOM!B13</f>
        <v>MB512123</v>
      </c>
    </row>
    <row r="14" spans="1:41">
      <c r="B14" s="205">
        <v>12</v>
      </c>
      <c r="C14" s="659">
        <f t="shared" si="0"/>
        <v>0</v>
      </c>
      <c r="D14" s="1" t="s">
        <v>883</v>
      </c>
      <c r="E14" s="259">
        <f>SUMIFS(Forging_Material!$R$1:$R$10000,Forging_Material!$D$1:$D$10000,Group!C14)</f>
        <v>0</v>
      </c>
      <c r="F14" s="259">
        <f>SUMIFS(Forging_Process!$H$1:$H$10000,Forging_Process!$B$1:$B$10000,Group!$C14,Forging_Process!$C$1:$C$10000,Group!F$2)</f>
        <v>0</v>
      </c>
      <c r="G14" s="259">
        <f>SUMIFS(Forging_Process!$H$1:$H$10000,Forging_Process!$B$1:$B$10000,Group!$C14,Forging_Process!$C$1:$C$10000,Group!G$2)</f>
        <v>0</v>
      </c>
      <c r="H14" s="259">
        <f>_xlfn.IFNA(SUMIFS(Forging_Process!$H$1:$H$10000,Forging_Process!$B$1:$B$10000,Group!$C14,Forging_Process!$C$1:$C$10000,Group!H$2),0)</f>
        <v>0</v>
      </c>
      <c r="I14" s="259">
        <f>SUMIFS(Forging_Material!$J$1:$J$10000,Forging_Material!$D$1:$D$10000,Group!C14)</f>
        <v>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M14" s="1">
        <f>BOM!D14</f>
        <v>0</v>
      </c>
      <c r="AN14" s="1">
        <f>BOM!C14</f>
        <v>0</v>
      </c>
      <c r="AO14" s="1" t="str">
        <f>BOM!B14</f>
        <v>MB512123</v>
      </c>
    </row>
    <row r="15" spans="1:41">
      <c r="B15" s="205">
        <v>13</v>
      </c>
      <c r="C15" s="659">
        <f t="shared" si="0"/>
        <v>0</v>
      </c>
      <c r="D15" s="1" t="s">
        <v>883</v>
      </c>
      <c r="E15" s="259">
        <f>SUMIFS(Forging_Material!$R$1:$R$10000,Forging_Material!$D$1:$D$10000,Group!C15)</f>
        <v>0</v>
      </c>
      <c r="F15" s="259">
        <f>SUMIFS(Forging_Process!$H$1:$H$10000,Forging_Process!$B$1:$B$10000,Group!$C15,Forging_Process!$C$1:$C$10000,Group!F$2)</f>
        <v>0</v>
      </c>
      <c r="G15" s="259">
        <f>SUMIFS(Forging_Process!$H$1:$H$10000,Forging_Process!$B$1:$B$10000,Group!$C15,Forging_Process!$C$1:$C$10000,Group!G$2)</f>
        <v>0</v>
      </c>
      <c r="H15" s="259">
        <f>_xlfn.IFNA(SUMIFS(Forging_Process!$H$1:$H$10000,Forging_Process!$B$1:$B$10000,Group!$C15,Forging_Process!$C$1:$C$10000,Group!H$2),0)</f>
        <v>0</v>
      </c>
      <c r="I15" s="259">
        <f>SUMIFS(Forging_Material!$J$1:$J$10000,Forging_Material!$D$1:$D$10000,Group!C15)</f>
        <v>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M15" s="1">
        <f>BOM!D15</f>
        <v>0</v>
      </c>
      <c r="AN15" s="1">
        <f>BOM!C15</f>
        <v>0</v>
      </c>
      <c r="AO15" s="1" t="str">
        <f>BOM!B15</f>
        <v>MB512123</v>
      </c>
    </row>
    <row r="16" spans="1:41">
      <c r="B16" s="205">
        <v>14</v>
      </c>
      <c r="C16" s="659">
        <f t="shared" si="0"/>
        <v>0</v>
      </c>
      <c r="D16" s="1" t="s">
        <v>883</v>
      </c>
      <c r="E16" s="259">
        <f>SUMIFS(Forging_Material!$R$1:$R$10000,Forging_Material!$D$1:$D$10000,Group!C16)</f>
        <v>0</v>
      </c>
      <c r="F16" s="259">
        <f>SUMIFS(Forging_Process!$H$1:$H$10000,Forging_Process!$B$1:$B$10000,Group!$C16,Forging_Process!$C$1:$C$10000,Group!F$2)</f>
        <v>0</v>
      </c>
      <c r="G16" s="259">
        <f>SUMIFS(Forging_Process!$H$1:$H$10000,Forging_Process!$B$1:$B$10000,Group!$C16,Forging_Process!$C$1:$C$10000,Group!G$2)</f>
        <v>0</v>
      </c>
      <c r="H16" s="259">
        <f>_xlfn.IFNA(SUMIFS(Forging_Process!$H$1:$H$10000,Forging_Process!$B$1:$B$10000,Group!$C16,Forging_Process!$C$1:$C$10000,Group!H$2),0)</f>
        <v>0</v>
      </c>
      <c r="I16" s="259">
        <f>SUMIFS(Forging_Material!$J$1:$J$10000,Forging_Material!$D$1:$D$10000,Group!C16)</f>
        <v>0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M16" s="1">
        <f>BOM!D16</f>
        <v>0</v>
      </c>
      <c r="AN16" s="1">
        <f>BOM!C16</f>
        <v>0</v>
      </c>
      <c r="AO16" s="1" t="str">
        <f>BOM!B16</f>
        <v>MB512123</v>
      </c>
    </row>
    <row r="17" spans="2:41">
      <c r="B17" s="205">
        <v>15</v>
      </c>
      <c r="C17" s="659">
        <f t="shared" si="0"/>
        <v>0</v>
      </c>
      <c r="D17" s="1" t="s">
        <v>883</v>
      </c>
      <c r="E17" s="259">
        <f>SUMIFS(Forging_Material!$R$1:$R$10000,Forging_Material!$D$1:$D$10000,Group!C17)</f>
        <v>0</v>
      </c>
      <c r="F17" s="259">
        <f>SUMIFS(Forging_Process!$H$1:$H$10000,Forging_Process!$B$1:$B$10000,Group!$C17,Forging_Process!$C$1:$C$10000,Group!F$2)</f>
        <v>0</v>
      </c>
      <c r="G17" s="259">
        <f>SUMIFS(Forging_Process!$H$1:$H$10000,Forging_Process!$B$1:$B$10000,Group!$C17,Forging_Process!$C$1:$C$10000,Group!G$2)</f>
        <v>0</v>
      </c>
      <c r="H17" s="259">
        <f>_xlfn.IFNA(SUMIFS(Forging_Process!$H$1:$H$10000,Forging_Process!$B$1:$B$10000,Group!$C17,Forging_Process!$C$1:$C$10000,Group!H$2),0)</f>
        <v>0</v>
      </c>
      <c r="I17" s="259">
        <f>SUMIFS(Forging_Material!$J$1:$J$10000,Forging_Material!$D$1:$D$10000,Group!C17)</f>
        <v>0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M17" s="1">
        <f>BOM!D17</f>
        <v>0</v>
      </c>
      <c r="AN17" s="1">
        <f>BOM!C17</f>
        <v>0</v>
      </c>
      <c r="AO17" s="1" t="str">
        <f>BOM!B17</f>
        <v>MB512123</v>
      </c>
    </row>
    <row r="18" spans="2:41">
      <c r="B18" s="205">
        <v>16</v>
      </c>
      <c r="C18" s="659">
        <f t="shared" si="0"/>
        <v>0</v>
      </c>
      <c r="D18" s="1" t="s">
        <v>883</v>
      </c>
      <c r="E18" s="259">
        <f>SUMIFS(Forging_Material!$R$1:$R$10000,Forging_Material!$D$1:$D$10000,Group!C18)</f>
        <v>0</v>
      </c>
      <c r="F18" s="259">
        <f>SUMIFS(Forging_Process!$H$1:$H$10000,Forging_Process!$B$1:$B$10000,Group!$C18,Forging_Process!$C$1:$C$10000,Group!F$2)</f>
        <v>0</v>
      </c>
      <c r="G18" s="259">
        <f>SUMIFS(Forging_Process!$H$1:$H$10000,Forging_Process!$B$1:$B$10000,Group!$C18,Forging_Process!$C$1:$C$10000,Group!G$2)</f>
        <v>0</v>
      </c>
      <c r="H18" s="259">
        <f>_xlfn.IFNA(SUMIFS(Forging_Process!$H$1:$H$10000,Forging_Process!$B$1:$B$10000,Group!$C18,Forging_Process!$C$1:$C$10000,Group!H$2),0)</f>
        <v>0</v>
      </c>
      <c r="I18" s="259">
        <f>SUMIFS(Forging_Material!$J$1:$J$10000,Forging_Material!$D$1:$D$10000,Group!C18)</f>
        <v>0</v>
      </c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M18" s="1">
        <f>BOM!D18</f>
        <v>0</v>
      </c>
      <c r="AN18" s="1">
        <f>BOM!C18</f>
        <v>0</v>
      </c>
      <c r="AO18" s="1" t="str">
        <f>BOM!B18</f>
        <v>MB512123</v>
      </c>
    </row>
    <row r="19" spans="2:41">
      <c r="B19" s="205">
        <v>17</v>
      </c>
      <c r="C19" s="659">
        <f t="shared" si="0"/>
        <v>0</v>
      </c>
      <c r="D19" s="1" t="s">
        <v>883</v>
      </c>
      <c r="E19" s="259">
        <f>SUMIFS(Forging_Material!$R$1:$R$10000,Forging_Material!$D$1:$D$10000,Group!C19)</f>
        <v>0</v>
      </c>
      <c r="F19" s="259">
        <f>SUMIFS(Forging_Process!$H$1:$H$10000,Forging_Process!$B$1:$B$10000,Group!$C19,Forging_Process!$C$1:$C$10000,Group!F$2)</f>
        <v>0</v>
      </c>
      <c r="G19" s="259">
        <f>SUMIFS(Forging_Process!$H$1:$H$10000,Forging_Process!$B$1:$B$10000,Group!$C19,Forging_Process!$C$1:$C$10000,Group!G$2)</f>
        <v>0</v>
      </c>
      <c r="H19" s="259">
        <f>_xlfn.IFNA(SUMIFS(Forging_Process!$H$1:$H$10000,Forging_Process!$B$1:$B$10000,Group!$C19,Forging_Process!$C$1:$C$10000,Group!H$2),0)</f>
        <v>0</v>
      </c>
      <c r="I19" s="259">
        <f>SUMIFS(Forging_Material!$J$1:$J$10000,Forging_Material!$D$1:$D$10000,Group!C19)</f>
        <v>0</v>
      </c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M19" s="1">
        <f>BOM!D19</f>
        <v>0</v>
      </c>
      <c r="AN19" s="1">
        <f>BOM!C19</f>
        <v>0</v>
      </c>
      <c r="AO19" s="1" t="str">
        <f>BOM!B19</f>
        <v>MB512123</v>
      </c>
    </row>
    <row r="20" spans="2:41">
      <c r="B20" s="205">
        <v>18</v>
      </c>
      <c r="C20" s="659">
        <f t="shared" si="0"/>
        <v>0</v>
      </c>
      <c r="D20" s="1" t="s">
        <v>883</v>
      </c>
      <c r="E20" s="259">
        <f>SUMIFS(Forging_Material!$R$1:$R$10000,Forging_Material!$D$1:$D$10000,Group!C20)</f>
        <v>0</v>
      </c>
      <c r="F20" s="259">
        <f>SUMIFS(Forging_Process!$H$1:$H$10000,Forging_Process!$B$1:$B$10000,Group!$C20,Forging_Process!$C$1:$C$10000,Group!F$2)</f>
        <v>0</v>
      </c>
      <c r="G20" s="259">
        <f>SUMIFS(Forging_Process!$H$1:$H$10000,Forging_Process!$B$1:$B$10000,Group!$C20,Forging_Process!$C$1:$C$10000,Group!G$2)</f>
        <v>0</v>
      </c>
      <c r="H20" s="259">
        <f>_xlfn.IFNA(SUMIFS(Forging_Process!$H$1:$H$10000,Forging_Process!$B$1:$B$10000,Group!$C20,Forging_Process!$C$1:$C$10000,Group!H$2),0)</f>
        <v>0</v>
      </c>
      <c r="I20" s="259">
        <f>SUMIFS(Forging_Material!$J$1:$J$10000,Forging_Material!$D$1:$D$10000,Group!C20)</f>
        <v>0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M20" s="1">
        <f>BOM!D20</f>
        <v>0</v>
      </c>
      <c r="AN20" s="1">
        <f>BOM!C20</f>
        <v>0</v>
      </c>
      <c r="AO20" s="1" t="str">
        <f>BOM!B20</f>
        <v>MB512123</v>
      </c>
    </row>
    <row r="21" spans="2:41">
      <c r="B21" s="205">
        <v>19</v>
      </c>
      <c r="C21" s="659">
        <f t="shared" si="0"/>
        <v>0</v>
      </c>
      <c r="D21" s="1" t="s">
        <v>883</v>
      </c>
      <c r="E21" s="259">
        <f>SUMIFS(Forging_Material!$R$1:$R$10000,Forging_Material!$D$1:$D$10000,Group!C21)</f>
        <v>0</v>
      </c>
      <c r="F21" s="259">
        <f>SUMIFS(Forging_Process!$H$1:$H$10000,Forging_Process!$B$1:$B$10000,Group!$C21,Forging_Process!$C$1:$C$10000,Group!F$2)</f>
        <v>0</v>
      </c>
      <c r="G21" s="259">
        <f>SUMIFS(Forging_Process!$H$1:$H$10000,Forging_Process!$B$1:$B$10000,Group!$C21,Forging_Process!$C$1:$C$10000,Group!G$2)</f>
        <v>0</v>
      </c>
      <c r="H21" s="259">
        <f>_xlfn.IFNA(SUMIFS(Forging_Process!$H$1:$H$10000,Forging_Process!$B$1:$B$10000,Group!$C21,Forging_Process!$C$1:$C$10000,Group!H$2),0)</f>
        <v>0</v>
      </c>
      <c r="I21" s="259">
        <f>SUMIFS(Forging_Material!$J$1:$J$10000,Forging_Material!$D$1:$D$10000,Group!C21)</f>
        <v>0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M21" s="1">
        <f>BOM!D21</f>
        <v>0</v>
      </c>
      <c r="AN21" s="1">
        <f>BOM!C21</f>
        <v>0</v>
      </c>
      <c r="AO21" s="1" t="str">
        <f>BOM!B21</f>
        <v>MB512123</v>
      </c>
    </row>
    <row r="22" spans="2:41">
      <c r="B22" s="205">
        <v>20</v>
      </c>
      <c r="C22" s="659">
        <f t="shared" si="0"/>
        <v>0</v>
      </c>
      <c r="D22" s="1" t="s">
        <v>883</v>
      </c>
      <c r="E22" s="259">
        <f>SUMIFS(Forging_Material!$R$1:$R$10000,Forging_Material!$D$1:$D$10000,Group!C22)</f>
        <v>0</v>
      </c>
      <c r="F22" s="259">
        <f>SUMIFS(Forging_Process!$H$1:$H$10000,Forging_Process!$B$1:$B$10000,Group!$C22,Forging_Process!$C$1:$C$10000,Group!F$2)</f>
        <v>0</v>
      </c>
      <c r="G22" s="259">
        <f>SUMIFS(Forging_Process!$H$1:$H$10000,Forging_Process!$B$1:$B$10000,Group!$C22,Forging_Process!$C$1:$C$10000,Group!G$2)</f>
        <v>0</v>
      </c>
      <c r="H22" s="259">
        <f>_xlfn.IFNA(SUMIFS(Forging_Process!$H$1:$H$10000,Forging_Process!$B$1:$B$10000,Group!$C22,Forging_Process!$C$1:$C$10000,Group!H$2),0)</f>
        <v>0</v>
      </c>
      <c r="I22" s="259">
        <f>SUMIFS(Forging_Material!$J$1:$J$10000,Forging_Material!$D$1:$D$10000,Group!C22)</f>
        <v>0</v>
      </c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M22" s="1">
        <f>BOM!D22</f>
        <v>0</v>
      </c>
      <c r="AN22" s="1">
        <f>BOM!C22</f>
        <v>0</v>
      </c>
      <c r="AO22" s="1" t="str">
        <f>BOM!B22</f>
        <v>MB512123</v>
      </c>
    </row>
    <row r="23" spans="2:41">
      <c r="B23" s="205">
        <v>21</v>
      </c>
      <c r="C23" s="659">
        <f t="shared" si="0"/>
        <v>0</v>
      </c>
      <c r="D23" s="1" t="s">
        <v>883</v>
      </c>
      <c r="E23" s="259">
        <f>SUMIFS(Forging_Material!$R$1:$R$10000,Forging_Material!$D$1:$D$10000,Group!C23)</f>
        <v>0</v>
      </c>
      <c r="F23" s="259">
        <f>SUMIFS(Forging_Process!$H$1:$H$10000,Forging_Process!$B$1:$B$10000,Group!$C23,Forging_Process!$C$1:$C$10000,Group!F$2)</f>
        <v>0</v>
      </c>
      <c r="G23" s="259">
        <f>SUMIFS(Forging_Process!$H$1:$H$10000,Forging_Process!$B$1:$B$10000,Group!$C23,Forging_Process!$C$1:$C$10000,Group!G$2)</f>
        <v>0</v>
      </c>
      <c r="H23" s="259">
        <f>_xlfn.IFNA(SUMIFS(Forging_Process!$H$1:$H$10000,Forging_Process!$B$1:$B$10000,Group!$C23,Forging_Process!$C$1:$C$10000,Group!H$2),0)</f>
        <v>0</v>
      </c>
      <c r="I23" s="259">
        <f>SUMIFS(Forging_Material!$J$1:$J$10000,Forging_Material!$D$1:$D$10000,Group!C23)</f>
        <v>0</v>
      </c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M23" s="1">
        <f>BOM!D23</f>
        <v>0</v>
      </c>
      <c r="AN23" s="1">
        <f>BOM!C23</f>
        <v>0</v>
      </c>
      <c r="AO23" s="1" t="str">
        <f>BOM!B23</f>
        <v>MB512123</v>
      </c>
    </row>
    <row r="24" spans="2:41">
      <c r="B24" s="205">
        <v>22</v>
      </c>
      <c r="C24" s="659">
        <f t="shared" si="0"/>
        <v>0</v>
      </c>
      <c r="D24" s="1" t="s">
        <v>883</v>
      </c>
      <c r="E24" s="259">
        <f>SUMIFS(Forging_Material!$R$1:$R$10000,Forging_Material!$D$1:$D$10000,Group!C24)</f>
        <v>0</v>
      </c>
      <c r="F24" s="259">
        <f>SUMIFS(Forging_Process!$H$1:$H$10000,Forging_Process!$B$1:$B$10000,Group!$C24,Forging_Process!$C$1:$C$10000,Group!F$2)</f>
        <v>0</v>
      </c>
      <c r="G24" s="259">
        <f>SUMIFS(Forging_Process!$H$1:$H$10000,Forging_Process!$B$1:$B$10000,Group!$C24,Forging_Process!$C$1:$C$10000,Group!G$2)</f>
        <v>0</v>
      </c>
      <c r="H24" s="259">
        <f>_xlfn.IFNA(SUMIFS(Forging_Process!$H$1:$H$10000,Forging_Process!$B$1:$B$10000,Group!$C24,Forging_Process!$C$1:$C$10000,Group!H$2),0)</f>
        <v>0</v>
      </c>
      <c r="I24" s="259">
        <f>SUMIFS(Forging_Material!$J$1:$J$10000,Forging_Material!$D$1:$D$10000,Group!C24)</f>
        <v>0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M24" s="1">
        <f>BOM!D24</f>
        <v>0</v>
      </c>
      <c r="AN24" s="1">
        <f>BOM!C24</f>
        <v>0</v>
      </c>
      <c r="AO24" s="1" t="str">
        <f>BOM!B24</f>
        <v>MB512123</v>
      </c>
    </row>
    <row r="25" spans="2:41">
      <c r="B25" s="205">
        <v>23</v>
      </c>
      <c r="C25" s="659">
        <f t="shared" si="0"/>
        <v>0</v>
      </c>
      <c r="D25" s="1" t="s">
        <v>883</v>
      </c>
      <c r="E25" s="259">
        <f>SUMIFS(Forging_Material!$R$1:$R$10000,Forging_Material!$D$1:$D$10000,Group!C25)</f>
        <v>0</v>
      </c>
      <c r="F25" s="259">
        <f>SUMIFS(Forging_Process!$H$1:$H$10000,Forging_Process!$B$1:$B$10000,Group!$C25,Forging_Process!$C$1:$C$10000,Group!F$2)</f>
        <v>0</v>
      </c>
      <c r="G25" s="259">
        <f>SUMIFS(Forging_Process!$H$1:$H$10000,Forging_Process!$B$1:$B$10000,Group!$C25,Forging_Process!$C$1:$C$10000,Group!G$2)</f>
        <v>0</v>
      </c>
      <c r="H25" s="259">
        <f>_xlfn.IFNA(SUMIFS(Forging_Process!$H$1:$H$10000,Forging_Process!$B$1:$B$10000,Group!$C25,Forging_Process!$C$1:$C$10000,Group!H$2),0)</f>
        <v>0</v>
      </c>
      <c r="I25" s="259">
        <f>SUMIFS(Forging_Material!$J$1:$J$10000,Forging_Material!$D$1:$D$10000,Group!C25)</f>
        <v>0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M25" s="1">
        <f>BOM!D25</f>
        <v>0</v>
      </c>
      <c r="AN25" s="1">
        <f>BOM!C25</f>
        <v>0</v>
      </c>
      <c r="AO25" s="1" t="str">
        <f>BOM!B25</f>
        <v>MB512123</v>
      </c>
    </row>
    <row r="26" spans="2:41">
      <c r="B26" s="205">
        <v>24</v>
      </c>
      <c r="C26" s="659">
        <f t="shared" si="0"/>
        <v>0</v>
      </c>
      <c r="D26" s="1" t="s">
        <v>883</v>
      </c>
      <c r="E26" s="259">
        <f>SUMIFS(Forging_Material!$R$1:$R$10000,Forging_Material!$D$1:$D$10000,Group!C26)</f>
        <v>0</v>
      </c>
      <c r="F26" s="259">
        <f>SUMIFS(Forging_Process!$H$1:$H$10000,Forging_Process!$B$1:$B$10000,Group!$C26,Forging_Process!$C$1:$C$10000,Group!F$2)</f>
        <v>0</v>
      </c>
      <c r="G26" s="259">
        <f>SUMIFS(Forging_Process!$H$1:$H$10000,Forging_Process!$B$1:$B$10000,Group!$C26,Forging_Process!$C$1:$C$10000,Group!G$2)</f>
        <v>0</v>
      </c>
      <c r="H26" s="259">
        <f>_xlfn.IFNA(SUMIFS(Forging_Process!$H$1:$H$10000,Forging_Process!$B$1:$B$10000,Group!$C26,Forging_Process!$C$1:$C$10000,Group!H$2),0)</f>
        <v>0</v>
      </c>
      <c r="I26" s="259">
        <f>SUMIFS(Forging_Material!$J$1:$J$10000,Forging_Material!$D$1:$D$10000,Group!C26)</f>
        <v>0</v>
      </c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M26" s="1">
        <f>BOM!D26</f>
        <v>0</v>
      </c>
      <c r="AN26" s="1">
        <f>BOM!C26</f>
        <v>0</v>
      </c>
      <c r="AO26" s="1" t="str">
        <f>BOM!B26</f>
        <v>MB512123</v>
      </c>
    </row>
    <row r="27" spans="2:41">
      <c r="B27" s="205">
        <v>25</v>
      </c>
      <c r="C27" s="659">
        <f t="shared" si="0"/>
        <v>0</v>
      </c>
      <c r="D27" s="1" t="s">
        <v>883</v>
      </c>
      <c r="E27" s="259">
        <f>SUMIFS(Forging_Material!$R$1:$R$10000,Forging_Material!$D$1:$D$10000,Group!C27)</f>
        <v>0</v>
      </c>
      <c r="F27" s="259">
        <f>SUMIFS(Forging_Process!$H$1:$H$10000,Forging_Process!$B$1:$B$10000,Group!$C27,Forging_Process!$C$1:$C$10000,Group!F$2)</f>
        <v>0</v>
      </c>
      <c r="G27" s="259">
        <f>SUMIFS(Forging_Process!$H$1:$H$10000,Forging_Process!$B$1:$B$10000,Group!$C27,Forging_Process!$C$1:$C$10000,Group!G$2)</f>
        <v>0</v>
      </c>
      <c r="H27" s="259">
        <f>_xlfn.IFNA(SUMIFS(Forging_Process!$H$1:$H$10000,Forging_Process!$B$1:$B$10000,Group!$C27,Forging_Process!$C$1:$C$10000,Group!H$2),0)</f>
        <v>0</v>
      </c>
      <c r="I27" s="259">
        <f>SUMIFS(Forging_Material!$J$1:$J$10000,Forging_Material!$D$1:$D$10000,Group!C27)</f>
        <v>0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M27" s="1">
        <f>BOM!D27</f>
        <v>0</v>
      </c>
      <c r="AN27" s="1">
        <f>BOM!C27</f>
        <v>0</v>
      </c>
      <c r="AO27" s="1" t="str">
        <f>BOM!B27</f>
        <v>MB512123</v>
      </c>
    </row>
    <row r="28" spans="2:41">
      <c r="B28" s="205">
        <v>26</v>
      </c>
      <c r="C28" s="659">
        <f t="shared" si="0"/>
        <v>0</v>
      </c>
      <c r="D28" s="1" t="s">
        <v>883</v>
      </c>
      <c r="E28" s="259">
        <f>SUMIFS(Forging_Material!$R$1:$R$10000,Forging_Material!$D$1:$D$10000,Group!C28)</f>
        <v>0</v>
      </c>
      <c r="F28" s="259">
        <f>SUMIFS(Forging_Process!$H$1:$H$10000,Forging_Process!$B$1:$B$10000,Group!$C28,Forging_Process!$C$1:$C$10000,Group!F$2)</f>
        <v>0</v>
      </c>
      <c r="G28" s="259">
        <f>SUMIFS(Forging_Process!$H$1:$H$10000,Forging_Process!$B$1:$B$10000,Group!$C28,Forging_Process!$C$1:$C$10000,Group!G$2)</f>
        <v>0</v>
      </c>
      <c r="H28" s="259">
        <f>_xlfn.IFNA(SUMIFS(Forging_Process!$H$1:$H$10000,Forging_Process!$B$1:$B$10000,Group!$C28,Forging_Process!$C$1:$C$10000,Group!H$2),0)</f>
        <v>0</v>
      </c>
      <c r="I28" s="259">
        <f>SUMIFS(Forging_Material!$J$1:$J$10000,Forging_Material!$D$1:$D$10000,Group!C28)</f>
        <v>0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M28" s="1">
        <f>BOM!D28</f>
        <v>0</v>
      </c>
      <c r="AN28" s="1">
        <f>BOM!C28</f>
        <v>0</v>
      </c>
      <c r="AO28" s="1" t="str">
        <f>BOM!B28</f>
        <v>MB512123</v>
      </c>
    </row>
    <row r="29" spans="2:41">
      <c r="B29" s="205">
        <v>27</v>
      </c>
      <c r="C29" s="659">
        <f t="shared" si="0"/>
        <v>0</v>
      </c>
      <c r="D29" s="1" t="s">
        <v>883</v>
      </c>
      <c r="E29" s="259">
        <f>SUMIFS(Forging_Material!$R$1:$R$10000,Forging_Material!$D$1:$D$10000,Group!C29)</f>
        <v>0</v>
      </c>
      <c r="F29" s="259">
        <f>SUMIFS(Forging_Process!$H$1:$H$10000,Forging_Process!$B$1:$B$10000,Group!$C29,Forging_Process!$C$1:$C$10000,Group!F$2)</f>
        <v>0</v>
      </c>
      <c r="G29" s="259">
        <f>SUMIFS(Forging_Process!$H$1:$H$10000,Forging_Process!$B$1:$B$10000,Group!$C29,Forging_Process!$C$1:$C$10000,Group!G$2)</f>
        <v>0</v>
      </c>
      <c r="H29" s="259">
        <f>_xlfn.IFNA(SUMIFS(Forging_Process!$H$1:$H$10000,Forging_Process!$B$1:$B$10000,Group!$C29,Forging_Process!$C$1:$C$10000,Group!H$2),0)</f>
        <v>0</v>
      </c>
      <c r="I29" s="259">
        <f>SUMIFS(Forging_Material!$J$1:$J$10000,Forging_Material!$D$1:$D$10000,Group!C29)</f>
        <v>0</v>
      </c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M29" s="1">
        <f>BOM!D29</f>
        <v>0</v>
      </c>
      <c r="AN29" s="1">
        <f>BOM!C29</f>
        <v>0</v>
      </c>
      <c r="AO29" s="1" t="str">
        <f>BOM!B29</f>
        <v>MB512123</v>
      </c>
    </row>
    <row r="30" spans="2:41">
      <c r="B30" s="205">
        <v>28</v>
      </c>
      <c r="C30" s="659">
        <f t="shared" si="0"/>
        <v>0</v>
      </c>
      <c r="D30" s="1" t="s">
        <v>883</v>
      </c>
      <c r="E30" s="259">
        <f>SUMIFS(Forging_Material!$R$1:$R$10000,Forging_Material!$D$1:$D$10000,Group!C30)</f>
        <v>0</v>
      </c>
      <c r="F30" s="259">
        <f>SUMIFS(Forging_Process!$H$1:$H$10000,Forging_Process!$B$1:$B$10000,Group!$C30,Forging_Process!$C$1:$C$10000,Group!F$2)</f>
        <v>0</v>
      </c>
      <c r="G30" s="259">
        <f>SUMIFS(Forging_Process!$H$1:$H$10000,Forging_Process!$B$1:$B$10000,Group!$C30,Forging_Process!$C$1:$C$10000,Group!G$2)</f>
        <v>0</v>
      </c>
      <c r="H30" s="259">
        <f>_xlfn.IFNA(SUMIFS(Forging_Process!$H$1:$H$10000,Forging_Process!$B$1:$B$10000,Group!$C30,Forging_Process!$C$1:$C$10000,Group!H$2),0)</f>
        <v>0</v>
      </c>
      <c r="I30" s="259">
        <f>SUMIFS(Forging_Material!$J$1:$J$10000,Forging_Material!$D$1:$D$10000,Group!C30)</f>
        <v>0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M30" s="1">
        <f>BOM!D30</f>
        <v>0</v>
      </c>
      <c r="AN30" s="1">
        <f>BOM!C30</f>
        <v>0</v>
      </c>
      <c r="AO30" s="1" t="str">
        <f>BOM!B30</f>
        <v>MB512123</v>
      </c>
    </row>
    <row r="31" spans="2:41">
      <c r="B31" s="205">
        <v>29</v>
      </c>
      <c r="C31" s="659">
        <f t="shared" si="0"/>
        <v>0</v>
      </c>
      <c r="D31" s="1" t="s">
        <v>883</v>
      </c>
      <c r="E31" s="259">
        <f>SUMIFS(Forging_Material!$R$1:$R$10000,Forging_Material!$D$1:$D$10000,Group!C31)</f>
        <v>0</v>
      </c>
      <c r="F31" s="259">
        <f>SUMIFS(Forging_Process!$H$1:$H$10000,Forging_Process!$B$1:$B$10000,Group!$C31,Forging_Process!$C$1:$C$10000,Group!F$2)</f>
        <v>0</v>
      </c>
      <c r="G31" s="259">
        <f>SUMIFS(Forging_Process!$H$1:$H$10000,Forging_Process!$B$1:$B$10000,Group!$C31,Forging_Process!$C$1:$C$10000,Group!G$2)</f>
        <v>0</v>
      </c>
      <c r="H31" s="259">
        <f>_xlfn.IFNA(SUMIFS(Forging_Process!$H$1:$H$10000,Forging_Process!$B$1:$B$10000,Group!$C31,Forging_Process!$C$1:$C$10000,Group!H$2),0)</f>
        <v>0</v>
      </c>
      <c r="I31" s="259">
        <f>SUMIFS(Forging_Material!$J$1:$J$10000,Forging_Material!$D$1:$D$10000,Group!C31)</f>
        <v>0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M31" s="1">
        <f>BOM!D31</f>
        <v>0</v>
      </c>
      <c r="AN31" s="1">
        <f>BOM!C31</f>
        <v>0</v>
      </c>
      <c r="AO31" s="1" t="str">
        <f>BOM!B31</f>
        <v>MB512123</v>
      </c>
    </row>
    <row r="32" spans="2:41">
      <c r="B32" s="205">
        <v>30</v>
      </c>
      <c r="C32" s="659">
        <f t="shared" si="0"/>
        <v>0</v>
      </c>
      <c r="D32" s="1" t="s">
        <v>883</v>
      </c>
      <c r="E32" s="259">
        <f>SUMIFS(Forging_Material!$R$1:$R$10000,Forging_Material!$D$1:$D$10000,Group!C32)</f>
        <v>0</v>
      </c>
      <c r="F32" s="259">
        <f>SUMIFS(Forging_Process!$H$1:$H$10000,Forging_Process!$B$1:$B$10000,Group!$C32,Forging_Process!$C$1:$C$10000,Group!F$2)</f>
        <v>0</v>
      </c>
      <c r="G32" s="259">
        <f>SUMIFS(Forging_Process!$H$1:$H$10000,Forging_Process!$B$1:$B$10000,Group!$C32,Forging_Process!$C$1:$C$10000,Group!G$2)</f>
        <v>0</v>
      </c>
      <c r="H32" s="259">
        <f>_xlfn.IFNA(SUMIFS(Forging_Process!$H$1:$H$10000,Forging_Process!$B$1:$B$10000,Group!$C32,Forging_Process!$C$1:$C$10000,Group!H$2),0)</f>
        <v>0</v>
      </c>
      <c r="I32" s="259">
        <f>SUMIFS(Forging_Material!$J$1:$J$10000,Forging_Material!$D$1:$D$10000,Group!C32)</f>
        <v>0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M32" s="1">
        <f>BOM!D32</f>
        <v>0</v>
      </c>
      <c r="AN32" s="1">
        <f>BOM!C32</f>
        <v>0</v>
      </c>
      <c r="AO32" s="1" t="str">
        <f>BOM!B32</f>
        <v>MB512123</v>
      </c>
    </row>
    <row r="33" spans="2:41">
      <c r="B33" s="205">
        <v>31</v>
      </c>
      <c r="C33" s="659">
        <f t="shared" si="0"/>
        <v>0</v>
      </c>
      <c r="D33" s="1" t="s">
        <v>883</v>
      </c>
      <c r="E33" s="259">
        <f>SUMIFS(Forging_Material!$R$1:$R$10000,Forging_Material!$D$1:$D$10000,Group!C33)</f>
        <v>0</v>
      </c>
      <c r="F33" s="259">
        <f>SUMIFS(Forging_Process!$H$1:$H$10000,Forging_Process!$B$1:$B$10000,Group!$C33,Forging_Process!$C$1:$C$10000,Group!F$2)</f>
        <v>0</v>
      </c>
      <c r="G33" s="259">
        <f>SUMIFS(Forging_Process!$H$1:$H$10000,Forging_Process!$B$1:$B$10000,Group!$C33,Forging_Process!$C$1:$C$10000,Group!G$2)</f>
        <v>0</v>
      </c>
      <c r="H33" s="259">
        <f>_xlfn.IFNA(SUMIFS(Forging_Process!$H$1:$H$10000,Forging_Process!$B$1:$B$10000,Group!$C33,Forging_Process!$C$1:$C$10000,Group!H$2),0)</f>
        <v>0</v>
      </c>
      <c r="I33" s="259">
        <f>SUMIFS(Forging_Material!$J$1:$J$10000,Forging_Material!$D$1:$D$10000,Group!C33)</f>
        <v>0</v>
      </c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M33" s="1">
        <f>BOM!D33</f>
        <v>0</v>
      </c>
      <c r="AN33" s="1">
        <f>BOM!C33</f>
        <v>0</v>
      </c>
      <c r="AO33" s="1" t="str">
        <f>BOM!B33</f>
        <v>MB512123</v>
      </c>
    </row>
    <row r="34" spans="2:41">
      <c r="B34" s="205">
        <v>32</v>
      </c>
      <c r="C34" s="659">
        <f t="shared" si="0"/>
        <v>0</v>
      </c>
      <c r="D34" s="1" t="s">
        <v>883</v>
      </c>
      <c r="E34" s="259">
        <f>SUMIFS(Forging_Material!$R$1:$R$10000,Forging_Material!$D$1:$D$10000,Group!C34)</f>
        <v>0</v>
      </c>
      <c r="F34" s="259">
        <f>SUMIFS(Forging_Process!$H$1:$H$10000,Forging_Process!$B$1:$B$10000,Group!$C34,Forging_Process!$C$1:$C$10000,Group!F$2)</f>
        <v>0</v>
      </c>
      <c r="G34" s="259">
        <f>SUMIFS(Forging_Process!$H$1:$H$10000,Forging_Process!$B$1:$B$10000,Group!$C34,Forging_Process!$C$1:$C$10000,Group!G$2)</f>
        <v>0</v>
      </c>
      <c r="H34" s="259">
        <f>_xlfn.IFNA(SUMIFS(Forging_Process!$H$1:$H$10000,Forging_Process!$B$1:$B$10000,Group!$C34,Forging_Process!$C$1:$C$10000,Group!H$2),0)</f>
        <v>0</v>
      </c>
      <c r="I34" s="259">
        <f>SUMIFS(Forging_Material!$J$1:$J$10000,Forging_Material!$D$1:$D$10000,Group!C34)</f>
        <v>0</v>
      </c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M34" s="1">
        <f>BOM!D34</f>
        <v>0</v>
      </c>
      <c r="AN34" s="1">
        <f>BOM!C34</f>
        <v>0</v>
      </c>
      <c r="AO34" s="1" t="str">
        <f>BOM!B34</f>
        <v>MB512123</v>
      </c>
    </row>
    <row r="35" spans="2:41">
      <c r="B35" s="205">
        <v>33</v>
      </c>
      <c r="C35" s="659">
        <f t="shared" si="0"/>
        <v>0</v>
      </c>
      <c r="D35" s="1" t="s">
        <v>883</v>
      </c>
      <c r="E35" s="259">
        <f>SUMIFS(Forging_Material!$R$1:$R$10000,Forging_Material!$D$1:$D$10000,Group!C35)</f>
        <v>0</v>
      </c>
      <c r="F35" s="259">
        <f>SUMIFS(Forging_Process!$H$1:$H$10000,Forging_Process!$B$1:$B$10000,Group!$C35,Forging_Process!$C$1:$C$10000,Group!F$2)</f>
        <v>0</v>
      </c>
      <c r="G35" s="259">
        <f>SUMIFS(Forging_Process!$H$1:$H$10000,Forging_Process!$B$1:$B$10000,Group!$C35,Forging_Process!$C$1:$C$10000,Group!G$2)</f>
        <v>0</v>
      </c>
      <c r="H35" s="259">
        <f>_xlfn.IFNA(SUMIFS(Forging_Process!$H$1:$H$10000,Forging_Process!$B$1:$B$10000,Group!$C35,Forging_Process!$C$1:$C$10000,Group!H$2),0)</f>
        <v>0</v>
      </c>
      <c r="I35" s="259">
        <f>SUMIFS(Forging_Material!$J$1:$J$10000,Forging_Material!$D$1:$D$10000,Group!C35)</f>
        <v>0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M35" s="1">
        <f>BOM!D35</f>
        <v>0</v>
      </c>
      <c r="AN35" s="1">
        <f>BOM!C35</f>
        <v>0</v>
      </c>
      <c r="AO35" s="1" t="str">
        <f>BOM!B35</f>
        <v>MB512123</v>
      </c>
    </row>
    <row r="36" spans="2:41">
      <c r="B36" s="205">
        <v>34</v>
      </c>
      <c r="C36" s="659">
        <f t="shared" si="0"/>
        <v>0</v>
      </c>
      <c r="D36" s="1" t="s">
        <v>883</v>
      </c>
      <c r="E36" s="259">
        <f>SUMIFS(Forging_Material!$R$1:$R$10000,Forging_Material!$D$1:$D$10000,Group!C36)</f>
        <v>0</v>
      </c>
      <c r="F36" s="259">
        <f>SUMIFS(Forging_Process!$H$1:$H$10000,Forging_Process!$B$1:$B$10000,Group!$C36,Forging_Process!$C$1:$C$10000,Group!F$2)</f>
        <v>0</v>
      </c>
      <c r="G36" s="259">
        <f>SUMIFS(Forging_Process!$H$1:$H$10000,Forging_Process!$B$1:$B$10000,Group!$C36,Forging_Process!$C$1:$C$10000,Group!G$2)</f>
        <v>0</v>
      </c>
      <c r="H36" s="259">
        <f>_xlfn.IFNA(SUMIFS(Forging_Process!$H$1:$H$10000,Forging_Process!$B$1:$B$10000,Group!$C36,Forging_Process!$C$1:$C$10000,Group!H$2),0)</f>
        <v>0</v>
      </c>
      <c r="I36" s="259">
        <f>SUMIFS(Forging_Material!$J$1:$J$10000,Forging_Material!$D$1:$D$10000,Group!C36)</f>
        <v>0</v>
      </c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M36" s="1">
        <f>BOM!D36</f>
        <v>0</v>
      </c>
      <c r="AN36" s="1">
        <f>BOM!C36</f>
        <v>0</v>
      </c>
      <c r="AO36" s="1" t="str">
        <f>BOM!B36</f>
        <v>MB512123</v>
      </c>
    </row>
    <row r="37" spans="2:41">
      <c r="B37" s="205">
        <v>35</v>
      </c>
      <c r="C37" s="659">
        <f t="shared" si="0"/>
        <v>0</v>
      </c>
      <c r="D37" s="1" t="s">
        <v>883</v>
      </c>
      <c r="E37" s="259">
        <f>SUMIFS(Forging_Material!$R$1:$R$10000,Forging_Material!$D$1:$D$10000,Group!C37)</f>
        <v>0</v>
      </c>
      <c r="F37" s="259">
        <f>SUMIFS(Forging_Process!$H$1:$H$10000,Forging_Process!$B$1:$B$10000,Group!$C37,Forging_Process!$C$1:$C$10000,Group!F$2)</f>
        <v>0</v>
      </c>
      <c r="G37" s="259">
        <f>SUMIFS(Forging_Process!$H$1:$H$10000,Forging_Process!$B$1:$B$10000,Group!$C37,Forging_Process!$C$1:$C$10000,Group!G$2)</f>
        <v>0</v>
      </c>
      <c r="H37" s="259">
        <f>_xlfn.IFNA(SUMIFS(Forging_Process!$H$1:$H$10000,Forging_Process!$B$1:$B$10000,Group!$C37,Forging_Process!$C$1:$C$10000,Group!H$2),0)</f>
        <v>0</v>
      </c>
      <c r="I37" s="259">
        <f>SUMIFS(Forging_Material!$J$1:$J$10000,Forging_Material!$D$1:$D$10000,Group!C37)</f>
        <v>0</v>
      </c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M37" s="1">
        <f>BOM!D37</f>
        <v>0</v>
      </c>
      <c r="AN37" s="1">
        <f>BOM!C37</f>
        <v>0</v>
      </c>
      <c r="AO37" s="1" t="str">
        <f>BOM!B37</f>
        <v>MB512123</v>
      </c>
    </row>
    <row r="38" spans="2:41">
      <c r="B38" s="205">
        <v>36</v>
      </c>
      <c r="C38" s="659">
        <f t="shared" si="0"/>
        <v>0</v>
      </c>
      <c r="D38" s="1" t="s">
        <v>883</v>
      </c>
      <c r="E38" s="259">
        <f>SUMIFS(Forging_Material!$R$1:$R$10000,Forging_Material!$D$1:$D$10000,Group!C38)</f>
        <v>0</v>
      </c>
      <c r="F38" s="259">
        <f>SUMIFS(Forging_Process!$H$1:$H$10000,Forging_Process!$B$1:$B$10000,Group!$C38,Forging_Process!$C$1:$C$10000,Group!F$2)</f>
        <v>0</v>
      </c>
      <c r="G38" s="259">
        <f>SUMIFS(Forging_Process!$H$1:$H$10000,Forging_Process!$B$1:$B$10000,Group!$C38,Forging_Process!$C$1:$C$10000,Group!G$2)</f>
        <v>0</v>
      </c>
      <c r="H38" s="259">
        <f>_xlfn.IFNA(SUMIFS(Forging_Process!$H$1:$H$10000,Forging_Process!$B$1:$B$10000,Group!$C38,Forging_Process!$C$1:$C$10000,Group!H$2),0)</f>
        <v>0</v>
      </c>
      <c r="I38" s="259">
        <f>SUMIFS(Forging_Material!$J$1:$J$10000,Forging_Material!$D$1:$D$10000,Group!C38)</f>
        <v>0</v>
      </c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M38" s="1">
        <f>BOM!D38</f>
        <v>0</v>
      </c>
      <c r="AN38" s="1">
        <f>BOM!C38</f>
        <v>0</v>
      </c>
      <c r="AO38" s="1" t="str">
        <f>BOM!B38</f>
        <v>MB512123</v>
      </c>
    </row>
    <row r="39" spans="2:41">
      <c r="B39" s="205">
        <v>37</v>
      </c>
      <c r="C39" s="659">
        <f t="shared" si="0"/>
        <v>0</v>
      </c>
      <c r="D39" s="1" t="s">
        <v>883</v>
      </c>
      <c r="E39" s="259">
        <f>SUMIFS(Forging_Material!$R$1:$R$10000,Forging_Material!$D$1:$D$10000,Group!C39)</f>
        <v>0</v>
      </c>
      <c r="F39" s="259">
        <f>SUMIFS(Forging_Process!$H$1:$H$10000,Forging_Process!$B$1:$B$10000,Group!$C39,Forging_Process!$C$1:$C$10000,Group!F$2)</f>
        <v>0</v>
      </c>
      <c r="G39" s="259">
        <f>SUMIFS(Forging_Process!$H$1:$H$10000,Forging_Process!$B$1:$B$10000,Group!$C39,Forging_Process!$C$1:$C$10000,Group!G$2)</f>
        <v>0</v>
      </c>
      <c r="H39" s="259">
        <f>_xlfn.IFNA(SUMIFS(Forging_Process!$H$1:$H$10000,Forging_Process!$B$1:$B$10000,Group!$C39,Forging_Process!$C$1:$C$10000,Group!H$2),0)</f>
        <v>0</v>
      </c>
      <c r="I39" s="259">
        <f>SUMIFS(Forging_Material!$J$1:$J$10000,Forging_Material!$D$1:$D$10000,Group!C39)</f>
        <v>0</v>
      </c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M39" s="1">
        <f>BOM!D39</f>
        <v>0</v>
      </c>
      <c r="AN39" s="1">
        <f>BOM!C39</f>
        <v>0</v>
      </c>
      <c r="AO39" s="1" t="str">
        <f>BOM!B39</f>
        <v>MB512123</v>
      </c>
    </row>
    <row r="40" spans="2:41">
      <c r="B40" s="205">
        <v>38</v>
      </c>
      <c r="C40" s="659">
        <f t="shared" si="0"/>
        <v>0</v>
      </c>
      <c r="D40" s="1" t="s">
        <v>883</v>
      </c>
      <c r="E40" s="259">
        <f>SUMIFS(Forging_Material!$R$1:$R$10000,Forging_Material!$D$1:$D$10000,Group!C40)</f>
        <v>0</v>
      </c>
      <c r="F40" s="259">
        <f>SUMIFS(Forging_Process!$H$1:$H$10000,Forging_Process!$B$1:$B$10000,Group!$C40,Forging_Process!$C$1:$C$10000,Group!F$2)</f>
        <v>0</v>
      </c>
      <c r="G40" s="259">
        <f>SUMIFS(Forging_Process!$H$1:$H$10000,Forging_Process!$B$1:$B$10000,Group!$C40,Forging_Process!$C$1:$C$10000,Group!G$2)</f>
        <v>0</v>
      </c>
      <c r="H40" s="259">
        <f>_xlfn.IFNA(SUMIFS(Forging_Process!$H$1:$H$10000,Forging_Process!$B$1:$B$10000,Group!$C40,Forging_Process!$C$1:$C$10000,Group!H$2),0)</f>
        <v>0</v>
      </c>
      <c r="I40" s="259">
        <f>SUMIFS(Forging_Material!$J$1:$J$10000,Forging_Material!$D$1:$D$10000,Group!C40)</f>
        <v>0</v>
      </c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M40" s="1">
        <f>BOM!D40</f>
        <v>0</v>
      </c>
      <c r="AN40" s="1">
        <f>BOM!C40</f>
        <v>0</v>
      </c>
      <c r="AO40" s="1" t="str">
        <f>BOM!B40</f>
        <v>MB512123</v>
      </c>
    </row>
    <row r="41" spans="2:41">
      <c r="B41" s="205">
        <v>39</v>
      </c>
      <c r="C41" s="659">
        <f t="shared" si="0"/>
        <v>0</v>
      </c>
      <c r="D41" s="1" t="s">
        <v>883</v>
      </c>
      <c r="E41" s="259">
        <f>SUMIFS(Forging_Material!$R$1:$R$10000,Forging_Material!$D$1:$D$10000,Group!C41)</f>
        <v>0</v>
      </c>
      <c r="F41" s="259">
        <f>SUMIFS(Forging_Process!$H$1:$H$10000,Forging_Process!$B$1:$B$10000,Group!$C41,Forging_Process!$C$1:$C$10000,Group!F$2)</f>
        <v>0</v>
      </c>
      <c r="G41" s="259">
        <f>SUMIFS(Forging_Process!$H$1:$H$10000,Forging_Process!$B$1:$B$10000,Group!$C41,Forging_Process!$C$1:$C$10000,Group!G$2)</f>
        <v>0</v>
      </c>
      <c r="H41" s="259">
        <f>_xlfn.IFNA(SUMIFS(Forging_Process!$H$1:$H$10000,Forging_Process!$B$1:$B$10000,Group!$C41,Forging_Process!$C$1:$C$10000,Group!H$2),0)</f>
        <v>0</v>
      </c>
      <c r="I41" s="259">
        <f>SUMIFS(Forging_Material!$J$1:$J$10000,Forging_Material!$D$1:$D$10000,Group!C41)</f>
        <v>0</v>
      </c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M41" s="1">
        <f>BOM!D41</f>
        <v>0</v>
      </c>
      <c r="AN41" s="1">
        <f>BOM!C41</f>
        <v>0</v>
      </c>
      <c r="AO41" s="1" t="str">
        <f>BOM!B41</f>
        <v>MB512123</v>
      </c>
    </row>
    <row r="42" spans="2:41">
      <c r="B42" s="205">
        <v>40</v>
      </c>
      <c r="C42" s="659">
        <f t="shared" si="0"/>
        <v>0</v>
      </c>
      <c r="D42" s="1" t="s">
        <v>883</v>
      </c>
      <c r="E42" s="259">
        <f>SUMIFS(Forging_Material!$R$1:$R$10000,Forging_Material!$D$1:$D$10000,Group!C42)</f>
        <v>0</v>
      </c>
      <c r="F42" s="259">
        <f>SUMIFS(Forging_Process!$H$1:$H$10000,Forging_Process!$B$1:$B$10000,Group!$C42,Forging_Process!$C$1:$C$10000,Group!F$2)</f>
        <v>0</v>
      </c>
      <c r="G42" s="259">
        <f>SUMIFS(Forging_Process!$H$1:$H$10000,Forging_Process!$B$1:$B$10000,Group!$C42,Forging_Process!$C$1:$C$10000,Group!G$2)</f>
        <v>0</v>
      </c>
      <c r="H42" s="259">
        <f>_xlfn.IFNA(SUMIFS(Forging_Process!$H$1:$H$10000,Forging_Process!$B$1:$B$10000,Group!$C42,Forging_Process!$C$1:$C$10000,Group!H$2),0)</f>
        <v>0</v>
      </c>
      <c r="I42" s="259">
        <f>SUMIFS(Forging_Material!$J$1:$J$10000,Forging_Material!$D$1:$D$10000,Group!C42)</f>
        <v>0</v>
      </c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M42" s="1">
        <f>BOM!D42</f>
        <v>0</v>
      </c>
      <c r="AN42" s="1">
        <f>BOM!C42</f>
        <v>0</v>
      </c>
      <c r="AO42" s="1" t="str">
        <f>BOM!B42</f>
        <v>MB512123</v>
      </c>
    </row>
    <row r="43" spans="2:41">
      <c r="B43" s="205">
        <v>41</v>
      </c>
      <c r="C43" s="659">
        <f t="shared" si="0"/>
        <v>0</v>
      </c>
      <c r="D43" s="1" t="s">
        <v>883</v>
      </c>
      <c r="E43" s="259">
        <f>SUMIFS(Forging_Material!$R$1:$R$10000,Forging_Material!$D$1:$D$10000,Group!C43)</f>
        <v>0</v>
      </c>
      <c r="F43" s="259">
        <f>SUMIFS(Forging_Process!$H$1:$H$10000,Forging_Process!$B$1:$B$10000,Group!$C43,Forging_Process!$C$1:$C$10000,Group!F$2)</f>
        <v>0</v>
      </c>
      <c r="G43" s="259">
        <f>SUMIFS(Forging_Process!$H$1:$H$10000,Forging_Process!$B$1:$B$10000,Group!$C43,Forging_Process!$C$1:$C$10000,Group!G$2)</f>
        <v>0</v>
      </c>
      <c r="H43" s="259">
        <f>_xlfn.IFNA(SUMIFS(Forging_Process!$H$1:$H$10000,Forging_Process!$B$1:$B$10000,Group!$C43,Forging_Process!$C$1:$C$10000,Group!H$2),0)</f>
        <v>0</v>
      </c>
      <c r="I43" s="259">
        <f>SUMIFS(Forging_Material!$J$1:$J$10000,Forging_Material!$D$1:$D$10000,Group!C43)</f>
        <v>0</v>
      </c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M43" s="1">
        <f>BOM!D43</f>
        <v>0</v>
      </c>
      <c r="AN43" s="1">
        <f>BOM!C43</f>
        <v>0</v>
      </c>
      <c r="AO43" s="1" t="str">
        <f>BOM!B43</f>
        <v>MB512123</v>
      </c>
    </row>
    <row r="44" spans="2:41">
      <c r="B44" s="205">
        <v>42</v>
      </c>
      <c r="C44" s="659">
        <f t="shared" si="0"/>
        <v>0</v>
      </c>
      <c r="D44" s="1" t="s">
        <v>883</v>
      </c>
      <c r="E44" s="259">
        <f>SUMIFS(Forging_Material!$R$1:$R$10000,Forging_Material!$D$1:$D$10000,Group!C44)</f>
        <v>0</v>
      </c>
      <c r="F44" s="259">
        <f>SUMIFS(Forging_Process!$H$1:$H$10000,Forging_Process!$B$1:$B$10000,Group!$C44,Forging_Process!$C$1:$C$10000,Group!F$2)</f>
        <v>0</v>
      </c>
      <c r="G44" s="259">
        <f>SUMIFS(Forging_Process!$H$1:$H$10000,Forging_Process!$B$1:$B$10000,Group!$C44,Forging_Process!$C$1:$C$10000,Group!G$2)</f>
        <v>0</v>
      </c>
      <c r="H44" s="259">
        <f>_xlfn.IFNA(SUMIFS(Forging_Process!$H$1:$H$10000,Forging_Process!$B$1:$B$10000,Group!$C44,Forging_Process!$C$1:$C$10000,Group!H$2),0)</f>
        <v>0</v>
      </c>
      <c r="I44" s="259">
        <f>SUMIFS(Forging_Material!$J$1:$J$10000,Forging_Material!$D$1:$D$10000,Group!C44)</f>
        <v>0</v>
      </c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M44" s="1">
        <f>BOM!D44</f>
        <v>0</v>
      </c>
      <c r="AN44" s="1">
        <f>BOM!C44</f>
        <v>0</v>
      </c>
      <c r="AO44" s="1" t="str">
        <f>BOM!B44</f>
        <v>MB512123</v>
      </c>
    </row>
    <row r="45" spans="2:41">
      <c r="B45" s="205">
        <v>43</v>
      </c>
      <c r="C45" s="659">
        <f t="shared" si="0"/>
        <v>0</v>
      </c>
      <c r="D45" s="1" t="s">
        <v>883</v>
      </c>
      <c r="E45" s="259">
        <f>SUMIFS(Forging_Material!$R$1:$R$10000,Forging_Material!$D$1:$D$10000,Group!C45)</f>
        <v>0</v>
      </c>
      <c r="F45" s="259">
        <f>SUMIFS(Forging_Process!$H$1:$H$10000,Forging_Process!$B$1:$B$10000,Group!$C45,Forging_Process!$C$1:$C$10000,Group!F$2)</f>
        <v>0</v>
      </c>
      <c r="G45" s="259">
        <f>SUMIFS(Forging_Process!$H$1:$H$10000,Forging_Process!$B$1:$B$10000,Group!$C45,Forging_Process!$C$1:$C$10000,Group!G$2)</f>
        <v>0</v>
      </c>
      <c r="H45" s="259">
        <f>_xlfn.IFNA(SUMIFS(Forging_Process!$H$1:$H$10000,Forging_Process!$B$1:$B$10000,Group!$C45,Forging_Process!$C$1:$C$10000,Group!H$2),0)</f>
        <v>0</v>
      </c>
      <c r="I45" s="259">
        <f>SUMIFS(Forging_Material!$J$1:$J$10000,Forging_Material!$D$1:$D$10000,Group!C45)</f>
        <v>0</v>
      </c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M45" s="1">
        <f>BOM!D45</f>
        <v>0</v>
      </c>
      <c r="AN45" s="1">
        <f>BOM!C45</f>
        <v>0</v>
      </c>
      <c r="AO45" s="1" t="str">
        <f>BOM!B45</f>
        <v>MB512123</v>
      </c>
    </row>
    <row r="46" spans="2:41">
      <c r="B46" s="205">
        <v>44</v>
      </c>
      <c r="C46" s="659">
        <f t="shared" si="0"/>
        <v>0</v>
      </c>
      <c r="D46" s="1" t="s">
        <v>883</v>
      </c>
      <c r="E46" s="259">
        <f>SUMIFS(Forging_Material!$R$1:$R$10000,Forging_Material!$D$1:$D$10000,Group!C46)</f>
        <v>0</v>
      </c>
      <c r="F46" s="259">
        <f>SUMIFS(Forging_Process!$H$1:$H$10000,Forging_Process!$B$1:$B$10000,Group!$C46,Forging_Process!$C$1:$C$10000,Group!F$2)</f>
        <v>0</v>
      </c>
      <c r="G46" s="259">
        <f>SUMIFS(Forging_Process!$H$1:$H$10000,Forging_Process!$B$1:$B$10000,Group!$C46,Forging_Process!$C$1:$C$10000,Group!G$2)</f>
        <v>0</v>
      </c>
      <c r="H46" s="259">
        <f>_xlfn.IFNA(SUMIFS(Forging_Process!$H$1:$H$10000,Forging_Process!$B$1:$B$10000,Group!$C46,Forging_Process!$C$1:$C$10000,Group!H$2),0)</f>
        <v>0</v>
      </c>
      <c r="I46" s="259">
        <f>SUMIFS(Forging_Material!$J$1:$J$10000,Forging_Material!$D$1:$D$10000,Group!C46)</f>
        <v>0</v>
      </c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M46" s="1">
        <f>BOM!D46</f>
        <v>0</v>
      </c>
      <c r="AN46" s="1">
        <f>BOM!C46</f>
        <v>0</v>
      </c>
      <c r="AO46" s="1" t="str">
        <f>BOM!B46</f>
        <v>MB512123</v>
      </c>
    </row>
    <row r="47" spans="2:41">
      <c r="B47" s="205">
        <v>45</v>
      </c>
      <c r="C47" s="659">
        <f t="shared" si="0"/>
        <v>0</v>
      </c>
      <c r="D47" s="1" t="s">
        <v>883</v>
      </c>
      <c r="E47" s="259">
        <f>SUMIFS(Forging_Material!$R$1:$R$10000,Forging_Material!$D$1:$D$10000,Group!C47)</f>
        <v>0</v>
      </c>
      <c r="F47" s="259">
        <f>SUMIFS(Forging_Process!$H$1:$H$10000,Forging_Process!$B$1:$B$10000,Group!$C47,Forging_Process!$C$1:$C$10000,Group!F$2)</f>
        <v>0</v>
      </c>
      <c r="G47" s="259">
        <f>SUMIFS(Forging_Process!$H$1:$H$10000,Forging_Process!$B$1:$B$10000,Group!$C47,Forging_Process!$C$1:$C$10000,Group!G$2)</f>
        <v>0</v>
      </c>
      <c r="H47" s="259">
        <f>_xlfn.IFNA(SUMIFS(Forging_Process!$H$1:$H$10000,Forging_Process!$B$1:$B$10000,Group!$C47,Forging_Process!$C$1:$C$10000,Group!H$2),0)</f>
        <v>0</v>
      </c>
      <c r="I47" s="259">
        <f>SUMIFS(Forging_Material!$J$1:$J$10000,Forging_Material!$D$1:$D$10000,Group!C47)</f>
        <v>0</v>
      </c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M47" s="1">
        <f>BOM!D47</f>
        <v>0</v>
      </c>
      <c r="AN47" s="1">
        <f>BOM!C47</f>
        <v>0</v>
      </c>
      <c r="AO47" s="1" t="str">
        <f>BOM!B47</f>
        <v>MB512123</v>
      </c>
    </row>
    <row r="48" spans="2:41">
      <c r="B48" s="205">
        <v>46</v>
      </c>
      <c r="C48" s="659">
        <f t="shared" si="0"/>
        <v>0</v>
      </c>
      <c r="D48" s="1" t="s">
        <v>883</v>
      </c>
      <c r="E48" s="259">
        <f>SUMIFS(Forging_Material!$R$1:$R$10000,Forging_Material!$D$1:$D$10000,Group!C48)</f>
        <v>0</v>
      </c>
      <c r="F48" s="259">
        <f>SUMIFS(Forging_Process!$H$1:$H$10000,Forging_Process!$B$1:$B$10000,Group!$C48,Forging_Process!$C$1:$C$10000,Group!F$2)</f>
        <v>0</v>
      </c>
      <c r="G48" s="259">
        <f>SUMIFS(Forging_Process!$H$1:$H$10000,Forging_Process!$B$1:$B$10000,Group!$C48,Forging_Process!$C$1:$C$10000,Group!G$2)</f>
        <v>0</v>
      </c>
      <c r="H48" s="259">
        <f>_xlfn.IFNA(SUMIFS(Forging_Process!$H$1:$H$10000,Forging_Process!$B$1:$B$10000,Group!$C48,Forging_Process!$C$1:$C$10000,Group!H$2),0)</f>
        <v>0</v>
      </c>
      <c r="I48" s="259">
        <f>SUMIFS(Forging_Material!$J$1:$J$10000,Forging_Material!$D$1:$D$10000,Group!C48)</f>
        <v>0</v>
      </c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M48" s="1">
        <f>BOM!D48</f>
        <v>0</v>
      </c>
      <c r="AN48" s="1">
        <f>BOM!C48</f>
        <v>0</v>
      </c>
      <c r="AO48" s="1" t="str">
        <f>BOM!B48</f>
        <v>MB512123</v>
      </c>
    </row>
    <row r="49" spans="2:41">
      <c r="B49" s="205">
        <v>47</v>
      </c>
      <c r="C49" s="659">
        <f t="shared" si="0"/>
        <v>0</v>
      </c>
      <c r="D49" s="1" t="s">
        <v>883</v>
      </c>
      <c r="E49" s="259">
        <f>SUMIFS(Forging_Material!$R$1:$R$10000,Forging_Material!$D$1:$D$10000,Group!C49)</f>
        <v>0</v>
      </c>
      <c r="F49" s="259">
        <f>SUMIFS(Forging_Process!$H$1:$H$10000,Forging_Process!$B$1:$B$10000,Group!$C49,Forging_Process!$C$1:$C$10000,Group!F$2)</f>
        <v>0</v>
      </c>
      <c r="G49" s="259">
        <f>SUMIFS(Forging_Process!$H$1:$H$10000,Forging_Process!$B$1:$B$10000,Group!$C49,Forging_Process!$C$1:$C$10000,Group!G$2)</f>
        <v>0</v>
      </c>
      <c r="H49" s="259">
        <f>_xlfn.IFNA(SUMIFS(Forging_Process!$H$1:$H$10000,Forging_Process!$B$1:$B$10000,Group!$C49,Forging_Process!$C$1:$C$10000,Group!H$2),0)</f>
        <v>0</v>
      </c>
      <c r="I49" s="259">
        <f>SUMIFS(Forging_Material!$J$1:$J$10000,Forging_Material!$D$1:$D$10000,Group!C49)</f>
        <v>0</v>
      </c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M49" s="1">
        <f>BOM!D49</f>
        <v>0</v>
      </c>
      <c r="AN49" s="1">
        <f>BOM!C49</f>
        <v>0</v>
      </c>
      <c r="AO49" s="1" t="str">
        <f>BOM!B49</f>
        <v>MB512123</v>
      </c>
    </row>
    <row r="50" spans="2:41">
      <c r="B50" s="205">
        <v>48</v>
      </c>
      <c r="C50" s="659">
        <f t="shared" si="0"/>
        <v>0</v>
      </c>
      <c r="D50" s="1" t="s">
        <v>883</v>
      </c>
      <c r="E50" s="259">
        <f>SUMIFS(Forging_Material!$R$1:$R$10000,Forging_Material!$D$1:$D$10000,Group!C50)</f>
        <v>0</v>
      </c>
      <c r="F50" s="259">
        <f>SUMIFS(Forging_Process!$H$1:$H$10000,Forging_Process!$B$1:$B$10000,Group!$C50,Forging_Process!$C$1:$C$10000,Group!F$2)</f>
        <v>0</v>
      </c>
      <c r="G50" s="259">
        <f>SUMIFS(Forging_Process!$H$1:$H$10000,Forging_Process!$B$1:$B$10000,Group!$C50,Forging_Process!$C$1:$C$10000,Group!G$2)</f>
        <v>0</v>
      </c>
      <c r="H50" s="259">
        <f>_xlfn.IFNA(SUMIFS(Forging_Process!$H$1:$H$10000,Forging_Process!$B$1:$B$10000,Group!$C50,Forging_Process!$C$1:$C$10000,Group!H$2),0)</f>
        <v>0</v>
      </c>
      <c r="I50" s="259">
        <f>SUMIFS(Forging_Material!$J$1:$J$10000,Forging_Material!$D$1:$D$10000,Group!C50)</f>
        <v>0</v>
      </c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M50" s="1">
        <f>BOM!D50</f>
        <v>0</v>
      </c>
      <c r="AN50" s="1">
        <f>BOM!C50</f>
        <v>0</v>
      </c>
      <c r="AO50" s="1" t="str">
        <f>BOM!B50</f>
        <v>MB512123</v>
      </c>
    </row>
    <row r="51" spans="2:41">
      <c r="B51" s="205">
        <v>49</v>
      </c>
      <c r="C51" s="659">
        <f t="shared" si="0"/>
        <v>0</v>
      </c>
      <c r="D51" s="1" t="s">
        <v>883</v>
      </c>
      <c r="E51" s="259">
        <f>SUMIFS(Forging_Material!$R$1:$R$10000,Forging_Material!$D$1:$D$10000,Group!C51)</f>
        <v>0</v>
      </c>
      <c r="F51" s="259">
        <f>SUMIFS(Forging_Process!$H$1:$H$10000,Forging_Process!$B$1:$B$10000,Group!$C51,Forging_Process!$C$1:$C$10000,Group!F$2)</f>
        <v>0</v>
      </c>
      <c r="G51" s="259">
        <f>SUMIFS(Forging_Process!$H$1:$H$10000,Forging_Process!$B$1:$B$10000,Group!$C51,Forging_Process!$C$1:$C$10000,Group!G$2)</f>
        <v>0</v>
      </c>
      <c r="H51" s="259">
        <f>_xlfn.IFNA(SUMIFS(Forging_Process!$H$1:$H$10000,Forging_Process!$B$1:$B$10000,Group!$C51,Forging_Process!$C$1:$C$10000,Group!H$2),0)</f>
        <v>0</v>
      </c>
      <c r="I51" s="259">
        <f>SUMIFS(Forging_Material!$J$1:$J$10000,Forging_Material!$D$1:$D$10000,Group!C51)</f>
        <v>0</v>
      </c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M51" s="1">
        <f>BOM!D51</f>
        <v>0</v>
      </c>
      <c r="AN51" s="1">
        <f>BOM!C51</f>
        <v>0</v>
      </c>
      <c r="AO51" s="1" t="str">
        <f>BOM!B51</f>
        <v>MB512123</v>
      </c>
    </row>
    <row r="52" spans="2:41">
      <c r="B52" s="205">
        <v>50</v>
      </c>
      <c r="C52" s="659">
        <f t="shared" si="0"/>
        <v>0</v>
      </c>
      <c r="D52" s="1" t="s">
        <v>883</v>
      </c>
      <c r="E52" s="259">
        <f>SUMIFS(Forging_Material!$R$1:$R$10000,Forging_Material!$D$1:$D$10000,Group!C52)</f>
        <v>0</v>
      </c>
      <c r="F52" s="259">
        <f>SUMIFS(Forging_Process!$H$1:$H$10000,Forging_Process!$B$1:$B$10000,Group!$C52,Forging_Process!$C$1:$C$10000,Group!F$2)</f>
        <v>0</v>
      </c>
      <c r="G52" s="259">
        <f>SUMIFS(Forging_Process!$H$1:$H$10000,Forging_Process!$B$1:$B$10000,Group!$C52,Forging_Process!$C$1:$C$10000,Group!G$2)</f>
        <v>0</v>
      </c>
      <c r="H52" s="259">
        <f>_xlfn.IFNA(SUMIFS(Forging_Process!$H$1:$H$10000,Forging_Process!$B$1:$B$10000,Group!$C52,Forging_Process!$C$1:$C$10000,Group!H$2),0)</f>
        <v>0</v>
      </c>
      <c r="I52" s="259">
        <f>SUMIFS(Forging_Material!$J$1:$J$10000,Forging_Material!$D$1:$D$10000,Group!C52)</f>
        <v>0</v>
      </c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M52" s="1">
        <f>BOM!D52</f>
        <v>0</v>
      </c>
      <c r="AN52" s="1">
        <f>BOM!C52</f>
        <v>0</v>
      </c>
      <c r="AO52" s="1" t="str">
        <f>BOM!B52</f>
        <v>MB512123</v>
      </c>
    </row>
    <row r="53" spans="2:41">
      <c r="B53" s="205">
        <v>51</v>
      </c>
      <c r="C53" s="659">
        <f>P2</f>
        <v>0</v>
      </c>
      <c r="D53" s="1" t="s">
        <v>318</v>
      </c>
      <c r="E53" s="259">
        <f>SUMIFS(BM_Material!$AE$1:$AE$10000,BM_Material!$D$1:$D$10000,Group!C53)</f>
        <v>0</v>
      </c>
      <c r="F53" s="259">
        <f>SUMIFS(BM_Process!$H$1:$H$9999,BM_Process!$B$1:$B$9999,Group!$C53,BM_Process!$C$1:$C$9999,Group!F$2)</f>
        <v>0</v>
      </c>
      <c r="G53" s="259">
        <f>SUMIFS(BM_Process!$H$1:$H$9999,BM_Process!$B$1:$B$9999,Group!$C53,BM_Process!$C$1:$C$9999,Group!G$2)</f>
        <v>0</v>
      </c>
      <c r="H53" s="259">
        <f>SUMIFS(BM_Process!$H$1:$H$9999,BM_Process!$B$1:$B$9999,Group!$C53,BM_Process!$C$1:$C$9999,Group!H$2)</f>
        <v>0</v>
      </c>
      <c r="I53" s="259">
        <f>SUMIFS(BM_Material!$W$1:$W$10000,BM_Material!$D$1:$D$10000,Group!C53)</f>
        <v>0</v>
      </c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M53" s="1">
        <f>BOM!D53</f>
        <v>0</v>
      </c>
      <c r="AN53" s="1">
        <f>BOM!C53</f>
        <v>0</v>
      </c>
      <c r="AO53" s="1">
        <f>BOM!B53</f>
        <v>0</v>
      </c>
    </row>
    <row r="54" spans="2:41">
      <c r="B54" s="205">
        <v>52</v>
      </c>
      <c r="C54" s="659">
        <f t="shared" ref="C54:C102" si="1">P3</f>
        <v>0</v>
      </c>
      <c r="D54" s="1" t="s">
        <v>318</v>
      </c>
      <c r="E54" s="259">
        <f>SUMIFS(BM_Material!$AE$1:$AE$10000,BM_Material!$D$1:$D$10000,Group!C54)</f>
        <v>0</v>
      </c>
      <c r="F54" s="259">
        <f>SUMIFS(BM_Process!$H$1:$H$9999,BM_Process!$B$1:$B$9999,Group!$C54,BM_Process!$C$1:$C$9999,Group!F$2)</f>
        <v>0</v>
      </c>
      <c r="G54" s="259">
        <f>SUMIFS(BM_Process!$H$1:$H$9999,BM_Process!$B$1:$B$9999,Group!$C54,BM_Process!$C$1:$C$9999,Group!G$2)</f>
        <v>0</v>
      </c>
      <c r="H54" s="259">
        <f>SUMIFS(BM_Process!$H$1:$H$9999,BM_Process!$B$1:$B$9999,Group!$C54,BM_Process!$C$1:$C$9999,Group!H$2)</f>
        <v>0</v>
      </c>
      <c r="I54" s="259">
        <f>SUMIFS(BM_Material!$W$1:$W$10000,BM_Material!$D$1:$D$10000,Group!C54)</f>
        <v>0</v>
      </c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M54" s="1">
        <f>BOM!D54</f>
        <v>0</v>
      </c>
      <c r="AN54" s="1">
        <f>BOM!C54</f>
        <v>0</v>
      </c>
      <c r="AO54" s="1">
        <f>BOM!B54</f>
        <v>0</v>
      </c>
    </row>
    <row r="55" spans="2:41">
      <c r="B55" s="205">
        <v>53</v>
      </c>
      <c r="C55" s="659">
        <f t="shared" si="1"/>
        <v>0</v>
      </c>
      <c r="D55" s="1" t="s">
        <v>318</v>
      </c>
      <c r="E55" s="259">
        <f>SUMIFS(BM_Material!$AE$1:$AE$10000,BM_Material!$D$1:$D$10000,Group!C55)</f>
        <v>0</v>
      </c>
      <c r="F55" s="259">
        <f>SUMIFS(BM_Process!$H$1:$H$9999,BM_Process!$B$1:$B$9999,Group!$C55,BM_Process!$C$1:$C$9999,Group!F$2)</f>
        <v>0</v>
      </c>
      <c r="G55" s="259">
        <f>SUMIFS(BM_Process!$H$1:$H$9999,BM_Process!$B$1:$B$9999,Group!$C55,BM_Process!$C$1:$C$9999,Group!G$2)</f>
        <v>0</v>
      </c>
      <c r="H55" s="259">
        <f>SUMIFS(BM_Process!$H$1:$H$9999,BM_Process!$B$1:$B$9999,Group!$C55,BM_Process!$C$1:$C$9999,Group!H$2)</f>
        <v>0</v>
      </c>
      <c r="I55" s="259">
        <f>SUMIFS(BM_Material!$W$1:$W$10000,BM_Material!$D$1:$D$10000,Group!C55)</f>
        <v>0</v>
      </c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M55" s="1">
        <f>BOM!D55</f>
        <v>0</v>
      </c>
      <c r="AN55" s="1">
        <f>BOM!C55</f>
        <v>0</v>
      </c>
      <c r="AO55" s="1">
        <f>BOM!B55</f>
        <v>0</v>
      </c>
    </row>
    <row r="56" spans="2:41">
      <c r="B56" s="205">
        <v>54</v>
      </c>
      <c r="C56" s="659">
        <f t="shared" si="1"/>
        <v>0</v>
      </c>
      <c r="D56" s="1" t="s">
        <v>318</v>
      </c>
      <c r="E56" s="259">
        <f>SUMIFS(BM_Material!$AE$1:$AE$10000,BM_Material!$D$1:$D$10000,Group!C56)</f>
        <v>0</v>
      </c>
      <c r="F56" s="259">
        <f>SUMIFS(BM_Process!$H$1:$H$9999,BM_Process!$B$1:$B$9999,Group!$C56,BM_Process!$C$1:$C$9999,Group!F$2)</f>
        <v>0</v>
      </c>
      <c r="G56" s="259">
        <f>SUMIFS(BM_Process!$H$1:$H$9999,BM_Process!$B$1:$B$9999,Group!$C56,BM_Process!$C$1:$C$9999,Group!G$2)</f>
        <v>0</v>
      </c>
      <c r="H56" s="259">
        <f>SUMIFS(BM_Process!$H$1:$H$9999,BM_Process!$B$1:$B$9999,Group!$C56,BM_Process!$C$1:$C$9999,Group!H$2)</f>
        <v>0</v>
      </c>
      <c r="I56" s="259">
        <f>SUMIFS(BM_Material!$W$1:$W$10000,BM_Material!$D$1:$D$10000,Group!C56)</f>
        <v>0</v>
      </c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M56" s="1">
        <f>BOM!D56</f>
        <v>0</v>
      </c>
      <c r="AN56" s="1">
        <f>BOM!C56</f>
        <v>0</v>
      </c>
      <c r="AO56" s="1">
        <f>BOM!B56</f>
        <v>0</v>
      </c>
    </row>
    <row r="57" spans="2:41">
      <c r="B57" s="205">
        <v>55</v>
      </c>
      <c r="C57" s="659">
        <f t="shared" si="1"/>
        <v>0</v>
      </c>
      <c r="D57" s="1" t="s">
        <v>318</v>
      </c>
      <c r="E57" s="259">
        <f>SUMIFS(BM_Material!$AE$1:$AE$10000,BM_Material!$D$1:$D$10000,Group!C57)</f>
        <v>0</v>
      </c>
      <c r="F57" s="259">
        <f>SUMIFS(BM_Process!$H$1:$H$9999,BM_Process!$B$1:$B$9999,Group!$C57,BM_Process!$C$1:$C$9999,Group!F$2)</f>
        <v>0</v>
      </c>
      <c r="G57" s="259">
        <f>SUMIFS(BM_Process!$H$1:$H$9999,BM_Process!$B$1:$B$9999,Group!$C57,BM_Process!$C$1:$C$9999,Group!G$2)</f>
        <v>0</v>
      </c>
      <c r="H57" s="259">
        <f>SUMIFS(BM_Process!$H$1:$H$9999,BM_Process!$B$1:$B$9999,Group!$C57,BM_Process!$C$1:$C$9999,Group!H$2)</f>
        <v>0</v>
      </c>
      <c r="I57" s="259">
        <f>SUMIFS(BM_Material!$W$1:$W$10000,BM_Material!$D$1:$D$10000,Group!C57)</f>
        <v>0</v>
      </c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M57" s="1">
        <f>BOM!D57</f>
        <v>0</v>
      </c>
      <c r="AN57" s="1">
        <f>BOM!C57</f>
        <v>0</v>
      </c>
      <c r="AO57" s="1">
        <f>BOM!B57</f>
        <v>0</v>
      </c>
    </row>
    <row r="58" spans="2:41">
      <c r="B58" s="205">
        <v>56</v>
      </c>
      <c r="C58" s="659">
        <f t="shared" si="1"/>
        <v>0</v>
      </c>
      <c r="D58" s="1" t="s">
        <v>318</v>
      </c>
      <c r="E58" s="259">
        <f>SUMIFS(BM_Material!$AE$1:$AE$10000,BM_Material!$D$1:$D$10000,Group!C58)</f>
        <v>0</v>
      </c>
      <c r="F58" s="259">
        <f>SUMIFS(BM_Process!$H$1:$H$9999,BM_Process!$B$1:$B$9999,Group!$C58,BM_Process!$C$1:$C$9999,Group!F$2)</f>
        <v>0</v>
      </c>
      <c r="G58" s="259">
        <f>SUMIFS(BM_Process!$H$1:$H$9999,BM_Process!$B$1:$B$9999,Group!$C58,BM_Process!$C$1:$C$9999,Group!G$2)</f>
        <v>0</v>
      </c>
      <c r="H58" s="259">
        <f>SUMIFS(BM_Process!$H$1:$H$9999,BM_Process!$B$1:$B$9999,Group!$C58,BM_Process!$C$1:$C$9999,Group!H$2)</f>
        <v>0</v>
      </c>
      <c r="I58" s="259">
        <f>SUMIFS(BM_Material!$W$1:$W$10000,BM_Material!$D$1:$D$10000,Group!C58)</f>
        <v>0</v>
      </c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M58" s="1">
        <f>BOM!D58</f>
        <v>0</v>
      </c>
      <c r="AN58" s="1">
        <f>BOM!C58</f>
        <v>0</v>
      </c>
      <c r="AO58" s="1">
        <f>BOM!B58</f>
        <v>0</v>
      </c>
    </row>
    <row r="59" spans="2:41">
      <c r="B59" s="205">
        <v>57</v>
      </c>
      <c r="C59" s="659">
        <f t="shared" si="1"/>
        <v>0</v>
      </c>
      <c r="D59" s="1" t="s">
        <v>318</v>
      </c>
      <c r="E59" s="259">
        <f>SUMIFS(BM_Material!$AE$1:$AE$10000,BM_Material!$D$1:$D$10000,Group!C59)</f>
        <v>0</v>
      </c>
      <c r="F59" s="259">
        <f>SUMIFS(BM_Process!$H$1:$H$9999,BM_Process!$B$1:$B$9999,Group!$C59,BM_Process!$C$1:$C$9999,Group!F$2)</f>
        <v>0</v>
      </c>
      <c r="G59" s="259">
        <f>SUMIFS(BM_Process!$H$1:$H$9999,BM_Process!$B$1:$B$9999,Group!$C59,BM_Process!$C$1:$C$9999,Group!G$2)</f>
        <v>0</v>
      </c>
      <c r="H59" s="259">
        <f>SUMIFS(BM_Process!$H$1:$H$9999,BM_Process!$B$1:$B$9999,Group!$C59,BM_Process!$C$1:$C$9999,Group!H$2)</f>
        <v>0</v>
      </c>
      <c r="I59" s="259">
        <f>SUMIFS(BM_Material!$W$1:$W$10000,BM_Material!$D$1:$D$10000,Group!C59)</f>
        <v>0</v>
      </c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M59" s="1">
        <f>BOM!D59</f>
        <v>0</v>
      </c>
      <c r="AN59" s="1">
        <f>BOM!C59</f>
        <v>0</v>
      </c>
      <c r="AO59" s="1">
        <f>BOM!B59</f>
        <v>0</v>
      </c>
    </row>
    <row r="60" spans="2:41">
      <c r="B60" s="205">
        <v>58</v>
      </c>
      <c r="C60" s="659">
        <f t="shared" si="1"/>
        <v>0</v>
      </c>
      <c r="D60" s="1" t="s">
        <v>318</v>
      </c>
      <c r="E60" s="259">
        <f>SUMIFS(BM_Material!$AE$1:$AE$10000,BM_Material!$D$1:$D$10000,Group!C60)</f>
        <v>0</v>
      </c>
      <c r="F60" s="259">
        <f>SUMIFS(BM_Process!$H$1:$H$9999,BM_Process!$B$1:$B$9999,Group!$C60,BM_Process!$C$1:$C$9999,Group!F$2)</f>
        <v>0</v>
      </c>
      <c r="G60" s="259">
        <f>SUMIFS(BM_Process!$H$1:$H$9999,BM_Process!$B$1:$B$9999,Group!$C60,BM_Process!$C$1:$C$9999,Group!G$2)</f>
        <v>0</v>
      </c>
      <c r="H60" s="259">
        <f>SUMIFS(BM_Process!$H$1:$H$9999,BM_Process!$B$1:$B$9999,Group!$C60,BM_Process!$C$1:$C$9999,Group!H$2)</f>
        <v>0</v>
      </c>
      <c r="I60" s="259">
        <f>SUMIFS(BM_Material!$W$1:$W$10000,BM_Material!$D$1:$D$10000,Group!C60)</f>
        <v>0</v>
      </c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M60" s="1">
        <f>BOM!D60</f>
        <v>0</v>
      </c>
      <c r="AN60" s="1">
        <f>BOM!C60</f>
        <v>0</v>
      </c>
      <c r="AO60" s="1">
        <f>BOM!B60</f>
        <v>0</v>
      </c>
    </row>
    <row r="61" spans="2:41">
      <c r="B61" s="205">
        <v>59</v>
      </c>
      <c r="C61" s="659">
        <f t="shared" si="1"/>
        <v>0</v>
      </c>
      <c r="D61" s="1" t="s">
        <v>318</v>
      </c>
      <c r="E61" s="259">
        <f>SUMIFS(BM_Material!$AE$1:$AE$10000,BM_Material!$D$1:$D$10000,Group!C61)</f>
        <v>0</v>
      </c>
      <c r="F61" s="259">
        <f>SUMIFS(BM_Process!$H$1:$H$9999,BM_Process!$B$1:$B$9999,Group!$C61,BM_Process!$C$1:$C$9999,Group!F$2)</f>
        <v>0</v>
      </c>
      <c r="G61" s="259">
        <f>SUMIFS(BM_Process!$H$1:$H$9999,BM_Process!$B$1:$B$9999,Group!$C61,BM_Process!$C$1:$C$9999,Group!G$2)</f>
        <v>0</v>
      </c>
      <c r="H61" s="259">
        <f>SUMIFS(BM_Process!$H$1:$H$9999,BM_Process!$B$1:$B$9999,Group!$C61,BM_Process!$C$1:$C$9999,Group!H$2)</f>
        <v>0</v>
      </c>
      <c r="I61" s="259">
        <f>SUMIFS(BM_Material!$W$1:$W$10000,BM_Material!$D$1:$D$10000,Group!C61)</f>
        <v>0</v>
      </c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M61" s="1">
        <f>BOM!D61</f>
        <v>0</v>
      </c>
      <c r="AN61" s="1">
        <f>BOM!C61</f>
        <v>0</v>
      </c>
      <c r="AO61" s="1">
        <f>BOM!B61</f>
        <v>0</v>
      </c>
    </row>
    <row r="62" spans="2:41">
      <c r="B62" s="205">
        <v>60</v>
      </c>
      <c r="C62" s="659">
        <f t="shared" si="1"/>
        <v>0</v>
      </c>
      <c r="D62" s="1" t="s">
        <v>318</v>
      </c>
      <c r="E62" s="259">
        <f>SUMIFS(BM_Material!$AE$1:$AE$10000,BM_Material!$D$1:$D$10000,Group!C62)</f>
        <v>0</v>
      </c>
      <c r="F62" s="259">
        <f>SUMIFS(BM_Process!$H$1:$H$9999,BM_Process!$B$1:$B$9999,Group!$C62,BM_Process!$C$1:$C$9999,Group!F$2)</f>
        <v>0</v>
      </c>
      <c r="G62" s="259">
        <f>SUMIFS(BM_Process!$H$1:$H$9999,BM_Process!$B$1:$B$9999,Group!$C62,BM_Process!$C$1:$C$9999,Group!G$2)</f>
        <v>0</v>
      </c>
      <c r="H62" s="259">
        <f>SUMIFS(BM_Process!$H$1:$H$9999,BM_Process!$B$1:$B$9999,Group!$C62,BM_Process!$C$1:$C$9999,Group!H$2)</f>
        <v>0</v>
      </c>
      <c r="I62" s="259">
        <f>SUMIFS(BM_Material!$W$1:$W$10000,BM_Material!$D$1:$D$10000,Group!C62)</f>
        <v>0</v>
      </c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M62" s="1">
        <f>BOM!D62</f>
        <v>0</v>
      </c>
      <c r="AN62" s="1">
        <f>BOM!C62</f>
        <v>0</v>
      </c>
      <c r="AO62" s="1">
        <f>BOM!B62</f>
        <v>0</v>
      </c>
    </row>
    <row r="63" spans="2:41">
      <c r="B63" s="205">
        <v>61</v>
      </c>
      <c r="C63" s="659">
        <f t="shared" si="1"/>
        <v>0</v>
      </c>
      <c r="D63" s="1" t="s">
        <v>318</v>
      </c>
      <c r="E63" s="259">
        <f>SUMIFS(BM_Material!$AE$1:$AE$10000,BM_Material!$D$1:$D$10000,Group!C63)</f>
        <v>0</v>
      </c>
      <c r="F63" s="259">
        <f>SUMIFS(BM_Process!$H$1:$H$9999,BM_Process!$B$1:$B$9999,Group!$C63,BM_Process!$C$1:$C$9999,Group!F$2)</f>
        <v>0</v>
      </c>
      <c r="G63" s="259">
        <f>SUMIFS(BM_Process!$H$1:$H$9999,BM_Process!$B$1:$B$9999,Group!$C63,BM_Process!$C$1:$C$9999,Group!G$2)</f>
        <v>0</v>
      </c>
      <c r="H63" s="259">
        <f>SUMIFS(BM_Process!$H$1:$H$9999,BM_Process!$B$1:$B$9999,Group!$C63,BM_Process!$C$1:$C$9999,Group!H$2)</f>
        <v>0</v>
      </c>
      <c r="I63" s="259">
        <f>SUMIFS(BM_Material!$W$1:$W$10000,BM_Material!$D$1:$D$10000,Group!C63)</f>
        <v>0</v>
      </c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M63" s="1">
        <f>BOM!D63</f>
        <v>0</v>
      </c>
      <c r="AN63" s="1">
        <f>BOM!C63</f>
        <v>0</v>
      </c>
      <c r="AO63" s="1">
        <f>BOM!B63</f>
        <v>0</v>
      </c>
    </row>
    <row r="64" spans="2:41">
      <c r="B64" s="205">
        <v>62</v>
      </c>
      <c r="C64" s="659">
        <f t="shared" si="1"/>
        <v>0</v>
      </c>
      <c r="D64" s="1" t="s">
        <v>318</v>
      </c>
      <c r="E64" s="259">
        <f>SUMIFS(BM_Material!$AE$1:$AE$10000,BM_Material!$D$1:$D$10000,Group!C64)</f>
        <v>0</v>
      </c>
      <c r="F64" s="259">
        <f>SUMIFS(BM_Process!$H$1:$H$9999,BM_Process!$B$1:$B$9999,Group!$C64,BM_Process!$C$1:$C$9999,Group!F$2)</f>
        <v>0</v>
      </c>
      <c r="G64" s="259">
        <f>SUMIFS(BM_Process!$H$1:$H$9999,BM_Process!$B$1:$B$9999,Group!$C64,BM_Process!$C$1:$C$9999,Group!G$2)</f>
        <v>0</v>
      </c>
      <c r="H64" s="259">
        <f>SUMIFS(BM_Process!$H$1:$H$9999,BM_Process!$B$1:$B$9999,Group!$C64,BM_Process!$C$1:$C$9999,Group!H$2)</f>
        <v>0</v>
      </c>
      <c r="I64" s="259">
        <f>SUMIFS(BM_Material!$W$1:$W$10000,BM_Material!$D$1:$D$10000,Group!C64)</f>
        <v>0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M64" s="1">
        <f>BOM!D64</f>
        <v>0</v>
      </c>
      <c r="AN64" s="1">
        <f>BOM!C64</f>
        <v>0</v>
      </c>
      <c r="AO64" s="1">
        <f>BOM!B64</f>
        <v>0</v>
      </c>
    </row>
    <row r="65" spans="2:41">
      <c r="B65" s="205">
        <v>63</v>
      </c>
      <c r="C65" s="659">
        <f t="shared" si="1"/>
        <v>0</v>
      </c>
      <c r="D65" s="1" t="s">
        <v>318</v>
      </c>
      <c r="E65" s="259">
        <f>SUMIFS(BM_Material!$AE$1:$AE$10000,BM_Material!$D$1:$D$10000,Group!C65)</f>
        <v>0</v>
      </c>
      <c r="F65" s="259">
        <f>SUMIFS(BM_Process!$H$1:$H$9999,BM_Process!$B$1:$B$9999,Group!$C65,BM_Process!$C$1:$C$9999,Group!F$2)</f>
        <v>0</v>
      </c>
      <c r="G65" s="259">
        <f>SUMIFS(BM_Process!$H$1:$H$9999,BM_Process!$B$1:$B$9999,Group!$C65,BM_Process!$C$1:$C$9999,Group!G$2)</f>
        <v>0</v>
      </c>
      <c r="H65" s="259">
        <f>SUMIFS(BM_Process!$H$1:$H$9999,BM_Process!$B$1:$B$9999,Group!$C65,BM_Process!$C$1:$C$9999,Group!H$2)</f>
        <v>0</v>
      </c>
      <c r="I65" s="259">
        <f>SUMIFS(BM_Material!$W$1:$W$10000,BM_Material!$D$1:$D$10000,Group!C65)</f>
        <v>0</v>
      </c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M65" s="1">
        <f>BOM!D65</f>
        <v>0</v>
      </c>
      <c r="AN65" s="1">
        <f>BOM!C65</f>
        <v>0</v>
      </c>
      <c r="AO65" s="1">
        <f>BOM!B65</f>
        <v>0</v>
      </c>
    </row>
    <row r="66" spans="2:41">
      <c r="B66" s="205">
        <v>64</v>
      </c>
      <c r="C66" s="659">
        <f t="shared" si="1"/>
        <v>0</v>
      </c>
      <c r="D66" s="1" t="s">
        <v>318</v>
      </c>
      <c r="E66" s="259">
        <f>SUMIFS(BM_Material!$AE$1:$AE$10000,BM_Material!$D$1:$D$10000,Group!C66)</f>
        <v>0</v>
      </c>
      <c r="F66" s="259">
        <f>SUMIFS(BM_Process!$H$1:$H$9999,BM_Process!$B$1:$B$9999,Group!$C66,BM_Process!$C$1:$C$9999,Group!F$2)</f>
        <v>0</v>
      </c>
      <c r="G66" s="259">
        <f>SUMIFS(BM_Process!$H$1:$H$9999,BM_Process!$B$1:$B$9999,Group!$C66,BM_Process!$C$1:$C$9999,Group!G$2)</f>
        <v>0</v>
      </c>
      <c r="H66" s="259">
        <f>SUMIFS(BM_Process!$H$1:$H$9999,BM_Process!$B$1:$B$9999,Group!$C66,BM_Process!$C$1:$C$9999,Group!H$2)</f>
        <v>0</v>
      </c>
      <c r="I66" s="259">
        <f>SUMIFS(BM_Material!$W$1:$W$10000,BM_Material!$D$1:$D$10000,Group!C66)</f>
        <v>0</v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M66" s="1">
        <f>BOM!D66</f>
        <v>0</v>
      </c>
      <c r="AN66" s="1">
        <f>BOM!C66</f>
        <v>0</v>
      </c>
      <c r="AO66" s="1">
        <f>BOM!B66</f>
        <v>0</v>
      </c>
    </row>
    <row r="67" spans="2:41">
      <c r="B67" s="205">
        <v>65</v>
      </c>
      <c r="C67" s="659">
        <f t="shared" si="1"/>
        <v>0</v>
      </c>
      <c r="D67" s="1" t="s">
        <v>318</v>
      </c>
      <c r="E67" s="259">
        <f>SUMIFS(BM_Material!$AE$1:$AE$10000,BM_Material!$D$1:$D$10000,Group!C67)</f>
        <v>0</v>
      </c>
      <c r="F67" s="259">
        <f>SUMIFS(BM_Process!$H$1:$H$9999,BM_Process!$B$1:$B$9999,Group!$C67,BM_Process!$C$1:$C$9999,Group!F$2)</f>
        <v>0</v>
      </c>
      <c r="G67" s="259">
        <f>SUMIFS(BM_Process!$H$1:$H$9999,BM_Process!$B$1:$B$9999,Group!$C67,BM_Process!$C$1:$C$9999,Group!G$2)</f>
        <v>0</v>
      </c>
      <c r="H67" s="259">
        <f>SUMIFS(BM_Process!$H$1:$H$9999,BM_Process!$B$1:$B$9999,Group!$C67,BM_Process!$C$1:$C$9999,Group!H$2)</f>
        <v>0</v>
      </c>
      <c r="I67" s="259">
        <f>SUMIFS(BM_Material!$W$1:$W$10000,BM_Material!$D$1:$D$10000,Group!C67)</f>
        <v>0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M67" s="1">
        <f>BOM!D67</f>
        <v>0</v>
      </c>
      <c r="AN67" s="1">
        <f>BOM!C67</f>
        <v>0</v>
      </c>
      <c r="AO67" s="1">
        <f>BOM!B67</f>
        <v>0</v>
      </c>
    </row>
    <row r="68" spans="2:41">
      <c r="B68" s="205">
        <v>66</v>
      </c>
      <c r="C68" s="659">
        <f t="shared" si="1"/>
        <v>0</v>
      </c>
      <c r="D68" s="1" t="s">
        <v>318</v>
      </c>
      <c r="E68" s="259">
        <f>SUMIFS(BM_Material!$AE$1:$AE$10000,BM_Material!$D$1:$D$10000,Group!C68)</f>
        <v>0</v>
      </c>
      <c r="F68" s="259">
        <f>SUMIFS(BM_Process!$H$1:$H$9999,BM_Process!$B$1:$B$9999,Group!$C68,BM_Process!$C$1:$C$9999,Group!F$2)</f>
        <v>0</v>
      </c>
      <c r="G68" s="259">
        <f>SUMIFS(BM_Process!$H$1:$H$9999,BM_Process!$B$1:$B$9999,Group!$C68,BM_Process!$C$1:$C$9999,Group!G$2)</f>
        <v>0</v>
      </c>
      <c r="H68" s="259">
        <f>SUMIFS(BM_Process!$H$1:$H$9999,BM_Process!$B$1:$B$9999,Group!$C68,BM_Process!$C$1:$C$9999,Group!H$2)</f>
        <v>0</v>
      </c>
      <c r="I68" s="259">
        <f>SUMIFS(BM_Material!$W$1:$W$10000,BM_Material!$D$1:$D$10000,Group!C68)</f>
        <v>0</v>
      </c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M68" s="1">
        <f>BOM!D68</f>
        <v>0</v>
      </c>
      <c r="AN68" s="1">
        <f>BOM!C68</f>
        <v>0</v>
      </c>
      <c r="AO68" s="1">
        <f>BOM!B68</f>
        <v>0</v>
      </c>
    </row>
    <row r="69" spans="2:41">
      <c r="B69" s="205">
        <v>67</v>
      </c>
      <c r="C69" s="659">
        <f t="shared" si="1"/>
        <v>0</v>
      </c>
      <c r="D69" s="1" t="s">
        <v>318</v>
      </c>
      <c r="E69" s="259">
        <f>SUMIFS(BM_Material!$AE$1:$AE$10000,BM_Material!$D$1:$D$10000,Group!C69)</f>
        <v>0</v>
      </c>
      <c r="F69" s="259">
        <f>SUMIFS(BM_Process!$H$1:$H$9999,BM_Process!$B$1:$B$9999,Group!$C69,BM_Process!$C$1:$C$9999,Group!F$2)</f>
        <v>0</v>
      </c>
      <c r="G69" s="259">
        <f>SUMIFS(BM_Process!$H$1:$H$9999,BM_Process!$B$1:$B$9999,Group!$C69,BM_Process!$C$1:$C$9999,Group!G$2)</f>
        <v>0</v>
      </c>
      <c r="H69" s="259">
        <f>SUMIFS(BM_Process!$H$1:$H$9999,BM_Process!$B$1:$B$9999,Group!$C69,BM_Process!$C$1:$C$9999,Group!H$2)</f>
        <v>0</v>
      </c>
      <c r="I69" s="259">
        <f>SUMIFS(BM_Material!$W$1:$W$10000,BM_Material!$D$1:$D$10000,Group!C69)</f>
        <v>0</v>
      </c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M69" s="1">
        <f>BOM!D69</f>
        <v>0</v>
      </c>
      <c r="AN69" s="1">
        <f>BOM!C69</f>
        <v>0</v>
      </c>
      <c r="AO69" s="1">
        <f>BOM!B69</f>
        <v>0</v>
      </c>
    </row>
    <row r="70" spans="2:41">
      <c r="B70" s="205">
        <v>68</v>
      </c>
      <c r="C70" s="659">
        <f t="shared" si="1"/>
        <v>0</v>
      </c>
      <c r="D70" s="1" t="s">
        <v>318</v>
      </c>
      <c r="E70" s="259">
        <f>SUMIFS(BM_Material!$AE$1:$AE$10000,BM_Material!$D$1:$D$10000,Group!C70)</f>
        <v>0</v>
      </c>
      <c r="F70" s="259">
        <f>SUMIFS(BM_Process!$H$1:$H$9999,BM_Process!$B$1:$B$9999,Group!$C70,BM_Process!$C$1:$C$9999,Group!F$2)</f>
        <v>0</v>
      </c>
      <c r="G70" s="259">
        <f>SUMIFS(BM_Process!$H$1:$H$9999,BM_Process!$B$1:$B$9999,Group!$C70,BM_Process!$C$1:$C$9999,Group!G$2)</f>
        <v>0</v>
      </c>
      <c r="H70" s="259">
        <f>SUMIFS(BM_Process!$H$1:$H$9999,BM_Process!$B$1:$B$9999,Group!$C70,BM_Process!$C$1:$C$9999,Group!H$2)</f>
        <v>0</v>
      </c>
      <c r="I70" s="259">
        <f>SUMIFS(BM_Material!$W$1:$W$10000,BM_Material!$D$1:$D$10000,Group!C70)</f>
        <v>0</v>
      </c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M70" s="1">
        <f>BOM!D70</f>
        <v>0</v>
      </c>
      <c r="AN70" s="1">
        <f>BOM!C70</f>
        <v>0</v>
      </c>
      <c r="AO70" s="1">
        <f>BOM!B70</f>
        <v>0</v>
      </c>
    </row>
    <row r="71" spans="2:41">
      <c r="B71" s="205">
        <v>69</v>
      </c>
      <c r="C71" s="659">
        <f t="shared" si="1"/>
        <v>0</v>
      </c>
      <c r="D71" s="1" t="s">
        <v>318</v>
      </c>
      <c r="E71" s="259">
        <f>SUMIFS(BM_Material!$AE$1:$AE$10000,BM_Material!$D$1:$D$10000,Group!C71)</f>
        <v>0</v>
      </c>
      <c r="F71" s="259">
        <f>SUMIFS(BM_Process!$H$1:$H$9999,BM_Process!$B$1:$B$9999,Group!$C71,BM_Process!$C$1:$C$9999,Group!F$2)</f>
        <v>0</v>
      </c>
      <c r="G71" s="259">
        <f>SUMIFS(BM_Process!$H$1:$H$9999,BM_Process!$B$1:$B$9999,Group!$C71,BM_Process!$C$1:$C$9999,Group!G$2)</f>
        <v>0</v>
      </c>
      <c r="H71" s="259">
        <f>SUMIFS(BM_Process!$H$1:$H$9999,BM_Process!$B$1:$B$9999,Group!$C71,BM_Process!$C$1:$C$9999,Group!H$2)</f>
        <v>0</v>
      </c>
      <c r="I71" s="259">
        <f>SUMIFS(BM_Material!$W$1:$W$10000,BM_Material!$D$1:$D$10000,Group!C71)</f>
        <v>0</v>
      </c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M71" s="1">
        <f>BOM!D71</f>
        <v>0</v>
      </c>
      <c r="AN71" s="1">
        <f>BOM!C71</f>
        <v>0</v>
      </c>
      <c r="AO71" s="1">
        <f>BOM!B71</f>
        <v>0</v>
      </c>
    </row>
    <row r="72" spans="2:41">
      <c r="B72" s="205">
        <v>70</v>
      </c>
      <c r="C72" s="659">
        <f t="shared" si="1"/>
        <v>0</v>
      </c>
      <c r="D72" s="1" t="s">
        <v>318</v>
      </c>
      <c r="E72" s="259">
        <f>SUMIFS(BM_Material!$AE$1:$AE$10000,BM_Material!$D$1:$D$10000,Group!C72)</f>
        <v>0</v>
      </c>
      <c r="F72" s="259">
        <f>SUMIFS(BM_Process!$H$1:$H$9999,BM_Process!$B$1:$B$9999,Group!$C72,BM_Process!$C$1:$C$9999,Group!F$2)</f>
        <v>0</v>
      </c>
      <c r="G72" s="259">
        <f>SUMIFS(BM_Process!$H$1:$H$9999,BM_Process!$B$1:$B$9999,Group!$C72,BM_Process!$C$1:$C$9999,Group!G$2)</f>
        <v>0</v>
      </c>
      <c r="H72" s="259">
        <f>SUMIFS(BM_Process!$H$1:$H$9999,BM_Process!$B$1:$B$9999,Group!$C72,BM_Process!$C$1:$C$9999,Group!H$2)</f>
        <v>0</v>
      </c>
      <c r="I72" s="259">
        <f>SUMIFS(BM_Material!$W$1:$W$10000,BM_Material!$D$1:$D$10000,Group!C72)</f>
        <v>0</v>
      </c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M72" s="1">
        <f>BOM!D72</f>
        <v>0</v>
      </c>
      <c r="AN72" s="1">
        <f>BOM!C72</f>
        <v>0</v>
      </c>
      <c r="AO72" s="1">
        <f>BOM!B72</f>
        <v>0</v>
      </c>
    </row>
    <row r="73" spans="2:41">
      <c r="B73" s="205">
        <v>71</v>
      </c>
      <c r="C73" s="659">
        <f t="shared" si="1"/>
        <v>0</v>
      </c>
      <c r="D73" s="1" t="s">
        <v>318</v>
      </c>
      <c r="E73" s="259">
        <f>SUMIFS(BM_Material!$AE$1:$AE$10000,BM_Material!$D$1:$D$10000,Group!C73)</f>
        <v>0</v>
      </c>
      <c r="F73" s="259">
        <f>SUMIFS(BM_Process!$H$1:$H$9999,BM_Process!$B$1:$B$9999,Group!$C73,BM_Process!$C$1:$C$9999,Group!F$2)</f>
        <v>0</v>
      </c>
      <c r="G73" s="259">
        <f>SUMIFS(BM_Process!$H$1:$H$9999,BM_Process!$B$1:$B$9999,Group!$C73,BM_Process!$C$1:$C$9999,Group!G$2)</f>
        <v>0</v>
      </c>
      <c r="H73" s="259">
        <f>SUMIFS(BM_Process!$H$1:$H$9999,BM_Process!$B$1:$B$9999,Group!$C73,BM_Process!$C$1:$C$9999,Group!H$2)</f>
        <v>0</v>
      </c>
      <c r="I73" s="259">
        <f>SUMIFS(BM_Material!$W$1:$W$10000,BM_Material!$D$1:$D$10000,Group!C73)</f>
        <v>0</v>
      </c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M73" s="1">
        <f>BOM!D73</f>
        <v>0</v>
      </c>
      <c r="AN73" s="1">
        <f>BOM!C73</f>
        <v>0</v>
      </c>
      <c r="AO73" s="1">
        <f>BOM!B73</f>
        <v>0</v>
      </c>
    </row>
    <row r="74" spans="2:41">
      <c r="B74" s="205">
        <v>72</v>
      </c>
      <c r="C74" s="659">
        <f t="shared" si="1"/>
        <v>0</v>
      </c>
      <c r="D74" s="1" t="s">
        <v>318</v>
      </c>
      <c r="E74" s="259">
        <f>SUMIFS(BM_Material!$AE$1:$AE$10000,BM_Material!$D$1:$D$10000,Group!C74)</f>
        <v>0</v>
      </c>
      <c r="F74" s="259">
        <f>SUMIFS(BM_Process!$H$1:$H$9999,BM_Process!$B$1:$B$9999,Group!$C74,BM_Process!$C$1:$C$9999,Group!F$2)</f>
        <v>0</v>
      </c>
      <c r="G74" s="259">
        <f>SUMIFS(BM_Process!$H$1:$H$9999,BM_Process!$B$1:$B$9999,Group!$C74,BM_Process!$C$1:$C$9999,Group!G$2)</f>
        <v>0</v>
      </c>
      <c r="H74" s="259">
        <f>SUMIFS(BM_Process!$H$1:$H$9999,BM_Process!$B$1:$B$9999,Group!$C74,BM_Process!$C$1:$C$9999,Group!H$2)</f>
        <v>0</v>
      </c>
      <c r="I74" s="259">
        <f>SUMIFS(BM_Material!$W$1:$W$10000,BM_Material!$D$1:$D$10000,Group!C74)</f>
        <v>0</v>
      </c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M74" s="1">
        <f>BOM!D74</f>
        <v>0</v>
      </c>
      <c r="AN74" s="1">
        <f>BOM!C74</f>
        <v>0</v>
      </c>
      <c r="AO74" s="1">
        <f>BOM!B74</f>
        <v>0</v>
      </c>
    </row>
    <row r="75" spans="2:41">
      <c r="B75" s="205">
        <v>73</v>
      </c>
      <c r="C75" s="659">
        <f t="shared" si="1"/>
        <v>0</v>
      </c>
      <c r="D75" s="1" t="s">
        <v>318</v>
      </c>
      <c r="E75" s="259">
        <f>SUMIFS(BM_Material!$AE$1:$AE$10000,BM_Material!$D$1:$D$10000,Group!C75)</f>
        <v>0</v>
      </c>
      <c r="F75" s="259">
        <f>SUMIFS(BM_Process!$H$1:$H$9999,BM_Process!$B$1:$B$9999,Group!$C75,BM_Process!$C$1:$C$9999,Group!F$2)</f>
        <v>0</v>
      </c>
      <c r="G75" s="259">
        <f>SUMIFS(BM_Process!$H$1:$H$9999,BM_Process!$B$1:$B$9999,Group!$C75,BM_Process!$C$1:$C$9999,Group!G$2)</f>
        <v>0</v>
      </c>
      <c r="H75" s="259">
        <f>SUMIFS(BM_Process!$H$1:$H$9999,BM_Process!$B$1:$B$9999,Group!$C75,BM_Process!$C$1:$C$9999,Group!H$2)</f>
        <v>0</v>
      </c>
      <c r="I75" s="259">
        <f>SUMIFS(BM_Material!$W$1:$W$10000,BM_Material!$D$1:$D$10000,Group!C75)</f>
        <v>0</v>
      </c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M75" s="1">
        <f>BOM!D75</f>
        <v>0</v>
      </c>
      <c r="AN75" s="1">
        <f>BOM!C75</f>
        <v>0</v>
      </c>
      <c r="AO75" s="1">
        <f>BOM!B75</f>
        <v>0</v>
      </c>
    </row>
    <row r="76" spans="2:41">
      <c r="B76" s="205">
        <v>74</v>
      </c>
      <c r="C76" s="659">
        <f t="shared" si="1"/>
        <v>0</v>
      </c>
      <c r="D76" s="1" t="s">
        <v>318</v>
      </c>
      <c r="E76" s="259">
        <f>SUMIFS(BM_Material!$AE$1:$AE$10000,BM_Material!$D$1:$D$10000,Group!C76)</f>
        <v>0</v>
      </c>
      <c r="F76" s="259">
        <f>SUMIFS(BM_Process!$H$1:$H$9999,BM_Process!$B$1:$B$9999,Group!$C76,BM_Process!$C$1:$C$9999,Group!F$2)</f>
        <v>0</v>
      </c>
      <c r="G76" s="259">
        <f>SUMIFS(BM_Process!$H$1:$H$9999,BM_Process!$B$1:$B$9999,Group!$C76,BM_Process!$C$1:$C$9999,Group!G$2)</f>
        <v>0</v>
      </c>
      <c r="H76" s="259">
        <f>SUMIFS(BM_Process!$H$1:$H$9999,BM_Process!$B$1:$B$9999,Group!$C76,BM_Process!$C$1:$C$9999,Group!H$2)</f>
        <v>0</v>
      </c>
      <c r="I76" s="259">
        <f>SUMIFS(BM_Material!$W$1:$W$10000,BM_Material!$D$1:$D$10000,Group!C76)</f>
        <v>0</v>
      </c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M76" s="1">
        <f>BOM!D76</f>
        <v>0</v>
      </c>
      <c r="AN76" s="1">
        <f>BOM!C76</f>
        <v>0</v>
      </c>
      <c r="AO76" s="1">
        <f>BOM!B76</f>
        <v>0</v>
      </c>
    </row>
    <row r="77" spans="2:41">
      <c r="B77" s="205">
        <v>75</v>
      </c>
      <c r="C77" s="659">
        <f t="shared" si="1"/>
        <v>0</v>
      </c>
      <c r="D77" s="1" t="s">
        <v>318</v>
      </c>
      <c r="E77" s="259">
        <f>SUMIFS(BM_Material!$AE$1:$AE$10000,BM_Material!$D$1:$D$10000,Group!C77)</f>
        <v>0</v>
      </c>
      <c r="F77" s="259">
        <f>SUMIFS(BM_Process!$H$1:$H$9999,BM_Process!$B$1:$B$9999,Group!$C77,BM_Process!$C$1:$C$9999,Group!F$2)</f>
        <v>0</v>
      </c>
      <c r="G77" s="259">
        <f>SUMIFS(BM_Process!$H$1:$H$9999,BM_Process!$B$1:$B$9999,Group!$C77,BM_Process!$C$1:$C$9999,Group!G$2)</f>
        <v>0</v>
      </c>
      <c r="H77" s="259">
        <f>SUMIFS(BM_Process!$H$1:$H$9999,BM_Process!$B$1:$B$9999,Group!$C77,BM_Process!$C$1:$C$9999,Group!H$2)</f>
        <v>0</v>
      </c>
      <c r="I77" s="259">
        <f>SUMIFS(BM_Material!$W$1:$W$10000,BM_Material!$D$1:$D$10000,Group!C77)</f>
        <v>0</v>
      </c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M77" s="1">
        <f>BOM!D77</f>
        <v>0</v>
      </c>
      <c r="AN77" s="1">
        <f>BOM!C77</f>
        <v>0</v>
      </c>
      <c r="AO77" s="1">
        <f>BOM!B77</f>
        <v>0</v>
      </c>
    </row>
    <row r="78" spans="2:41">
      <c r="B78" s="205">
        <v>76</v>
      </c>
      <c r="C78" s="659">
        <f t="shared" si="1"/>
        <v>0</v>
      </c>
      <c r="D78" s="1" t="s">
        <v>318</v>
      </c>
      <c r="E78" s="259">
        <f>SUMIFS(BM_Material!$AE$1:$AE$10000,BM_Material!$D$1:$D$10000,Group!C78)</f>
        <v>0</v>
      </c>
      <c r="F78" s="259">
        <f>SUMIFS(BM_Process!$H$1:$H$9999,BM_Process!$B$1:$B$9999,Group!$C78,BM_Process!$C$1:$C$9999,Group!F$2)</f>
        <v>0</v>
      </c>
      <c r="G78" s="259">
        <f>SUMIFS(BM_Process!$H$1:$H$9999,BM_Process!$B$1:$B$9999,Group!$C78,BM_Process!$C$1:$C$9999,Group!G$2)</f>
        <v>0</v>
      </c>
      <c r="H78" s="259">
        <f>SUMIFS(BM_Process!$H$1:$H$9999,BM_Process!$B$1:$B$9999,Group!$C78,BM_Process!$C$1:$C$9999,Group!H$2)</f>
        <v>0</v>
      </c>
      <c r="I78" s="259">
        <f>SUMIFS(BM_Material!$W$1:$W$10000,BM_Material!$D$1:$D$10000,Group!C78)</f>
        <v>0</v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M78" s="1">
        <f>BOM!D78</f>
        <v>0</v>
      </c>
      <c r="AN78" s="1">
        <f>BOM!C78</f>
        <v>0</v>
      </c>
      <c r="AO78" s="1">
        <f>BOM!B78</f>
        <v>0</v>
      </c>
    </row>
    <row r="79" spans="2:41">
      <c r="B79" s="205">
        <v>77</v>
      </c>
      <c r="C79" s="659">
        <f t="shared" si="1"/>
        <v>0</v>
      </c>
      <c r="D79" s="1" t="s">
        <v>318</v>
      </c>
      <c r="E79" s="259">
        <f>SUMIFS(BM_Material!$AE$1:$AE$10000,BM_Material!$D$1:$D$10000,Group!C79)</f>
        <v>0</v>
      </c>
      <c r="F79" s="259">
        <f>SUMIFS(BM_Process!$H$1:$H$9999,BM_Process!$B$1:$B$9999,Group!$C79,BM_Process!$C$1:$C$9999,Group!F$2)</f>
        <v>0</v>
      </c>
      <c r="G79" s="259">
        <f>SUMIFS(BM_Process!$H$1:$H$9999,BM_Process!$B$1:$B$9999,Group!$C79,BM_Process!$C$1:$C$9999,Group!G$2)</f>
        <v>0</v>
      </c>
      <c r="H79" s="259">
        <f>SUMIFS(BM_Process!$H$1:$H$9999,BM_Process!$B$1:$B$9999,Group!$C79,BM_Process!$C$1:$C$9999,Group!H$2)</f>
        <v>0</v>
      </c>
      <c r="I79" s="259">
        <f>SUMIFS(BM_Material!$W$1:$W$10000,BM_Material!$D$1:$D$10000,Group!C79)</f>
        <v>0</v>
      </c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M79" s="1">
        <f>BOM!D79</f>
        <v>0</v>
      </c>
      <c r="AN79" s="1">
        <f>BOM!C79</f>
        <v>0</v>
      </c>
      <c r="AO79" s="1">
        <f>BOM!B79</f>
        <v>0</v>
      </c>
    </row>
    <row r="80" spans="2:41">
      <c r="B80" s="205">
        <v>78</v>
      </c>
      <c r="C80" s="659">
        <f t="shared" si="1"/>
        <v>0</v>
      </c>
      <c r="D80" s="1" t="s">
        <v>318</v>
      </c>
      <c r="E80" s="259">
        <f>SUMIFS(BM_Material!$AE$1:$AE$10000,BM_Material!$D$1:$D$10000,Group!C80)</f>
        <v>0</v>
      </c>
      <c r="F80" s="259">
        <f>SUMIFS(BM_Process!$H$1:$H$9999,BM_Process!$B$1:$B$9999,Group!$C80,BM_Process!$C$1:$C$9999,Group!F$2)</f>
        <v>0</v>
      </c>
      <c r="G80" s="259">
        <f>SUMIFS(BM_Process!$H$1:$H$9999,BM_Process!$B$1:$B$9999,Group!$C80,BM_Process!$C$1:$C$9999,Group!G$2)</f>
        <v>0</v>
      </c>
      <c r="H80" s="259">
        <f>SUMIFS(BM_Process!$H$1:$H$9999,BM_Process!$B$1:$B$9999,Group!$C80,BM_Process!$C$1:$C$9999,Group!H$2)</f>
        <v>0</v>
      </c>
      <c r="I80" s="259">
        <f>SUMIFS(BM_Material!$W$1:$W$10000,BM_Material!$D$1:$D$10000,Group!C80)</f>
        <v>0</v>
      </c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M80" s="1">
        <f>BOM!D80</f>
        <v>0</v>
      </c>
      <c r="AN80" s="1">
        <f>BOM!C80</f>
        <v>0</v>
      </c>
      <c r="AO80" s="1">
        <f>BOM!B80</f>
        <v>0</v>
      </c>
    </row>
    <row r="81" spans="2:41">
      <c r="B81" s="205">
        <v>79</v>
      </c>
      <c r="C81" s="659">
        <f t="shared" si="1"/>
        <v>0</v>
      </c>
      <c r="D81" s="1" t="s">
        <v>318</v>
      </c>
      <c r="E81" s="259">
        <f>SUMIFS(BM_Material!$AE$1:$AE$10000,BM_Material!$D$1:$D$10000,Group!C81)</f>
        <v>0</v>
      </c>
      <c r="F81" s="259">
        <f>SUMIFS(BM_Process!$H$1:$H$9999,BM_Process!$B$1:$B$9999,Group!$C81,BM_Process!$C$1:$C$9999,Group!F$2)</f>
        <v>0</v>
      </c>
      <c r="G81" s="259">
        <f>SUMIFS(BM_Process!$H$1:$H$9999,BM_Process!$B$1:$B$9999,Group!$C81,BM_Process!$C$1:$C$9999,Group!G$2)</f>
        <v>0</v>
      </c>
      <c r="H81" s="259">
        <f>SUMIFS(BM_Process!$H$1:$H$9999,BM_Process!$B$1:$B$9999,Group!$C81,BM_Process!$C$1:$C$9999,Group!H$2)</f>
        <v>0</v>
      </c>
      <c r="I81" s="259">
        <f>SUMIFS(BM_Material!$W$1:$W$10000,BM_Material!$D$1:$D$10000,Group!C81)</f>
        <v>0</v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M81" s="1">
        <f>BOM!D81</f>
        <v>0</v>
      </c>
      <c r="AN81" s="1">
        <f>BOM!C81</f>
        <v>0</v>
      </c>
      <c r="AO81" s="1">
        <f>BOM!B81</f>
        <v>0</v>
      </c>
    </row>
    <row r="82" spans="2:41">
      <c r="B82" s="205">
        <v>80</v>
      </c>
      <c r="C82" s="659">
        <f t="shared" si="1"/>
        <v>0</v>
      </c>
      <c r="D82" s="1" t="s">
        <v>318</v>
      </c>
      <c r="E82" s="259">
        <f>SUMIFS(BM_Material!$AE$1:$AE$10000,BM_Material!$D$1:$D$10000,Group!C82)</f>
        <v>0</v>
      </c>
      <c r="F82" s="259">
        <f>SUMIFS(BM_Process!$H$1:$H$9999,BM_Process!$B$1:$B$9999,Group!$C82,BM_Process!$C$1:$C$9999,Group!F$2)</f>
        <v>0</v>
      </c>
      <c r="G82" s="259">
        <f>SUMIFS(BM_Process!$H$1:$H$9999,BM_Process!$B$1:$B$9999,Group!$C82,BM_Process!$C$1:$C$9999,Group!G$2)</f>
        <v>0</v>
      </c>
      <c r="H82" s="259">
        <f>SUMIFS(BM_Process!$H$1:$H$9999,BM_Process!$B$1:$B$9999,Group!$C82,BM_Process!$C$1:$C$9999,Group!H$2)</f>
        <v>0</v>
      </c>
      <c r="I82" s="259">
        <f>SUMIFS(BM_Material!$W$1:$W$10000,BM_Material!$D$1:$D$10000,Group!C82)</f>
        <v>0</v>
      </c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M82" s="1">
        <f>BOM!D82</f>
        <v>0</v>
      </c>
      <c r="AN82" s="1">
        <f>BOM!C82</f>
        <v>0</v>
      </c>
      <c r="AO82" s="1">
        <f>BOM!B82</f>
        <v>0</v>
      </c>
    </row>
    <row r="83" spans="2:41">
      <c r="B83" s="205">
        <v>81</v>
      </c>
      <c r="C83" s="659">
        <f t="shared" si="1"/>
        <v>0</v>
      </c>
      <c r="D83" s="1" t="s">
        <v>318</v>
      </c>
      <c r="E83" s="259">
        <f>SUMIFS(BM_Material!$AE$1:$AE$10000,BM_Material!$D$1:$D$10000,Group!C83)</f>
        <v>0</v>
      </c>
      <c r="F83" s="259">
        <f>SUMIFS(BM_Process!$H$1:$H$9999,BM_Process!$B$1:$B$9999,Group!$C83,BM_Process!$C$1:$C$9999,Group!F$2)</f>
        <v>0</v>
      </c>
      <c r="G83" s="259">
        <f>SUMIFS(BM_Process!$H$1:$H$9999,BM_Process!$B$1:$B$9999,Group!$C83,BM_Process!$C$1:$C$9999,Group!G$2)</f>
        <v>0</v>
      </c>
      <c r="H83" s="259">
        <f>SUMIFS(BM_Process!$H$1:$H$9999,BM_Process!$B$1:$B$9999,Group!$C83,BM_Process!$C$1:$C$9999,Group!H$2)</f>
        <v>0</v>
      </c>
      <c r="I83" s="259">
        <f>SUMIFS(BM_Material!$W$1:$W$10000,BM_Material!$D$1:$D$10000,Group!C83)</f>
        <v>0</v>
      </c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M83" s="1">
        <f>BOM!D83</f>
        <v>0</v>
      </c>
      <c r="AN83" s="1">
        <f>BOM!C83</f>
        <v>0</v>
      </c>
      <c r="AO83" s="1">
        <f>BOM!B83</f>
        <v>0</v>
      </c>
    </row>
    <row r="84" spans="2:41">
      <c r="B84" s="205">
        <v>82</v>
      </c>
      <c r="C84" s="659">
        <f t="shared" si="1"/>
        <v>0</v>
      </c>
      <c r="D84" s="1" t="s">
        <v>318</v>
      </c>
      <c r="E84" s="259">
        <f>SUMIFS(BM_Material!$AE$1:$AE$10000,BM_Material!$D$1:$D$10000,Group!C84)</f>
        <v>0</v>
      </c>
      <c r="F84" s="259">
        <f>SUMIFS(BM_Process!$H$1:$H$9999,BM_Process!$B$1:$B$9999,Group!$C84,BM_Process!$C$1:$C$9999,Group!F$2)</f>
        <v>0</v>
      </c>
      <c r="G84" s="259">
        <f>SUMIFS(BM_Process!$H$1:$H$9999,BM_Process!$B$1:$B$9999,Group!$C84,BM_Process!$C$1:$C$9999,Group!G$2)</f>
        <v>0</v>
      </c>
      <c r="H84" s="259">
        <f>SUMIFS(BM_Process!$H$1:$H$9999,BM_Process!$B$1:$B$9999,Group!$C84,BM_Process!$C$1:$C$9999,Group!H$2)</f>
        <v>0</v>
      </c>
      <c r="I84" s="259">
        <f>SUMIFS(BM_Material!$W$1:$W$10000,BM_Material!$D$1:$D$10000,Group!C84)</f>
        <v>0</v>
      </c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M84" s="1">
        <f>BOM!D84</f>
        <v>0</v>
      </c>
      <c r="AN84" s="1">
        <f>BOM!C84</f>
        <v>0</v>
      </c>
      <c r="AO84" s="1">
        <f>BOM!B84</f>
        <v>0</v>
      </c>
    </row>
    <row r="85" spans="2:41">
      <c r="B85" s="205">
        <v>83</v>
      </c>
      <c r="C85" s="659">
        <f t="shared" si="1"/>
        <v>0</v>
      </c>
      <c r="D85" s="1" t="s">
        <v>318</v>
      </c>
      <c r="E85" s="259">
        <f>SUMIFS(BM_Material!$AE$1:$AE$10000,BM_Material!$D$1:$D$10000,Group!C85)</f>
        <v>0</v>
      </c>
      <c r="F85" s="259">
        <f>SUMIFS(BM_Process!$H$1:$H$9999,BM_Process!$B$1:$B$9999,Group!$C85,BM_Process!$C$1:$C$9999,Group!F$2)</f>
        <v>0</v>
      </c>
      <c r="G85" s="259">
        <f>SUMIFS(BM_Process!$H$1:$H$9999,BM_Process!$B$1:$B$9999,Group!$C85,BM_Process!$C$1:$C$9999,Group!G$2)</f>
        <v>0</v>
      </c>
      <c r="H85" s="259">
        <f>SUMIFS(BM_Process!$H$1:$H$9999,BM_Process!$B$1:$B$9999,Group!$C85,BM_Process!$C$1:$C$9999,Group!H$2)</f>
        <v>0</v>
      </c>
      <c r="I85" s="259">
        <f>SUMIFS(BM_Material!$W$1:$W$10000,BM_Material!$D$1:$D$10000,Group!C85)</f>
        <v>0</v>
      </c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M85" s="1">
        <f>BOM!D85</f>
        <v>0</v>
      </c>
      <c r="AN85" s="1">
        <f>BOM!C85</f>
        <v>0</v>
      </c>
      <c r="AO85" s="1">
        <f>BOM!B85</f>
        <v>0</v>
      </c>
    </row>
    <row r="86" spans="2:41">
      <c r="B86" s="205">
        <v>84</v>
      </c>
      <c r="C86" s="659">
        <f t="shared" si="1"/>
        <v>0</v>
      </c>
      <c r="D86" s="1" t="s">
        <v>318</v>
      </c>
      <c r="E86" s="259">
        <f>SUMIFS(BM_Material!$AE$1:$AE$10000,BM_Material!$D$1:$D$10000,Group!C86)</f>
        <v>0</v>
      </c>
      <c r="F86" s="259">
        <f>SUMIFS(BM_Process!$H$1:$H$9999,BM_Process!$B$1:$B$9999,Group!$C86,BM_Process!$C$1:$C$9999,Group!F$2)</f>
        <v>0</v>
      </c>
      <c r="G86" s="259">
        <f>SUMIFS(BM_Process!$H$1:$H$9999,BM_Process!$B$1:$B$9999,Group!$C86,BM_Process!$C$1:$C$9999,Group!G$2)</f>
        <v>0</v>
      </c>
      <c r="H86" s="259">
        <f>SUMIFS(BM_Process!$H$1:$H$9999,BM_Process!$B$1:$B$9999,Group!$C86,BM_Process!$C$1:$C$9999,Group!H$2)</f>
        <v>0</v>
      </c>
      <c r="I86" s="259">
        <f>SUMIFS(BM_Material!$W$1:$W$10000,BM_Material!$D$1:$D$10000,Group!C86)</f>
        <v>0</v>
      </c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M86" s="1">
        <f>BOM!D86</f>
        <v>0</v>
      </c>
      <c r="AN86" s="1">
        <f>BOM!C86</f>
        <v>0</v>
      </c>
      <c r="AO86" s="1">
        <f>BOM!B86</f>
        <v>0</v>
      </c>
    </row>
    <row r="87" spans="2:41">
      <c r="B87" s="205">
        <v>85</v>
      </c>
      <c r="C87" s="659">
        <f t="shared" si="1"/>
        <v>0</v>
      </c>
      <c r="D87" s="1" t="s">
        <v>318</v>
      </c>
      <c r="E87" s="259">
        <f>SUMIFS(BM_Material!$AE$1:$AE$10000,BM_Material!$D$1:$D$10000,Group!C87)</f>
        <v>0</v>
      </c>
      <c r="F87" s="259">
        <f>SUMIFS(BM_Process!$H$1:$H$9999,BM_Process!$B$1:$B$9999,Group!$C87,BM_Process!$C$1:$C$9999,Group!F$2)</f>
        <v>0</v>
      </c>
      <c r="G87" s="259">
        <f>SUMIFS(BM_Process!$H$1:$H$9999,BM_Process!$B$1:$B$9999,Group!$C87,BM_Process!$C$1:$C$9999,Group!G$2)</f>
        <v>0</v>
      </c>
      <c r="H87" s="259">
        <f>SUMIFS(BM_Process!$H$1:$H$9999,BM_Process!$B$1:$B$9999,Group!$C87,BM_Process!$C$1:$C$9999,Group!H$2)</f>
        <v>0</v>
      </c>
      <c r="I87" s="259">
        <f>SUMIFS(BM_Material!$W$1:$W$10000,BM_Material!$D$1:$D$10000,Group!C87)</f>
        <v>0</v>
      </c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M87" s="1">
        <f>BOM!D87</f>
        <v>0</v>
      </c>
      <c r="AN87" s="1">
        <f>BOM!C87</f>
        <v>0</v>
      </c>
      <c r="AO87" s="1">
        <f>BOM!B87</f>
        <v>0</v>
      </c>
    </row>
    <row r="88" spans="2:41">
      <c r="B88" s="205">
        <v>86</v>
      </c>
      <c r="C88" s="659">
        <f t="shared" si="1"/>
        <v>0</v>
      </c>
      <c r="D88" s="1" t="s">
        <v>318</v>
      </c>
      <c r="E88" s="259">
        <f>SUMIFS(BM_Material!$AE$1:$AE$10000,BM_Material!$D$1:$D$10000,Group!C88)</f>
        <v>0</v>
      </c>
      <c r="F88" s="259">
        <f>SUMIFS(BM_Process!$H$1:$H$9999,BM_Process!$B$1:$B$9999,Group!$C88,BM_Process!$C$1:$C$9999,Group!F$2)</f>
        <v>0</v>
      </c>
      <c r="G88" s="259">
        <f>SUMIFS(BM_Process!$H$1:$H$9999,BM_Process!$B$1:$B$9999,Group!$C88,BM_Process!$C$1:$C$9999,Group!G$2)</f>
        <v>0</v>
      </c>
      <c r="H88" s="259">
        <f>SUMIFS(BM_Process!$H$1:$H$9999,BM_Process!$B$1:$B$9999,Group!$C88,BM_Process!$C$1:$C$9999,Group!H$2)</f>
        <v>0</v>
      </c>
      <c r="I88" s="259">
        <f>SUMIFS(BM_Material!$W$1:$W$10000,BM_Material!$D$1:$D$10000,Group!C88)</f>
        <v>0</v>
      </c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M88" s="1">
        <f>BOM!D88</f>
        <v>0</v>
      </c>
      <c r="AN88" s="1">
        <f>BOM!C88</f>
        <v>0</v>
      </c>
      <c r="AO88" s="1">
        <f>BOM!B88</f>
        <v>0</v>
      </c>
    </row>
    <row r="89" spans="2:41">
      <c r="B89" s="205">
        <v>87</v>
      </c>
      <c r="C89" s="659">
        <f t="shared" si="1"/>
        <v>0</v>
      </c>
      <c r="D89" s="1" t="s">
        <v>318</v>
      </c>
      <c r="E89" s="259">
        <f>SUMIFS(BM_Material!$AE$1:$AE$10000,BM_Material!$D$1:$D$10000,Group!C89)</f>
        <v>0</v>
      </c>
      <c r="F89" s="259">
        <f>SUMIFS(BM_Process!$H$1:$H$9999,BM_Process!$B$1:$B$9999,Group!$C89,BM_Process!$C$1:$C$9999,Group!F$2)</f>
        <v>0</v>
      </c>
      <c r="G89" s="259">
        <f>SUMIFS(BM_Process!$H$1:$H$9999,BM_Process!$B$1:$B$9999,Group!$C89,BM_Process!$C$1:$C$9999,Group!G$2)</f>
        <v>0</v>
      </c>
      <c r="H89" s="259">
        <f>SUMIFS(BM_Process!$H$1:$H$9999,BM_Process!$B$1:$B$9999,Group!$C89,BM_Process!$C$1:$C$9999,Group!H$2)</f>
        <v>0</v>
      </c>
      <c r="I89" s="259">
        <f>SUMIFS(BM_Material!$W$1:$W$10000,BM_Material!$D$1:$D$10000,Group!C89)</f>
        <v>0</v>
      </c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M89" s="1">
        <f>BOM!D89</f>
        <v>0</v>
      </c>
      <c r="AN89" s="1">
        <f>BOM!C89</f>
        <v>0</v>
      </c>
      <c r="AO89" s="1">
        <f>BOM!B89</f>
        <v>0</v>
      </c>
    </row>
    <row r="90" spans="2:41">
      <c r="B90" s="205">
        <v>88</v>
      </c>
      <c r="C90" s="659">
        <f t="shared" si="1"/>
        <v>0</v>
      </c>
      <c r="D90" s="1" t="s">
        <v>318</v>
      </c>
      <c r="E90" s="259">
        <f>SUMIFS(BM_Material!$AE$1:$AE$10000,BM_Material!$D$1:$D$10000,Group!C90)</f>
        <v>0</v>
      </c>
      <c r="F90" s="259">
        <f>SUMIFS(BM_Process!$H$1:$H$9999,BM_Process!$B$1:$B$9999,Group!$C90,BM_Process!$C$1:$C$9999,Group!F$2)</f>
        <v>0</v>
      </c>
      <c r="G90" s="259">
        <f>SUMIFS(BM_Process!$H$1:$H$9999,BM_Process!$B$1:$B$9999,Group!$C90,BM_Process!$C$1:$C$9999,Group!G$2)</f>
        <v>0</v>
      </c>
      <c r="H90" s="259">
        <f>SUMIFS(BM_Process!$H$1:$H$9999,BM_Process!$B$1:$B$9999,Group!$C90,BM_Process!$C$1:$C$9999,Group!H$2)</f>
        <v>0</v>
      </c>
      <c r="I90" s="259">
        <f>SUMIFS(BM_Material!$W$1:$W$10000,BM_Material!$D$1:$D$10000,Group!C90)</f>
        <v>0</v>
      </c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M90" s="1">
        <f>BOM!D90</f>
        <v>0</v>
      </c>
      <c r="AN90" s="1">
        <f>BOM!C90</f>
        <v>0</v>
      </c>
      <c r="AO90" s="1">
        <f>BOM!B90</f>
        <v>0</v>
      </c>
    </row>
    <row r="91" spans="2:41">
      <c r="B91" s="205">
        <v>89</v>
      </c>
      <c r="C91" s="659">
        <f t="shared" si="1"/>
        <v>0</v>
      </c>
      <c r="D91" s="1" t="s">
        <v>318</v>
      </c>
      <c r="E91" s="259">
        <f>SUMIFS(BM_Material!$AE$1:$AE$10000,BM_Material!$D$1:$D$10000,Group!C91)</f>
        <v>0</v>
      </c>
      <c r="F91" s="259">
        <f>SUMIFS(BM_Process!$H$1:$H$9999,BM_Process!$B$1:$B$9999,Group!$C91,BM_Process!$C$1:$C$9999,Group!F$2)</f>
        <v>0</v>
      </c>
      <c r="G91" s="259">
        <f>SUMIFS(BM_Process!$H$1:$H$9999,BM_Process!$B$1:$B$9999,Group!$C91,BM_Process!$C$1:$C$9999,Group!G$2)</f>
        <v>0</v>
      </c>
      <c r="H91" s="259">
        <f>SUMIFS(BM_Process!$H$1:$H$9999,BM_Process!$B$1:$B$9999,Group!$C91,BM_Process!$C$1:$C$9999,Group!H$2)</f>
        <v>0</v>
      </c>
      <c r="I91" s="259">
        <f>SUMIFS(BM_Material!$W$1:$W$10000,BM_Material!$D$1:$D$10000,Group!C91)</f>
        <v>0</v>
      </c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M91" s="1">
        <f>BOM!D91</f>
        <v>0</v>
      </c>
      <c r="AN91" s="1">
        <f>BOM!C91</f>
        <v>0</v>
      </c>
      <c r="AO91" s="1">
        <f>BOM!B91</f>
        <v>0</v>
      </c>
    </row>
    <row r="92" spans="2:41">
      <c r="B92" s="205">
        <v>90</v>
      </c>
      <c r="C92" s="659">
        <f t="shared" si="1"/>
        <v>0</v>
      </c>
      <c r="D92" s="1" t="s">
        <v>318</v>
      </c>
      <c r="E92" s="259">
        <f>SUMIFS(BM_Material!$AE$1:$AE$10000,BM_Material!$D$1:$D$10000,Group!C92)</f>
        <v>0</v>
      </c>
      <c r="F92" s="259">
        <f>SUMIFS(BM_Process!$H$1:$H$9999,BM_Process!$B$1:$B$9999,Group!$C92,BM_Process!$C$1:$C$9999,Group!F$2)</f>
        <v>0</v>
      </c>
      <c r="G92" s="259">
        <f>SUMIFS(BM_Process!$H$1:$H$9999,BM_Process!$B$1:$B$9999,Group!$C92,BM_Process!$C$1:$C$9999,Group!G$2)</f>
        <v>0</v>
      </c>
      <c r="H92" s="259">
        <f>SUMIFS(BM_Process!$H$1:$H$9999,BM_Process!$B$1:$B$9999,Group!$C92,BM_Process!$C$1:$C$9999,Group!H$2)</f>
        <v>0</v>
      </c>
      <c r="I92" s="259">
        <f>SUMIFS(BM_Material!$W$1:$W$10000,BM_Material!$D$1:$D$10000,Group!C92)</f>
        <v>0</v>
      </c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M92" s="1">
        <f>BOM!D92</f>
        <v>0</v>
      </c>
      <c r="AN92" s="1">
        <f>BOM!C92</f>
        <v>0</v>
      </c>
      <c r="AO92" s="1">
        <f>BOM!B92</f>
        <v>0</v>
      </c>
    </row>
    <row r="93" spans="2:41">
      <c r="B93" s="205">
        <v>91</v>
      </c>
      <c r="C93" s="659">
        <f t="shared" si="1"/>
        <v>0</v>
      </c>
      <c r="D93" s="1" t="s">
        <v>318</v>
      </c>
      <c r="E93" s="259">
        <f>SUMIFS(BM_Material!$AE$1:$AE$10000,BM_Material!$D$1:$D$10000,Group!C93)</f>
        <v>0</v>
      </c>
      <c r="F93" s="259">
        <f>SUMIFS(BM_Process!$H$1:$H$9999,BM_Process!$B$1:$B$9999,Group!$C93,BM_Process!$C$1:$C$9999,Group!F$2)</f>
        <v>0</v>
      </c>
      <c r="G93" s="259">
        <f>SUMIFS(BM_Process!$H$1:$H$9999,BM_Process!$B$1:$B$9999,Group!$C93,BM_Process!$C$1:$C$9999,Group!G$2)</f>
        <v>0</v>
      </c>
      <c r="H93" s="259">
        <f>SUMIFS(BM_Process!$H$1:$H$9999,BM_Process!$B$1:$B$9999,Group!$C93,BM_Process!$C$1:$C$9999,Group!H$2)</f>
        <v>0</v>
      </c>
      <c r="I93" s="259">
        <f>SUMIFS(BM_Material!$W$1:$W$10000,BM_Material!$D$1:$D$10000,Group!C93)</f>
        <v>0</v>
      </c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M93" s="1">
        <f>BOM!D93</f>
        <v>0</v>
      </c>
      <c r="AN93" s="1">
        <f>BOM!C93</f>
        <v>0</v>
      </c>
      <c r="AO93" s="1">
        <f>BOM!B93</f>
        <v>0</v>
      </c>
    </row>
    <row r="94" spans="2:41">
      <c r="B94" s="205">
        <v>92</v>
      </c>
      <c r="C94" s="659">
        <f t="shared" si="1"/>
        <v>0</v>
      </c>
      <c r="D94" s="1" t="s">
        <v>318</v>
      </c>
      <c r="E94" s="259">
        <f>SUMIFS(BM_Material!$AE$1:$AE$10000,BM_Material!$D$1:$D$10000,Group!C94)</f>
        <v>0</v>
      </c>
      <c r="F94" s="259">
        <f>SUMIFS(BM_Process!$H$1:$H$9999,BM_Process!$B$1:$B$9999,Group!$C94,BM_Process!$C$1:$C$9999,Group!F$2)</f>
        <v>0</v>
      </c>
      <c r="G94" s="259">
        <f>SUMIFS(BM_Process!$H$1:$H$9999,BM_Process!$B$1:$B$9999,Group!$C94,BM_Process!$C$1:$C$9999,Group!G$2)</f>
        <v>0</v>
      </c>
      <c r="H94" s="259">
        <f>SUMIFS(BM_Process!$H$1:$H$9999,BM_Process!$B$1:$B$9999,Group!$C94,BM_Process!$C$1:$C$9999,Group!H$2)</f>
        <v>0</v>
      </c>
      <c r="I94" s="259">
        <f>SUMIFS(BM_Material!$W$1:$W$10000,BM_Material!$D$1:$D$10000,Group!C94)</f>
        <v>0</v>
      </c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M94" s="1">
        <f>BOM!D94</f>
        <v>0</v>
      </c>
      <c r="AN94" s="1">
        <f>BOM!C94</f>
        <v>0</v>
      </c>
      <c r="AO94" s="1">
        <f>BOM!B94</f>
        <v>0</v>
      </c>
    </row>
    <row r="95" spans="2:41">
      <c r="B95" s="205">
        <v>93</v>
      </c>
      <c r="C95" s="659">
        <f t="shared" si="1"/>
        <v>0</v>
      </c>
      <c r="D95" s="1" t="s">
        <v>318</v>
      </c>
      <c r="E95" s="259">
        <f>SUMIFS(BM_Material!$AE$1:$AE$10000,BM_Material!$D$1:$D$10000,Group!C95)</f>
        <v>0</v>
      </c>
      <c r="F95" s="259">
        <f>SUMIFS(BM_Process!$H$1:$H$9999,BM_Process!$B$1:$B$9999,Group!$C95,BM_Process!$C$1:$C$9999,Group!F$2)</f>
        <v>0</v>
      </c>
      <c r="G95" s="259">
        <f>SUMIFS(BM_Process!$H$1:$H$9999,BM_Process!$B$1:$B$9999,Group!$C95,BM_Process!$C$1:$C$9999,Group!G$2)</f>
        <v>0</v>
      </c>
      <c r="H95" s="259">
        <f>SUMIFS(BM_Process!$H$1:$H$9999,BM_Process!$B$1:$B$9999,Group!$C95,BM_Process!$C$1:$C$9999,Group!H$2)</f>
        <v>0</v>
      </c>
      <c r="I95" s="259">
        <f>SUMIFS(BM_Material!$W$1:$W$10000,BM_Material!$D$1:$D$10000,Group!C95)</f>
        <v>0</v>
      </c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M95" s="1">
        <f>BOM!D95</f>
        <v>0</v>
      </c>
      <c r="AN95" s="1">
        <f>BOM!C95</f>
        <v>0</v>
      </c>
      <c r="AO95" s="1">
        <f>BOM!B95</f>
        <v>0</v>
      </c>
    </row>
    <row r="96" spans="2:41">
      <c r="B96" s="205">
        <v>94</v>
      </c>
      <c r="C96" s="659">
        <f t="shared" si="1"/>
        <v>0</v>
      </c>
      <c r="D96" s="1" t="s">
        <v>318</v>
      </c>
      <c r="E96" s="259">
        <f>SUMIFS(BM_Material!$AE$1:$AE$10000,BM_Material!$D$1:$D$10000,Group!C96)</f>
        <v>0</v>
      </c>
      <c r="F96" s="259">
        <f>SUMIFS(BM_Process!$H$1:$H$9999,BM_Process!$B$1:$B$9999,Group!$C96,BM_Process!$C$1:$C$9999,Group!F$2)</f>
        <v>0</v>
      </c>
      <c r="G96" s="259">
        <f>SUMIFS(BM_Process!$H$1:$H$9999,BM_Process!$B$1:$B$9999,Group!$C96,BM_Process!$C$1:$C$9999,Group!G$2)</f>
        <v>0</v>
      </c>
      <c r="H96" s="259">
        <f>SUMIFS(BM_Process!$H$1:$H$9999,BM_Process!$B$1:$B$9999,Group!$C96,BM_Process!$C$1:$C$9999,Group!H$2)</f>
        <v>0</v>
      </c>
      <c r="I96" s="259">
        <f>SUMIFS(BM_Material!$W$1:$W$10000,BM_Material!$D$1:$D$10000,Group!C96)</f>
        <v>0</v>
      </c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M96" s="1">
        <f>BOM!D96</f>
        <v>0</v>
      </c>
      <c r="AN96" s="1">
        <f>BOM!C96</f>
        <v>0</v>
      </c>
      <c r="AO96" s="1">
        <f>BOM!B96</f>
        <v>0</v>
      </c>
    </row>
    <row r="97" spans="2:41">
      <c r="B97" s="205">
        <v>95</v>
      </c>
      <c r="C97" s="659">
        <f t="shared" si="1"/>
        <v>0</v>
      </c>
      <c r="D97" s="1" t="s">
        <v>318</v>
      </c>
      <c r="E97" s="259">
        <f>SUMIFS(BM_Material!$AE$1:$AE$10000,BM_Material!$D$1:$D$10000,Group!C97)</f>
        <v>0</v>
      </c>
      <c r="F97" s="259">
        <f>SUMIFS(BM_Process!$H$1:$H$9999,BM_Process!$B$1:$B$9999,Group!$C97,BM_Process!$C$1:$C$9999,Group!F$2)</f>
        <v>0</v>
      </c>
      <c r="G97" s="259">
        <f>SUMIFS(BM_Process!$H$1:$H$9999,BM_Process!$B$1:$B$9999,Group!$C97,BM_Process!$C$1:$C$9999,Group!G$2)</f>
        <v>0</v>
      </c>
      <c r="H97" s="259">
        <f>SUMIFS(BM_Process!$H$1:$H$9999,BM_Process!$B$1:$B$9999,Group!$C97,BM_Process!$C$1:$C$9999,Group!H$2)</f>
        <v>0</v>
      </c>
      <c r="I97" s="259">
        <f>SUMIFS(BM_Material!$W$1:$W$10000,BM_Material!$D$1:$D$10000,Group!C97)</f>
        <v>0</v>
      </c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M97" s="1">
        <f>BOM!D97</f>
        <v>0</v>
      </c>
      <c r="AN97" s="1">
        <f>BOM!C97</f>
        <v>0</v>
      </c>
      <c r="AO97" s="1">
        <f>BOM!B97</f>
        <v>0</v>
      </c>
    </row>
    <row r="98" spans="2:41">
      <c r="B98" s="205">
        <v>96</v>
      </c>
      <c r="C98" s="659">
        <f t="shared" si="1"/>
        <v>0</v>
      </c>
      <c r="D98" s="1" t="s">
        <v>318</v>
      </c>
      <c r="E98" s="259">
        <f>SUMIFS(BM_Material!$AE$1:$AE$10000,BM_Material!$D$1:$D$10000,Group!C98)</f>
        <v>0</v>
      </c>
      <c r="F98" s="259">
        <f>SUMIFS(BM_Process!$H$1:$H$9999,BM_Process!$B$1:$B$9999,Group!$C98,BM_Process!$C$1:$C$9999,Group!F$2)</f>
        <v>0</v>
      </c>
      <c r="G98" s="259">
        <f>SUMIFS(BM_Process!$H$1:$H$9999,BM_Process!$B$1:$B$9999,Group!$C98,BM_Process!$C$1:$C$9999,Group!G$2)</f>
        <v>0</v>
      </c>
      <c r="H98" s="259">
        <f>SUMIFS(BM_Process!$H$1:$H$9999,BM_Process!$B$1:$B$9999,Group!$C98,BM_Process!$C$1:$C$9999,Group!H$2)</f>
        <v>0</v>
      </c>
      <c r="I98" s="259">
        <f>SUMIFS(BM_Material!$W$1:$W$10000,BM_Material!$D$1:$D$10000,Group!C98)</f>
        <v>0</v>
      </c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M98" s="1">
        <f>BOM!D98</f>
        <v>0</v>
      </c>
      <c r="AN98" s="1">
        <f>BOM!C98</f>
        <v>0</v>
      </c>
      <c r="AO98" s="1">
        <f>BOM!B98</f>
        <v>0</v>
      </c>
    </row>
    <row r="99" spans="2:41">
      <c r="B99" s="205">
        <v>97</v>
      </c>
      <c r="C99" s="659">
        <f t="shared" si="1"/>
        <v>0</v>
      </c>
      <c r="D99" s="1" t="s">
        <v>318</v>
      </c>
      <c r="E99" s="259">
        <f>SUMIFS(BM_Material!$AE$1:$AE$10000,BM_Material!$D$1:$D$10000,Group!C99)</f>
        <v>0</v>
      </c>
      <c r="F99" s="259">
        <f>SUMIFS(BM_Process!$H$1:$H$9999,BM_Process!$B$1:$B$9999,Group!$C99,BM_Process!$C$1:$C$9999,Group!F$2)</f>
        <v>0</v>
      </c>
      <c r="G99" s="259">
        <f>SUMIFS(BM_Process!$H$1:$H$9999,BM_Process!$B$1:$B$9999,Group!$C99,BM_Process!$C$1:$C$9999,Group!G$2)</f>
        <v>0</v>
      </c>
      <c r="H99" s="259">
        <f>SUMIFS(BM_Process!$H$1:$H$9999,BM_Process!$B$1:$B$9999,Group!$C99,BM_Process!$C$1:$C$9999,Group!H$2)</f>
        <v>0</v>
      </c>
      <c r="I99" s="259">
        <f>SUMIFS(BM_Material!$W$1:$W$10000,BM_Material!$D$1:$D$10000,Group!C99)</f>
        <v>0</v>
      </c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M99" s="1">
        <f>BOM!D99</f>
        <v>0</v>
      </c>
      <c r="AN99" s="1">
        <f>BOM!C99</f>
        <v>0</v>
      </c>
      <c r="AO99" s="1">
        <f>BOM!B99</f>
        <v>0</v>
      </c>
    </row>
    <row r="100" spans="2:41">
      <c r="B100" s="205">
        <v>98</v>
      </c>
      <c r="C100" s="659">
        <f t="shared" si="1"/>
        <v>0</v>
      </c>
      <c r="D100" s="1" t="s">
        <v>318</v>
      </c>
      <c r="E100" s="259">
        <f>SUMIFS(BM_Material!$AE$1:$AE$10000,BM_Material!$D$1:$D$10000,Group!C100)</f>
        <v>0</v>
      </c>
      <c r="F100" s="259">
        <f>SUMIFS(BM_Process!$H$1:$H$9999,BM_Process!$B$1:$B$9999,Group!$C100,BM_Process!$C$1:$C$9999,Group!F$2)</f>
        <v>0</v>
      </c>
      <c r="G100" s="259">
        <f>SUMIFS(BM_Process!$H$1:$H$9999,BM_Process!$B$1:$B$9999,Group!$C100,BM_Process!$C$1:$C$9999,Group!G$2)</f>
        <v>0</v>
      </c>
      <c r="H100" s="259">
        <f>SUMIFS(BM_Process!$H$1:$H$9999,BM_Process!$B$1:$B$9999,Group!$C100,BM_Process!$C$1:$C$9999,Group!H$2)</f>
        <v>0</v>
      </c>
      <c r="I100" s="259">
        <f>SUMIFS(BM_Material!$W$1:$W$10000,BM_Material!$D$1:$D$10000,Group!C100)</f>
        <v>0</v>
      </c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M100" s="1">
        <f>BOM!D100</f>
        <v>0</v>
      </c>
      <c r="AN100" s="1">
        <f>BOM!C100</f>
        <v>0</v>
      </c>
      <c r="AO100" s="1">
        <f>BOM!B100</f>
        <v>0</v>
      </c>
    </row>
    <row r="101" spans="2:41">
      <c r="B101" s="205">
        <v>99</v>
      </c>
      <c r="C101" s="659">
        <f t="shared" si="1"/>
        <v>0</v>
      </c>
      <c r="D101" s="1" t="s">
        <v>318</v>
      </c>
      <c r="E101" s="259">
        <f>SUMIFS(BM_Material!$AE$1:$AE$10000,BM_Material!$D$1:$D$10000,Group!C101)</f>
        <v>0</v>
      </c>
      <c r="F101" s="259">
        <f>SUMIFS(BM_Process!$H$1:$H$9999,BM_Process!$B$1:$B$9999,Group!$C101,BM_Process!$C$1:$C$9999,Group!F$2)</f>
        <v>0</v>
      </c>
      <c r="G101" s="259">
        <f>SUMIFS(BM_Process!$H$1:$H$9999,BM_Process!$B$1:$B$9999,Group!$C101,BM_Process!$C$1:$C$9999,Group!G$2)</f>
        <v>0</v>
      </c>
      <c r="H101" s="259">
        <f>SUMIFS(BM_Process!$H$1:$H$9999,BM_Process!$B$1:$B$9999,Group!$C101,BM_Process!$C$1:$C$9999,Group!H$2)</f>
        <v>0</v>
      </c>
      <c r="I101" s="259">
        <f>SUMIFS(BM_Material!$W$1:$W$10000,BM_Material!$D$1:$D$10000,Group!C101)</f>
        <v>0</v>
      </c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M101" s="1">
        <f>BOM!D101</f>
        <v>0</v>
      </c>
      <c r="AN101" s="1">
        <f>BOM!C101</f>
        <v>0</v>
      </c>
      <c r="AO101" s="1">
        <f>BOM!B101</f>
        <v>0</v>
      </c>
    </row>
    <row r="102" spans="2:41">
      <c r="B102" s="205">
        <v>100</v>
      </c>
      <c r="C102" s="659">
        <f t="shared" si="1"/>
        <v>0</v>
      </c>
      <c r="D102" s="1" t="s">
        <v>318</v>
      </c>
      <c r="E102" s="259">
        <f>SUMIFS(BM_Material!$AE$1:$AE$10000,BM_Material!$D$1:$D$10000,Group!C102)</f>
        <v>0</v>
      </c>
      <c r="F102" s="259">
        <f>SUMIFS(BM_Process!$H$1:$H$9999,BM_Process!$B$1:$B$9999,Group!$C102,BM_Process!$C$1:$C$9999,Group!F$2)</f>
        <v>0</v>
      </c>
      <c r="G102" s="259">
        <f>SUMIFS(BM_Process!$H$1:$H$9999,BM_Process!$B$1:$B$9999,Group!$C102,BM_Process!$C$1:$C$9999,Group!G$2)</f>
        <v>0</v>
      </c>
      <c r="H102" s="259">
        <f>SUMIFS(BM_Process!$H$1:$H$9999,BM_Process!$B$1:$B$9999,Group!$C102,BM_Process!$C$1:$C$9999,Group!H$2)</f>
        <v>0</v>
      </c>
      <c r="I102" s="259">
        <f>SUMIFS(BM_Material!$W$1:$W$10000,BM_Material!$D$1:$D$10000,Group!C102)</f>
        <v>0</v>
      </c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M102" s="1">
        <f>BOM!D102</f>
        <v>0</v>
      </c>
      <c r="AN102" s="1">
        <f>BOM!C102</f>
        <v>0</v>
      </c>
      <c r="AO102" s="1">
        <f>BOM!B102</f>
        <v>0</v>
      </c>
    </row>
    <row r="103" spans="2:41">
      <c r="B103" s="205">
        <v>101</v>
      </c>
      <c r="C103" s="659">
        <f>R2</f>
        <v>0</v>
      </c>
      <c r="D103" s="1" t="s">
        <v>882</v>
      </c>
      <c r="E103" s="259">
        <f>SUMIFS(Casting_Material!$S$1:$S$10000,Casting_Material!$D$1:$D$10000,Group!C103)</f>
        <v>0</v>
      </c>
      <c r="F103" s="259">
        <f>SUMIFS(Casting_Process!$H$1:$H$10000,Casting_Process!$C$1:$C$10000,Group!F$2,Casting_Process!$B$1:$B$10000,Group!$C103)</f>
        <v>0</v>
      </c>
      <c r="G103" s="259">
        <f>SUMIFS(Casting_Process!$H$1:$H$10000,Casting_Process!$C$1:$C$10000,Group!G$2,Casting_Process!$B$1:$B$10000,Group!$C103)</f>
        <v>0</v>
      </c>
      <c r="H103" s="259">
        <f>SUMIFS(Casting_Process!$H$1:$H$10000,Casting_Process!$C$1:$C$10000,Group!H$2,Casting_Process!$B$1:$B$10000,Group!$C103)</f>
        <v>0</v>
      </c>
      <c r="I103" s="259">
        <f>SUMIFS(Casting_Material!$H$1:$H$10000,Casting_Material!$D$1:$D$10000,Group!C103)</f>
        <v>0</v>
      </c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M103" s="1">
        <f>BOM!D103</f>
        <v>0</v>
      </c>
      <c r="AN103" s="1">
        <f>BOM!C103</f>
        <v>0</v>
      </c>
      <c r="AO103" s="1">
        <f>BOM!B103</f>
        <v>0</v>
      </c>
    </row>
    <row r="104" spans="2:41">
      <c r="B104" s="205">
        <v>102</v>
      </c>
      <c r="C104" s="659">
        <f t="shared" ref="C104:C152" si="2">R3</f>
        <v>0</v>
      </c>
      <c r="D104" s="1" t="s">
        <v>882</v>
      </c>
      <c r="E104" s="259">
        <f>SUMIFS(Casting_Material!$S$1:$S$10000,Casting_Material!$D$1:$D$10000,Group!C104)</f>
        <v>0</v>
      </c>
      <c r="F104" s="259">
        <f>SUMIFS(Casting_Process!$H$1:$H$10000,Casting_Process!$C$1:$C$10000,Group!F$2,Casting_Process!$B$1:$B$10000,Group!$C104)</f>
        <v>0</v>
      </c>
      <c r="G104" s="259">
        <f>SUMIFS(Casting_Process!$H$1:$H$10000,Casting_Process!$C$1:$C$10000,Group!G$2,Casting_Process!$B$1:$B$10000,Group!$C104)</f>
        <v>0</v>
      </c>
      <c r="H104" s="259">
        <f>SUMIFS(Casting_Process!$H$1:$H$10000,Casting_Process!$C$1:$C$10000,Group!H$2,Casting_Process!$B$1:$B$10000,Group!$C104)</f>
        <v>0</v>
      </c>
      <c r="I104" s="259">
        <f>SUMIFS(Casting_Material!$H$1:$H$10000,Casting_Material!$D$1:$D$10000,Group!C104)</f>
        <v>0</v>
      </c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M104" s="1">
        <f>BOM!D104</f>
        <v>0</v>
      </c>
      <c r="AN104" s="1">
        <f>BOM!C104</f>
        <v>0</v>
      </c>
      <c r="AO104" s="1">
        <f>BOM!B104</f>
        <v>0</v>
      </c>
    </row>
    <row r="105" spans="2:41">
      <c r="B105" s="205">
        <v>103</v>
      </c>
      <c r="C105" s="659">
        <f t="shared" si="2"/>
        <v>0</v>
      </c>
      <c r="D105" s="1" t="s">
        <v>882</v>
      </c>
      <c r="E105" s="259">
        <f>SUMIFS(Casting_Material!$S$1:$S$10000,Casting_Material!$D$1:$D$10000,Group!C105)</f>
        <v>0</v>
      </c>
      <c r="F105" s="259">
        <f>SUMIFS(Casting_Process!$H$1:$H$10000,Casting_Process!$C$1:$C$10000,Group!F$2,Casting_Process!$B$1:$B$10000,Group!$C105)</f>
        <v>0</v>
      </c>
      <c r="G105" s="259">
        <f>SUMIFS(Casting_Process!$H$1:$H$10000,Casting_Process!$C$1:$C$10000,Group!G$2,Casting_Process!$B$1:$B$10000,Group!$C105)</f>
        <v>0</v>
      </c>
      <c r="H105" s="259">
        <f>SUMIFS(Casting_Process!$H$1:$H$10000,Casting_Process!$C$1:$C$10000,Group!H$2,Casting_Process!$B$1:$B$10000,Group!$C105)</f>
        <v>0</v>
      </c>
      <c r="I105" s="259">
        <f>SUMIFS(Casting_Material!$H$1:$H$10000,Casting_Material!$D$1:$D$10000,Group!C105)</f>
        <v>0</v>
      </c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M105" s="1">
        <f>BOM!D105</f>
        <v>0</v>
      </c>
      <c r="AN105" s="1">
        <f>BOM!C105</f>
        <v>0</v>
      </c>
      <c r="AO105" s="1">
        <f>BOM!B105</f>
        <v>0</v>
      </c>
    </row>
    <row r="106" spans="2:41">
      <c r="B106" s="205">
        <v>104</v>
      </c>
      <c r="C106" s="659">
        <f t="shared" si="2"/>
        <v>0</v>
      </c>
      <c r="D106" s="1" t="s">
        <v>882</v>
      </c>
      <c r="E106" s="259">
        <f>SUMIFS(Casting_Material!$S$1:$S$10000,Casting_Material!$D$1:$D$10000,Group!C106)</f>
        <v>0</v>
      </c>
      <c r="F106" s="259">
        <f>SUMIFS(Casting_Process!$H$1:$H$10000,Casting_Process!$C$1:$C$10000,Group!F$2,Casting_Process!$B$1:$B$10000,Group!$C106)</f>
        <v>0</v>
      </c>
      <c r="G106" s="259">
        <f>SUMIFS(Casting_Process!$H$1:$H$10000,Casting_Process!$C$1:$C$10000,Group!G$2,Casting_Process!$B$1:$B$10000,Group!$C106)</f>
        <v>0</v>
      </c>
      <c r="H106" s="259">
        <f>SUMIFS(Casting_Process!$H$1:$H$10000,Casting_Process!$C$1:$C$10000,Group!H$2,Casting_Process!$B$1:$B$10000,Group!$C106)</f>
        <v>0</v>
      </c>
      <c r="I106" s="259">
        <f>SUMIFS(Casting_Material!$H$1:$H$10000,Casting_Material!$D$1:$D$10000,Group!C106)</f>
        <v>0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M106" s="1">
        <f>BOM!D106</f>
        <v>0</v>
      </c>
      <c r="AN106" s="1">
        <f>BOM!C106</f>
        <v>0</v>
      </c>
      <c r="AO106" s="1">
        <f>BOM!B106</f>
        <v>0</v>
      </c>
    </row>
    <row r="107" spans="2:41">
      <c r="B107" s="205">
        <v>105</v>
      </c>
      <c r="C107" s="659">
        <f t="shared" si="2"/>
        <v>0</v>
      </c>
      <c r="D107" s="1" t="s">
        <v>882</v>
      </c>
      <c r="E107" s="259">
        <f>SUMIFS(Casting_Material!$S$1:$S$10000,Casting_Material!$D$1:$D$10000,Group!C107)</f>
        <v>0</v>
      </c>
      <c r="F107" s="259">
        <f>SUMIFS(Casting_Process!$H$1:$H$10000,Casting_Process!$C$1:$C$10000,Group!F$2,Casting_Process!$B$1:$B$10000,Group!$C107)</f>
        <v>0</v>
      </c>
      <c r="G107" s="259">
        <f>SUMIFS(Casting_Process!$H$1:$H$10000,Casting_Process!$C$1:$C$10000,Group!G$2,Casting_Process!$B$1:$B$10000,Group!$C107)</f>
        <v>0</v>
      </c>
      <c r="H107" s="259">
        <f>SUMIFS(Casting_Process!$H$1:$H$10000,Casting_Process!$C$1:$C$10000,Group!H$2,Casting_Process!$B$1:$B$10000,Group!$C107)</f>
        <v>0</v>
      </c>
      <c r="I107" s="259">
        <f>SUMIFS(Casting_Material!$H$1:$H$10000,Casting_Material!$D$1:$D$10000,Group!C107)</f>
        <v>0</v>
      </c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M107" s="1">
        <f>BOM!D107</f>
        <v>0</v>
      </c>
      <c r="AN107" s="1">
        <f>BOM!C107</f>
        <v>0</v>
      </c>
      <c r="AO107" s="1">
        <f>BOM!B107</f>
        <v>0</v>
      </c>
    </row>
    <row r="108" spans="2:41">
      <c r="B108" s="205">
        <v>106</v>
      </c>
      <c r="C108" s="659">
        <f t="shared" si="2"/>
        <v>0</v>
      </c>
      <c r="D108" s="1" t="s">
        <v>882</v>
      </c>
      <c r="E108" s="259">
        <f>SUMIFS(Casting_Material!$S$1:$S$10000,Casting_Material!$D$1:$D$10000,Group!C108)</f>
        <v>0</v>
      </c>
      <c r="F108" s="259">
        <f>SUMIFS(Casting_Process!$H$1:$H$10000,Casting_Process!$C$1:$C$10000,Group!F$2,Casting_Process!$B$1:$B$10000,Group!$C108)</f>
        <v>0</v>
      </c>
      <c r="G108" s="259">
        <f>SUMIFS(Casting_Process!$H$1:$H$10000,Casting_Process!$C$1:$C$10000,Group!G$2,Casting_Process!$B$1:$B$10000,Group!$C108)</f>
        <v>0</v>
      </c>
      <c r="H108" s="259">
        <f>SUMIFS(Casting_Process!$H$1:$H$10000,Casting_Process!$C$1:$C$10000,Group!H$2,Casting_Process!$B$1:$B$10000,Group!$C108)</f>
        <v>0</v>
      </c>
      <c r="I108" s="259">
        <f>SUMIFS(Casting_Material!$H$1:$H$10000,Casting_Material!$D$1:$D$10000,Group!C108)</f>
        <v>0</v>
      </c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M108" s="1">
        <f>BOM!D108</f>
        <v>0</v>
      </c>
      <c r="AN108" s="1">
        <f>BOM!C108</f>
        <v>0</v>
      </c>
      <c r="AO108" s="1">
        <f>BOM!B108</f>
        <v>0</v>
      </c>
    </row>
    <row r="109" spans="2:41">
      <c r="B109" s="205">
        <v>107</v>
      </c>
      <c r="C109" s="659">
        <f t="shared" si="2"/>
        <v>0</v>
      </c>
      <c r="D109" s="1" t="s">
        <v>882</v>
      </c>
      <c r="E109" s="259">
        <f>SUMIFS(Casting_Material!$S$1:$S$10000,Casting_Material!$D$1:$D$10000,Group!C109)</f>
        <v>0</v>
      </c>
      <c r="F109" s="259">
        <f>SUMIFS(Casting_Process!$H$1:$H$10000,Casting_Process!$C$1:$C$10000,Group!F$2,Casting_Process!$B$1:$B$10000,Group!$C109)</f>
        <v>0</v>
      </c>
      <c r="G109" s="259">
        <f>SUMIFS(Casting_Process!$H$1:$H$10000,Casting_Process!$C$1:$C$10000,Group!G$2,Casting_Process!$B$1:$B$10000,Group!$C109)</f>
        <v>0</v>
      </c>
      <c r="H109" s="259">
        <f>SUMIFS(Casting_Process!$H$1:$H$10000,Casting_Process!$C$1:$C$10000,Group!H$2,Casting_Process!$B$1:$B$10000,Group!$C109)</f>
        <v>0</v>
      </c>
      <c r="I109" s="259">
        <f>SUMIFS(Casting_Material!$H$1:$H$10000,Casting_Material!$D$1:$D$10000,Group!C109)</f>
        <v>0</v>
      </c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M109" s="1">
        <f>BOM!D109</f>
        <v>0</v>
      </c>
      <c r="AN109" s="1">
        <f>BOM!C109</f>
        <v>0</v>
      </c>
      <c r="AO109" s="1">
        <f>BOM!B109</f>
        <v>0</v>
      </c>
    </row>
    <row r="110" spans="2:41">
      <c r="B110" s="205">
        <v>108</v>
      </c>
      <c r="C110" s="659">
        <f t="shared" si="2"/>
        <v>0</v>
      </c>
      <c r="D110" s="1" t="s">
        <v>882</v>
      </c>
      <c r="E110" s="259">
        <f>SUMIFS(Casting_Material!$S$1:$S$10000,Casting_Material!$D$1:$D$10000,Group!C110)</f>
        <v>0</v>
      </c>
      <c r="F110" s="259">
        <f>SUMIFS(Casting_Process!$H$1:$H$10000,Casting_Process!$C$1:$C$10000,Group!F$2,Casting_Process!$B$1:$B$10000,Group!$C110)</f>
        <v>0</v>
      </c>
      <c r="G110" s="259">
        <f>SUMIFS(Casting_Process!$H$1:$H$10000,Casting_Process!$C$1:$C$10000,Group!G$2,Casting_Process!$B$1:$B$10000,Group!$C110)</f>
        <v>0</v>
      </c>
      <c r="H110" s="259">
        <f>SUMIFS(Casting_Process!$H$1:$H$10000,Casting_Process!$C$1:$C$10000,Group!H$2,Casting_Process!$B$1:$B$10000,Group!$C110)</f>
        <v>0</v>
      </c>
      <c r="I110" s="259">
        <f>SUMIFS(Casting_Material!$H$1:$H$10000,Casting_Material!$D$1:$D$10000,Group!C110)</f>
        <v>0</v>
      </c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M110" s="1">
        <f>BOM!D110</f>
        <v>0</v>
      </c>
      <c r="AN110" s="1">
        <f>BOM!C110</f>
        <v>0</v>
      </c>
      <c r="AO110" s="1">
        <f>BOM!B110</f>
        <v>0</v>
      </c>
    </row>
    <row r="111" spans="2:41">
      <c r="B111" s="205">
        <v>109</v>
      </c>
      <c r="C111" s="659">
        <f t="shared" si="2"/>
        <v>0</v>
      </c>
      <c r="D111" s="1" t="s">
        <v>882</v>
      </c>
      <c r="E111" s="259">
        <f>SUMIFS(Casting_Material!$S$1:$S$10000,Casting_Material!$D$1:$D$10000,Group!C111)</f>
        <v>0</v>
      </c>
      <c r="F111" s="259">
        <f>SUMIFS(Casting_Process!$H$1:$H$10000,Casting_Process!$C$1:$C$10000,Group!F$2,Casting_Process!$B$1:$B$10000,Group!$C111)</f>
        <v>0</v>
      </c>
      <c r="G111" s="259">
        <f>SUMIFS(Casting_Process!$H$1:$H$10000,Casting_Process!$C$1:$C$10000,Group!G$2,Casting_Process!$B$1:$B$10000,Group!$C111)</f>
        <v>0</v>
      </c>
      <c r="H111" s="259">
        <f>SUMIFS(Casting_Process!$H$1:$H$10000,Casting_Process!$C$1:$C$10000,Group!H$2,Casting_Process!$B$1:$B$10000,Group!$C111)</f>
        <v>0</v>
      </c>
      <c r="I111" s="259">
        <f>SUMIFS(Casting_Material!$H$1:$H$10000,Casting_Material!$D$1:$D$10000,Group!C111)</f>
        <v>0</v>
      </c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M111" s="1">
        <f>BOM!D111</f>
        <v>0</v>
      </c>
      <c r="AN111" s="1">
        <f>BOM!C111</f>
        <v>0</v>
      </c>
      <c r="AO111" s="1">
        <f>BOM!B111</f>
        <v>0</v>
      </c>
    </row>
    <row r="112" spans="2:41">
      <c r="B112" s="205">
        <v>110</v>
      </c>
      <c r="C112" s="659">
        <f t="shared" si="2"/>
        <v>0</v>
      </c>
      <c r="D112" s="1" t="s">
        <v>882</v>
      </c>
      <c r="E112" s="259">
        <f>SUMIFS(Casting_Material!$S$1:$S$10000,Casting_Material!$D$1:$D$10000,Group!C112)</f>
        <v>0</v>
      </c>
      <c r="F112" s="259">
        <f>SUMIFS(Casting_Process!$H$1:$H$10000,Casting_Process!$C$1:$C$10000,Group!F$2,Casting_Process!$B$1:$B$10000,Group!$C112)</f>
        <v>0</v>
      </c>
      <c r="G112" s="259">
        <f>SUMIFS(Casting_Process!$H$1:$H$10000,Casting_Process!$C$1:$C$10000,Group!G$2,Casting_Process!$B$1:$B$10000,Group!$C112)</f>
        <v>0</v>
      </c>
      <c r="H112" s="259">
        <f>SUMIFS(Casting_Process!$H$1:$H$10000,Casting_Process!$C$1:$C$10000,Group!H$2,Casting_Process!$B$1:$B$10000,Group!$C112)</f>
        <v>0</v>
      </c>
      <c r="I112" s="259">
        <f>SUMIFS(Casting_Material!$H$1:$H$10000,Casting_Material!$D$1:$D$10000,Group!C112)</f>
        <v>0</v>
      </c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M112" s="1">
        <f>BOM!D112</f>
        <v>0</v>
      </c>
      <c r="AN112" s="1">
        <f>BOM!C112</f>
        <v>0</v>
      </c>
      <c r="AO112" s="1">
        <f>BOM!B112</f>
        <v>0</v>
      </c>
    </row>
    <row r="113" spans="2:41">
      <c r="B113" s="205">
        <v>111</v>
      </c>
      <c r="C113" s="659">
        <f t="shared" si="2"/>
        <v>0</v>
      </c>
      <c r="D113" s="1" t="s">
        <v>882</v>
      </c>
      <c r="E113" s="259">
        <f>SUMIFS(Casting_Material!$S$1:$S$10000,Casting_Material!$D$1:$D$10000,Group!C113)</f>
        <v>0</v>
      </c>
      <c r="F113" s="259">
        <f>SUMIFS(Casting_Process!$H$1:$H$10000,Casting_Process!$C$1:$C$10000,Group!F$2,Casting_Process!$B$1:$B$10000,Group!$C113)</f>
        <v>0</v>
      </c>
      <c r="G113" s="259">
        <f>SUMIFS(Casting_Process!$H$1:$H$10000,Casting_Process!$C$1:$C$10000,Group!G$2,Casting_Process!$B$1:$B$10000,Group!$C113)</f>
        <v>0</v>
      </c>
      <c r="H113" s="259">
        <f>SUMIFS(Casting_Process!$H$1:$H$10000,Casting_Process!$C$1:$C$10000,Group!H$2,Casting_Process!$B$1:$B$10000,Group!$C113)</f>
        <v>0</v>
      </c>
      <c r="I113" s="259">
        <f>SUMIFS(Casting_Material!$H$1:$H$10000,Casting_Material!$D$1:$D$10000,Group!C113)</f>
        <v>0</v>
      </c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M113" s="1">
        <f>BOM!D113</f>
        <v>0</v>
      </c>
      <c r="AN113" s="1">
        <f>BOM!C113</f>
        <v>0</v>
      </c>
      <c r="AO113" s="1">
        <f>BOM!B113</f>
        <v>0</v>
      </c>
    </row>
    <row r="114" spans="2:41">
      <c r="B114" s="205">
        <v>112</v>
      </c>
      <c r="C114" s="659">
        <f t="shared" si="2"/>
        <v>0</v>
      </c>
      <c r="D114" s="1" t="s">
        <v>882</v>
      </c>
      <c r="E114" s="259">
        <f>SUMIFS(Casting_Material!$S$1:$S$10000,Casting_Material!$D$1:$D$10000,Group!C114)</f>
        <v>0</v>
      </c>
      <c r="F114" s="259">
        <f>SUMIFS(Casting_Process!$H$1:$H$10000,Casting_Process!$C$1:$C$10000,Group!F$2,Casting_Process!$B$1:$B$10000,Group!$C114)</f>
        <v>0</v>
      </c>
      <c r="G114" s="259">
        <f>SUMIFS(Casting_Process!$H$1:$H$10000,Casting_Process!$C$1:$C$10000,Group!G$2,Casting_Process!$B$1:$B$10000,Group!$C114)</f>
        <v>0</v>
      </c>
      <c r="H114" s="259">
        <f>SUMIFS(Casting_Process!$H$1:$H$10000,Casting_Process!$C$1:$C$10000,Group!H$2,Casting_Process!$B$1:$B$10000,Group!$C114)</f>
        <v>0</v>
      </c>
      <c r="I114" s="259">
        <f>SUMIFS(Casting_Material!$H$1:$H$10000,Casting_Material!$D$1:$D$10000,Group!C114)</f>
        <v>0</v>
      </c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M114" s="1">
        <f>BOM!D114</f>
        <v>0</v>
      </c>
      <c r="AN114" s="1">
        <f>BOM!C114</f>
        <v>0</v>
      </c>
      <c r="AO114" s="1">
        <f>BOM!B114</f>
        <v>0</v>
      </c>
    </row>
    <row r="115" spans="2:41">
      <c r="B115" s="205">
        <v>113</v>
      </c>
      <c r="C115" s="659">
        <f t="shared" si="2"/>
        <v>0</v>
      </c>
      <c r="D115" s="1" t="s">
        <v>882</v>
      </c>
      <c r="E115" s="259">
        <f>SUMIFS(Casting_Material!$S$1:$S$10000,Casting_Material!$D$1:$D$10000,Group!C115)</f>
        <v>0</v>
      </c>
      <c r="F115" s="259">
        <f>SUMIFS(Casting_Process!$H$1:$H$10000,Casting_Process!$C$1:$C$10000,Group!F$2,Casting_Process!$B$1:$B$10000,Group!$C115)</f>
        <v>0</v>
      </c>
      <c r="G115" s="259">
        <f>SUMIFS(Casting_Process!$H$1:$H$10000,Casting_Process!$C$1:$C$10000,Group!G$2,Casting_Process!$B$1:$B$10000,Group!$C115)</f>
        <v>0</v>
      </c>
      <c r="H115" s="259">
        <f>SUMIFS(Casting_Process!$H$1:$H$10000,Casting_Process!$C$1:$C$10000,Group!H$2,Casting_Process!$B$1:$B$10000,Group!$C115)</f>
        <v>0</v>
      </c>
      <c r="I115" s="259">
        <f>SUMIFS(Casting_Material!$H$1:$H$10000,Casting_Material!$D$1:$D$10000,Group!C115)</f>
        <v>0</v>
      </c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M115" s="1">
        <f>BOM!D115</f>
        <v>0</v>
      </c>
      <c r="AN115" s="1">
        <f>BOM!C115</f>
        <v>0</v>
      </c>
      <c r="AO115" s="1">
        <f>BOM!B115</f>
        <v>0</v>
      </c>
    </row>
    <row r="116" spans="2:41">
      <c r="B116" s="205">
        <v>114</v>
      </c>
      <c r="C116" s="659">
        <f t="shared" si="2"/>
        <v>0</v>
      </c>
      <c r="D116" s="1" t="s">
        <v>882</v>
      </c>
      <c r="E116" s="259">
        <f>SUMIFS(Casting_Material!$S$1:$S$10000,Casting_Material!$D$1:$D$10000,Group!C116)</f>
        <v>0</v>
      </c>
      <c r="F116" s="259">
        <f>SUMIFS(Casting_Process!$H$1:$H$10000,Casting_Process!$C$1:$C$10000,Group!F$2,Casting_Process!$B$1:$B$10000,Group!$C116)</f>
        <v>0</v>
      </c>
      <c r="G116" s="259">
        <f>SUMIFS(Casting_Process!$H$1:$H$10000,Casting_Process!$C$1:$C$10000,Group!G$2,Casting_Process!$B$1:$B$10000,Group!$C116)</f>
        <v>0</v>
      </c>
      <c r="H116" s="259">
        <f>SUMIFS(Casting_Process!$H$1:$H$10000,Casting_Process!$C$1:$C$10000,Group!H$2,Casting_Process!$B$1:$B$10000,Group!$C116)</f>
        <v>0</v>
      </c>
      <c r="I116" s="259">
        <f>SUMIFS(Casting_Material!$H$1:$H$10000,Casting_Material!$D$1:$D$10000,Group!C116)</f>
        <v>0</v>
      </c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M116" s="1">
        <f>BOM!D116</f>
        <v>0</v>
      </c>
      <c r="AN116" s="1">
        <f>BOM!C116</f>
        <v>0</v>
      </c>
      <c r="AO116" s="1">
        <f>BOM!B116</f>
        <v>0</v>
      </c>
    </row>
    <row r="117" spans="2:41">
      <c r="B117" s="205">
        <v>115</v>
      </c>
      <c r="C117" s="659">
        <f t="shared" si="2"/>
        <v>0</v>
      </c>
      <c r="D117" s="1" t="s">
        <v>882</v>
      </c>
      <c r="E117" s="259">
        <f>SUMIFS(Casting_Material!$S$1:$S$10000,Casting_Material!$D$1:$D$10000,Group!C117)</f>
        <v>0</v>
      </c>
      <c r="F117" s="259">
        <f>SUMIFS(Casting_Process!$H$1:$H$10000,Casting_Process!$C$1:$C$10000,Group!F$2,Casting_Process!$B$1:$B$10000,Group!$C117)</f>
        <v>0</v>
      </c>
      <c r="G117" s="259">
        <f>SUMIFS(Casting_Process!$H$1:$H$10000,Casting_Process!$C$1:$C$10000,Group!G$2,Casting_Process!$B$1:$B$10000,Group!$C117)</f>
        <v>0</v>
      </c>
      <c r="H117" s="259">
        <f>SUMIFS(Casting_Process!$H$1:$H$10000,Casting_Process!$C$1:$C$10000,Group!H$2,Casting_Process!$B$1:$B$10000,Group!$C117)</f>
        <v>0</v>
      </c>
      <c r="I117" s="259">
        <f>SUMIFS(Casting_Material!$H$1:$H$10000,Casting_Material!$D$1:$D$10000,Group!C117)</f>
        <v>0</v>
      </c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M117" s="1">
        <f>BOM!D117</f>
        <v>0</v>
      </c>
      <c r="AN117" s="1">
        <f>BOM!C117</f>
        <v>0</v>
      </c>
      <c r="AO117" s="1">
        <f>BOM!B117</f>
        <v>0</v>
      </c>
    </row>
    <row r="118" spans="2:41">
      <c r="B118" s="205">
        <v>116</v>
      </c>
      <c r="C118" s="659">
        <f t="shared" si="2"/>
        <v>0</v>
      </c>
      <c r="D118" s="1" t="s">
        <v>882</v>
      </c>
      <c r="E118" s="259">
        <f>SUMIFS(Casting_Material!$S$1:$S$10000,Casting_Material!$D$1:$D$10000,Group!C118)</f>
        <v>0</v>
      </c>
      <c r="F118" s="259">
        <f>SUMIFS(Casting_Process!$H$1:$H$10000,Casting_Process!$C$1:$C$10000,Group!F$2,Casting_Process!$B$1:$B$10000,Group!$C118)</f>
        <v>0</v>
      </c>
      <c r="G118" s="259">
        <f>SUMIFS(Casting_Process!$H$1:$H$10000,Casting_Process!$C$1:$C$10000,Group!G$2,Casting_Process!$B$1:$B$10000,Group!$C118)</f>
        <v>0</v>
      </c>
      <c r="H118" s="259">
        <f>SUMIFS(Casting_Process!$H$1:$H$10000,Casting_Process!$C$1:$C$10000,Group!H$2,Casting_Process!$B$1:$B$10000,Group!$C118)</f>
        <v>0</v>
      </c>
      <c r="I118" s="259">
        <f>SUMIFS(Casting_Material!$H$1:$H$10000,Casting_Material!$D$1:$D$10000,Group!C118)</f>
        <v>0</v>
      </c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M118" s="1">
        <f>BOM!D118</f>
        <v>0</v>
      </c>
      <c r="AN118" s="1">
        <f>BOM!C118</f>
        <v>0</v>
      </c>
      <c r="AO118" s="1">
        <f>BOM!B118</f>
        <v>0</v>
      </c>
    </row>
    <row r="119" spans="2:41">
      <c r="B119" s="205">
        <v>117</v>
      </c>
      <c r="C119" s="659">
        <f t="shared" si="2"/>
        <v>0</v>
      </c>
      <c r="D119" s="1" t="s">
        <v>882</v>
      </c>
      <c r="E119" s="259">
        <f>SUMIFS(Casting_Material!$S$1:$S$10000,Casting_Material!$D$1:$D$10000,Group!C119)</f>
        <v>0</v>
      </c>
      <c r="F119" s="259">
        <f>SUMIFS(Casting_Process!$H$1:$H$10000,Casting_Process!$C$1:$C$10000,Group!F$2,Casting_Process!$B$1:$B$10000,Group!$C119)</f>
        <v>0</v>
      </c>
      <c r="G119" s="259">
        <f>SUMIFS(Casting_Process!$H$1:$H$10000,Casting_Process!$C$1:$C$10000,Group!G$2,Casting_Process!$B$1:$B$10000,Group!$C119)</f>
        <v>0</v>
      </c>
      <c r="H119" s="259">
        <f>SUMIFS(Casting_Process!$H$1:$H$10000,Casting_Process!$C$1:$C$10000,Group!H$2,Casting_Process!$B$1:$B$10000,Group!$C119)</f>
        <v>0</v>
      </c>
      <c r="I119" s="259">
        <f>SUMIFS(Casting_Material!$H$1:$H$10000,Casting_Material!$D$1:$D$10000,Group!C119)</f>
        <v>0</v>
      </c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M119" s="1">
        <f>BOM!D119</f>
        <v>0</v>
      </c>
      <c r="AN119" s="1">
        <f>BOM!C119</f>
        <v>0</v>
      </c>
      <c r="AO119" s="1">
        <f>BOM!B119</f>
        <v>0</v>
      </c>
    </row>
    <row r="120" spans="2:41">
      <c r="B120" s="205">
        <v>118</v>
      </c>
      <c r="C120" s="659">
        <f t="shared" si="2"/>
        <v>0</v>
      </c>
      <c r="D120" s="1" t="s">
        <v>882</v>
      </c>
      <c r="E120" s="259">
        <f>SUMIFS(Casting_Material!$S$1:$S$10000,Casting_Material!$D$1:$D$10000,Group!C120)</f>
        <v>0</v>
      </c>
      <c r="F120" s="259">
        <f>SUMIFS(Casting_Process!$H$1:$H$10000,Casting_Process!$C$1:$C$10000,Group!F$2,Casting_Process!$B$1:$B$10000,Group!$C120)</f>
        <v>0</v>
      </c>
      <c r="G120" s="259">
        <f>SUMIFS(Casting_Process!$H$1:$H$10000,Casting_Process!$C$1:$C$10000,Group!G$2,Casting_Process!$B$1:$B$10000,Group!$C120)</f>
        <v>0</v>
      </c>
      <c r="H120" s="259">
        <f>SUMIFS(Casting_Process!$H$1:$H$10000,Casting_Process!$C$1:$C$10000,Group!H$2,Casting_Process!$B$1:$B$10000,Group!$C120)</f>
        <v>0</v>
      </c>
      <c r="I120" s="259">
        <f>SUMIFS(Casting_Material!$H$1:$H$10000,Casting_Material!$D$1:$D$10000,Group!C120)</f>
        <v>0</v>
      </c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M120" s="1">
        <f>BOM!D120</f>
        <v>0</v>
      </c>
      <c r="AN120" s="1">
        <f>BOM!C120</f>
        <v>0</v>
      </c>
      <c r="AO120" s="1">
        <f>BOM!B120</f>
        <v>0</v>
      </c>
    </row>
    <row r="121" spans="2:41">
      <c r="B121" s="205">
        <v>119</v>
      </c>
      <c r="C121" s="659">
        <f t="shared" si="2"/>
        <v>0</v>
      </c>
      <c r="D121" s="1" t="s">
        <v>882</v>
      </c>
      <c r="E121" s="259">
        <f>SUMIFS(Casting_Material!$S$1:$S$10000,Casting_Material!$D$1:$D$10000,Group!C121)</f>
        <v>0</v>
      </c>
      <c r="F121" s="259">
        <f>SUMIFS(Casting_Process!$H$1:$H$10000,Casting_Process!$C$1:$C$10000,Group!F$2,Casting_Process!$B$1:$B$10000,Group!$C121)</f>
        <v>0</v>
      </c>
      <c r="G121" s="259">
        <f>SUMIFS(Casting_Process!$H$1:$H$10000,Casting_Process!$C$1:$C$10000,Group!G$2,Casting_Process!$B$1:$B$10000,Group!$C121)</f>
        <v>0</v>
      </c>
      <c r="H121" s="259">
        <f>SUMIFS(Casting_Process!$H$1:$H$10000,Casting_Process!$C$1:$C$10000,Group!H$2,Casting_Process!$B$1:$B$10000,Group!$C121)</f>
        <v>0</v>
      </c>
      <c r="I121" s="259">
        <f>SUMIFS(Casting_Material!$H$1:$H$10000,Casting_Material!$D$1:$D$10000,Group!C121)</f>
        <v>0</v>
      </c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M121" s="1">
        <f>BOM!D121</f>
        <v>0</v>
      </c>
      <c r="AN121" s="1">
        <f>BOM!C121</f>
        <v>0</v>
      </c>
      <c r="AO121" s="1">
        <f>BOM!B121</f>
        <v>0</v>
      </c>
    </row>
    <row r="122" spans="2:41">
      <c r="B122" s="205">
        <v>120</v>
      </c>
      <c r="C122" s="659">
        <f t="shared" si="2"/>
        <v>0</v>
      </c>
      <c r="D122" s="1" t="s">
        <v>882</v>
      </c>
      <c r="E122" s="259">
        <f>SUMIFS(Casting_Material!$S$1:$S$10000,Casting_Material!$D$1:$D$10000,Group!C122)</f>
        <v>0</v>
      </c>
      <c r="F122" s="259">
        <f>SUMIFS(Casting_Process!$H$1:$H$10000,Casting_Process!$C$1:$C$10000,Group!F$2,Casting_Process!$B$1:$B$10000,Group!$C122)</f>
        <v>0</v>
      </c>
      <c r="G122" s="259">
        <f>SUMIFS(Casting_Process!$H$1:$H$10000,Casting_Process!$C$1:$C$10000,Group!G$2,Casting_Process!$B$1:$B$10000,Group!$C122)</f>
        <v>0</v>
      </c>
      <c r="H122" s="259">
        <f>SUMIFS(Casting_Process!$H$1:$H$10000,Casting_Process!$C$1:$C$10000,Group!H$2,Casting_Process!$B$1:$B$10000,Group!$C122)</f>
        <v>0</v>
      </c>
      <c r="I122" s="259">
        <f>SUMIFS(Casting_Material!$H$1:$H$10000,Casting_Material!$D$1:$D$10000,Group!C122)</f>
        <v>0</v>
      </c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M122" s="1">
        <f>BOM!D122</f>
        <v>0</v>
      </c>
      <c r="AN122" s="1">
        <f>BOM!C122</f>
        <v>0</v>
      </c>
      <c r="AO122" s="1">
        <f>BOM!B122</f>
        <v>0</v>
      </c>
    </row>
    <row r="123" spans="2:41">
      <c r="B123" s="205">
        <v>121</v>
      </c>
      <c r="C123" s="659">
        <f t="shared" si="2"/>
        <v>0</v>
      </c>
      <c r="D123" s="1" t="s">
        <v>882</v>
      </c>
      <c r="E123" s="259">
        <f>SUMIFS(Casting_Material!$S$1:$S$10000,Casting_Material!$D$1:$D$10000,Group!C123)</f>
        <v>0</v>
      </c>
      <c r="F123" s="259">
        <f>SUMIFS(Casting_Process!$H$1:$H$10000,Casting_Process!$C$1:$C$10000,Group!F$2,Casting_Process!$B$1:$B$10000,Group!$C123)</f>
        <v>0</v>
      </c>
      <c r="G123" s="259">
        <f>SUMIFS(Casting_Process!$H$1:$H$10000,Casting_Process!$C$1:$C$10000,Group!G$2,Casting_Process!$B$1:$B$10000,Group!$C123)</f>
        <v>0</v>
      </c>
      <c r="H123" s="259">
        <f>SUMIFS(Casting_Process!$H$1:$H$10000,Casting_Process!$C$1:$C$10000,Group!H$2,Casting_Process!$B$1:$B$10000,Group!$C123)</f>
        <v>0</v>
      </c>
      <c r="I123" s="259">
        <f>SUMIFS(Casting_Material!$H$1:$H$10000,Casting_Material!$D$1:$D$10000,Group!C123)</f>
        <v>0</v>
      </c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M123" s="1">
        <f>BOM!D123</f>
        <v>0</v>
      </c>
      <c r="AN123" s="1">
        <f>BOM!C123</f>
        <v>0</v>
      </c>
      <c r="AO123" s="1">
        <f>BOM!B123</f>
        <v>0</v>
      </c>
    </row>
    <row r="124" spans="2:41">
      <c r="B124" s="205">
        <v>122</v>
      </c>
      <c r="C124" s="659">
        <f t="shared" si="2"/>
        <v>0</v>
      </c>
      <c r="D124" s="1" t="s">
        <v>882</v>
      </c>
      <c r="E124" s="259">
        <f>SUMIFS(Casting_Material!$S$1:$S$10000,Casting_Material!$D$1:$D$10000,Group!C124)</f>
        <v>0</v>
      </c>
      <c r="F124" s="259">
        <f>SUMIFS(Casting_Process!$H$1:$H$10000,Casting_Process!$C$1:$C$10000,Group!F$2,Casting_Process!$B$1:$B$10000,Group!$C124)</f>
        <v>0</v>
      </c>
      <c r="G124" s="259">
        <f>SUMIFS(Casting_Process!$H$1:$H$10000,Casting_Process!$C$1:$C$10000,Group!G$2,Casting_Process!$B$1:$B$10000,Group!$C124)</f>
        <v>0</v>
      </c>
      <c r="H124" s="259">
        <f>SUMIFS(Casting_Process!$H$1:$H$10000,Casting_Process!$C$1:$C$10000,Group!H$2,Casting_Process!$B$1:$B$10000,Group!$C124)</f>
        <v>0</v>
      </c>
      <c r="I124" s="259">
        <f>SUMIFS(Casting_Material!$H$1:$H$10000,Casting_Material!$D$1:$D$10000,Group!C124)</f>
        <v>0</v>
      </c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M124" s="1">
        <f>BOM!D124</f>
        <v>0</v>
      </c>
      <c r="AN124" s="1">
        <f>BOM!C124</f>
        <v>0</v>
      </c>
      <c r="AO124" s="1">
        <f>BOM!B124</f>
        <v>0</v>
      </c>
    </row>
    <row r="125" spans="2:41">
      <c r="B125" s="205">
        <v>123</v>
      </c>
      <c r="C125" s="659">
        <f t="shared" si="2"/>
        <v>0</v>
      </c>
      <c r="D125" s="1" t="s">
        <v>882</v>
      </c>
      <c r="E125" s="259">
        <f>SUMIFS(Casting_Material!$S$1:$S$10000,Casting_Material!$D$1:$D$10000,Group!C125)</f>
        <v>0</v>
      </c>
      <c r="F125" s="259">
        <f>SUMIFS(Casting_Process!$H$1:$H$10000,Casting_Process!$C$1:$C$10000,Group!F$2,Casting_Process!$B$1:$B$10000,Group!$C125)</f>
        <v>0</v>
      </c>
      <c r="G125" s="259">
        <f>SUMIFS(Casting_Process!$H$1:$H$10000,Casting_Process!$C$1:$C$10000,Group!G$2,Casting_Process!$B$1:$B$10000,Group!$C125)</f>
        <v>0</v>
      </c>
      <c r="H125" s="259">
        <f>SUMIFS(Casting_Process!$H$1:$H$10000,Casting_Process!$C$1:$C$10000,Group!H$2,Casting_Process!$B$1:$B$10000,Group!$C125)</f>
        <v>0</v>
      </c>
      <c r="I125" s="259">
        <f>SUMIFS(Casting_Material!$H$1:$H$10000,Casting_Material!$D$1:$D$10000,Group!C125)</f>
        <v>0</v>
      </c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M125" s="1">
        <f>BOM!D125</f>
        <v>0</v>
      </c>
      <c r="AN125" s="1">
        <f>BOM!C125</f>
        <v>0</v>
      </c>
      <c r="AO125" s="1">
        <f>BOM!B125</f>
        <v>0</v>
      </c>
    </row>
    <row r="126" spans="2:41">
      <c r="B126" s="205">
        <v>124</v>
      </c>
      <c r="C126" s="659">
        <f t="shared" si="2"/>
        <v>0</v>
      </c>
      <c r="D126" s="1" t="s">
        <v>882</v>
      </c>
      <c r="E126" s="259">
        <f>SUMIFS(Casting_Material!$S$1:$S$10000,Casting_Material!$D$1:$D$10000,Group!C126)</f>
        <v>0</v>
      </c>
      <c r="F126" s="259">
        <f>SUMIFS(Casting_Process!$H$1:$H$10000,Casting_Process!$C$1:$C$10000,Group!F$2,Casting_Process!$B$1:$B$10000,Group!$C126)</f>
        <v>0</v>
      </c>
      <c r="G126" s="259">
        <f>SUMIFS(Casting_Process!$H$1:$H$10000,Casting_Process!$C$1:$C$10000,Group!G$2,Casting_Process!$B$1:$B$10000,Group!$C126)</f>
        <v>0</v>
      </c>
      <c r="H126" s="259">
        <f>SUMIFS(Casting_Process!$H$1:$H$10000,Casting_Process!$C$1:$C$10000,Group!H$2,Casting_Process!$B$1:$B$10000,Group!$C126)</f>
        <v>0</v>
      </c>
      <c r="I126" s="259">
        <f>SUMIFS(Casting_Material!$H$1:$H$10000,Casting_Material!$D$1:$D$10000,Group!C126)</f>
        <v>0</v>
      </c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M126" s="1">
        <f>BOM!D126</f>
        <v>0</v>
      </c>
      <c r="AN126" s="1">
        <f>BOM!C126</f>
        <v>0</v>
      </c>
      <c r="AO126" s="1">
        <f>BOM!B126</f>
        <v>0</v>
      </c>
    </row>
    <row r="127" spans="2:41">
      <c r="B127" s="205">
        <v>125</v>
      </c>
      <c r="C127" s="659">
        <f t="shared" si="2"/>
        <v>0</v>
      </c>
      <c r="D127" s="1" t="s">
        <v>882</v>
      </c>
      <c r="E127" s="259">
        <f>SUMIFS(Casting_Material!$S$1:$S$10000,Casting_Material!$D$1:$D$10000,Group!C127)</f>
        <v>0</v>
      </c>
      <c r="F127" s="259">
        <f>SUMIFS(Casting_Process!$H$1:$H$10000,Casting_Process!$C$1:$C$10000,Group!F$2,Casting_Process!$B$1:$B$10000,Group!$C127)</f>
        <v>0</v>
      </c>
      <c r="G127" s="259">
        <f>SUMIFS(Casting_Process!$H$1:$H$10000,Casting_Process!$C$1:$C$10000,Group!G$2,Casting_Process!$B$1:$B$10000,Group!$C127)</f>
        <v>0</v>
      </c>
      <c r="H127" s="259">
        <f>SUMIFS(Casting_Process!$H$1:$H$10000,Casting_Process!$C$1:$C$10000,Group!H$2,Casting_Process!$B$1:$B$10000,Group!$C127)</f>
        <v>0</v>
      </c>
      <c r="I127" s="259">
        <f>SUMIFS(Casting_Material!$H$1:$H$10000,Casting_Material!$D$1:$D$10000,Group!C127)</f>
        <v>0</v>
      </c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M127" s="1">
        <f>BOM!D127</f>
        <v>0</v>
      </c>
      <c r="AN127" s="1">
        <f>BOM!C127</f>
        <v>0</v>
      </c>
      <c r="AO127" s="1">
        <f>BOM!B127</f>
        <v>0</v>
      </c>
    </row>
    <row r="128" spans="2:41">
      <c r="B128" s="205">
        <v>126</v>
      </c>
      <c r="C128" s="659">
        <f t="shared" si="2"/>
        <v>0</v>
      </c>
      <c r="D128" s="1" t="s">
        <v>882</v>
      </c>
      <c r="E128" s="259">
        <f>SUMIFS(Casting_Material!$S$1:$S$10000,Casting_Material!$D$1:$D$10000,Group!C128)</f>
        <v>0</v>
      </c>
      <c r="F128" s="259">
        <f>SUMIFS(Casting_Process!$H$1:$H$10000,Casting_Process!$C$1:$C$10000,Group!F$2,Casting_Process!$B$1:$B$10000,Group!$C128)</f>
        <v>0</v>
      </c>
      <c r="G128" s="259">
        <f>SUMIFS(Casting_Process!$H$1:$H$10000,Casting_Process!$C$1:$C$10000,Group!G$2,Casting_Process!$B$1:$B$10000,Group!$C128)</f>
        <v>0</v>
      </c>
      <c r="H128" s="259">
        <f>SUMIFS(Casting_Process!$H$1:$H$10000,Casting_Process!$C$1:$C$10000,Group!H$2,Casting_Process!$B$1:$B$10000,Group!$C128)</f>
        <v>0</v>
      </c>
      <c r="I128" s="259">
        <f>SUMIFS(Casting_Material!$H$1:$H$10000,Casting_Material!$D$1:$D$10000,Group!C128)</f>
        <v>0</v>
      </c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M128" s="1">
        <f>BOM!D128</f>
        <v>0</v>
      </c>
      <c r="AN128" s="1">
        <f>BOM!C128</f>
        <v>0</v>
      </c>
      <c r="AO128" s="1">
        <f>BOM!B128</f>
        <v>0</v>
      </c>
    </row>
    <row r="129" spans="2:41">
      <c r="B129" s="205">
        <v>127</v>
      </c>
      <c r="C129" s="659">
        <f t="shared" si="2"/>
        <v>0</v>
      </c>
      <c r="D129" s="1" t="s">
        <v>882</v>
      </c>
      <c r="E129" s="259">
        <f>SUMIFS(Casting_Material!$S$1:$S$10000,Casting_Material!$D$1:$D$10000,Group!C129)</f>
        <v>0</v>
      </c>
      <c r="F129" s="259">
        <f>SUMIFS(Casting_Process!$H$1:$H$10000,Casting_Process!$C$1:$C$10000,Group!F$2,Casting_Process!$B$1:$B$10000,Group!$C129)</f>
        <v>0</v>
      </c>
      <c r="G129" s="259">
        <f>SUMIFS(Casting_Process!$H$1:$H$10000,Casting_Process!$C$1:$C$10000,Group!G$2,Casting_Process!$B$1:$B$10000,Group!$C129)</f>
        <v>0</v>
      </c>
      <c r="H129" s="259">
        <f>SUMIFS(Casting_Process!$H$1:$H$10000,Casting_Process!$C$1:$C$10000,Group!H$2,Casting_Process!$B$1:$B$10000,Group!$C129)</f>
        <v>0</v>
      </c>
      <c r="I129" s="259">
        <f>SUMIFS(Casting_Material!$H$1:$H$10000,Casting_Material!$D$1:$D$10000,Group!C129)</f>
        <v>0</v>
      </c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M129" s="1">
        <f>BOM!D129</f>
        <v>0</v>
      </c>
      <c r="AN129" s="1">
        <f>BOM!C129</f>
        <v>0</v>
      </c>
      <c r="AO129" s="1">
        <f>BOM!B129</f>
        <v>0</v>
      </c>
    </row>
    <row r="130" spans="2:41">
      <c r="B130" s="205">
        <v>128</v>
      </c>
      <c r="C130" s="659">
        <f t="shared" si="2"/>
        <v>0</v>
      </c>
      <c r="D130" s="1" t="s">
        <v>882</v>
      </c>
      <c r="E130" s="259">
        <f>SUMIFS(Casting_Material!$S$1:$S$10000,Casting_Material!$D$1:$D$10000,Group!C130)</f>
        <v>0</v>
      </c>
      <c r="F130" s="259">
        <f>SUMIFS(Casting_Process!$H$1:$H$10000,Casting_Process!$C$1:$C$10000,Group!F$2,Casting_Process!$B$1:$B$10000,Group!$C130)</f>
        <v>0</v>
      </c>
      <c r="G130" s="259">
        <f>SUMIFS(Casting_Process!$H$1:$H$10000,Casting_Process!$C$1:$C$10000,Group!G$2,Casting_Process!$B$1:$B$10000,Group!$C130)</f>
        <v>0</v>
      </c>
      <c r="H130" s="259">
        <f>SUMIFS(Casting_Process!$H$1:$H$10000,Casting_Process!$C$1:$C$10000,Group!H$2,Casting_Process!$B$1:$B$10000,Group!$C130)</f>
        <v>0</v>
      </c>
      <c r="I130" s="259">
        <f>SUMIFS(Casting_Material!$H$1:$H$10000,Casting_Material!$D$1:$D$10000,Group!C130)</f>
        <v>0</v>
      </c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M130" s="1">
        <f>BOM!D130</f>
        <v>0</v>
      </c>
      <c r="AN130" s="1">
        <f>BOM!C130</f>
        <v>0</v>
      </c>
      <c r="AO130" s="1">
        <f>BOM!B130</f>
        <v>0</v>
      </c>
    </row>
    <row r="131" spans="2:41">
      <c r="B131" s="205">
        <v>129</v>
      </c>
      <c r="C131" s="659">
        <f t="shared" si="2"/>
        <v>0</v>
      </c>
      <c r="D131" s="1" t="s">
        <v>882</v>
      </c>
      <c r="E131" s="259">
        <f>SUMIFS(Casting_Material!$S$1:$S$10000,Casting_Material!$D$1:$D$10000,Group!C131)</f>
        <v>0</v>
      </c>
      <c r="F131" s="259">
        <f>SUMIFS(Casting_Process!$H$1:$H$10000,Casting_Process!$C$1:$C$10000,Group!F$2,Casting_Process!$B$1:$B$10000,Group!$C131)</f>
        <v>0</v>
      </c>
      <c r="G131" s="259">
        <f>SUMIFS(Casting_Process!$H$1:$H$10000,Casting_Process!$C$1:$C$10000,Group!G$2,Casting_Process!$B$1:$B$10000,Group!$C131)</f>
        <v>0</v>
      </c>
      <c r="H131" s="259">
        <f>SUMIFS(Casting_Process!$H$1:$H$10000,Casting_Process!$C$1:$C$10000,Group!H$2,Casting_Process!$B$1:$B$10000,Group!$C131)</f>
        <v>0</v>
      </c>
      <c r="I131" s="259">
        <f>SUMIFS(Casting_Material!$H$1:$H$10000,Casting_Material!$D$1:$D$10000,Group!C131)</f>
        <v>0</v>
      </c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M131" s="1">
        <f>BOM!D131</f>
        <v>0</v>
      </c>
      <c r="AN131" s="1">
        <f>BOM!C131</f>
        <v>0</v>
      </c>
      <c r="AO131" s="1">
        <f>BOM!B131</f>
        <v>0</v>
      </c>
    </row>
    <row r="132" spans="2:41">
      <c r="B132" s="205">
        <v>130</v>
      </c>
      <c r="C132" s="659">
        <f t="shared" si="2"/>
        <v>0</v>
      </c>
      <c r="D132" s="1" t="s">
        <v>882</v>
      </c>
      <c r="E132" s="259">
        <f>SUMIFS(Casting_Material!$S$1:$S$10000,Casting_Material!$D$1:$D$10000,Group!C132)</f>
        <v>0</v>
      </c>
      <c r="F132" s="259">
        <f>SUMIFS(Casting_Process!$H$1:$H$10000,Casting_Process!$C$1:$C$10000,Group!F$2,Casting_Process!$B$1:$B$10000,Group!$C132)</f>
        <v>0</v>
      </c>
      <c r="G132" s="259">
        <f>SUMIFS(Casting_Process!$H$1:$H$10000,Casting_Process!$C$1:$C$10000,Group!G$2,Casting_Process!$B$1:$B$10000,Group!$C132)</f>
        <v>0</v>
      </c>
      <c r="H132" s="259">
        <f>SUMIFS(Casting_Process!$H$1:$H$10000,Casting_Process!$C$1:$C$10000,Group!H$2,Casting_Process!$B$1:$B$10000,Group!$C132)</f>
        <v>0</v>
      </c>
      <c r="I132" s="259">
        <f>SUMIFS(Casting_Material!$H$1:$H$10000,Casting_Material!$D$1:$D$10000,Group!C132)</f>
        <v>0</v>
      </c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M132" s="1">
        <f>BOM!D132</f>
        <v>0</v>
      </c>
      <c r="AN132" s="1">
        <f>BOM!C132</f>
        <v>0</v>
      </c>
      <c r="AO132" s="1">
        <f>BOM!B132</f>
        <v>0</v>
      </c>
    </row>
    <row r="133" spans="2:41">
      <c r="B133" s="205">
        <v>131</v>
      </c>
      <c r="C133" s="659">
        <f t="shared" si="2"/>
        <v>0</v>
      </c>
      <c r="D133" s="1" t="s">
        <v>882</v>
      </c>
      <c r="E133" s="259">
        <f>SUMIFS(Casting_Material!$S$1:$S$10000,Casting_Material!$D$1:$D$10000,Group!C133)</f>
        <v>0</v>
      </c>
      <c r="F133" s="259">
        <f>SUMIFS(Casting_Process!$H$1:$H$10000,Casting_Process!$C$1:$C$10000,Group!F$2,Casting_Process!$B$1:$B$10000,Group!$C133)</f>
        <v>0</v>
      </c>
      <c r="G133" s="259">
        <f>SUMIFS(Casting_Process!$H$1:$H$10000,Casting_Process!$C$1:$C$10000,Group!G$2,Casting_Process!$B$1:$B$10000,Group!$C133)</f>
        <v>0</v>
      </c>
      <c r="H133" s="259">
        <f>SUMIFS(Casting_Process!$H$1:$H$10000,Casting_Process!$C$1:$C$10000,Group!H$2,Casting_Process!$B$1:$B$10000,Group!$C133)</f>
        <v>0</v>
      </c>
      <c r="I133" s="259">
        <f>SUMIFS(Casting_Material!$H$1:$H$10000,Casting_Material!$D$1:$D$10000,Group!C133)</f>
        <v>0</v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M133" s="1">
        <f>BOM!D133</f>
        <v>0</v>
      </c>
      <c r="AN133" s="1">
        <f>BOM!C133</f>
        <v>0</v>
      </c>
      <c r="AO133" s="1">
        <f>BOM!B133</f>
        <v>0</v>
      </c>
    </row>
    <row r="134" spans="2:41">
      <c r="B134" s="205">
        <v>132</v>
      </c>
      <c r="C134" s="659">
        <f t="shared" si="2"/>
        <v>0</v>
      </c>
      <c r="D134" s="1" t="s">
        <v>882</v>
      </c>
      <c r="E134" s="259">
        <f>SUMIFS(Casting_Material!$S$1:$S$10000,Casting_Material!$D$1:$D$10000,Group!C134)</f>
        <v>0</v>
      </c>
      <c r="F134" s="259">
        <f>SUMIFS(Casting_Process!$H$1:$H$10000,Casting_Process!$C$1:$C$10000,Group!F$2,Casting_Process!$B$1:$B$10000,Group!$C134)</f>
        <v>0</v>
      </c>
      <c r="G134" s="259">
        <f>SUMIFS(Casting_Process!$H$1:$H$10000,Casting_Process!$C$1:$C$10000,Group!G$2,Casting_Process!$B$1:$B$10000,Group!$C134)</f>
        <v>0</v>
      </c>
      <c r="H134" s="259">
        <f>SUMIFS(Casting_Process!$H$1:$H$10000,Casting_Process!$C$1:$C$10000,Group!H$2,Casting_Process!$B$1:$B$10000,Group!$C134)</f>
        <v>0</v>
      </c>
      <c r="I134" s="259">
        <f>SUMIFS(Casting_Material!$H$1:$H$10000,Casting_Material!$D$1:$D$10000,Group!C134)</f>
        <v>0</v>
      </c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M134" s="1">
        <f>BOM!D134</f>
        <v>0</v>
      </c>
      <c r="AN134" s="1">
        <f>BOM!C134</f>
        <v>0</v>
      </c>
      <c r="AO134" s="1">
        <f>BOM!B134</f>
        <v>0</v>
      </c>
    </row>
    <row r="135" spans="2:41">
      <c r="B135" s="205">
        <v>133</v>
      </c>
      <c r="C135" s="659">
        <f t="shared" si="2"/>
        <v>0</v>
      </c>
      <c r="D135" s="1" t="s">
        <v>882</v>
      </c>
      <c r="E135" s="259">
        <f>SUMIFS(Casting_Material!$S$1:$S$10000,Casting_Material!$D$1:$D$10000,Group!C135)</f>
        <v>0</v>
      </c>
      <c r="F135" s="259">
        <f>SUMIFS(Casting_Process!$H$1:$H$10000,Casting_Process!$C$1:$C$10000,Group!F$2,Casting_Process!$B$1:$B$10000,Group!$C135)</f>
        <v>0</v>
      </c>
      <c r="G135" s="259">
        <f>SUMIFS(Casting_Process!$H$1:$H$10000,Casting_Process!$C$1:$C$10000,Group!G$2,Casting_Process!$B$1:$B$10000,Group!$C135)</f>
        <v>0</v>
      </c>
      <c r="H135" s="259">
        <f>SUMIFS(Casting_Process!$H$1:$H$10000,Casting_Process!$C$1:$C$10000,Group!H$2,Casting_Process!$B$1:$B$10000,Group!$C135)</f>
        <v>0</v>
      </c>
      <c r="I135" s="259">
        <f>SUMIFS(Casting_Material!$H$1:$H$10000,Casting_Material!$D$1:$D$10000,Group!C135)</f>
        <v>0</v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M135" s="1">
        <f>BOM!D135</f>
        <v>0</v>
      </c>
      <c r="AN135" s="1">
        <f>BOM!C135</f>
        <v>0</v>
      </c>
      <c r="AO135" s="1">
        <f>BOM!B135</f>
        <v>0</v>
      </c>
    </row>
    <row r="136" spans="2:41">
      <c r="B136" s="205">
        <v>134</v>
      </c>
      <c r="C136" s="659">
        <f t="shared" si="2"/>
        <v>0</v>
      </c>
      <c r="D136" s="1" t="s">
        <v>882</v>
      </c>
      <c r="E136" s="259">
        <f>SUMIFS(Casting_Material!$S$1:$S$10000,Casting_Material!$D$1:$D$10000,Group!C136)</f>
        <v>0</v>
      </c>
      <c r="F136" s="259">
        <f>SUMIFS(Casting_Process!$H$1:$H$10000,Casting_Process!$C$1:$C$10000,Group!F$2,Casting_Process!$B$1:$B$10000,Group!$C136)</f>
        <v>0</v>
      </c>
      <c r="G136" s="259">
        <f>SUMIFS(Casting_Process!$H$1:$H$10000,Casting_Process!$C$1:$C$10000,Group!G$2,Casting_Process!$B$1:$B$10000,Group!$C136)</f>
        <v>0</v>
      </c>
      <c r="H136" s="259">
        <f>SUMIFS(Casting_Process!$H$1:$H$10000,Casting_Process!$C$1:$C$10000,Group!H$2,Casting_Process!$B$1:$B$10000,Group!$C136)</f>
        <v>0</v>
      </c>
      <c r="I136" s="259">
        <f>SUMIFS(Casting_Material!$H$1:$H$10000,Casting_Material!$D$1:$D$10000,Group!C136)</f>
        <v>0</v>
      </c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M136" s="1">
        <f>BOM!D136</f>
        <v>0</v>
      </c>
      <c r="AN136" s="1">
        <f>BOM!C136</f>
        <v>0</v>
      </c>
      <c r="AO136" s="1">
        <f>BOM!B136</f>
        <v>0</v>
      </c>
    </row>
    <row r="137" spans="2:41">
      <c r="B137" s="205">
        <v>135</v>
      </c>
      <c r="C137" s="659">
        <f t="shared" si="2"/>
        <v>0</v>
      </c>
      <c r="D137" s="1" t="s">
        <v>882</v>
      </c>
      <c r="E137" s="259">
        <f>SUMIFS(Casting_Material!$S$1:$S$10000,Casting_Material!$D$1:$D$10000,Group!C137)</f>
        <v>0</v>
      </c>
      <c r="F137" s="259">
        <f>SUMIFS(Casting_Process!$H$1:$H$10000,Casting_Process!$C$1:$C$10000,Group!F$2,Casting_Process!$B$1:$B$10000,Group!$C137)</f>
        <v>0</v>
      </c>
      <c r="G137" s="259">
        <f>SUMIFS(Casting_Process!$H$1:$H$10000,Casting_Process!$C$1:$C$10000,Group!G$2,Casting_Process!$B$1:$B$10000,Group!$C137)</f>
        <v>0</v>
      </c>
      <c r="H137" s="259">
        <f>SUMIFS(Casting_Process!$H$1:$H$10000,Casting_Process!$C$1:$C$10000,Group!H$2,Casting_Process!$B$1:$B$10000,Group!$C137)</f>
        <v>0</v>
      </c>
      <c r="I137" s="259">
        <f>SUMIFS(Casting_Material!$H$1:$H$10000,Casting_Material!$D$1:$D$10000,Group!C137)</f>
        <v>0</v>
      </c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M137" s="1">
        <f>BOM!D137</f>
        <v>0</v>
      </c>
      <c r="AN137" s="1">
        <f>BOM!C137</f>
        <v>0</v>
      </c>
      <c r="AO137" s="1">
        <f>BOM!B137</f>
        <v>0</v>
      </c>
    </row>
    <row r="138" spans="2:41">
      <c r="B138" s="205">
        <v>136</v>
      </c>
      <c r="C138" s="659">
        <f t="shared" si="2"/>
        <v>0</v>
      </c>
      <c r="D138" s="1" t="s">
        <v>882</v>
      </c>
      <c r="E138" s="259">
        <f>SUMIFS(Casting_Material!$S$1:$S$10000,Casting_Material!$D$1:$D$10000,Group!C138)</f>
        <v>0</v>
      </c>
      <c r="F138" s="259">
        <f>SUMIFS(Casting_Process!$H$1:$H$10000,Casting_Process!$C$1:$C$10000,Group!F$2,Casting_Process!$B$1:$B$10000,Group!$C138)</f>
        <v>0</v>
      </c>
      <c r="G138" s="259">
        <f>SUMIFS(Casting_Process!$H$1:$H$10000,Casting_Process!$C$1:$C$10000,Group!G$2,Casting_Process!$B$1:$B$10000,Group!$C138)</f>
        <v>0</v>
      </c>
      <c r="H138" s="259">
        <f>SUMIFS(Casting_Process!$H$1:$H$10000,Casting_Process!$C$1:$C$10000,Group!H$2,Casting_Process!$B$1:$B$10000,Group!$C138)</f>
        <v>0</v>
      </c>
      <c r="I138" s="259">
        <f>SUMIFS(Casting_Material!$H$1:$H$10000,Casting_Material!$D$1:$D$10000,Group!C138)</f>
        <v>0</v>
      </c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M138" s="1">
        <f>BOM!D138</f>
        <v>0</v>
      </c>
      <c r="AN138" s="1">
        <f>BOM!C138</f>
        <v>0</v>
      </c>
      <c r="AO138" s="1">
        <f>BOM!B138</f>
        <v>0</v>
      </c>
    </row>
    <row r="139" spans="2:41">
      <c r="B139" s="205">
        <v>137</v>
      </c>
      <c r="C139" s="659">
        <f t="shared" si="2"/>
        <v>0</v>
      </c>
      <c r="D139" s="1" t="s">
        <v>882</v>
      </c>
      <c r="E139" s="259">
        <f>SUMIFS(Casting_Material!$S$1:$S$10000,Casting_Material!$D$1:$D$10000,Group!C139)</f>
        <v>0</v>
      </c>
      <c r="F139" s="259">
        <f>SUMIFS(Casting_Process!$H$1:$H$10000,Casting_Process!$C$1:$C$10000,Group!F$2,Casting_Process!$B$1:$B$10000,Group!$C139)</f>
        <v>0</v>
      </c>
      <c r="G139" s="259">
        <f>SUMIFS(Casting_Process!$H$1:$H$10000,Casting_Process!$C$1:$C$10000,Group!G$2,Casting_Process!$B$1:$B$10000,Group!$C139)</f>
        <v>0</v>
      </c>
      <c r="H139" s="259">
        <f>SUMIFS(Casting_Process!$H$1:$H$10000,Casting_Process!$C$1:$C$10000,Group!H$2,Casting_Process!$B$1:$B$10000,Group!$C139)</f>
        <v>0</v>
      </c>
      <c r="I139" s="259">
        <f>SUMIFS(Casting_Material!$H$1:$H$10000,Casting_Material!$D$1:$D$10000,Group!C139)</f>
        <v>0</v>
      </c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M139" s="1">
        <f>BOM!D139</f>
        <v>0</v>
      </c>
      <c r="AN139" s="1">
        <f>BOM!C139</f>
        <v>0</v>
      </c>
      <c r="AO139" s="1">
        <f>BOM!B139</f>
        <v>0</v>
      </c>
    </row>
    <row r="140" spans="2:41">
      <c r="B140" s="205">
        <v>138</v>
      </c>
      <c r="C140" s="659">
        <f t="shared" si="2"/>
        <v>0</v>
      </c>
      <c r="D140" s="1" t="s">
        <v>882</v>
      </c>
      <c r="E140" s="259">
        <f>SUMIFS(Casting_Material!$S$1:$S$10000,Casting_Material!$D$1:$D$10000,Group!C140)</f>
        <v>0</v>
      </c>
      <c r="F140" s="259">
        <f>SUMIFS(Casting_Process!$H$1:$H$10000,Casting_Process!$C$1:$C$10000,Group!F$2,Casting_Process!$B$1:$B$10000,Group!$C140)</f>
        <v>0</v>
      </c>
      <c r="G140" s="259">
        <f>SUMIFS(Casting_Process!$H$1:$H$10000,Casting_Process!$C$1:$C$10000,Group!G$2,Casting_Process!$B$1:$B$10000,Group!$C140)</f>
        <v>0</v>
      </c>
      <c r="H140" s="259">
        <f>SUMIFS(Casting_Process!$H$1:$H$10000,Casting_Process!$C$1:$C$10000,Group!H$2,Casting_Process!$B$1:$B$10000,Group!$C140)</f>
        <v>0</v>
      </c>
      <c r="I140" s="259">
        <f>SUMIFS(Casting_Material!$H$1:$H$10000,Casting_Material!$D$1:$D$10000,Group!C140)</f>
        <v>0</v>
      </c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M140" s="1">
        <f>BOM!D140</f>
        <v>0</v>
      </c>
      <c r="AN140" s="1">
        <f>BOM!C140</f>
        <v>0</v>
      </c>
      <c r="AO140" s="1">
        <f>BOM!B140</f>
        <v>0</v>
      </c>
    </row>
    <row r="141" spans="2:41">
      <c r="B141" s="205">
        <v>139</v>
      </c>
      <c r="C141" s="659">
        <f t="shared" si="2"/>
        <v>0</v>
      </c>
      <c r="D141" s="1" t="s">
        <v>882</v>
      </c>
      <c r="E141" s="259">
        <f>SUMIFS(Casting_Material!$S$1:$S$10000,Casting_Material!$D$1:$D$10000,Group!C141)</f>
        <v>0</v>
      </c>
      <c r="F141" s="259">
        <f>SUMIFS(Casting_Process!$H$1:$H$10000,Casting_Process!$C$1:$C$10000,Group!F$2,Casting_Process!$B$1:$B$10000,Group!$C141)</f>
        <v>0</v>
      </c>
      <c r="G141" s="259">
        <f>SUMIFS(Casting_Process!$H$1:$H$10000,Casting_Process!$C$1:$C$10000,Group!G$2,Casting_Process!$B$1:$B$10000,Group!$C141)</f>
        <v>0</v>
      </c>
      <c r="H141" s="259">
        <f>SUMIFS(Casting_Process!$H$1:$H$10000,Casting_Process!$C$1:$C$10000,Group!H$2,Casting_Process!$B$1:$B$10000,Group!$C141)</f>
        <v>0</v>
      </c>
      <c r="I141" s="259">
        <f>SUMIFS(Casting_Material!$H$1:$H$10000,Casting_Material!$D$1:$D$10000,Group!C141)</f>
        <v>0</v>
      </c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M141" s="1">
        <f>BOM!D141</f>
        <v>0</v>
      </c>
      <c r="AN141" s="1">
        <f>BOM!C141</f>
        <v>0</v>
      </c>
      <c r="AO141" s="1">
        <f>BOM!B141</f>
        <v>0</v>
      </c>
    </row>
    <row r="142" spans="2:41">
      <c r="B142" s="205">
        <v>140</v>
      </c>
      <c r="C142" s="659">
        <f t="shared" si="2"/>
        <v>0</v>
      </c>
      <c r="D142" s="1" t="s">
        <v>882</v>
      </c>
      <c r="E142" s="259">
        <f>SUMIFS(Casting_Material!$S$1:$S$10000,Casting_Material!$D$1:$D$10000,Group!C142)</f>
        <v>0</v>
      </c>
      <c r="F142" s="259">
        <f>SUMIFS(Casting_Process!$H$1:$H$10000,Casting_Process!$C$1:$C$10000,Group!F$2,Casting_Process!$B$1:$B$10000,Group!$C142)</f>
        <v>0</v>
      </c>
      <c r="G142" s="259">
        <f>SUMIFS(Casting_Process!$H$1:$H$10000,Casting_Process!$C$1:$C$10000,Group!G$2,Casting_Process!$B$1:$B$10000,Group!$C142)</f>
        <v>0</v>
      </c>
      <c r="H142" s="259">
        <f>SUMIFS(Casting_Process!$H$1:$H$10000,Casting_Process!$C$1:$C$10000,Group!H$2,Casting_Process!$B$1:$B$10000,Group!$C142)</f>
        <v>0</v>
      </c>
      <c r="I142" s="259">
        <f>SUMIFS(Casting_Material!$H$1:$H$10000,Casting_Material!$D$1:$D$10000,Group!C142)</f>
        <v>0</v>
      </c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M142" s="1">
        <f>BOM!D142</f>
        <v>0</v>
      </c>
      <c r="AN142" s="1">
        <f>BOM!C142</f>
        <v>0</v>
      </c>
      <c r="AO142" s="1">
        <f>BOM!B142</f>
        <v>0</v>
      </c>
    </row>
    <row r="143" spans="2:41">
      <c r="B143" s="205">
        <v>141</v>
      </c>
      <c r="C143" s="659">
        <f t="shared" si="2"/>
        <v>0</v>
      </c>
      <c r="D143" s="1" t="s">
        <v>882</v>
      </c>
      <c r="E143" s="259">
        <f>SUMIFS(Casting_Material!$S$1:$S$10000,Casting_Material!$D$1:$D$10000,Group!C143)</f>
        <v>0</v>
      </c>
      <c r="F143" s="259">
        <f>SUMIFS(Casting_Process!$H$1:$H$10000,Casting_Process!$C$1:$C$10000,Group!F$2,Casting_Process!$B$1:$B$10000,Group!$C143)</f>
        <v>0</v>
      </c>
      <c r="G143" s="259">
        <f>SUMIFS(Casting_Process!$H$1:$H$10000,Casting_Process!$C$1:$C$10000,Group!G$2,Casting_Process!$B$1:$B$10000,Group!$C143)</f>
        <v>0</v>
      </c>
      <c r="H143" s="259">
        <f>SUMIFS(Casting_Process!$H$1:$H$10000,Casting_Process!$C$1:$C$10000,Group!H$2,Casting_Process!$B$1:$B$10000,Group!$C143)</f>
        <v>0</v>
      </c>
      <c r="I143" s="259">
        <f>SUMIFS(Casting_Material!$H$1:$H$10000,Casting_Material!$D$1:$D$10000,Group!C143)</f>
        <v>0</v>
      </c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M143" s="1">
        <f>BOM!D143</f>
        <v>0</v>
      </c>
      <c r="AN143" s="1">
        <f>BOM!C143</f>
        <v>0</v>
      </c>
      <c r="AO143" s="1">
        <f>BOM!B143</f>
        <v>0</v>
      </c>
    </row>
    <row r="144" spans="2:41">
      <c r="B144" s="205">
        <v>142</v>
      </c>
      <c r="C144" s="659">
        <f t="shared" si="2"/>
        <v>0</v>
      </c>
      <c r="D144" s="1" t="s">
        <v>882</v>
      </c>
      <c r="E144" s="259">
        <f>SUMIFS(Casting_Material!$S$1:$S$10000,Casting_Material!$D$1:$D$10000,Group!C144)</f>
        <v>0</v>
      </c>
      <c r="F144" s="259">
        <f>SUMIFS(Casting_Process!$H$1:$H$10000,Casting_Process!$C$1:$C$10000,Group!F$2,Casting_Process!$B$1:$B$10000,Group!$C144)</f>
        <v>0</v>
      </c>
      <c r="G144" s="259">
        <f>SUMIFS(Casting_Process!$H$1:$H$10000,Casting_Process!$C$1:$C$10000,Group!G$2,Casting_Process!$B$1:$B$10000,Group!$C144)</f>
        <v>0</v>
      </c>
      <c r="H144" s="259">
        <f>SUMIFS(Casting_Process!$H$1:$H$10000,Casting_Process!$C$1:$C$10000,Group!H$2,Casting_Process!$B$1:$B$10000,Group!$C144)</f>
        <v>0</v>
      </c>
      <c r="I144" s="259">
        <f>SUMIFS(Casting_Material!$H$1:$H$10000,Casting_Material!$D$1:$D$10000,Group!C144)</f>
        <v>0</v>
      </c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M144" s="1">
        <f>BOM!D144</f>
        <v>0</v>
      </c>
      <c r="AN144" s="1">
        <f>BOM!C144</f>
        <v>0</v>
      </c>
      <c r="AO144" s="1">
        <f>BOM!B144</f>
        <v>0</v>
      </c>
    </row>
    <row r="145" spans="2:41">
      <c r="B145" s="205">
        <v>143</v>
      </c>
      <c r="C145" s="659">
        <f t="shared" si="2"/>
        <v>0</v>
      </c>
      <c r="D145" s="1" t="s">
        <v>882</v>
      </c>
      <c r="E145" s="259">
        <f>SUMIFS(Casting_Material!$S$1:$S$10000,Casting_Material!$D$1:$D$10000,Group!C145)</f>
        <v>0</v>
      </c>
      <c r="F145" s="259">
        <f>SUMIFS(Casting_Process!$H$1:$H$10000,Casting_Process!$C$1:$C$10000,Group!F$2,Casting_Process!$B$1:$B$10000,Group!$C145)</f>
        <v>0</v>
      </c>
      <c r="G145" s="259">
        <f>SUMIFS(Casting_Process!$H$1:$H$10000,Casting_Process!$C$1:$C$10000,Group!G$2,Casting_Process!$B$1:$B$10000,Group!$C145)</f>
        <v>0</v>
      </c>
      <c r="H145" s="259">
        <f>SUMIFS(Casting_Process!$H$1:$H$10000,Casting_Process!$C$1:$C$10000,Group!H$2,Casting_Process!$B$1:$B$10000,Group!$C145)</f>
        <v>0</v>
      </c>
      <c r="I145" s="259">
        <f>SUMIFS(Casting_Material!$H$1:$H$10000,Casting_Material!$D$1:$D$10000,Group!C145)</f>
        <v>0</v>
      </c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M145" s="1">
        <f>BOM!D145</f>
        <v>0</v>
      </c>
      <c r="AN145" s="1">
        <f>BOM!C145</f>
        <v>0</v>
      </c>
      <c r="AO145" s="1">
        <f>BOM!B145</f>
        <v>0</v>
      </c>
    </row>
    <row r="146" spans="2:41">
      <c r="B146" s="205">
        <v>144</v>
      </c>
      <c r="C146" s="659">
        <f t="shared" si="2"/>
        <v>0</v>
      </c>
      <c r="D146" s="1" t="s">
        <v>882</v>
      </c>
      <c r="E146" s="259">
        <f>SUMIFS(Casting_Material!$S$1:$S$10000,Casting_Material!$D$1:$D$10000,Group!C146)</f>
        <v>0</v>
      </c>
      <c r="F146" s="259">
        <f>SUMIFS(Casting_Process!$H$1:$H$10000,Casting_Process!$C$1:$C$10000,Group!F$2,Casting_Process!$B$1:$B$10000,Group!$C146)</f>
        <v>0</v>
      </c>
      <c r="G146" s="259">
        <f>SUMIFS(Casting_Process!$H$1:$H$10000,Casting_Process!$C$1:$C$10000,Group!G$2,Casting_Process!$B$1:$B$10000,Group!$C146)</f>
        <v>0</v>
      </c>
      <c r="H146" s="259">
        <f>SUMIFS(Casting_Process!$H$1:$H$10000,Casting_Process!$C$1:$C$10000,Group!H$2,Casting_Process!$B$1:$B$10000,Group!$C146)</f>
        <v>0</v>
      </c>
      <c r="I146" s="259">
        <f>SUMIFS(Casting_Material!$H$1:$H$10000,Casting_Material!$D$1:$D$10000,Group!C146)</f>
        <v>0</v>
      </c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M146" s="1">
        <f>BOM!D146</f>
        <v>0</v>
      </c>
      <c r="AN146" s="1">
        <f>BOM!C146</f>
        <v>0</v>
      </c>
      <c r="AO146" s="1">
        <f>BOM!B146</f>
        <v>0</v>
      </c>
    </row>
    <row r="147" spans="2:41">
      <c r="B147" s="205">
        <v>145</v>
      </c>
      <c r="C147" s="659">
        <f t="shared" si="2"/>
        <v>0</v>
      </c>
      <c r="D147" s="1" t="s">
        <v>882</v>
      </c>
      <c r="E147" s="259">
        <f>SUMIFS(Casting_Material!$S$1:$S$10000,Casting_Material!$D$1:$D$10000,Group!C147)</f>
        <v>0</v>
      </c>
      <c r="F147" s="259">
        <f>SUMIFS(Casting_Process!$H$1:$H$10000,Casting_Process!$C$1:$C$10000,Group!F$2,Casting_Process!$B$1:$B$10000,Group!$C147)</f>
        <v>0</v>
      </c>
      <c r="G147" s="259">
        <f>SUMIFS(Casting_Process!$H$1:$H$10000,Casting_Process!$C$1:$C$10000,Group!G$2,Casting_Process!$B$1:$B$10000,Group!$C147)</f>
        <v>0</v>
      </c>
      <c r="H147" s="259">
        <f>SUMIFS(Casting_Process!$H$1:$H$10000,Casting_Process!$C$1:$C$10000,Group!H$2,Casting_Process!$B$1:$B$10000,Group!$C147)</f>
        <v>0</v>
      </c>
      <c r="I147" s="259">
        <f>SUMIFS(Casting_Material!$H$1:$H$10000,Casting_Material!$D$1:$D$10000,Group!C147)</f>
        <v>0</v>
      </c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M147" s="1">
        <f>BOM!D147</f>
        <v>0</v>
      </c>
      <c r="AN147" s="1">
        <f>BOM!C147</f>
        <v>0</v>
      </c>
      <c r="AO147" s="1">
        <f>BOM!B147</f>
        <v>0</v>
      </c>
    </row>
    <row r="148" spans="2:41">
      <c r="B148" s="205">
        <v>146</v>
      </c>
      <c r="C148" s="659">
        <f t="shared" si="2"/>
        <v>0</v>
      </c>
      <c r="D148" s="1" t="s">
        <v>882</v>
      </c>
      <c r="E148" s="259">
        <f>SUMIFS(Casting_Material!$S$1:$S$10000,Casting_Material!$D$1:$D$10000,Group!C148)</f>
        <v>0</v>
      </c>
      <c r="F148" s="259">
        <f>SUMIFS(Casting_Process!$H$1:$H$10000,Casting_Process!$C$1:$C$10000,Group!F$2,Casting_Process!$B$1:$B$10000,Group!$C148)</f>
        <v>0</v>
      </c>
      <c r="G148" s="259">
        <f>SUMIFS(Casting_Process!$H$1:$H$10000,Casting_Process!$C$1:$C$10000,Group!G$2,Casting_Process!$B$1:$B$10000,Group!$C148)</f>
        <v>0</v>
      </c>
      <c r="H148" s="259">
        <f>SUMIFS(Casting_Process!$H$1:$H$10000,Casting_Process!$C$1:$C$10000,Group!H$2,Casting_Process!$B$1:$B$10000,Group!$C148)</f>
        <v>0</v>
      </c>
      <c r="I148" s="259">
        <f>SUMIFS(Casting_Material!$H$1:$H$10000,Casting_Material!$D$1:$D$10000,Group!C148)</f>
        <v>0</v>
      </c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M148" s="1">
        <f>BOM!D148</f>
        <v>0</v>
      </c>
      <c r="AN148" s="1">
        <f>BOM!C148</f>
        <v>0</v>
      </c>
      <c r="AO148" s="1">
        <f>BOM!B148</f>
        <v>0</v>
      </c>
    </row>
    <row r="149" spans="2:41">
      <c r="B149" s="205">
        <v>147</v>
      </c>
      <c r="C149" s="659">
        <f t="shared" si="2"/>
        <v>0</v>
      </c>
      <c r="D149" s="1" t="s">
        <v>882</v>
      </c>
      <c r="E149" s="259">
        <f>SUMIFS(Casting_Material!$S$1:$S$10000,Casting_Material!$D$1:$D$10000,Group!C149)</f>
        <v>0</v>
      </c>
      <c r="F149" s="259">
        <f>SUMIFS(Casting_Process!$H$1:$H$10000,Casting_Process!$C$1:$C$10000,Group!F$2,Casting_Process!$B$1:$B$10000,Group!$C149)</f>
        <v>0</v>
      </c>
      <c r="G149" s="259">
        <f>SUMIFS(Casting_Process!$H$1:$H$10000,Casting_Process!$C$1:$C$10000,Group!G$2,Casting_Process!$B$1:$B$10000,Group!$C149)</f>
        <v>0</v>
      </c>
      <c r="H149" s="259">
        <f>SUMIFS(Casting_Process!$H$1:$H$10000,Casting_Process!$C$1:$C$10000,Group!H$2,Casting_Process!$B$1:$B$10000,Group!$C149)</f>
        <v>0</v>
      </c>
      <c r="I149" s="259">
        <f>SUMIFS(Casting_Material!$H$1:$H$10000,Casting_Material!$D$1:$D$10000,Group!C149)</f>
        <v>0</v>
      </c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M149" s="1">
        <f>BOM!D149</f>
        <v>0</v>
      </c>
      <c r="AN149" s="1">
        <f>BOM!C149</f>
        <v>0</v>
      </c>
      <c r="AO149" s="1">
        <f>BOM!B149</f>
        <v>0</v>
      </c>
    </row>
    <row r="150" spans="2:41">
      <c r="B150" s="205">
        <v>148</v>
      </c>
      <c r="C150" s="659">
        <f t="shared" si="2"/>
        <v>0</v>
      </c>
      <c r="D150" s="1" t="s">
        <v>882</v>
      </c>
      <c r="E150" s="259">
        <f>SUMIFS(Casting_Material!$S$1:$S$10000,Casting_Material!$D$1:$D$10000,Group!C150)</f>
        <v>0</v>
      </c>
      <c r="F150" s="259">
        <f>SUMIFS(Casting_Process!$H$1:$H$10000,Casting_Process!$C$1:$C$10000,Group!F$2,Casting_Process!$B$1:$B$10000,Group!$C150)</f>
        <v>0</v>
      </c>
      <c r="G150" s="259">
        <f>SUMIFS(Casting_Process!$H$1:$H$10000,Casting_Process!$C$1:$C$10000,Group!G$2,Casting_Process!$B$1:$B$10000,Group!$C150)</f>
        <v>0</v>
      </c>
      <c r="H150" s="259">
        <f>SUMIFS(Casting_Process!$H$1:$H$10000,Casting_Process!$C$1:$C$10000,Group!H$2,Casting_Process!$B$1:$B$10000,Group!$C150)</f>
        <v>0</v>
      </c>
      <c r="I150" s="259">
        <f>SUMIFS(Casting_Material!$H$1:$H$10000,Casting_Material!$D$1:$D$10000,Group!C150)</f>
        <v>0</v>
      </c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M150" s="1">
        <f>BOM!D150</f>
        <v>0</v>
      </c>
      <c r="AN150" s="1">
        <f>BOM!C150</f>
        <v>0</v>
      </c>
      <c r="AO150" s="1">
        <f>BOM!B150</f>
        <v>0</v>
      </c>
    </row>
    <row r="151" spans="2:41">
      <c r="B151" s="205">
        <v>149</v>
      </c>
      <c r="C151" s="659">
        <f t="shared" si="2"/>
        <v>0</v>
      </c>
      <c r="D151" s="1" t="s">
        <v>882</v>
      </c>
      <c r="E151" s="259">
        <f>SUMIFS(Casting_Material!$S$1:$S$10000,Casting_Material!$D$1:$D$10000,Group!C151)</f>
        <v>0</v>
      </c>
      <c r="F151" s="259">
        <f>SUMIFS(Casting_Process!$H$1:$H$10000,Casting_Process!$C$1:$C$10000,Group!F$2,Casting_Process!$B$1:$B$10000,Group!$C151)</f>
        <v>0</v>
      </c>
      <c r="G151" s="259">
        <f>SUMIFS(Casting_Process!$H$1:$H$10000,Casting_Process!$C$1:$C$10000,Group!G$2,Casting_Process!$B$1:$B$10000,Group!$C151)</f>
        <v>0</v>
      </c>
      <c r="H151" s="259">
        <f>SUMIFS(Casting_Process!$H$1:$H$10000,Casting_Process!$C$1:$C$10000,Group!H$2,Casting_Process!$B$1:$B$10000,Group!$C151)</f>
        <v>0</v>
      </c>
      <c r="I151" s="259">
        <f>SUMIFS(Casting_Material!$H$1:$H$10000,Casting_Material!$D$1:$D$10000,Group!C151)</f>
        <v>0</v>
      </c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M151" s="1">
        <f>BOM!D151</f>
        <v>0</v>
      </c>
      <c r="AN151" s="1">
        <f>BOM!C151</f>
        <v>0</v>
      </c>
      <c r="AO151" s="1">
        <f>BOM!B151</f>
        <v>0</v>
      </c>
    </row>
    <row r="152" spans="2:41">
      <c r="B152" s="205">
        <v>150</v>
      </c>
      <c r="C152" s="659">
        <f t="shared" si="2"/>
        <v>0</v>
      </c>
      <c r="D152" s="1" t="s">
        <v>882</v>
      </c>
      <c r="E152" s="259">
        <f>SUMIFS(Casting_Material!$S$1:$S$10000,Casting_Material!$D$1:$D$10000,Group!C152)</f>
        <v>0</v>
      </c>
      <c r="F152" s="259">
        <f>SUMIFS(Casting_Process!$H$1:$H$10000,Casting_Process!$C$1:$C$10000,Group!F$2,Casting_Process!$B$1:$B$10000,Group!$C152)</f>
        <v>0</v>
      </c>
      <c r="G152" s="259">
        <f>SUMIFS(Casting_Process!$H$1:$H$10000,Casting_Process!$C$1:$C$10000,Group!G$2,Casting_Process!$B$1:$B$10000,Group!$C152)</f>
        <v>0</v>
      </c>
      <c r="H152" s="259">
        <f>SUMIFS(Casting_Process!$H$1:$H$10000,Casting_Process!$C$1:$C$10000,Group!H$2,Casting_Process!$B$1:$B$10000,Group!$C152)</f>
        <v>0</v>
      </c>
      <c r="I152" s="259">
        <f>SUMIFS(Casting_Material!$H$1:$H$10000,Casting_Material!$D$1:$D$10000,Group!C152)</f>
        <v>0</v>
      </c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M152" s="1">
        <f>BOM!D152</f>
        <v>0</v>
      </c>
      <c r="AN152" s="1">
        <f>BOM!C152</f>
        <v>0</v>
      </c>
      <c r="AO152" s="1">
        <f>BOM!B152</f>
        <v>0</v>
      </c>
    </row>
    <row r="153" spans="2:41">
      <c r="B153" s="205">
        <v>151</v>
      </c>
      <c r="C153" s="659">
        <f>O2</f>
        <v>0</v>
      </c>
      <c r="D153" s="1" t="s">
        <v>880</v>
      </c>
      <c r="E153" s="259">
        <f>SUMIFS(GDC_PDC_Material!$Z$1:$Z$10000,GDC_PDC_Material!$D$1:$D$10000,Group!C153)</f>
        <v>0</v>
      </c>
      <c r="F153" s="259">
        <f>SUMIFS(GDC_PDC_Process!$I$1:$I$9998,GDC_PDC_Process!$C$1:$C$9998,Group!F$2,GDC_PDC_Process!$B$1:$B$9998,Group!$C153)</f>
        <v>0</v>
      </c>
      <c r="G153" s="259">
        <f>SUMIFS(GDC_PDC_Process!$I$1:$I$9998,GDC_PDC_Process!$C$1:$C$9998,Group!G$2,GDC_PDC_Process!$B$1:$B$9998,Group!$C153)</f>
        <v>0</v>
      </c>
      <c r="H153" s="259">
        <f>SUMIFS(GDC_PDC_Process!$I$1:$I$9998,GDC_PDC_Process!$C$1:$C$9998,Group!H$2,GDC_PDC_Process!$B$1:$B$9998,Group!$C153)</f>
        <v>0</v>
      </c>
      <c r="I153" s="259">
        <f>SUMIFS(GDC_PDC_Material!$K$1:$K$10000,GDC_PDC_Material!$D$1:$D$10000,Group!C153)</f>
        <v>0</v>
      </c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M153" s="1">
        <f>BOM!D153</f>
        <v>0</v>
      </c>
      <c r="AN153" s="1">
        <f>BOM!C153</f>
        <v>0</v>
      </c>
      <c r="AO153" s="1">
        <f>BOM!B153</f>
        <v>0</v>
      </c>
    </row>
    <row r="154" spans="2:41">
      <c r="B154" s="205">
        <v>152</v>
      </c>
      <c r="C154" s="659">
        <f t="shared" ref="C154:C202" si="3">O3</f>
        <v>0</v>
      </c>
      <c r="D154" s="1" t="s">
        <v>880</v>
      </c>
      <c r="E154" s="259">
        <f>SUMIFS(GDC_PDC_Material!$Z$1:$Z$10000,GDC_PDC_Material!$D$1:$D$10000,Group!C154)</f>
        <v>0</v>
      </c>
      <c r="F154" s="259">
        <f>SUMIFS(GDC_PDC_Process!$I$1:$I$9998,GDC_PDC_Process!$C$1:$C$9998,Group!F$2,GDC_PDC_Process!$B$1:$B$9998,Group!$C154)</f>
        <v>0</v>
      </c>
      <c r="G154" s="259">
        <f>SUMIFS(GDC_PDC_Process!$I$1:$I$9998,GDC_PDC_Process!$C$1:$C$9998,Group!G$2,GDC_PDC_Process!$B$1:$B$9998,Group!$C154)</f>
        <v>0</v>
      </c>
      <c r="H154" s="259">
        <f>SUMIFS(GDC_PDC_Process!$I$1:$I$9998,GDC_PDC_Process!$C$1:$C$9998,Group!H$2,GDC_PDC_Process!$B$1:$B$9998,Group!$C154)</f>
        <v>0</v>
      </c>
      <c r="I154" s="259">
        <f>SUMIFS(GDC_PDC_Material!$K$1:$K$10000,GDC_PDC_Material!$D$1:$D$10000,Group!C154)</f>
        <v>0</v>
      </c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M154" s="1">
        <f>BOM!D154</f>
        <v>0</v>
      </c>
      <c r="AN154" s="1">
        <f>BOM!C154</f>
        <v>0</v>
      </c>
      <c r="AO154" s="1">
        <f>BOM!B154</f>
        <v>0</v>
      </c>
    </row>
    <row r="155" spans="2:41">
      <c r="B155" s="205">
        <v>153</v>
      </c>
      <c r="C155" s="659">
        <f t="shared" si="3"/>
        <v>0</v>
      </c>
      <c r="D155" s="1" t="s">
        <v>880</v>
      </c>
      <c r="E155" s="259">
        <f>SUMIFS(GDC_PDC_Material!$Z$1:$Z$10000,GDC_PDC_Material!$D$1:$D$10000,Group!C155)</f>
        <v>0</v>
      </c>
      <c r="F155" s="259">
        <f>SUMIFS(GDC_PDC_Process!$I$1:$I$9998,GDC_PDC_Process!$C$1:$C$9998,Group!F$2,GDC_PDC_Process!$B$1:$B$9998,Group!$C155)</f>
        <v>0</v>
      </c>
      <c r="G155" s="259">
        <f>SUMIFS(GDC_PDC_Process!$I$1:$I$9998,GDC_PDC_Process!$C$1:$C$9998,Group!G$2,GDC_PDC_Process!$B$1:$B$9998,Group!$C155)</f>
        <v>0</v>
      </c>
      <c r="H155" s="259">
        <f>SUMIFS(GDC_PDC_Process!$I$1:$I$9998,GDC_PDC_Process!$C$1:$C$9998,Group!H$2,GDC_PDC_Process!$B$1:$B$9998,Group!$C155)</f>
        <v>0</v>
      </c>
      <c r="I155" s="259">
        <f>SUMIFS(GDC_PDC_Material!$K$1:$K$10000,GDC_PDC_Material!$D$1:$D$10000,Group!C155)</f>
        <v>0</v>
      </c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M155" s="1">
        <f>BOM!D155</f>
        <v>0</v>
      </c>
      <c r="AN155" s="1">
        <f>BOM!C155</f>
        <v>0</v>
      </c>
      <c r="AO155" s="1">
        <f>BOM!B155</f>
        <v>0</v>
      </c>
    </row>
    <row r="156" spans="2:41">
      <c r="B156" s="205">
        <v>154</v>
      </c>
      <c r="C156" s="659">
        <f t="shared" si="3"/>
        <v>0</v>
      </c>
      <c r="D156" s="1" t="s">
        <v>880</v>
      </c>
      <c r="E156" s="259">
        <f>SUMIFS(GDC_PDC_Material!$Z$1:$Z$10000,GDC_PDC_Material!$D$1:$D$10000,Group!C156)</f>
        <v>0</v>
      </c>
      <c r="F156" s="259">
        <f>SUMIFS(GDC_PDC_Process!$I$1:$I$9998,GDC_PDC_Process!$C$1:$C$9998,Group!F$2,GDC_PDC_Process!$B$1:$B$9998,Group!$C156)</f>
        <v>0</v>
      </c>
      <c r="G156" s="259">
        <f>SUMIFS(GDC_PDC_Process!$I$1:$I$9998,GDC_PDC_Process!$C$1:$C$9998,Group!G$2,GDC_PDC_Process!$B$1:$B$9998,Group!$C156)</f>
        <v>0</v>
      </c>
      <c r="H156" s="259">
        <f>SUMIFS(GDC_PDC_Process!$I$1:$I$9998,GDC_PDC_Process!$C$1:$C$9998,Group!H$2,GDC_PDC_Process!$B$1:$B$9998,Group!$C156)</f>
        <v>0</v>
      </c>
      <c r="I156" s="259">
        <f>SUMIFS(GDC_PDC_Material!$K$1:$K$10000,GDC_PDC_Material!$D$1:$D$10000,Group!C156)</f>
        <v>0</v>
      </c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M156" s="1">
        <f>BOM!D156</f>
        <v>0</v>
      </c>
      <c r="AN156" s="1">
        <f>BOM!C156</f>
        <v>0</v>
      </c>
      <c r="AO156" s="1">
        <f>BOM!B156</f>
        <v>0</v>
      </c>
    </row>
    <row r="157" spans="2:41">
      <c r="B157" s="205">
        <v>155</v>
      </c>
      <c r="C157" s="659">
        <f t="shared" si="3"/>
        <v>0</v>
      </c>
      <c r="D157" s="1" t="s">
        <v>880</v>
      </c>
      <c r="E157" s="259">
        <f>SUMIFS(GDC_PDC_Material!$Z$1:$Z$10000,GDC_PDC_Material!$D$1:$D$10000,Group!C157)</f>
        <v>0</v>
      </c>
      <c r="F157" s="259">
        <f>SUMIFS(GDC_PDC_Process!$I$1:$I$9998,GDC_PDC_Process!$C$1:$C$9998,Group!F$2,GDC_PDC_Process!$B$1:$B$9998,Group!$C157)</f>
        <v>0</v>
      </c>
      <c r="G157" s="259">
        <f>SUMIFS(GDC_PDC_Process!$I$1:$I$9998,GDC_PDC_Process!$C$1:$C$9998,Group!G$2,GDC_PDC_Process!$B$1:$B$9998,Group!$C157)</f>
        <v>0</v>
      </c>
      <c r="H157" s="259">
        <f>SUMIFS(GDC_PDC_Process!$I$1:$I$9998,GDC_PDC_Process!$C$1:$C$9998,Group!H$2,GDC_PDC_Process!$B$1:$B$9998,Group!$C157)</f>
        <v>0</v>
      </c>
      <c r="I157" s="259">
        <f>SUMIFS(GDC_PDC_Material!$K$1:$K$10000,GDC_PDC_Material!$D$1:$D$10000,Group!C157)</f>
        <v>0</v>
      </c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M157" s="1">
        <f>BOM!D157</f>
        <v>0</v>
      </c>
      <c r="AN157" s="1">
        <f>BOM!C157</f>
        <v>0</v>
      </c>
      <c r="AO157" s="1">
        <f>BOM!B157</f>
        <v>0</v>
      </c>
    </row>
    <row r="158" spans="2:41">
      <c r="B158" s="205">
        <v>156</v>
      </c>
      <c r="C158" s="659">
        <f t="shared" si="3"/>
        <v>0</v>
      </c>
      <c r="D158" s="1" t="s">
        <v>880</v>
      </c>
      <c r="E158" s="259">
        <f>SUMIFS(GDC_PDC_Material!$Z$1:$Z$10000,GDC_PDC_Material!$D$1:$D$10000,Group!C158)</f>
        <v>0</v>
      </c>
      <c r="F158" s="259">
        <f>SUMIFS(GDC_PDC_Process!$I$1:$I$9998,GDC_PDC_Process!$C$1:$C$9998,Group!F$2,GDC_PDC_Process!$B$1:$B$9998,Group!$C158)</f>
        <v>0</v>
      </c>
      <c r="G158" s="259">
        <f>SUMIFS(GDC_PDC_Process!$I$1:$I$9998,GDC_PDC_Process!$C$1:$C$9998,Group!G$2,GDC_PDC_Process!$B$1:$B$9998,Group!$C158)</f>
        <v>0</v>
      </c>
      <c r="H158" s="259">
        <f>SUMIFS(GDC_PDC_Process!$I$1:$I$9998,GDC_PDC_Process!$C$1:$C$9998,Group!H$2,GDC_PDC_Process!$B$1:$B$9998,Group!$C158)</f>
        <v>0</v>
      </c>
      <c r="I158" s="259">
        <f>SUMIFS(GDC_PDC_Material!$K$1:$K$10000,GDC_PDC_Material!$D$1:$D$10000,Group!C158)</f>
        <v>0</v>
      </c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M158" s="1">
        <f>BOM!D158</f>
        <v>0</v>
      </c>
      <c r="AN158" s="1">
        <f>BOM!C158</f>
        <v>0</v>
      </c>
      <c r="AO158" s="1">
        <f>BOM!B158</f>
        <v>0</v>
      </c>
    </row>
    <row r="159" spans="2:41">
      <c r="B159" s="205">
        <v>157</v>
      </c>
      <c r="C159" s="659">
        <f t="shared" si="3"/>
        <v>0</v>
      </c>
      <c r="D159" s="1" t="s">
        <v>880</v>
      </c>
      <c r="E159" s="259">
        <f>SUMIFS(GDC_PDC_Material!$Z$1:$Z$10000,GDC_PDC_Material!$D$1:$D$10000,Group!C159)</f>
        <v>0</v>
      </c>
      <c r="F159" s="259">
        <f>SUMIFS(GDC_PDC_Process!$I$1:$I$9998,GDC_PDC_Process!$C$1:$C$9998,Group!F$2,GDC_PDC_Process!$B$1:$B$9998,Group!$C159)</f>
        <v>0</v>
      </c>
      <c r="G159" s="259">
        <f>SUMIFS(GDC_PDC_Process!$I$1:$I$9998,GDC_PDC_Process!$C$1:$C$9998,Group!G$2,GDC_PDC_Process!$B$1:$B$9998,Group!$C159)</f>
        <v>0</v>
      </c>
      <c r="H159" s="259">
        <f>SUMIFS(GDC_PDC_Process!$I$1:$I$9998,GDC_PDC_Process!$C$1:$C$9998,Group!H$2,GDC_PDC_Process!$B$1:$B$9998,Group!$C159)</f>
        <v>0</v>
      </c>
      <c r="I159" s="259">
        <f>SUMIFS(GDC_PDC_Material!$K$1:$K$10000,GDC_PDC_Material!$D$1:$D$10000,Group!C159)</f>
        <v>0</v>
      </c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M159" s="1">
        <f>BOM!D159</f>
        <v>0</v>
      </c>
      <c r="AN159" s="1">
        <f>BOM!C159</f>
        <v>0</v>
      </c>
      <c r="AO159" s="1">
        <f>BOM!B159</f>
        <v>0</v>
      </c>
    </row>
    <row r="160" spans="2:41">
      <c r="B160" s="205">
        <v>158</v>
      </c>
      <c r="C160" s="659">
        <f t="shared" si="3"/>
        <v>0</v>
      </c>
      <c r="D160" s="1" t="s">
        <v>880</v>
      </c>
      <c r="E160" s="259">
        <f>SUMIFS(GDC_PDC_Material!$Z$1:$Z$10000,GDC_PDC_Material!$D$1:$D$10000,Group!C160)</f>
        <v>0</v>
      </c>
      <c r="F160" s="259">
        <f>SUMIFS(GDC_PDC_Process!$I$1:$I$9998,GDC_PDC_Process!$C$1:$C$9998,Group!F$2,GDC_PDC_Process!$B$1:$B$9998,Group!$C160)</f>
        <v>0</v>
      </c>
      <c r="G160" s="259">
        <f>SUMIFS(GDC_PDC_Process!$I$1:$I$9998,GDC_PDC_Process!$C$1:$C$9998,Group!G$2,GDC_PDC_Process!$B$1:$B$9998,Group!$C160)</f>
        <v>0</v>
      </c>
      <c r="H160" s="259">
        <f>SUMIFS(GDC_PDC_Process!$I$1:$I$9998,GDC_PDC_Process!$C$1:$C$9998,Group!H$2,GDC_PDC_Process!$B$1:$B$9998,Group!$C160)</f>
        <v>0</v>
      </c>
      <c r="I160" s="259">
        <f>SUMIFS(GDC_PDC_Material!$K$1:$K$10000,GDC_PDC_Material!$D$1:$D$10000,Group!C160)</f>
        <v>0</v>
      </c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M160" s="1">
        <f>BOM!D160</f>
        <v>0</v>
      </c>
      <c r="AN160" s="1">
        <f>BOM!C160</f>
        <v>0</v>
      </c>
      <c r="AO160" s="1">
        <f>BOM!B160</f>
        <v>0</v>
      </c>
    </row>
    <row r="161" spans="2:41">
      <c r="B161" s="205">
        <v>159</v>
      </c>
      <c r="C161" s="659">
        <f t="shared" si="3"/>
        <v>0</v>
      </c>
      <c r="D161" s="1" t="s">
        <v>880</v>
      </c>
      <c r="E161" s="259">
        <f>SUMIFS(GDC_PDC_Material!$Z$1:$Z$10000,GDC_PDC_Material!$D$1:$D$10000,Group!C161)</f>
        <v>0</v>
      </c>
      <c r="F161" s="259">
        <f>SUMIFS(GDC_PDC_Process!$I$1:$I$9998,GDC_PDC_Process!$C$1:$C$9998,Group!F$2,GDC_PDC_Process!$B$1:$B$9998,Group!$C161)</f>
        <v>0</v>
      </c>
      <c r="G161" s="259">
        <f>SUMIFS(GDC_PDC_Process!$I$1:$I$9998,GDC_PDC_Process!$C$1:$C$9998,Group!G$2,GDC_PDC_Process!$B$1:$B$9998,Group!$C161)</f>
        <v>0</v>
      </c>
      <c r="H161" s="259">
        <f>SUMIFS(GDC_PDC_Process!$I$1:$I$9998,GDC_PDC_Process!$C$1:$C$9998,Group!H$2,GDC_PDC_Process!$B$1:$B$9998,Group!$C161)</f>
        <v>0</v>
      </c>
      <c r="I161" s="259">
        <f>SUMIFS(GDC_PDC_Material!$K$1:$K$10000,GDC_PDC_Material!$D$1:$D$10000,Group!C161)</f>
        <v>0</v>
      </c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M161" s="1">
        <f>BOM!D161</f>
        <v>0</v>
      </c>
      <c r="AN161" s="1">
        <f>BOM!C161</f>
        <v>0</v>
      </c>
      <c r="AO161" s="1">
        <f>BOM!B161</f>
        <v>0</v>
      </c>
    </row>
    <row r="162" spans="2:41">
      <c r="B162" s="205">
        <v>160</v>
      </c>
      <c r="C162" s="659">
        <f t="shared" si="3"/>
        <v>0</v>
      </c>
      <c r="D162" s="1" t="s">
        <v>880</v>
      </c>
      <c r="E162" s="259">
        <f>SUMIFS(GDC_PDC_Material!$Z$1:$Z$10000,GDC_PDC_Material!$D$1:$D$10000,Group!C162)</f>
        <v>0</v>
      </c>
      <c r="F162" s="259">
        <f>SUMIFS(GDC_PDC_Process!$I$1:$I$9998,GDC_PDC_Process!$C$1:$C$9998,Group!F$2,GDC_PDC_Process!$B$1:$B$9998,Group!$C162)</f>
        <v>0</v>
      </c>
      <c r="G162" s="259">
        <f>SUMIFS(GDC_PDC_Process!$I$1:$I$9998,GDC_PDC_Process!$C$1:$C$9998,Group!G$2,GDC_PDC_Process!$B$1:$B$9998,Group!$C162)</f>
        <v>0</v>
      </c>
      <c r="H162" s="259">
        <f>SUMIFS(GDC_PDC_Process!$I$1:$I$9998,GDC_PDC_Process!$C$1:$C$9998,Group!H$2,GDC_PDC_Process!$B$1:$B$9998,Group!$C162)</f>
        <v>0</v>
      </c>
      <c r="I162" s="259">
        <f>SUMIFS(GDC_PDC_Material!$K$1:$K$10000,GDC_PDC_Material!$D$1:$D$10000,Group!C162)</f>
        <v>0</v>
      </c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M162" s="1">
        <f>BOM!D162</f>
        <v>0</v>
      </c>
      <c r="AN162" s="1">
        <f>BOM!C162</f>
        <v>0</v>
      </c>
      <c r="AO162" s="1">
        <f>BOM!B162</f>
        <v>0</v>
      </c>
    </row>
    <row r="163" spans="2:41">
      <c r="B163" s="205">
        <v>161</v>
      </c>
      <c r="C163" s="659">
        <f t="shared" si="3"/>
        <v>0</v>
      </c>
      <c r="D163" s="1" t="s">
        <v>880</v>
      </c>
      <c r="E163" s="259">
        <f>SUMIFS(GDC_PDC_Material!$Z$1:$Z$10000,GDC_PDC_Material!$D$1:$D$10000,Group!C163)</f>
        <v>0</v>
      </c>
      <c r="F163" s="259">
        <f>SUMIFS(GDC_PDC_Process!$I$1:$I$9998,GDC_PDC_Process!$C$1:$C$9998,Group!F$2,GDC_PDC_Process!$B$1:$B$9998,Group!$C163)</f>
        <v>0</v>
      </c>
      <c r="G163" s="259">
        <f>SUMIFS(GDC_PDC_Process!$I$1:$I$9998,GDC_PDC_Process!$C$1:$C$9998,Group!G$2,GDC_PDC_Process!$B$1:$B$9998,Group!$C163)</f>
        <v>0</v>
      </c>
      <c r="H163" s="259">
        <f>SUMIFS(GDC_PDC_Process!$I$1:$I$9998,GDC_PDC_Process!$C$1:$C$9998,Group!H$2,GDC_PDC_Process!$B$1:$B$9998,Group!$C163)</f>
        <v>0</v>
      </c>
      <c r="I163" s="259">
        <f>SUMIFS(GDC_PDC_Material!$K$1:$K$10000,GDC_PDC_Material!$D$1:$D$10000,Group!C163)</f>
        <v>0</v>
      </c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M163" s="1">
        <f>BOM!D163</f>
        <v>0</v>
      </c>
      <c r="AN163" s="1">
        <f>BOM!C163</f>
        <v>0</v>
      </c>
      <c r="AO163" s="1">
        <f>BOM!B163</f>
        <v>0</v>
      </c>
    </row>
    <row r="164" spans="2:41">
      <c r="B164" s="205">
        <v>162</v>
      </c>
      <c r="C164" s="659">
        <f t="shared" si="3"/>
        <v>0</v>
      </c>
      <c r="D164" s="1" t="s">
        <v>880</v>
      </c>
      <c r="E164" s="259">
        <f>SUMIFS(GDC_PDC_Material!$Z$1:$Z$10000,GDC_PDC_Material!$D$1:$D$10000,Group!C164)</f>
        <v>0</v>
      </c>
      <c r="F164" s="259">
        <f>SUMIFS(GDC_PDC_Process!$I$1:$I$9998,GDC_PDC_Process!$C$1:$C$9998,Group!F$2,GDC_PDC_Process!$B$1:$B$9998,Group!$C164)</f>
        <v>0</v>
      </c>
      <c r="G164" s="259">
        <f>SUMIFS(GDC_PDC_Process!$I$1:$I$9998,GDC_PDC_Process!$C$1:$C$9998,Group!G$2,GDC_PDC_Process!$B$1:$B$9998,Group!$C164)</f>
        <v>0</v>
      </c>
      <c r="H164" s="259">
        <f>SUMIFS(GDC_PDC_Process!$I$1:$I$9998,GDC_PDC_Process!$C$1:$C$9998,Group!H$2,GDC_PDC_Process!$B$1:$B$9998,Group!$C164)</f>
        <v>0</v>
      </c>
      <c r="I164" s="259">
        <f>SUMIFS(GDC_PDC_Material!$K$1:$K$10000,GDC_PDC_Material!$D$1:$D$10000,Group!C164)</f>
        <v>0</v>
      </c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M164" s="1">
        <f>BOM!D164</f>
        <v>0</v>
      </c>
      <c r="AN164" s="1">
        <f>BOM!C164</f>
        <v>0</v>
      </c>
      <c r="AO164" s="1">
        <f>BOM!B164</f>
        <v>0</v>
      </c>
    </row>
    <row r="165" spans="2:41">
      <c r="B165" s="205">
        <v>163</v>
      </c>
      <c r="C165" s="659">
        <f t="shared" si="3"/>
        <v>0</v>
      </c>
      <c r="D165" s="1" t="s">
        <v>880</v>
      </c>
      <c r="E165" s="259">
        <f>SUMIFS(GDC_PDC_Material!$Z$1:$Z$10000,GDC_PDC_Material!$D$1:$D$10000,Group!C165)</f>
        <v>0</v>
      </c>
      <c r="F165" s="259">
        <f>SUMIFS(GDC_PDC_Process!$I$1:$I$9998,GDC_PDC_Process!$C$1:$C$9998,Group!F$2,GDC_PDC_Process!$B$1:$B$9998,Group!$C165)</f>
        <v>0</v>
      </c>
      <c r="G165" s="259">
        <f>SUMIFS(GDC_PDC_Process!$I$1:$I$9998,GDC_PDC_Process!$C$1:$C$9998,Group!G$2,GDC_PDC_Process!$B$1:$B$9998,Group!$C165)</f>
        <v>0</v>
      </c>
      <c r="H165" s="259">
        <f>SUMIFS(GDC_PDC_Process!$I$1:$I$9998,GDC_PDC_Process!$C$1:$C$9998,Group!H$2,GDC_PDC_Process!$B$1:$B$9998,Group!$C165)</f>
        <v>0</v>
      </c>
      <c r="I165" s="259">
        <f>SUMIFS(GDC_PDC_Material!$K$1:$K$10000,GDC_PDC_Material!$D$1:$D$10000,Group!C165)</f>
        <v>0</v>
      </c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M165" s="1">
        <f>BOM!D165</f>
        <v>0</v>
      </c>
      <c r="AN165" s="1">
        <f>BOM!C165</f>
        <v>0</v>
      </c>
      <c r="AO165" s="1">
        <f>BOM!B165</f>
        <v>0</v>
      </c>
    </row>
    <row r="166" spans="2:41">
      <c r="B166" s="205">
        <v>164</v>
      </c>
      <c r="C166" s="659">
        <f t="shared" si="3"/>
        <v>0</v>
      </c>
      <c r="D166" s="1" t="s">
        <v>880</v>
      </c>
      <c r="E166" s="259">
        <f>SUMIFS(GDC_PDC_Material!$Z$1:$Z$10000,GDC_PDC_Material!$D$1:$D$10000,Group!C166)</f>
        <v>0</v>
      </c>
      <c r="F166" s="259">
        <f>SUMIFS(GDC_PDC_Process!$I$1:$I$9998,GDC_PDC_Process!$C$1:$C$9998,Group!F$2,GDC_PDC_Process!$B$1:$B$9998,Group!$C166)</f>
        <v>0</v>
      </c>
      <c r="G166" s="259">
        <f>SUMIFS(GDC_PDC_Process!$I$1:$I$9998,GDC_PDC_Process!$C$1:$C$9998,Group!G$2,GDC_PDC_Process!$B$1:$B$9998,Group!$C166)</f>
        <v>0</v>
      </c>
      <c r="H166" s="259">
        <f>SUMIFS(GDC_PDC_Process!$I$1:$I$9998,GDC_PDC_Process!$C$1:$C$9998,Group!H$2,GDC_PDC_Process!$B$1:$B$9998,Group!$C166)</f>
        <v>0</v>
      </c>
      <c r="I166" s="259">
        <f>SUMIFS(GDC_PDC_Material!$K$1:$K$10000,GDC_PDC_Material!$D$1:$D$10000,Group!C166)</f>
        <v>0</v>
      </c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M166" s="1">
        <f>BOM!D166</f>
        <v>0</v>
      </c>
      <c r="AN166" s="1">
        <f>BOM!C166</f>
        <v>0</v>
      </c>
      <c r="AO166" s="1">
        <f>BOM!B166</f>
        <v>0</v>
      </c>
    </row>
    <row r="167" spans="2:41">
      <c r="B167" s="205">
        <v>165</v>
      </c>
      <c r="C167" s="659">
        <f t="shared" si="3"/>
        <v>0</v>
      </c>
      <c r="D167" s="1" t="s">
        <v>880</v>
      </c>
      <c r="E167" s="259">
        <f>SUMIFS(GDC_PDC_Material!$Z$1:$Z$10000,GDC_PDC_Material!$D$1:$D$10000,Group!C167)</f>
        <v>0</v>
      </c>
      <c r="F167" s="259">
        <f>SUMIFS(GDC_PDC_Process!$I$1:$I$9998,GDC_PDC_Process!$C$1:$C$9998,Group!F$2,GDC_PDC_Process!$B$1:$B$9998,Group!$C167)</f>
        <v>0</v>
      </c>
      <c r="G167" s="259">
        <f>SUMIFS(GDC_PDC_Process!$I$1:$I$9998,GDC_PDC_Process!$C$1:$C$9998,Group!G$2,GDC_PDC_Process!$B$1:$B$9998,Group!$C167)</f>
        <v>0</v>
      </c>
      <c r="H167" s="259">
        <f>SUMIFS(GDC_PDC_Process!$I$1:$I$9998,GDC_PDC_Process!$C$1:$C$9998,Group!H$2,GDC_PDC_Process!$B$1:$B$9998,Group!$C167)</f>
        <v>0</v>
      </c>
      <c r="I167" s="259">
        <f>SUMIFS(GDC_PDC_Material!$K$1:$K$10000,GDC_PDC_Material!$D$1:$D$10000,Group!C167)</f>
        <v>0</v>
      </c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M167" s="1">
        <f>BOM!D167</f>
        <v>0</v>
      </c>
      <c r="AN167" s="1">
        <f>BOM!C167</f>
        <v>0</v>
      </c>
      <c r="AO167" s="1">
        <f>BOM!B167</f>
        <v>0</v>
      </c>
    </row>
    <row r="168" spans="2:41">
      <c r="B168" s="205">
        <v>166</v>
      </c>
      <c r="C168" s="659">
        <f t="shared" si="3"/>
        <v>0</v>
      </c>
      <c r="D168" s="1" t="s">
        <v>880</v>
      </c>
      <c r="E168" s="259">
        <f>SUMIFS(GDC_PDC_Material!$Z$1:$Z$10000,GDC_PDC_Material!$D$1:$D$10000,Group!C168)</f>
        <v>0</v>
      </c>
      <c r="F168" s="259">
        <f>SUMIFS(GDC_PDC_Process!$I$1:$I$9998,GDC_PDC_Process!$C$1:$C$9998,Group!F$2,GDC_PDC_Process!$B$1:$B$9998,Group!$C168)</f>
        <v>0</v>
      </c>
      <c r="G168" s="259">
        <f>SUMIFS(GDC_PDC_Process!$I$1:$I$9998,GDC_PDC_Process!$C$1:$C$9998,Group!G$2,GDC_PDC_Process!$B$1:$B$9998,Group!$C168)</f>
        <v>0</v>
      </c>
      <c r="H168" s="259">
        <f>SUMIFS(GDC_PDC_Process!$I$1:$I$9998,GDC_PDC_Process!$C$1:$C$9998,Group!H$2,GDC_PDC_Process!$B$1:$B$9998,Group!$C168)</f>
        <v>0</v>
      </c>
      <c r="I168" s="259">
        <f>SUMIFS(GDC_PDC_Material!$K$1:$K$10000,GDC_PDC_Material!$D$1:$D$10000,Group!C168)</f>
        <v>0</v>
      </c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M168" s="1">
        <f>BOM!D168</f>
        <v>0</v>
      </c>
      <c r="AN168" s="1">
        <f>BOM!C168</f>
        <v>0</v>
      </c>
      <c r="AO168" s="1">
        <f>BOM!B168</f>
        <v>0</v>
      </c>
    </row>
    <row r="169" spans="2:41">
      <c r="B169" s="205">
        <v>167</v>
      </c>
      <c r="C169" s="659">
        <f t="shared" si="3"/>
        <v>0</v>
      </c>
      <c r="D169" s="1" t="s">
        <v>880</v>
      </c>
      <c r="E169" s="259">
        <f>SUMIFS(GDC_PDC_Material!$Z$1:$Z$10000,GDC_PDC_Material!$D$1:$D$10000,Group!C169)</f>
        <v>0</v>
      </c>
      <c r="F169" s="259">
        <f>SUMIFS(GDC_PDC_Process!$I$1:$I$9998,GDC_PDC_Process!$C$1:$C$9998,Group!F$2,GDC_PDC_Process!$B$1:$B$9998,Group!$C169)</f>
        <v>0</v>
      </c>
      <c r="G169" s="259">
        <f>SUMIFS(GDC_PDC_Process!$I$1:$I$9998,GDC_PDC_Process!$C$1:$C$9998,Group!G$2,GDC_PDC_Process!$B$1:$B$9998,Group!$C169)</f>
        <v>0</v>
      </c>
      <c r="H169" s="259">
        <f>SUMIFS(GDC_PDC_Process!$I$1:$I$9998,GDC_PDC_Process!$C$1:$C$9998,Group!H$2,GDC_PDC_Process!$B$1:$B$9998,Group!$C169)</f>
        <v>0</v>
      </c>
      <c r="I169" s="259">
        <f>SUMIFS(GDC_PDC_Material!$K$1:$K$10000,GDC_PDC_Material!$D$1:$D$10000,Group!C169)</f>
        <v>0</v>
      </c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M169" s="1">
        <f>BOM!D169</f>
        <v>0</v>
      </c>
      <c r="AN169" s="1">
        <f>BOM!C169</f>
        <v>0</v>
      </c>
      <c r="AO169" s="1">
        <f>BOM!B169</f>
        <v>0</v>
      </c>
    </row>
    <row r="170" spans="2:41">
      <c r="B170" s="205">
        <v>168</v>
      </c>
      <c r="C170" s="659">
        <f t="shared" si="3"/>
        <v>0</v>
      </c>
      <c r="D170" s="1" t="s">
        <v>880</v>
      </c>
      <c r="E170" s="259">
        <f>SUMIFS(GDC_PDC_Material!$Z$1:$Z$10000,GDC_PDC_Material!$D$1:$D$10000,Group!C170)</f>
        <v>0</v>
      </c>
      <c r="F170" s="259">
        <f>SUMIFS(GDC_PDC_Process!$I$1:$I$9998,GDC_PDC_Process!$C$1:$C$9998,Group!F$2,GDC_PDC_Process!$B$1:$B$9998,Group!$C170)</f>
        <v>0</v>
      </c>
      <c r="G170" s="259">
        <f>SUMIFS(GDC_PDC_Process!$I$1:$I$9998,GDC_PDC_Process!$C$1:$C$9998,Group!G$2,GDC_PDC_Process!$B$1:$B$9998,Group!$C170)</f>
        <v>0</v>
      </c>
      <c r="H170" s="259">
        <f>SUMIFS(GDC_PDC_Process!$I$1:$I$9998,GDC_PDC_Process!$C$1:$C$9998,Group!H$2,GDC_PDC_Process!$B$1:$B$9998,Group!$C170)</f>
        <v>0</v>
      </c>
      <c r="I170" s="259">
        <f>SUMIFS(GDC_PDC_Material!$K$1:$K$10000,GDC_PDC_Material!$D$1:$D$10000,Group!C170)</f>
        <v>0</v>
      </c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M170" s="1">
        <f>BOM!D170</f>
        <v>0</v>
      </c>
      <c r="AN170" s="1">
        <f>BOM!C170</f>
        <v>0</v>
      </c>
      <c r="AO170" s="1">
        <f>BOM!B170</f>
        <v>0</v>
      </c>
    </row>
    <row r="171" spans="2:41">
      <c r="B171" s="205">
        <v>169</v>
      </c>
      <c r="C171" s="659">
        <f t="shared" si="3"/>
        <v>0</v>
      </c>
      <c r="D171" s="1" t="s">
        <v>880</v>
      </c>
      <c r="E171" s="259">
        <f>SUMIFS(GDC_PDC_Material!$Z$1:$Z$10000,GDC_PDC_Material!$D$1:$D$10000,Group!C171)</f>
        <v>0</v>
      </c>
      <c r="F171" s="259">
        <f>SUMIFS(GDC_PDC_Process!$I$1:$I$9998,GDC_PDC_Process!$C$1:$C$9998,Group!F$2,GDC_PDC_Process!$B$1:$B$9998,Group!$C171)</f>
        <v>0</v>
      </c>
      <c r="G171" s="259">
        <f>SUMIFS(GDC_PDC_Process!$I$1:$I$9998,GDC_PDC_Process!$C$1:$C$9998,Group!G$2,GDC_PDC_Process!$B$1:$B$9998,Group!$C171)</f>
        <v>0</v>
      </c>
      <c r="H171" s="259">
        <f>SUMIFS(GDC_PDC_Process!$I$1:$I$9998,GDC_PDC_Process!$C$1:$C$9998,Group!H$2,GDC_PDC_Process!$B$1:$B$9998,Group!$C171)</f>
        <v>0</v>
      </c>
      <c r="I171" s="259">
        <f>SUMIFS(GDC_PDC_Material!$K$1:$K$10000,GDC_PDC_Material!$D$1:$D$10000,Group!C171)</f>
        <v>0</v>
      </c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M171" s="1">
        <f>BOM!D171</f>
        <v>0</v>
      </c>
      <c r="AN171" s="1">
        <f>BOM!C171</f>
        <v>0</v>
      </c>
      <c r="AO171" s="1">
        <f>BOM!B171</f>
        <v>0</v>
      </c>
    </row>
    <row r="172" spans="2:41">
      <c r="B172" s="205">
        <v>170</v>
      </c>
      <c r="C172" s="659">
        <f t="shared" si="3"/>
        <v>0</v>
      </c>
      <c r="D172" s="1" t="s">
        <v>880</v>
      </c>
      <c r="E172" s="259">
        <f>SUMIFS(GDC_PDC_Material!$Z$1:$Z$10000,GDC_PDC_Material!$D$1:$D$10000,Group!C172)</f>
        <v>0</v>
      </c>
      <c r="F172" s="259">
        <f>SUMIFS(GDC_PDC_Process!$I$1:$I$9998,GDC_PDC_Process!$C$1:$C$9998,Group!F$2,GDC_PDC_Process!$B$1:$B$9998,Group!$C172)</f>
        <v>0</v>
      </c>
      <c r="G172" s="259">
        <f>SUMIFS(GDC_PDC_Process!$I$1:$I$9998,GDC_PDC_Process!$C$1:$C$9998,Group!G$2,GDC_PDC_Process!$B$1:$B$9998,Group!$C172)</f>
        <v>0</v>
      </c>
      <c r="H172" s="259">
        <f>SUMIFS(GDC_PDC_Process!$I$1:$I$9998,GDC_PDC_Process!$C$1:$C$9998,Group!H$2,GDC_PDC_Process!$B$1:$B$9998,Group!$C172)</f>
        <v>0</v>
      </c>
      <c r="I172" s="259">
        <f>SUMIFS(GDC_PDC_Material!$K$1:$K$10000,GDC_PDC_Material!$D$1:$D$10000,Group!C172)</f>
        <v>0</v>
      </c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M172" s="1">
        <f>BOM!D172</f>
        <v>0</v>
      </c>
      <c r="AN172" s="1">
        <f>BOM!C172</f>
        <v>0</v>
      </c>
      <c r="AO172" s="1">
        <f>BOM!B172</f>
        <v>0</v>
      </c>
    </row>
    <row r="173" spans="2:41">
      <c r="B173" s="205">
        <v>171</v>
      </c>
      <c r="C173" s="659">
        <f t="shared" si="3"/>
        <v>0</v>
      </c>
      <c r="D173" s="1" t="s">
        <v>880</v>
      </c>
      <c r="E173" s="259">
        <f>SUMIFS(GDC_PDC_Material!$Z$1:$Z$10000,GDC_PDC_Material!$D$1:$D$10000,Group!C173)</f>
        <v>0</v>
      </c>
      <c r="F173" s="259">
        <f>SUMIFS(GDC_PDC_Process!$I$1:$I$9998,GDC_PDC_Process!$C$1:$C$9998,Group!F$2,GDC_PDC_Process!$B$1:$B$9998,Group!$C173)</f>
        <v>0</v>
      </c>
      <c r="G173" s="259">
        <f>SUMIFS(GDC_PDC_Process!$I$1:$I$9998,GDC_PDC_Process!$C$1:$C$9998,Group!G$2,GDC_PDC_Process!$B$1:$B$9998,Group!$C173)</f>
        <v>0</v>
      </c>
      <c r="H173" s="259">
        <f>SUMIFS(GDC_PDC_Process!$I$1:$I$9998,GDC_PDC_Process!$C$1:$C$9998,Group!H$2,GDC_PDC_Process!$B$1:$B$9998,Group!$C173)</f>
        <v>0</v>
      </c>
      <c r="I173" s="259">
        <f>SUMIFS(GDC_PDC_Material!$K$1:$K$10000,GDC_PDC_Material!$D$1:$D$10000,Group!C173)</f>
        <v>0</v>
      </c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M173" s="1">
        <f>BOM!D173</f>
        <v>0</v>
      </c>
      <c r="AN173" s="1">
        <f>BOM!C173</f>
        <v>0</v>
      </c>
      <c r="AO173" s="1">
        <f>BOM!B173</f>
        <v>0</v>
      </c>
    </row>
    <row r="174" spans="2:41">
      <c r="B174" s="205">
        <v>172</v>
      </c>
      <c r="C174" s="659">
        <f t="shared" si="3"/>
        <v>0</v>
      </c>
      <c r="D174" s="1" t="s">
        <v>880</v>
      </c>
      <c r="E174" s="259">
        <f>SUMIFS(GDC_PDC_Material!$Z$1:$Z$10000,GDC_PDC_Material!$D$1:$D$10000,Group!C174)</f>
        <v>0</v>
      </c>
      <c r="F174" s="259">
        <f>SUMIFS(GDC_PDC_Process!$I$1:$I$9998,GDC_PDC_Process!$C$1:$C$9998,Group!F$2,GDC_PDC_Process!$B$1:$B$9998,Group!$C174)</f>
        <v>0</v>
      </c>
      <c r="G174" s="259">
        <f>SUMIFS(GDC_PDC_Process!$I$1:$I$9998,GDC_PDC_Process!$C$1:$C$9998,Group!G$2,GDC_PDC_Process!$B$1:$B$9998,Group!$C174)</f>
        <v>0</v>
      </c>
      <c r="H174" s="259">
        <f>SUMIFS(GDC_PDC_Process!$I$1:$I$9998,GDC_PDC_Process!$C$1:$C$9998,Group!H$2,GDC_PDC_Process!$B$1:$B$9998,Group!$C174)</f>
        <v>0</v>
      </c>
      <c r="I174" s="259">
        <f>SUMIFS(GDC_PDC_Material!$K$1:$K$10000,GDC_PDC_Material!$D$1:$D$10000,Group!C174)</f>
        <v>0</v>
      </c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M174" s="1">
        <f>BOM!D174</f>
        <v>0</v>
      </c>
      <c r="AN174" s="1">
        <f>BOM!C174</f>
        <v>0</v>
      </c>
      <c r="AO174" s="1">
        <f>BOM!B174</f>
        <v>0</v>
      </c>
    </row>
    <row r="175" spans="2:41">
      <c r="B175" s="205">
        <v>173</v>
      </c>
      <c r="C175" s="659">
        <f t="shared" si="3"/>
        <v>0</v>
      </c>
      <c r="D175" s="1" t="s">
        <v>880</v>
      </c>
      <c r="E175" s="259">
        <f>SUMIFS(GDC_PDC_Material!$Z$1:$Z$10000,GDC_PDC_Material!$D$1:$D$10000,Group!C175)</f>
        <v>0</v>
      </c>
      <c r="F175" s="259">
        <f>SUMIFS(GDC_PDC_Process!$I$1:$I$9998,GDC_PDC_Process!$C$1:$C$9998,Group!F$2,GDC_PDC_Process!$B$1:$B$9998,Group!$C175)</f>
        <v>0</v>
      </c>
      <c r="G175" s="259">
        <f>SUMIFS(GDC_PDC_Process!$I$1:$I$9998,GDC_PDC_Process!$C$1:$C$9998,Group!G$2,GDC_PDC_Process!$B$1:$B$9998,Group!$C175)</f>
        <v>0</v>
      </c>
      <c r="H175" s="259">
        <f>SUMIFS(GDC_PDC_Process!$I$1:$I$9998,GDC_PDC_Process!$C$1:$C$9998,Group!H$2,GDC_PDC_Process!$B$1:$B$9998,Group!$C175)</f>
        <v>0</v>
      </c>
      <c r="I175" s="259">
        <f>SUMIFS(GDC_PDC_Material!$K$1:$K$10000,GDC_PDC_Material!$D$1:$D$10000,Group!C175)</f>
        <v>0</v>
      </c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M175" s="1">
        <f>BOM!D175</f>
        <v>0</v>
      </c>
      <c r="AN175" s="1">
        <f>BOM!C175</f>
        <v>0</v>
      </c>
      <c r="AO175" s="1">
        <f>BOM!B175</f>
        <v>0</v>
      </c>
    </row>
    <row r="176" spans="2:41">
      <c r="B176" s="205">
        <v>174</v>
      </c>
      <c r="C176" s="659">
        <f t="shared" si="3"/>
        <v>0</v>
      </c>
      <c r="D176" s="1" t="s">
        <v>880</v>
      </c>
      <c r="E176" s="259">
        <f>SUMIFS(GDC_PDC_Material!$Z$1:$Z$10000,GDC_PDC_Material!$D$1:$D$10000,Group!C176)</f>
        <v>0</v>
      </c>
      <c r="F176" s="259">
        <f>SUMIFS(GDC_PDC_Process!$I$1:$I$9998,GDC_PDC_Process!$C$1:$C$9998,Group!F$2,GDC_PDC_Process!$B$1:$B$9998,Group!$C176)</f>
        <v>0</v>
      </c>
      <c r="G176" s="259">
        <f>SUMIFS(GDC_PDC_Process!$I$1:$I$9998,GDC_PDC_Process!$C$1:$C$9998,Group!G$2,GDC_PDC_Process!$B$1:$B$9998,Group!$C176)</f>
        <v>0</v>
      </c>
      <c r="H176" s="259">
        <f>SUMIFS(GDC_PDC_Process!$I$1:$I$9998,GDC_PDC_Process!$C$1:$C$9998,Group!H$2,GDC_PDC_Process!$B$1:$B$9998,Group!$C176)</f>
        <v>0</v>
      </c>
      <c r="I176" s="259">
        <f>SUMIFS(GDC_PDC_Material!$K$1:$K$10000,GDC_PDC_Material!$D$1:$D$10000,Group!C176)</f>
        <v>0</v>
      </c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M176" s="1">
        <f>BOM!D176</f>
        <v>0</v>
      </c>
      <c r="AN176" s="1">
        <f>BOM!C176</f>
        <v>0</v>
      </c>
      <c r="AO176" s="1">
        <f>BOM!B176</f>
        <v>0</v>
      </c>
    </row>
    <row r="177" spans="2:41">
      <c r="B177" s="205">
        <v>175</v>
      </c>
      <c r="C177" s="659">
        <f t="shared" si="3"/>
        <v>0</v>
      </c>
      <c r="D177" s="1" t="s">
        <v>880</v>
      </c>
      <c r="E177" s="259">
        <f>SUMIFS(GDC_PDC_Material!$Z$1:$Z$10000,GDC_PDC_Material!$D$1:$D$10000,Group!C177)</f>
        <v>0</v>
      </c>
      <c r="F177" s="259">
        <f>SUMIFS(GDC_PDC_Process!$I$1:$I$9998,GDC_PDC_Process!$C$1:$C$9998,Group!F$2,GDC_PDC_Process!$B$1:$B$9998,Group!$C177)</f>
        <v>0</v>
      </c>
      <c r="G177" s="259">
        <f>SUMIFS(GDC_PDC_Process!$I$1:$I$9998,GDC_PDC_Process!$C$1:$C$9998,Group!G$2,GDC_PDC_Process!$B$1:$B$9998,Group!$C177)</f>
        <v>0</v>
      </c>
      <c r="H177" s="259">
        <f>SUMIFS(GDC_PDC_Process!$I$1:$I$9998,GDC_PDC_Process!$C$1:$C$9998,Group!H$2,GDC_PDC_Process!$B$1:$B$9998,Group!$C177)</f>
        <v>0</v>
      </c>
      <c r="I177" s="259">
        <f>SUMIFS(GDC_PDC_Material!$K$1:$K$10000,GDC_PDC_Material!$D$1:$D$10000,Group!C177)</f>
        <v>0</v>
      </c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M177" s="1">
        <f>BOM!D177</f>
        <v>0</v>
      </c>
      <c r="AN177" s="1">
        <f>BOM!C177</f>
        <v>0</v>
      </c>
      <c r="AO177" s="1">
        <f>BOM!B177</f>
        <v>0</v>
      </c>
    </row>
    <row r="178" spans="2:41">
      <c r="B178" s="205">
        <v>176</v>
      </c>
      <c r="C178" s="659">
        <f t="shared" si="3"/>
        <v>0</v>
      </c>
      <c r="D178" s="1" t="s">
        <v>880</v>
      </c>
      <c r="E178" s="259">
        <f>SUMIFS(GDC_PDC_Material!$Z$1:$Z$10000,GDC_PDC_Material!$D$1:$D$10000,Group!C178)</f>
        <v>0</v>
      </c>
      <c r="F178" s="259">
        <f>SUMIFS(GDC_PDC_Process!$I$1:$I$9998,GDC_PDC_Process!$C$1:$C$9998,Group!F$2,GDC_PDC_Process!$B$1:$B$9998,Group!$C178)</f>
        <v>0</v>
      </c>
      <c r="G178" s="259">
        <f>SUMIFS(GDC_PDC_Process!$I$1:$I$9998,GDC_PDC_Process!$C$1:$C$9998,Group!G$2,GDC_PDC_Process!$B$1:$B$9998,Group!$C178)</f>
        <v>0</v>
      </c>
      <c r="H178" s="259">
        <f>SUMIFS(GDC_PDC_Process!$I$1:$I$9998,GDC_PDC_Process!$C$1:$C$9998,Group!H$2,GDC_PDC_Process!$B$1:$B$9998,Group!$C178)</f>
        <v>0</v>
      </c>
      <c r="I178" s="259">
        <f>SUMIFS(GDC_PDC_Material!$K$1:$K$10000,GDC_PDC_Material!$D$1:$D$10000,Group!C178)</f>
        <v>0</v>
      </c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M178" s="1">
        <f>BOM!D178</f>
        <v>0</v>
      </c>
      <c r="AN178" s="1">
        <f>BOM!C178</f>
        <v>0</v>
      </c>
      <c r="AO178" s="1">
        <f>BOM!B178</f>
        <v>0</v>
      </c>
    </row>
    <row r="179" spans="2:41">
      <c r="B179" s="205">
        <v>177</v>
      </c>
      <c r="C179" s="659">
        <f t="shared" si="3"/>
        <v>0</v>
      </c>
      <c r="D179" s="1" t="s">
        <v>880</v>
      </c>
      <c r="E179" s="259">
        <f>SUMIFS(GDC_PDC_Material!$Z$1:$Z$10000,GDC_PDC_Material!$D$1:$D$10000,Group!C179)</f>
        <v>0</v>
      </c>
      <c r="F179" s="259">
        <f>SUMIFS(GDC_PDC_Process!$I$1:$I$9998,GDC_PDC_Process!$C$1:$C$9998,Group!F$2,GDC_PDC_Process!$B$1:$B$9998,Group!$C179)</f>
        <v>0</v>
      </c>
      <c r="G179" s="259">
        <f>SUMIFS(GDC_PDC_Process!$I$1:$I$9998,GDC_PDC_Process!$C$1:$C$9998,Group!G$2,GDC_PDC_Process!$B$1:$B$9998,Group!$C179)</f>
        <v>0</v>
      </c>
      <c r="H179" s="259">
        <f>SUMIFS(GDC_PDC_Process!$I$1:$I$9998,GDC_PDC_Process!$C$1:$C$9998,Group!H$2,GDC_PDC_Process!$B$1:$B$9998,Group!$C179)</f>
        <v>0</v>
      </c>
      <c r="I179" s="259">
        <f>SUMIFS(GDC_PDC_Material!$K$1:$K$10000,GDC_PDC_Material!$D$1:$D$10000,Group!C179)</f>
        <v>0</v>
      </c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M179" s="1">
        <f>BOM!D179</f>
        <v>0</v>
      </c>
      <c r="AN179" s="1">
        <f>BOM!C179</f>
        <v>0</v>
      </c>
      <c r="AO179" s="1">
        <f>BOM!B179</f>
        <v>0</v>
      </c>
    </row>
    <row r="180" spans="2:41">
      <c r="B180" s="205">
        <v>178</v>
      </c>
      <c r="C180" s="659">
        <f t="shared" si="3"/>
        <v>0</v>
      </c>
      <c r="D180" s="1" t="s">
        <v>880</v>
      </c>
      <c r="E180" s="259">
        <f>SUMIFS(GDC_PDC_Material!$Z$1:$Z$10000,GDC_PDC_Material!$D$1:$D$10000,Group!C180)</f>
        <v>0</v>
      </c>
      <c r="F180" s="259">
        <f>SUMIFS(GDC_PDC_Process!$I$1:$I$9998,GDC_PDC_Process!$C$1:$C$9998,Group!F$2,GDC_PDC_Process!$B$1:$B$9998,Group!$C180)</f>
        <v>0</v>
      </c>
      <c r="G180" s="259">
        <f>SUMIFS(GDC_PDC_Process!$I$1:$I$9998,GDC_PDC_Process!$C$1:$C$9998,Group!G$2,GDC_PDC_Process!$B$1:$B$9998,Group!$C180)</f>
        <v>0</v>
      </c>
      <c r="H180" s="259">
        <f>SUMIFS(GDC_PDC_Process!$I$1:$I$9998,GDC_PDC_Process!$C$1:$C$9998,Group!H$2,GDC_PDC_Process!$B$1:$B$9998,Group!$C180)</f>
        <v>0</v>
      </c>
      <c r="I180" s="259">
        <f>SUMIFS(GDC_PDC_Material!$K$1:$K$10000,GDC_PDC_Material!$D$1:$D$10000,Group!C180)</f>
        <v>0</v>
      </c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M180" s="1">
        <f>BOM!D180</f>
        <v>0</v>
      </c>
      <c r="AN180" s="1">
        <f>BOM!C180</f>
        <v>0</v>
      </c>
      <c r="AO180" s="1">
        <f>BOM!B180</f>
        <v>0</v>
      </c>
    </row>
    <row r="181" spans="2:41">
      <c r="B181" s="205">
        <v>179</v>
      </c>
      <c r="C181" s="659">
        <f t="shared" si="3"/>
        <v>0</v>
      </c>
      <c r="D181" s="1" t="s">
        <v>880</v>
      </c>
      <c r="E181" s="259">
        <f>SUMIFS(GDC_PDC_Material!$Z$1:$Z$10000,GDC_PDC_Material!$D$1:$D$10000,Group!C181)</f>
        <v>0</v>
      </c>
      <c r="F181" s="259">
        <f>SUMIFS(GDC_PDC_Process!$I$1:$I$9998,GDC_PDC_Process!$C$1:$C$9998,Group!F$2,GDC_PDC_Process!$B$1:$B$9998,Group!$C181)</f>
        <v>0</v>
      </c>
      <c r="G181" s="259">
        <f>SUMIFS(GDC_PDC_Process!$I$1:$I$9998,GDC_PDC_Process!$C$1:$C$9998,Group!G$2,GDC_PDC_Process!$B$1:$B$9998,Group!$C181)</f>
        <v>0</v>
      </c>
      <c r="H181" s="259">
        <f>SUMIFS(GDC_PDC_Process!$I$1:$I$9998,GDC_PDC_Process!$C$1:$C$9998,Group!H$2,GDC_PDC_Process!$B$1:$B$9998,Group!$C181)</f>
        <v>0</v>
      </c>
      <c r="I181" s="259">
        <f>SUMIFS(GDC_PDC_Material!$K$1:$K$10000,GDC_PDC_Material!$D$1:$D$10000,Group!C181)</f>
        <v>0</v>
      </c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M181" s="1">
        <f>BOM!D181</f>
        <v>0</v>
      </c>
      <c r="AN181" s="1">
        <f>BOM!C181</f>
        <v>0</v>
      </c>
      <c r="AO181" s="1">
        <f>BOM!B181</f>
        <v>0</v>
      </c>
    </row>
    <row r="182" spans="2:41">
      <c r="B182" s="205">
        <v>180</v>
      </c>
      <c r="C182" s="659">
        <f t="shared" si="3"/>
        <v>0</v>
      </c>
      <c r="D182" s="1" t="s">
        <v>880</v>
      </c>
      <c r="E182" s="259">
        <f>SUMIFS(GDC_PDC_Material!$Z$1:$Z$10000,GDC_PDC_Material!$D$1:$D$10000,Group!C182)</f>
        <v>0</v>
      </c>
      <c r="F182" s="259">
        <f>SUMIFS(GDC_PDC_Process!$I$1:$I$9998,GDC_PDC_Process!$C$1:$C$9998,Group!F$2,GDC_PDC_Process!$B$1:$B$9998,Group!$C182)</f>
        <v>0</v>
      </c>
      <c r="G182" s="259">
        <f>SUMIFS(GDC_PDC_Process!$I$1:$I$9998,GDC_PDC_Process!$C$1:$C$9998,Group!G$2,GDC_PDC_Process!$B$1:$B$9998,Group!$C182)</f>
        <v>0</v>
      </c>
      <c r="H182" s="259">
        <f>SUMIFS(GDC_PDC_Process!$I$1:$I$9998,GDC_PDC_Process!$C$1:$C$9998,Group!H$2,GDC_PDC_Process!$B$1:$B$9998,Group!$C182)</f>
        <v>0</v>
      </c>
      <c r="I182" s="259">
        <f>SUMIFS(GDC_PDC_Material!$K$1:$K$10000,GDC_PDC_Material!$D$1:$D$10000,Group!C182)</f>
        <v>0</v>
      </c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M182" s="1">
        <f>BOM!D182</f>
        <v>0</v>
      </c>
      <c r="AN182" s="1">
        <f>BOM!C182</f>
        <v>0</v>
      </c>
      <c r="AO182" s="1">
        <f>BOM!B182</f>
        <v>0</v>
      </c>
    </row>
    <row r="183" spans="2:41">
      <c r="B183" s="205">
        <v>181</v>
      </c>
      <c r="C183" s="659">
        <f t="shared" si="3"/>
        <v>0</v>
      </c>
      <c r="D183" s="1" t="s">
        <v>880</v>
      </c>
      <c r="E183" s="259">
        <f>SUMIFS(GDC_PDC_Material!$Z$1:$Z$10000,GDC_PDC_Material!$D$1:$D$10000,Group!C183)</f>
        <v>0</v>
      </c>
      <c r="F183" s="259">
        <f>SUMIFS(GDC_PDC_Process!$I$1:$I$9998,GDC_PDC_Process!$C$1:$C$9998,Group!F$2,GDC_PDC_Process!$B$1:$B$9998,Group!$C183)</f>
        <v>0</v>
      </c>
      <c r="G183" s="259">
        <f>SUMIFS(GDC_PDC_Process!$I$1:$I$9998,GDC_PDC_Process!$C$1:$C$9998,Group!G$2,GDC_PDC_Process!$B$1:$B$9998,Group!$C183)</f>
        <v>0</v>
      </c>
      <c r="H183" s="259">
        <f>SUMIFS(GDC_PDC_Process!$I$1:$I$9998,GDC_PDC_Process!$C$1:$C$9998,Group!H$2,GDC_PDC_Process!$B$1:$B$9998,Group!$C183)</f>
        <v>0</v>
      </c>
      <c r="I183" s="259">
        <f>SUMIFS(GDC_PDC_Material!$K$1:$K$10000,GDC_PDC_Material!$D$1:$D$10000,Group!C183)</f>
        <v>0</v>
      </c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M183" s="1">
        <f>BOM!D183</f>
        <v>0</v>
      </c>
      <c r="AN183" s="1">
        <f>BOM!C183</f>
        <v>0</v>
      </c>
      <c r="AO183" s="1">
        <f>BOM!B183</f>
        <v>0</v>
      </c>
    </row>
    <row r="184" spans="2:41">
      <c r="B184" s="205">
        <v>182</v>
      </c>
      <c r="C184" s="659">
        <f t="shared" si="3"/>
        <v>0</v>
      </c>
      <c r="D184" s="1" t="s">
        <v>880</v>
      </c>
      <c r="E184" s="259">
        <f>SUMIFS(GDC_PDC_Material!$Z$1:$Z$10000,GDC_PDC_Material!$D$1:$D$10000,Group!C184)</f>
        <v>0</v>
      </c>
      <c r="F184" s="259">
        <f>SUMIFS(GDC_PDC_Process!$I$1:$I$9998,GDC_PDC_Process!$C$1:$C$9998,Group!F$2,GDC_PDC_Process!$B$1:$B$9998,Group!$C184)</f>
        <v>0</v>
      </c>
      <c r="G184" s="259">
        <f>SUMIFS(GDC_PDC_Process!$I$1:$I$9998,GDC_PDC_Process!$C$1:$C$9998,Group!G$2,GDC_PDC_Process!$B$1:$B$9998,Group!$C184)</f>
        <v>0</v>
      </c>
      <c r="H184" s="259">
        <f>SUMIFS(GDC_PDC_Process!$I$1:$I$9998,GDC_PDC_Process!$C$1:$C$9998,Group!H$2,GDC_PDC_Process!$B$1:$B$9998,Group!$C184)</f>
        <v>0</v>
      </c>
      <c r="I184" s="259">
        <f>SUMIFS(GDC_PDC_Material!$K$1:$K$10000,GDC_PDC_Material!$D$1:$D$10000,Group!C184)</f>
        <v>0</v>
      </c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M184" s="1">
        <f>BOM!D184</f>
        <v>0</v>
      </c>
      <c r="AN184" s="1">
        <f>BOM!C184</f>
        <v>0</v>
      </c>
      <c r="AO184" s="1">
        <f>BOM!B184</f>
        <v>0</v>
      </c>
    </row>
    <row r="185" spans="2:41">
      <c r="B185" s="205">
        <v>183</v>
      </c>
      <c r="C185" s="659">
        <f t="shared" si="3"/>
        <v>0</v>
      </c>
      <c r="D185" s="1" t="s">
        <v>880</v>
      </c>
      <c r="E185" s="259">
        <f>SUMIFS(GDC_PDC_Material!$Z$1:$Z$10000,GDC_PDC_Material!$D$1:$D$10000,Group!C185)</f>
        <v>0</v>
      </c>
      <c r="F185" s="259">
        <f>SUMIFS(GDC_PDC_Process!$I$1:$I$9998,GDC_PDC_Process!$C$1:$C$9998,Group!F$2,GDC_PDC_Process!$B$1:$B$9998,Group!$C185)</f>
        <v>0</v>
      </c>
      <c r="G185" s="259">
        <f>SUMIFS(GDC_PDC_Process!$I$1:$I$9998,GDC_PDC_Process!$C$1:$C$9998,Group!G$2,GDC_PDC_Process!$B$1:$B$9998,Group!$C185)</f>
        <v>0</v>
      </c>
      <c r="H185" s="259">
        <f>SUMIFS(GDC_PDC_Process!$I$1:$I$9998,GDC_PDC_Process!$C$1:$C$9998,Group!H$2,GDC_PDC_Process!$B$1:$B$9998,Group!$C185)</f>
        <v>0</v>
      </c>
      <c r="I185" s="259">
        <f>SUMIFS(GDC_PDC_Material!$K$1:$K$10000,GDC_PDC_Material!$D$1:$D$10000,Group!C185)</f>
        <v>0</v>
      </c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M185" s="1">
        <f>BOM!D185</f>
        <v>0</v>
      </c>
      <c r="AN185" s="1">
        <f>BOM!C185</f>
        <v>0</v>
      </c>
      <c r="AO185" s="1">
        <f>BOM!B185</f>
        <v>0</v>
      </c>
    </row>
    <row r="186" spans="2:41">
      <c r="B186" s="205">
        <v>184</v>
      </c>
      <c r="C186" s="659">
        <f t="shared" si="3"/>
        <v>0</v>
      </c>
      <c r="D186" s="1" t="s">
        <v>880</v>
      </c>
      <c r="E186" s="259">
        <f>SUMIFS(GDC_PDC_Material!$Z$1:$Z$10000,GDC_PDC_Material!$D$1:$D$10000,Group!C186)</f>
        <v>0</v>
      </c>
      <c r="F186" s="259">
        <f>SUMIFS(GDC_PDC_Process!$I$1:$I$9998,GDC_PDC_Process!$C$1:$C$9998,Group!F$2,GDC_PDC_Process!$B$1:$B$9998,Group!$C186)</f>
        <v>0</v>
      </c>
      <c r="G186" s="259">
        <f>SUMIFS(GDC_PDC_Process!$I$1:$I$9998,GDC_PDC_Process!$C$1:$C$9998,Group!G$2,GDC_PDC_Process!$B$1:$B$9998,Group!$C186)</f>
        <v>0</v>
      </c>
      <c r="H186" s="259">
        <f>SUMIFS(GDC_PDC_Process!$I$1:$I$9998,GDC_PDC_Process!$C$1:$C$9998,Group!H$2,GDC_PDC_Process!$B$1:$B$9998,Group!$C186)</f>
        <v>0</v>
      </c>
      <c r="I186" s="259">
        <f>SUMIFS(GDC_PDC_Material!$K$1:$K$10000,GDC_PDC_Material!$D$1:$D$10000,Group!C186)</f>
        <v>0</v>
      </c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M186" s="1">
        <f>BOM!D186</f>
        <v>0</v>
      </c>
      <c r="AN186" s="1">
        <f>BOM!C186</f>
        <v>0</v>
      </c>
      <c r="AO186" s="1">
        <f>BOM!B186</f>
        <v>0</v>
      </c>
    </row>
    <row r="187" spans="2:41">
      <c r="B187" s="205">
        <v>185</v>
      </c>
      <c r="C187" s="659">
        <f t="shared" si="3"/>
        <v>0</v>
      </c>
      <c r="D187" s="1" t="s">
        <v>880</v>
      </c>
      <c r="E187" s="259">
        <f>SUMIFS(GDC_PDC_Material!$Z$1:$Z$10000,GDC_PDC_Material!$D$1:$D$10000,Group!C187)</f>
        <v>0</v>
      </c>
      <c r="F187" s="259">
        <f>SUMIFS(GDC_PDC_Process!$I$1:$I$9998,GDC_PDC_Process!$C$1:$C$9998,Group!F$2,GDC_PDC_Process!$B$1:$B$9998,Group!$C187)</f>
        <v>0</v>
      </c>
      <c r="G187" s="259">
        <f>SUMIFS(GDC_PDC_Process!$I$1:$I$9998,GDC_PDC_Process!$C$1:$C$9998,Group!G$2,GDC_PDC_Process!$B$1:$B$9998,Group!$C187)</f>
        <v>0</v>
      </c>
      <c r="H187" s="259">
        <f>SUMIFS(GDC_PDC_Process!$I$1:$I$9998,GDC_PDC_Process!$C$1:$C$9998,Group!H$2,GDC_PDC_Process!$B$1:$B$9998,Group!$C187)</f>
        <v>0</v>
      </c>
      <c r="I187" s="259">
        <f>SUMIFS(GDC_PDC_Material!$K$1:$K$10000,GDC_PDC_Material!$D$1:$D$10000,Group!C187)</f>
        <v>0</v>
      </c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M187" s="1">
        <f>BOM!D187</f>
        <v>0</v>
      </c>
      <c r="AN187" s="1">
        <f>BOM!C187</f>
        <v>0</v>
      </c>
      <c r="AO187" s="1">
        <f>BOM!B187</f>
        <v>0</v>
      </c>
    </row>
    <row r="188" spans="2:41">
      <c r="B188" s="205">
        <v>186</v>
      </c>
      <c r="C188" s="659">
        <f t="shared" si="3"/>
        <v>0</v>
      </c>
      <c r="D188" s="1" t="s">
        <v>880</v>
      </c>
      <c r="E188" s="259">
        <f>SUMIFS(GDC_PDC_Material!$Z$1:$Z$10000,GDC_PDC_Material!$D$1:$D$10000,Group!C188)</f>
        <v>0</v>
      </c>
      <c r="F188" s="259">
        <f>SUMIFS(GDC_PDC_Process!$I$1:$I$9998,GDC_PDC_Process!$C$1:$C$9998,Group!F$2,GDC_PDC_Process!$B$1:$B$9998,Group!$C188)</f>
        <v>0</v>
      </c>
      <c r="G188" s="259">
        <f>SUMIFS(GDC_PDC_Process!$I$1:$I$9998,GDC_PDC_Process!$C$1:$C$9998,Group!G$2,GDC_PDC_Process!$B$1:$B$9998,Group!$C188)</f>
        <v>0</v>
      </c>
      <c r="H188" s="259">
        <f>SUMIFS(GDC_PDC_Process!$I$1:$I$9998,GDC_PDC_Process!$C$1:$C$9998,Group!H$2,GDC_PDC_Process!$B$1:$B$9998,Group!$C188)</f>
        <v>0</v>
      </c>
      <c r="I188" s="259">
        <f>SUMIFS(GDC_PDC_Material!$K$1:$K$10000,GDC_PDC_Material!$D$1:$D$10000,Group!C188)</f>
        <v>0</v>
      </c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M188" s="1">
        <f>BOM!D188</f>
        <v>0</v>
      </c>
      <c r="AN188" s="1">
        <f>BOM!C188</f>
        <v>0</v>
      </c>
      <c r="AO188" s="1">
        <f>BOM!B188</f>
        <v>0</v>
      </c>
    </row>
    <row r="189" spans="2:41">
      <c r="B189" s="205">
        <v>187</v>
      </c>
      <c r="C189" s="659">
        <f t="shared" si="3"/>
        <v>0</v>
      </c>
      <c r="D189" s="1" t="s">
        <v>880</v>
      </c>
      <c r="E189" s="259">
        <f>SUMIFS(GDC_PDC_Material!$Z$1:$Z$10000,GDC_PDC_Material!$D$1:$D$10000,Group!C189)</f>
        <v>0</v>
      </c>
      <c r="F189" s="259">
        <f>SUMIFS(GDC_PDC_Process!$I$1:$I$9998,GDC_PDC_Process!$C$1:$C$9998,Group!F$2,GDC_PDC_Process!$B$1:$B$9998,Group!$C189)</f>
        <v>0</v>
      </c>
      <c r="G189" s="259">
        <f>SUMIFS(GDC_PDC_Process!$I$1:$I$9998,GDC_PDC_Process!$C$1:$C$9998,Group!G$2,GDC_PDC_Process!$B$1:$B$9998,Group!$C189)</f>
        <v>0</v>
      </c>
      <c r="H189" s="259">
        <f>SUMIFS(GDC_PDC_Process!$I$1:$I$9998,GDC_PDC_Process!$C$1:$C$9998,Group!H$2,GDC_PDC_Process!$B$1:$B$9998,Group!$C189)</f>
        <v>0</v>
      </c>
      <c r="I189" s="259">
        <f>SUMIFS(GDC_PDC_Material!$K$1:$K$10000,GDC_PDC_Material!$D$1:$D$10000,Group!C189)</f>
        <v>0</v>
      </c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M189" s="1">
        <f>BOM!D189</f>
        <v>0</v>
      </c>
      <c r="AN189" s="1">
        <f>BOM!C189</f>
        <v>0</v>
      </c>
      <c r="AO189" s="1">
        <f>BOM!B189</f>
        <v>0</v>
      </c>
    </row>
    <row r="190" spans="2:41">
      <c r="B190" s="205">
        <v>188</v>
      </c>
      <c r="C190" s="659">
        <f t="shared" si="3"/>
        <v>0</v>
      </c>
      <c r="D190" s="1" t="s">
        <v>880</v>
      </c>
      <c r="E190" s="259">
        <f>SUMIFS(GDC_PDC_Material!$Z$1:$Z$10000,GDC_PDC_Material!$D$1:$D$10000,Group!C190)</f>
        <v>0</v>
      </c>
      <c r="F190" s="259">
        <f>SUMIFS(GDC_PDC_Process!$I$1:$I$9998,GDC_PDC_Process!$C$1:$C$9998,Group!F$2,GDC_PDC_Process!$B$1:$B$9998,Group!$C190)</f>
        <v>0</v>
      </c>
      <c r="G190" s="259">
        <f>SUMIFS(GDC_PDC_Process!$I$1:$I$9998,GDC_PDC_Process!$C$1:$C$9998,Group!G$2,GDC_PDC_Process!$B$1:$B$9998,Group!$C190)</f>
        <v>0</v>
      </c>
      <c r="H190" s="259">
        <f>SUMIFS(GDC_PDC_Process!$I$1:$I$9998,GDC_PDC_Process!$C$1:$C$9998,Group!H$2,GDC_PDC_Process!$B$1:$B$9998,Group!$C190)</f>
        <v>0</v>
      </c>
      <c r="I190" s="259">
        <f>SUMIFS(GDC_PDC_Material!$K$1:$K$10000,GDC_PDC_Material!$D$1:$D$10000,Group!C190)</f>
        <v>0</v>
      </c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M190" s="1">
        <f>BOM!D190</f>
        <v>0</v>
      </c>
      <c r="AN190" s="1">
        <f>BOM!C190</f>
        <v>0</v>
      </c>
      <c r="AO190" s="1">
        <f>BOM!B190</f>
        <v>0</v>
      </c>
    </row>
    <row r="191" spans="2:41">
      <c r="B191" s="205">
        <v>189</v>
      </c>
      <c r="C191" s="659">
        <f t="shared" si="3"/>
        <v>0</v>
      </c>
      <c r="D191" s="1" t="s">
        <v>880</v>
      </c>
      <c r="E191" s="259">
        <f>SUMIFS(GDC_PDC_Material!$Z$1:$Z$10000,GDC_PDC_Material!$D$1:$D$10000,Group!C191)</f>
        <v>0</v>
      </c>
      <c r="F191" s="259">
        <f>SUMIFS(GDC_PDC_Process!$I$1:$I$9998,GDC_PDC_Process!$C$1:$C$9998,Group!F$2,GDC_PDC_Process!$B$1:$B$9998,Group!$C191)</f>
        <v>0</v>
      </c>
      <c r="G191" s="259">
        <f>SUMIFS(GDC_PDC_Process!$I$1:$I$9998,GDC_PDC_Process!$C$1:$C$9998,Group!G$2,GDC_PDC_Process!$B$1:$B$9998,Group!$C191)</f>
        <v>0</v>
      </c>
      <c r="H191" s="259">
        <f>SUMIFS(GDC_PDC_Process!$I$1:$I$9998,GDC_PDC_Process!$C$1:$C$9998,Group!H$2,GDC_PDC_Process!$B$1:$B$9998,Group!$C191)</f>
        <v>0</v>
      </c>
      <c r="I191" s="259">
        <f>SUMIFS(GDC_PDC_Material!$K$1:$K$10000,GDC_PDC_Material!$D$1:$D$10000,Group!C191)</f>
        <v>0</v>
      </c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M191" s="1">
        <f>BOM!D191</f>
        <v>0</v>
      </c>
      <c r="AN191" s="1">
        <f>BOM!C191</f>
        <v>0</v>
      </c>
      <c r="AO191" s="1">
        <f>BOM!B191</f>
        <v>0</v>
      </c>
    </row>
    <row r="192" spans="2:41">
      <c r="B192" s="205">
        <v>190</v>
      </c>
      <c r="C192" s="659">
        <f t="shared" si="3"/>
        <v>0</v>
      </c>
      <c r="D192" s="1" t="s">
        <v>880</v>
      </c>
      <c r="E192" s="259">
        <f>SUMIFS(GDC_PDC_Material!$Z$1:$Z$10000,GDC_PDC_Material!$D$1:$D$10000,Group!C192)</f>
        <v>0</v>
      </c>
      <c r="F192" s="259">
        <f>SUMIFS(GDC_PDC_Process!$I$1:$I$9998,GDC_PDC_Process!$C$1:$C$9998,Group!F$2,GDC_PDC_Process!$B$1:$B$9998,Group!$C192)</f>
        <v>0</v>
      </c>
      <c r="G192" s="259">
        <f>SUMIFS(GDC_PDC_Process!$I$1:$I$9998,GDC_PDC_Process!$C$1:$C$9998,Group!G$2,GDC_PDC_Process!$B$1:$B$9998,Group!$C192)</f>
        <v>0</v>
      </c>
      <c r="H192" s="259">
        <f>SUMIFS(GDC_PDC_Process!$I$1:$I$9998,GDC_PDC_Process!$C$1:$C$9998,Group!H$2,GDC_PDC_Process!$B$1:$B$9998,Group!$C192)</f>
        <v>0</v>
      </c>
      <c r="I192" s="259">
        <f>SUMIFS(GDC_PDC_Material!$K$1:$K$10000,GDC_PDC_Material!$D$1:$D$10000,Group!C192)</f>
        <v>0</v>
      </c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M192" s="1">
        <f>BOM!D192</f>
        <v>0</v>
      </c>
      <c r="AN192" s="1">
        <f>BOM!C192</f>
        <v>0</v>
      </c>
      <c r="AO192" s="1">
        <f>BOM!B192</f>
        <v>0</v>
      </c>
    </row>
    <row r="193" spans="2:41">
      <c r="B193" s="205">
        <v>191</v>
      </c>
      <c r="C193" s="659">
        <f t="shared" si="3"/>
        <v>0</v>
      </c>
      <c r="D193" s="1" t="s">
        <v>880</v>
      </c>
      <c r="E193" s="259">
        <f>SUMIFS(GDC_PDC_Material!$Z$1:$Z$10000,GDC_PDC_Material!$D$1:$D$10000,Group!C193)</f>
        <v>0</v>
      </c>
      <c r="F193" s="259">
        <f>SUMIFS(GDC_PDC_Process!$I$1:$I$9998,GDC_PDC_Process!$C$1:$C$9998,Group!F$2,GDC_PDC_Process!$B$1:$B$9998,Group!$C193)</f>
        <v>0</v>
      </c>
      <c r="G193" s="259">
        <f>SUMIFS(GDC_PDC_Process!$I$1:$I$9998,GDC_PDC_Process!$C$1:$C$9998,Group!G$2,GDC_PDC_Process!$B$1:$B$9998,Group!$C193)</f>
        <v>0</v>
      </c>
      <c r="H193" s="259">
        <f>SUMIFS(GDC_PDC_Process!$I$1:$I$9998,GDC_PDC_Process!$C$1:$C$9998,Group!H$2,GDC_PDC_Process!$B$1:$B$9998,Group!$C193)</f>
        <v>0</v>
      </c>
      <c r="I193" s="259">
        <f>SUMIFS(GDC_PDC_Material!$K$1:$K$10000,GDC_PDC_Material!$D$1:$D$10000,Group!C193)</f>
        <v>0</v>
      </c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M193" s="1">
        <f>BOM!D193</f>
        <v>0</v>
      </c>
      <c r="AN193" s="1">
        <f>BOM!C193</f>
        <v>0</v>
      </c>
      <c r="AO193" s="1">
        <f>BOM!B193</f>
        <v>0</v>
      </c>
    </row>
    <row r="194" spans="2:41">
      <c r="B194" s="205">
        <v>192</v>
      </c>
      <c r="C194" s="659">
        <f t="shared" si="3"/>
        <v>0</v>
      </c>
      <c r="D194" s="1" t="s">
        <v>880</v>
      </c>
      <c r="E194" s="259">
        <f>SUMIFS(GDC_PDC_Material!$Z$1:$Z$10000,GDC_PDC_Material!$D$1:$D$10000,Group!C194)</f>
        <v>0</v>
      </c>
      <c r="F194" s="259">
        <f>SUMIFS(GDC_PDC_Process!$I$1:$I$9998,GDC_PDC_Process!$C$1:$C$9998,Group!F$2,GDC_PDC_Process!$B$1:$B$9998,Group!$C194)</f>
        <v>0</v>
      </c>
      <c r="G194" s="259">
        <f>SUMIFS(GDC_PDC_Process!$I$1:$I$9998,GDC_PDC_Process!$C$1:$C$9998,Group!G$2,GDC_PDC_Process!$B$1:$B$9998,Group!$C194)</f>
        <v>0</v>
      </c>
      <c r="H194" s="259">
        <f>SUMIFS(GDC_PDC_Process!$I$1:$I$9998,GDC_PDC_Process!$C$1:$C$9998,Group!H$2,GDC_PDC_Process!$B$1:$B$9998,Group!$C194)</f>
        <v>0</v>
      </c>
      <c r="I194" s="259">
        <f>SUMIFS(GDC_PDC_Material!$K$1:$K$10000,GDC_PDC_Material!$D$1:$D$10000,Group!C194)</f>
        <v>0</v>
      </c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M194" s="1">
        <f>BOM!D194</f>
        <v>0</v>
      </c>
      <c r="AN194" s="1">
        <f>BOM!C194</f>
        <v>0</v>
      </c>
      <c r="AO194" s="1">
        <f>BOM!B194</f>
        <v>0</v>
      </c>
    </row>
    <row r="195" spans="2:41">
      <c r="B195" s="205">
        <v>193</v>
      </c>
      <c r="C195" s="659">
        <f t="shared" si="3"/>
        <v>0</v>
      </c>
      <c r="D195" s="1" t="s">
        <v>880</v>
      </c>
      <c r="E195" s="259">
        <f>SUMIFS(GDC_PDC_Material!$Z$1:$Z$10000,GDC_PDC_Material!$D$1:$D$10000,Group!C195)</f>
        <v>0</v>
      </c>
      <c r="F195" s="259">
        <f>SUMIFS(GDC_PDC_Process!$I$1:$I$9998,GDC_PDC_Process!$C$1:$C$9998,Group!F$2,GDC_PDC_Process!$B$1:$B$9998,Group!$C195)</f>
        <v>0</v>
      </c>
      <c r="G195" s="259">
        <f>SUMIFS(GDC_PDC_Process!$I$1:$I$9998,GDC_PDC_Process!$C$1:$C$9998,Group!G$2,GDC_PDC_Process!$B$1:$B$9998,Group!$C195)</f>
        <v>0</v>
      </c>
      <c r="H195" s="259">
        <f>SUMIFS(GDC_PDC_Process!$I$1:$I$9998,GDC_PDC_Process!$C$1:$C$9998,Group!H$2,GDC_PDC_Process!$B$1:$B$9998,Group!$C195)</f>
        <v>0</v>
      </c>
      <c r="I195" s="259">
        <f>SUMIFS(GDC_PDC_Material!$K$1:$K$10000,GDC_PDC_Material!$D$1:$D$10000,Group!C195)</f>
        <v>0</v>
      </c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M195" s="1">
        <f>BOM!D195</f>
        <v>0</v>
      </c>
      <c r="AN195" s="1">
        <f>BOM!C195</f>
        <v>0</v>
      </c>
      <c r="AO195" s="1">
        <f>BOM!B195</f>
        <v>0</v>
      </c>
    </row>
    <row r="196" spans="2:41">
      <c r="B196" s="205">
        <v>194</v>
      </c>
      <c r="C196" s="659">
        <f t="shared" si="3"/>
        <v>0</v>
      </c>
      <c r="D196" s="1" t="s">
        <v>880</v>
      </c>
      <c r="E196" s="259">
        <f>SUMIFS(GDC_PDC_Material!$Z$1:$Z$10000,GDC_PDC_Material!$D$1:$D$10000,Group!C196)</f>
        <v>0</v>
      </c>
      <c r="F196" s="259">
        <f>SUMIFS(GDC_PDC_Process!$I$1:$I$9998,GDC_PDC_Process!$C$1:$C$9998,Group!F$2,GDC_PDC_Process!$B$1:$B$9998,Group!$C196)</f>
        <v>0</v>
      </c>
      <c r="G196" s="259">
        <f>SUMIFS(GDC_PDC_Process!$I$1:$I$9998,GDC_PDC_Process!$C$1:$C$9998,Group!G$2,GDC_PDC_Process!$B$1:$B$9998,Group!$C196)</f>
        <v>0</v>
      </c>
      <c r="H196" s="259">
        <f>SUMIFS(GDC_PDC_Process!$I$1:$I$9998,GDC_PDC_Process!$C$1:$C$9998,Group!H$2,GDC_PDC_Process!$B$1:$B$9998,Group!$C196)</f>
        <v>0</v>
      </c>
      <c r="I196" s="259">
        <f>SUMIFS(GDC_PDC_Material!$K$1:$K$10000,GDC_PDC_Material!$D$1:$D$10000,Group!C196)</f>
        <v>0</v>
      </c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M196" s="1">
        <f>BOM!D196</f>
        <v>0</v>
      </c>
      <c r="AN196" s="1">
        <f>BOM!C196</f>
        <v>0</v>
      </c>
      <c r="AO196" s="1">
        <f>BOM!B196</f>
        <v>0</v>
      </c>
    </row>
    <row r="197" spans="2:41">
      <c r="B197" s="205">
        <v>195</v>
      </c>
      <c r="C197" s="659">
        <f t="shared" si="3"/>
        <v>0</v>
      </c>
      <c r="D197" s="1" t="s">
        <v>880</v>
      </c>
      <c r="E197" s="259">
        <f>SUMIFS(GDC_PDC_Material!$Z$1:$Z$10000,GDC_PDC_Material!$D$1:$D$10000,Group!C197)</f>
        <v>0</v>
      </c>
      <c r="F197" s="259">
        <f>SUMIFS(GDC_PDC_Process!$I$1:$I$9998,GDC_PDC_Process!$C$1:$C$9998,Group!F$2,GDC_PDC_Process!$B$1:$B$9998,Group!$C197)</f>
        <v>0</v>
      </c>
      <c r="G197" s="259">
        <f>SUMIFS(GDC_PDC_Process!$I$1:$I$9998,GDC_PDC_Process!$C$1:$C$9998,Group!G$2,GDC_PDC_Process!$B$1:$B$9998,Group!$C197)</f>
        <v>0</v>
      </c>
      <c r="H197" s="259">
        <f>SUMIFS(GDC_PDC_Process!$I$1:$I$9998,GDC_PDC_Process!$C$1:$C$9998,Group!H$2,GDC_PDC_Process!$B$1:$B$9998,Group!$C197)</f>
        <v>0</v>
      </c>
      <c r="I197" s="259">
        <f>SUMIFS(GDC_PDC_Material!$K$1:$K$10000,GDC_PDC_Material!$D$1:$D$10000,Group!C197)</f>
        <v>0</v>
      </c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M197" s="1">
        <f>BOM!D197</f>
        <v>0</v>
      </c>
      <c r="AN197" s="1">
        <f>BOM!C197</f>
        <v>0</v>
      </c>
      <c r="AO197" s="1">
        <f>BOM!B197</f>
        <v>0</v>
      </c>
    </row>
    <row r="198" spans="2:41">
      <c r="B198" s="205">
        <v>196</v>
      </c>
      <c r="C198" s="659">
        <f t="shared" si="3"/>
        <v>0</v>
      </c>
      <c r="D198" s="1" t="s">
        <v>880</v>
      </c>
      <c r="E198" s="259">
        <f>SUMIFS(GDC_PDC_Material!$Z$1:$Z$10000,GDC_PDC_Material!$D$1:$D$10000,Group!C198)</f>
        <v>0</v>
      </c>
      <c r="F198" s="259">
        <f>SUMIFS(GDC_PDC_Process!$I$1:$I$9998,GDC_PDC_Process!$C$1:$C$9998,Group!F$2,GDC_PDC_Process!$B$1:$B$9998,Group!$C198)</f>
        <v>0</v>
      </c>
      <c r="G198" s="259">
        <f>SUMIFS(GDC_PDC_Process!$I$1:$I$9998,GDC_PDC_Process!$C$1:$C$9998,Group!G$2,GDC_PDC_Process!$B$1:$B$9998,Group!$C198)</f>
        <v>0</v>
      </c>
      <c r="H198" s="259">
        <f>SUMIFS(GDC_PDC_Process!$I$1:$I$9998,GDC_PDC_Process!$C$1:$C$9998,Group!H$2,GDC_PDC_Process!$B$1:$B$9998,Group!$C198)</f>
        <v>0</v>
      </c>
      <c r="I198" s="259">
        <f>SUMIFS(GDC_PDC_Material!$K$1:$K$10000,GDC_PDC_Material!$D$1:$D$10000,Group!C198)</f>
        <v>0</v>
      </c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M198" s="1">
        <f>BOM!D198</f>
        <v>0</v>
      </c>
      <c r="AN198" s="1">
        <f>BOM!C198</f>
        <v>0</v>
      </c>
      <c r="AO198" s="1">
        <f>BOM!B198</f>
        <v>0</v>
      </c>
    </row>
    <row r="199" spans="2:41">
      <c r="B199" s="205">
        <v>197</v>
      </c>
      <c r="C199" s="659">
        <f t="shared" si="3"/>
        <v>0</v>
      </c>
      <c r="D199" s="1" t="s">
        <v>880</v>
      </c>
      <c r="E199" s="259">
        <f>SUMIFS(GDC_PDC_Material!$Z$1:$Z$10000,GDC_PDC_Material!$D$1:$D$10000,Group!C199)</f>
        <v>0</v>
      </c>
      <c r="F199" s="259">
        <f>SUMIFS(GDC_PDC_Process!$I$1:$I$9998,GDC_PDC_Process!$C$1:$C$9998,Group!F$2,GDC_PDC_Process!$B$1:$B$9998,Group!$C199)</f>
        <v>0</v>
      </c>
      <c r="G199" s="259">
        <f>SUMIFS(GDC_PDC_Process!$I$1:$I$9998,GDC_PDC_Process!$C$1:$C$9998,Group!G$2,GDC_PDC_Process!$B$1:$B$9998,Group!$C199)</f>
        <v>0</v>
      </c>
      <c r="H199" s="259">
        <f>SUMIFS(GDC_PDC_Process!$I$1:$I$9998,GDC_PDC_Process!$C$1:$C$9998,Group!H$2,GDC_PDC_Process!$B$1:$B$9998,Group!$C199)</f>
        <v>0</v>
      </c>
      <c r="I199" s="259">
        <f>SUMIFS(GDC_PDC_Material!$K$1:$K$10000,GDC_PDC_Material!$D$1:$D$10000,Group!C199)</f>
        <v>0</v>
      </c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M199" s="1">
        <f>BOM!D199</f>
        <v>0</v>
      </c>
      <c r="AN199" s="1">
        <f>BOM!C199</f>
        <v>0</v>
      </c>
      <c r="AO199" s="1">
        <f>BOM!B199</f>
        <v>0</v>
      </c>
    </row>
    <row r="200" spans="2:41">
      <c r="B200" s="205">
        <v>198</v>
      </c>
      <c r="C200" s="659">
        <f t="shared" si="3"/>
        <v>0</v>
      </c>
      <c r="D200" s="1" t="s">
        <v>880</v>
      </c>
      <c r="E200" s="259">
        <f>SUMIFS(GDC_PDC_Material!$Z$1:$Z$10000,GDC_PDC_Material!$D$1:$D$10000,Group!C200)</f>
        <v>0</v>
      </c>
      <c r="F200" s="259">
        <f>SUMIFS(GDC_PDC_Process!$I$1:$I$9998,GDC_PDC_Process!$C$1:$C$9998,Group!F$2,GDC_PDC_Process!$B$1:$B$9998,Group!$C200)</f>
        <v>0</v>
      </c>
      <c r="G200" s="259">
        <f>SUMIFS(GDC_PDC_Process!$I$1:$I$9998,GDC_PDC_Process!$C$1:$C$9998,Group!G$2,GDC_PDC_Process!$B$1:$B$9998,Group!$C200)</f>
        <v>0</v>
      </c>
      <c r="H200" s="259">
        <f>SUMIFS(GDC_PDC_Process!$I$1:$I$9998,GDC_PDC_Process!$C$1:$C$9998,Group!H$2,GDC_PDC_Process!$B$1:$B$9998,Group!$C200)</f>
        <v>0</v>
      </c>
      <c r="I200" s="259">
        <f>SUMIFS(GDC_PDC_Material!$K$1:$K$10000,GDC_PDC_Material!$D$1:$D$10000,Group!C200)</f>
        <v>0</v>
      </c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M200" s="1">
        <f>BOM!D200</f>
        <v>0</v>
      </c>
      <c r="AN200" s="1">
        <f>BOM!C200</f>
        <v>0</v>
      </c>
      <c r="AO200" s="1">
        <f>BOM!B200</f>
        <v>0</v>
      </c>
    </row>
    <row r="201" spans="2:41">
      <c r="B201" s="205">
        <v>199</v>
      </c>
      <c r="C201" s="659">
        <f t="shared" si="3"/>
        <v>0</v>
      </c>
      <c r="D201" s="1" t="s">
        <v>880</v>
      </c>
      <c r="E201" s="259">
        <f>SUMIFS(GDC_PDC_Material!$Z$1:$Z$10000,GDC_PDC_Material!$D$1:$D$10000,Group!C201)</f>
        <v>0</v>
      </c>
      <c r="F201" s="259">
        <f>SUMIFS(GDC_PDC_Process!$I$1:$I$9998,GDC_PDC_Process!$C$1:$C$9998,Group!F$2,GDC_PDC_Process!$B$1:$B$9998,Group!$C201)</f>
        <v>0</v>
      </c>
      <c r="G201" s="259">
        <f>SUMIFS(GDC_PDC_Process!$I$1:$I$9998,GDC_PDC_Process!$C$1:$C$9998,Group!G$2,GDC_PDC_Process!$B$1:$B$9998,Group!$C201)</f>
        <v>0</v>
      </c>
      <c r="H201" s="259">
        <f>SUMIFS(GDC_PDC_Process!$I$1:$I$9998,GDC_PDC_Process!$C$1:$C$9998,Group!H$2,GDC_PDC_Process!$B$1:$B$9998,Group!$C201)</f>
        <v>0</v>
      </c>
      <c r="I201" s="259">
        <f>SUMIFS(GDC_PDC_Material!$K$1:$K$10000,GDC_PDC_Material!$D$1:$D$10000,Group!C201)</f>
        <v>0</v>
      </c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M201" s="1">
        <f>BOM!D201</f>
        <v>0</v>
      </c>
      <c r="AN201" s="1">
        <f>BOM!C201</f>
        <v>0</v>
      </c>
      <c r="AO201" s="1">
        <f>BOM!B201</f>
        <v>0</v>
      </c>
    </row>
    <row r="202" spans="2:41">
      <c r="B202" s="205">
        <v>200</v>
      </c>
      <c r="C202" s="659">
        <f t="shared" si="3"/>
        <v>0</v>
      </c>
      <c r="D202" s="1" t="s">
        <v>880</v>
      </c>
      <c r="E202" s="259">
        <f>SUMIFS(GDC_PDC_Material!$Z$1:$Z$10000,GDC_PDC_Material!$D$1:$D$10000,Group!C202)</f>
        <v>0</v>
      </c>
      <c r="F202" s="259">
        <f>SUMIFS(GDC_PDC_Process!$I$1:$I$9998,GDC_PDC_Process!$C$1:$C$9998,Group!F$2,GDC_PDC_Process!$B$1:$B$9998,Group!$C202)</f>
        <v>0</v>
      </c>
      <c r="G202" s="259">
        <f>SUMIFS(GDC_PDC_Process!$I$1:$I$9998,GDC_PDC_Process!$C$1:$C$9998,Group!G$2,GDC_PDC_Process!$B$1:$B$9998,Group!$C202)</f>
        <v>0</v>
      </c>
      <c r="H202" s="259">
        <f>SUMIFS(GDC_PDC_Process!$I$1:$I$9998,GDC_PDC_Process!$C$1:$C$9998,Group!H$2,GDC_PDC_Process!$B$1:$B$9998,Group!$C202)</f>
        <v>0</v>
      </c>
      <c r="I202" s="259">
        <f>SUMIFS(GDC_PDC_Material!$K$1:$K$10000,GDC_PDC_Material!$D$1:$D$10000,Group!C202)</f>
        <v>0</v>
      </c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M202" s="1">
        <f>BOM!D202</f>
        <v>0</v>
      </c>
      <c r="AN202" s="1">
        <f>BOM!C202</f>
        <v>0</v>
      </c>
      <c r="AO202" s="1">
        <f>BOM!B202</f>
        <v>0</v>
      </c>
    </row>
    <row r="203" spans="2:41">
      <c r="B203" s="205">
        <v>201</v>
      </c>
      <c r="C203" s="659" t="str">
        <f>AF2</f>
        <v>MB512123</v>
      </c>
      <c r="D203" s="1" t="s">
        <v>72</v>
      </c>
      <c r="E203" s="260"/>
      <c r="F203" s="259">
        <f>SUMIFS(Assy_Cost!$L$1:$L$10000,Assy_Cost!$B$1:$B$10000,Group!$C203,Assy_Cost!$C$1:$C$10000,Group!F$2)</f>
        <v>0</v>
      </c>
      <c r="G203" s="259">
        <f>SUMIFS(Assy_Cost!$L$1:$L$10000,Assy_Cost!$B$1:$B$10000,Group!$C203,Assy_Cost!$C$1:$C$10000,Group!G$2)</f>
        <v>29.085000000000001</v>
      </c>
      <c r="H203" s="259">
        <f>SUMIFS(Assy_Cost!$L$1:$L$10000,Assy_Cost!$B$1:$B$10000,Group!$C203,Assy_Cost!$C$1:$C$10000,Group!H$2)</f>
        <v>0</v>
      </c>
      <c r="I203" s="259">
        <f>SUMIFS(Assy_Cost!$L$1:$L$10000,Assy_Cost!$B$1:$B$10000,Group!$C203,Assy_Cost!$C$1:$C$10000,Group!I$2)</f>
        <v>0</v>
      </c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M203" s="1">
        <f>BOM!D203</f>
        <v>0</v>
      </c>
      <c r="AN203" s="1">
        <f>BOM!C203</f>
        <v>0</v>
      </c>
      <c r="AO203" s="1">
        <f>BOM!B203</f>
        <v>0</v>
      </c>
    </row>
    <row r="204" spans="2:41">
      <c r="B204" s="205">
        <v>202</v>
      </c>
      <c r="C204" s="659">
        <f t="shared" ref="C204:C211" si="4">AF3</f>
        <v>0</v>
      </c>
      <c r="D204" s="1" t="s">
        <v>72</v>
      </c>
      <c r="E204" s="260"/>
      <c r="F204" s="259">
        <f>SUMIFS(Assy_Cost!$L$1:$L$10000,Assy_Cost!$B$1:$B$10000,Group!$C204,Assy_Cost!$C$1:$C$10000,Group!F$2)</f>
        <v>0</v>
      </c>
      <c r="G204" s="259">
        <f>SUMIFS(Assy_Cost!$L$1:$L$10000,Assy_Cost!$B$1:$B$10000,Group!$C204,Assy_Cost!$C$1:$C$10000,Group!G$2)</f>
        <v>0</v>
      </c>
      <c r="H204" s="259">
        <f>SUMIFS(Assy_Cost!$L$1:$L$10000,Assy_Cost!$B$1:$B$10000,Group!$C204,Assy_Cost!$C$1:$C$10000,Group!H$2)</f>
        <v>0</v>
      </c>
      <c r="I204" s="259">
        <f>SUMIFS(Assy_Cost!$L$1:$L$10000,Assy_Cost!$B$1:$B$10000,Group!$C204,Assy_Cost!$C$1:$C$10000,Group!I$2)</f>
        <v>0</v>
      </c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M204" s="1">
        <f>BOM!D204</f>
        <v>0</v>
      </c>
      <c r="AN204" s="1">
        <f>BOM!C204</f>
        <v>0</v>
      </c>
      <c r="AO204" s="1">
        <f>BOM!B204</f>
        <v>0</v>
      </c>
    </row>
    <row r="205" spans="2:41">
      <c r="B205" s="205">
        <v>203</v>
      </c>
      <c r="C205" s="659">
        <f t="shared" si="4"/>
        <v>0</v>
      </c>
      <c r="D205" s="1" t="s">
        <v>72</v>
      </c>
      <c r="E205" s="260"/>
      <c r="F205" s="259">
        <f>SUMIFS(Assy_Cost!$L$1:$L$10000,Assy_Cost!$B$1:$B$10000,Group!$C205,Assy_Cost!$C$1:$C$10000,Group!F$2)</f>
        <v>0</v>
      </c>
      <c r="G205" s="259">
        <f>SUMIFS(Assy_Cost!$L$1:$L$10000,Assy_Cost!$B$1:$B$10000,Group!$C205,Assy_Cost!$C$1:$C$10000,Group!G$2)</f>
        <v>0</v>
      </c>
      <c r="H205" s="259">
        <f>SUMIFS(Assy_Cost!$L$1:$L$10000,Assy_Cost!$B$1:$B$10000,Group!$C205,Assy_Cost!$C$1:$C$10000,Group!H$2)</f>
        <v>0</v>
      </c>
      <c r="I205" s="259">
        <f>SUMIFS(Assy_Cost!$L$1:$L$10000,Assy_Cost!$B$1:$B$10000,Group!$C205,Assy_Cost!$C$1:$C$10000,Group!I$2)</f>
        <v>0</v>
      </c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M205" s="1">
        <f>BOM!D205</f>
        <v>0</v>
      </c>
      <c r="AN205" s="1">
        <f>BOM!C205</f>
        <v>0</v>
      </c>
      <c r="AO205" s="1">
        <f>BOM!B205</f>
        <v>0</v>
      </c>
    </row>
    <row r="206" spans="2:41">
      <c r="B206" s="205">
        <v>204</v>
      </c>
      <c r="C206" s="659">
        <f t="shared" si="4"/>
        <v>0</v>
      </c>
      <c r="D206" s="1" t="s">
        <v>72</v>
      </c>
      <c r="E206" s="260"/>
      <c r="F206" s="259">
        <f>SUMIFS(Assy_Cost!$L$1:$L$10000,Assy_Cost!$B$1:$B$10000,Group!$C206,Assy_Cost!$C$1:$C$10000,Group!F$2)</f>
        <v>0</v>
      </c>
      <c r="G206" s="259">
        <f>SUMIFS(Assy_Cost!$L$1:$L$10000,Assy_Cost!$B$1:$B$10000,Group!$C206,Assy_Cost!$C$1:$C$10000,Group!G$2)</f>
        <v>0</v>
      </c>
      <c r="H206" s="259">
        <f>SUMIFS(Assy_Cost!$L$1:$L$10000,Assy_Cost!$B$1:$B$10000,Group!$C206,Assy_Cost!$C$1:$C$10000,Group!H$2)</f>
        <v>0</v>
      </c>
      <c r="I206" s="259">
        <f>SUMIFS(Assy_Cost!$L$1:$L$10000,Assy_Cost!$B$1:$B$10000,Group!$C206,Assy_Cost!$C$1:$C$10000,Group!I$2)</f>
        <v>0</v>
      </c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M206" s="1">
        <f>BOM!D206</f>
        <v>0</v>
      </c>
      <c r="AN206" s="1">
        <f>BOM!C206</f>
        <v>0</v>
      </c>
      <c r="AO206" s="1">
        <f>BOM!B206</f>
        <v>0</v>
      </c>
    </row>
    <row r="207" spans="2:41">
      <c r="B207" s="205">
        <v>205</v>
      </c>
      <c r="C207" s="659">
        <f t="shared" si="4"/>
        <v>0</v>
      </c>
      <c r="D207" s="1" t="s">
        <v>72</v>
      </c>
      <c r="E207" s="260"/>
      <c r="F207" s="259">
        <f>SUMIFS(Assy_Cost!$L$1:$L$10000,Assy_Cost!$B$1:$B$10000,Group!$C207,Assy_Cost!$C$1:$C$10000,Group!F$2)</f>
        <v>0</v>
      </c>
      <c r="G207" s="259">
        <f>SUMIFS(Assy_Cost!$L$1:$L$10000,Assy_Cost!$B$1:$B$10000,Group!$C207,Assy_Cost!$C$1:$C$10000,Group!G$2)</f>
        <v>0</v>
      </c>
      <c r="H207" s="259">
        <f>SUMIFS(Assy_Cost!$L$1:$L$10000,Assy_Cost!$B$1:$B$10000,Group!$C207,Assy_Cost!$C$1:$C$10000,Group!H$2)</f>
        <v>0</v>
      </c>
      <c r="I207" s="259">
        <f>SUMIFS(Assy_Cost!$L$1:$L$10000,Assy_Cost!$B$1:$B$10000,Group!$C207,Assy_Cost!$C$1:$C$10000,Group!I$2)</f>
        <v>0</v>
      </c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M207" s="1">
        <f>BOM!D207</f>
        <v>0</v>
      </c>
      <c r="AN207" s="1">
        <f>BOM!C207</f>
        <v>0</v>
      </c>
      <c r="AO207" s="1">
        <f>BOM!B207</f>
        <v>0</v>
      </c>
    </row>
    <row r="208" spans="2:41">
      <c r="B208" s="205">
        <v>206</v>
      </c>
      <c r="C208" s="659">
        <f t="shared" si="4"/>
        <v>0</v>
      </c>
      <c r="D208" s="1" t="s">
        <v>72</v>
      </c>
      <c r="E208" s="260"/>
      <c r="F208" s="259">
        <f>SUMIFS(Assy_Cost!$L$1:$L$10000,Assy_Cost!$B$1:$B$10000,Group!$C208,Assy_Cost!$C$1:$C$10000,Group!F$2)</f>
        <v>0</v>
      </c>
      <c r="G208" s="259">
        <f>SUMIFS(Assy_Cost!$L$1:$L$10000,Assy_Cost!$B$1:$B$10000,Group!$C208,Assy_Cost!$C$1:$C$10000,Group!G$2)</f>
        <v>0</v>
      </c>
      <c r="H208" s="259">
        <f>SUMIFS(Assy_Cost!$L$1:$L$10000,Assy_Cost!$B$1:$B$10000,Group!$C208,Assy_Cost!$C$1:$C$10000,Group!H$2)</f>
        <v>0</v>
      </c>
      <c r="I208" s="259">
        <f>SUMIFS(Assy_Cost!$L$1:$L$10000,Assy_Cost!$B$1:$B$10000,Group!$C208,Assy_Cost!$C$1:$C$10000,Group!I$2)</f>
        <v>0</v>
      </c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M208" s="1">
        <f>BOM!D208</f>
        <v>0</v>
      </c>
      <c r="AN208" s="1">
        <f>BOM!C208</f>
        <v>0</v>
      </c>
      <c r="AO208" s="1">
        <f>BOM!B208</f>
        <v>0</v>
      </c>
    </row>
    <row r="209" spans="2:41">
      <c r="B209" s="205">
        <v>207</v>
      </c>
      <c r="C209" s="659">
        <f t="shared" si="4"/>
        <v>0</v>
      </c>
      <c r="D209" s="1" t="s">
        <v>72</v>
      </c>
      <c r="E209" s="260"/>
      <c r="F209" s="259">
        <f>SUMIFS(Assy_Cost!$L$1:$L$10000,Assy_Cost!$B$1:$B$10000,Group!$C209,Assy_Cost!$C$1:$C$10000,Group!F$2)</f>
        <v>0</v>
      </c>
      <c r="G209" s="259">
        <f>SUMIFS(Assy_Cost!$L$1:$L$10000,Assy_Cost!$B$1:$B$10000,Group!$C209,Assy_Cost!$C$1:$C$10000,Group!G$2)</f>
        <v>0</v>
      </c>
      <c r="H209" s="259">
        <f>SUMIFS(Assy_Cost!$L$1:$L$10000,Assy_Cost!$B$1:$B$10000,Group!$C209,Assy_Cost!$C$1:$C$10000,Group!H$2)</f>
        <v>0</v>
      </c>
      <c r="I209" s="259">
        <f>SUMIFS(Assy_Cost!$L$1:$L$10000,Assy_Cost!$B$1:$B$10000,Group!$C209,Assy_Cost!$C$1:$C$10000,Group!I$2)</f>
        <v>0</v>
      </c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M209" s="1">
        <f>BOM!D209</f>
        <v>0</v>
      </c>
      <c r="AN209" s="1">
        <f>BOM!C209</f>
        <v>0</v>
      </c>
      <c r="AO209" s="1">
        <f>BOM!B209</f>
        <v>0</v>
      </c>
    </row>
    <row r="210" spans="2:41">
      <c r="B210" s="205">
        <v>208</v>
      </c>
      <c r="C210" s="659">
        <f t="shared" si="4"/>
        <v>0</v>
      </c>
      <c r="D210" s="1" t="s">
        <v>72</v>
      </c>
      <c r="E210" s="260"/>
      <c r="F210" s="259">
        <f>SUMIFS(Assy_Cost!$L$1:$L$10000,Assy_Cost!$B$1:$B$10000,Group!$C210,Assy_Cost!$C$1:$C$10000,Group!F$2)</f>
        <v>0</v>
      </c>
      <c r="G210" s="259">
        <f>SUMIFS(Assy_Cost!$L$1:$L$10000,Assy_Cost!$B$1:$B$10000,Group!$C210,Assy_Cost!$C$1:$C$10000,Group!G$2)</f>
        <v>0</v>
      </c>
      <c r="H210" s="259">
        <f>SUMIFS(Assy_Cost!$L$1:$L$10000,Assy_Cost!$B$1:$B$10000,Group!$C210,Assy_Cost!$C$1:$C$10000,Group!H$2)</f>
        <v>0</v>
      </c>
      <c r="I210" s="259">
        <f>SUMIFS(Assy_Cost!$L$1:$L$10000,Assy_Cost!$B$1:$B$10000,Group!$C210,Assy_Cost!$C$1:$C$10000,Group!I$2)</f>
        <v>0</v>
      </c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M210" s="1">
        <f>BOM!D210</f>
        <v>0</v>
      </c>
      <c r="AN210" s="1">
        <f>BOM!C210</f>
        <v>0</v>
      </c>
      <c r="AO210" s="1">
        <f>BOM!B210</f>
        <v>0</v>
      </c>
    </row>
    <row r="211" spans="2:41">
      <c r="B211" s="205">
        <v>209</v>
      </c>
      <c r="C211" s="659">
        <f t="shared" si="4"/>
        <v>0</v>
      </c>
      <c r="D211" s="1" t="s">
        <v>72</v>
      </c>
      <c r="E211" s="260"/>
      <c r="F211" s="259">
        <f>SUMIFS(Assy_Cost!$L$1:$L$10000,Assy_Cost!$B$1:$B$10000,Group!$C211,Assy_Cost!$C$1:$C$10000,Group!F$2)</f>
        <v>0</v>
      </c>
      <c r="G211" s="259">
        <f>SUMIFS(Assy_Cost!$L$1:$L$10000,Assy_Cost!$B$1:$B$10000,Group!$C211,Assy_Cost!$C$1:$C$10000,Group!G$2)</f>
        <v>0</v>
      </c>
      <c r="H211" s="259">
        <f>SUMIFS(Assy_Cost!$L$1:$L$10000,Assy_Cost!$B$1:$B$10000,Group!$C211,Assy_Cost!$C$1:$C$10000,Group!H$2)</f>
        <v>0</v>
      </c>
      <c r="I211" s="259">
        <f>SUMIFS(Assy_Cost!$L$1:$L$10000,Assy_Cost!$B$1:$B$10000,Group!$C211,Assy_Cost!$C$1:$C$10000,Group!I$2)</f>
        <v>0</v>
      </c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M211" s="1">
        <f>BOM!D211</f>
        <v>0</v>
      </c>
      <c r="AN211" s="1">
        <f>BOM!C211</f>
        <v>0</v>
      </c>
      <c r="AO211" s="1">
        <f>BOM!B211</f>
        <v>0</v>
      </c>
    </row>
    <row r="212" spans="2:41">
      <c r="B212" s="205">
        <v>210</v>
      </c>
      <c r="C212" s="659">
        <f>Q2</f>
        <v>0</v>
      </c>
      <c r="D212" s="1" t="s">
        <v>881</v>
      </c>
      <c r="E212" s="259" t="e">
        <f>SUMIFS(Hose_Material!$Z$1:$Z$10000,Hose_Material!$D$1:$D$10000,Group!C212)</f>
        <v>#N/A</v>
      </c>
      <c r="F212" s="259">
        <f>SUMIFS(Hose_Process!$J$1:$J$10000,Hose_Process!$B$1:$B$10000,Group!F$2,Hose_Process!$A$1:$A$10000,Group!$C212)</f>
        <v>0</v>
      </c>
      <c r="G212" s="259">
        <f>SUMIFS(Hose_Process!$J$1:$J$10000,Hose_Process!$B$1:$B$10000,Group!G$2,Hose_Process!$A$1:$A$10000,Group!$C212)</f>
        <v>0</v>
      </c>
      <c r="H212" s="259"/>
      <c r="I212" s="259">
        <f>SUMIFS(Hose_Material!$U$1:$U$10000,Hose_Material!$D$1:$D$10000,Group!C212)</f>
        <v>0</v>
      </c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M212" s="1">
        <f>BOM!D212</f>
        <v>0</v>
      </c>
      <c r="AN212" s="1">
        <f>BOM!C212</f>
        <v>0</v>
      </c>
      <c r="AO212" s="1">
        <f>BOM!B212</f>
        <v>0</v>
      </c>
    </row>
    <row r="213" spans="2:41">
      <c r="B213" s="205">
        <v>211</v>
      </c>
      <c r="C213" s="659">
        <f t="shared" ref="C213:C260" si="5">Q3</f>
        <v>0</v>
      </c>
      <c r="D213" s="1" t="s">
        <v>881</v>
      </c>
      <c r="E213" s="259" t="e">
        <f>SUMIFS(Hose_Material!$Z$1:$Z$10000,Hose_Material!$D$1:$D$10000,Group!C213)</f>
        <v>#N/A</v>
      </c>
      <c r="F213" s="259">
        <f>SUMIFS(Hose_Process!$J$1:$J$10000,Hose_Process!$B$1:$B$10000,Group!F$2,Hose_Process!$A$1:$A$10000,Group!$C213)</f>
        <v>0</v>
      </c>
      <c r="G213" s="259">
        <f>SUMIFS(Hose_Process!$J$1:$J$10000,Hose_Process!$B$1:$B$10000,Group!G$2,Hose_Process!$A$1:$A$10000,Group!$C213)</f>
        <v>0</v>
      </c>
      <c r="H213" s="259"/>
      <c r="I213" s="259">
        <f>SUMIFS(Hose_Material!$U$1:$U$10000,Hose_Material!$D$1:$D$10000,Group!C213)</f>
        <v>0</v>
      </c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M213" s="1">
        <f>BOM!D213</f>
        <v>0</v>
      </c>
      <c r="AN213" s="1">
        <f>BOM!C213</f>
        <v>0</v>
      </c>
      <c r="AO213" s="1">
        <f>BOM!B213</f>
        <v>0</v>
      </c>
    </row>
    <row r="214" spans="2:41">
      <c r="B214" s="205">
        <v>212</v>
      </c>
      <c r="C214" s="659">
        <f t="shared" si="5"/>
        <v>0</v>
      </c>
      <c r="D214" s="1" t="s">
        <v>881</v>
      </c>
      <c r="E214" s="259" t="e">
        <f>SUMIFS(Hose_Material!$Z$1:$Z$10000,Hose_Material!$D$1:$D$10000,Group!C214)</f>
        <v>#N/A</v>
      </c>
      <c r="F214" s="259">
        <f>SUMIFS(Hose_Process!$J$1:$J$10000,Hose_Process!$B$1:$B$10000,Group!F$2,Hose_Process!$A$1:$A$10000,Group!$C214)</f>
        <v>0</v>
      </c>
      <c r="G214" s="259">
        <f>SUMIFS(Hose_Process!$J$1:$J$10000,Hose_Process!$B$1:$B$10000,Group!G$2,Hose_Process!$A$1:$A$10000,Group!$C214)</f>
        <v>0</v>
      </c>
      <c r="H214" s="259"/>
      <c r="I214" s="259">
        <f>SUMIFS(Hose_Material!$U$1:$U$10000,Hose_Material!$D$1:$D$10000,Group!C214)</f>
        <v>0</v>
      </c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M214" s="1">
        <f>BOM!D214</f>
        <v>0</v>
      </c>
      <c r="AN214" s="1">
        <f>BOM!C214</f>
        <v>0</v>
      </c>
      <c r="AO214" s="1">
        <f>BOM!B214</f>
        <v>0</v>
      </c>
    </row>
    <row r="215" spans="2:41">
      <c r="B215" s="205">
        <v>213</v>
      </c>
      <c r="C215" s="659">
        <f t="shared" si="5"/>
        <v>0</v>
      </c>
      <c r="D215" s="1" t="s">
        <v>881</v>
      </c>
      <c r="E215" s="259" t="e">
        <f>SUMIFS(Hose_Material!$Z$1:$Z$10000,Hose_Material!$D$1:$D$10000,Group!C215)</f>
        <v>#N/A</v>
      </c>
      <c r="F215" s="259">
        <f>SUMIFS(Hose_Process!$J$1:$J$10000,Hose_Process!$B$1:$B$10000,Group!F$2,Hose_Process!$A$1:$A$10000,Group!$C215)</f>
        <v>0</v>
      </c>
      <c r="G215" s="259">
        <f>SUMIFS(Hose_Process!$J$1:$J$10000,Hose_Process!$B$1:$B$10000,Group!G$2,Hose_Process!$A$1:$A$10000,Group!$C215)</f>
        <v>0</v>
      </c>
      <c r="H215" s="259"/>
      <c r="I215" s="259">
        <f>SUMIFS(Hose_Material!$U$1:$U$10000,Hose_Material!$D$1:$D$10000,Group!C215)</f>
        <v>0</v>
      </c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M215" s="1">
        <f>BOM!D215</f>
        <v>0</v>
      </c>
      <c r="AN215" s="1">
        <f>BOM!C215</f>
        <v>0</v>
      </c>
      <c r="AO215" s="1">
        <f>BOM!B215</f>
        <v>0</v>
      </c>
    </row>
    <row r="216" spans="2:41">
      <c r="B216" s="205">
        <v>214</v>
      </c>
      <c r="C216" s="659">
        <f t="shared" si="5"/>
        <v>0</v>
      </c>
      <c r="D216" s="1" t="s">
        <v>881</v>
      </c>
      <c r="E216" s="259" t="e">
        <f>SUMIFS(Hose_Material!$Z$1:$Z$10000,Hose_Material!$D$1:$D$10000,Group!C216)</f>
        <v>#N/A</v>
      </c>
      <c r="F216" s="259">
        <f>SUMIFS(Hose_Process!$J$1:$J$10000,Hose_Process!$B$1:$B$10000,Group!F$2,Hose_Process!$A$1:$A$10000,Group!$C216)</f>
        <v>0</v>
      </c>
      <c r="G216" s="259">
        <f>SUMIFS(Hose_Process!$J$1:$J$10000,Hose_Process!$B$1:$B$10000,Group!G$2,Hose_Process!$A$1:$A$10000,Group!$C216)</f>
        <v>0</v>
      </c>
      <c r="H216" s="259"/>
      <c r="I216" s="259">
        <f>SUMIFS(Hose_Material!$U$1:$U$10000,Hose_Material!$D$1:$D$10000,Group!C216)</f>
        <v>0</v>
      </c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M216" s="1">
        <f>BOM!D216</f>
        <v>0</v>
      </c>
      <c r="AN216" s="1">
        <f>BOM!C216</f>
        <v>0</v>
      </c>
      <c r="AO216" s="1">
        <f>BOM!B216</f>
        <v>0</v>
      </c>
    </row>
    <row r="217" spans="2:41">
      <c r="B217" s="205">
        <v>215</v>
      </c>
      <c r="C217" s="659">
        <f t="shared" si="5"/>
        <v>0</v>
      </c>
      <c r="D217" s="1" t="s">
        <v>881</v>
      </c>
      <c r="E217" s="259" t="e">
        <f>SUMIFS(Hose_Material!$Z$1:$Z$10000,Hose_Material!$D$1:$D$10000,Group!C217)</f>
        <v>#N/A</v>
      </c>
      <c r="F217" s="259">
        <f>SUMIFS(Hose_Process!$J$1:$J$10000,Hose_Process!$B$1:$B$10000,Group!F$2,Hose_Process!$A$1:$A$10000,Group!$C217)</f>
        <v>0</v>
      </c>
      <c r="G217" s="259">
        <f>SUMIFS(Hose_Process!$J$1:$J$10000,Hose_Process!$B$1:$B$10000,Group!G$2,Hose_Process!$A$1:$A$10000,Group!$C217)</f>
        <v>0</v>
      </c>
      <c r="H217" s="259"/>
      <c r="I217" s="259">
        <f>SUMIFS(Hose_Material!$U$1:$U$10000,Hose_Material!$D$1:$D$10000,Group!C217)</f>
        <v>0</v>
      </c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M217" s="1">
        <f>BOM!D217</f>
        <v>0</v>
      </c>
      <c r="AN217" s="1">
        <f>BOM!C217</f>
        <v>0</v>
      </c>
      <c r="AO217" s="1">
        <f>BOM!B217</f>
        <v>0</v>
      </c>
    </row>
    <row r="218" spans="2:41">
      <c r="B218" s="205">
        <v>216</v>
      </c>
      <c r="C218" s="659">
        <f t="shared" si="5"/>
        <v>0</v>
      </c>
      <c r="D218" s="1" t="s">
        <v>881</v>
      </c>
      <c r="E218" s="259" t="e">
        <f>SUMIFS(Hose_Material!$Z$1:$Z$10000,Hose_Material!$D$1:$D$10000,Group!C218)</f>
        <v>#N/A</v>
      </c>
      <c r="F218" s="259">
        <f>SUMIFS(Hose_Process!$J$1:$J$10000,Hose_Process!$B$1:$B$10000,Group!F$2,Hose_Process!$A$1:$A$10000,Group!$C218)</f>
        <v>0</v>
      </c>
      <c r="G218" s="259">
        <f>SUMIFS(Hose_Process!$J$1:$J$10000,Hose_Process!$B$1:$B$10000,Group!G$2,Hose_Process!$A$1:$A$10000,Group!$C218)</f>
        <v>0</v>
      </c>
      <c r="H218" s="259"/>
      <c r="I218" s="259">
        <f>SUMIFS(Hose_Material!$U$1:$U$10000,Hose_Material!$D$1:$D$10000,Group!C218)</f>
        <v>0</v>
      </c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M218" s="1">
        <f>BOM!D218</f>
        <v>0</v>
      </c>
      <c r="AN218" s="1">
        <f>BOM!C218</f>
        <v>0</v>
      </c>
      <c r="AO218" s="1">
        <f>BOM!B218</f>
        <v>0</v>
      </c>
    </row>
    <row r="219" spans="2:41">
      <c r="B219" s="205">
        <v>217</v>
      </c>
      <c r="C219" s="659">
        <f t="shared" si="5"/>
        <v>0</v>
      </c>
      <c r="D219" s="1" t="s">
        <v>881</v>
      </c>
      <c r="E219" s="259" t="e">
        <f>SUMIFS(Hose_Material!$Z$1:$Z$10000,Hose_Material!$D$1:$D$10000,Group!C219)</f>
        <v>#N/A</v>
      </c>
      <c r="F219" s="259">
        <f>SUMIFS(Hose_Process!$J$1:$J$10000,Hose_Process!$B$1:$B$10000,Group!F$2,Hose_Process!$A$1:$A$10000,Group!$C219)</f>
        <v>0</v>
      </c>
      <c r="G219" s="259">
        <f>SUMIFS(Hose_Process!$J$1:$J$10000,Hose_Process!$B$1:$B$10000,Group!G$2,Hose_Process!$A$1:$A$10000,Group!$C219)</f>
        <v>0</v>
      </c>
      <c r="H219" s="259"/>
      <c r="I219" s="259">
        <f>SUMIFS(Hose_Material!$U$1:$U$10000,Hose_Material!$D$1:$D$10000,Group!C219)</f>
        <v>0</v>
      </c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M219" s="1">
        <f>BOM!D219</f>
        <v>0</v>
      </c>
      <c r="AN219" s="1">
        <f>BOM!C219</f>
        <v>0</v>
      </c>
      <c r="AO219" s="1">
        <f>BOM!B219</f>
        <v>0</v>
      </c>
    </row>
    <row r="220" spans="2:41">
      <c r="B220" s="205">
        <v>218</v>
      </c>
      <c r="C220" s="659">
        <f t="shared" si="5"/>
        <v>0</v>
      </c>
      <c r="D220" s="1" t="s">
        <v>881</v>
      </c>
      <c r="E220" s="259" t="e">
        <f>SUMIFS(Hose_Material!$Z$1:$Z$10000,Hose_Material!$D$1:$D$10000,Group!C220)</f>
        <v>#N/A</v>
      </c>
      <c r="F220" s="259">
        <f>SUMIFS(Hose_Process!$J$1:$J$10000,Hose_Process!$B$1:$B$10000,Group!F$2,Hose_Process!$A$1:$A$10000,Group!$C220)</f>
        <v>0</v>
      </c>
      <c r="G220" s="259">
        <f>SUMIFS(Hose_Process!$J$1:$J$10000,Hose_Process!$B$1:$B$10000,Group!G$2,Hose_Process!$A$1:$A$10000,Group!$C220)</f>
        <v>0</v>
      </c>
      <c r="H220" s="259"/>
      <c r="I220" s="259">
        <f>SUMIFS(Hose_Material!$U$1:$U$10000,Hose_Material!$D$1:$D$10000,Group!C220)</f>
        <v>0</v>
      </c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M220" s="1">
        <f>BOM!D220</f>
        <v>0</v>
      </c>
      <c r="AN220" s="1">
        <f>BOM!C220</f>
        <v>0</v>
      </c>
      <c r="AO220" s="1">
        <f>BOM!B220</f>
        <v>0</v>
      </c>
    </row>
    <row r="221" spans="2:41">
      <c r="B221" s="205">
        <v>219</v>
      </c>
      <c r="C221" s="659">
        <f t="shared" si="5"/>
        <v>0</v>
      </c>
      <c r="D221" s="1" t="s">
        <v>881</v>
      </c>
      <c r="E221" s="259" t="e">
        <f>SUMIFS(Hose_Material!$Z$1:$Z$10000,Hose_Material!$D$1:$D$10000,Group!C221)</f>
        <v>#N/A</v>
      </c>
      <c r="F221" s="259">
        <f>SUMIFS(Hose_Process!$J$1:$J$10000,Hose_Process!$B$1:$B$10000,Group!F$2,Hose_Process!$A$1:$A$10000,Group!$C221)</f>
        <v>0</v>
      </c>
      <c r="G221" s="259">
        <f>SUMIFS(Hose_Process!$J$1:$J$10000,Hose_Process!$B$1:$B$10000,Group!G$2,Hose_Process!$A$1:$A$10000,Group!$C221)</f>
        <v>0</v>
      </c>
      <c r="H221" s="259"/>
      <c r="I221" s="259">
        <f>SUMIFS(Hose_Material!$U$1:$U$10000,Hose_Material!$D$1:$D$10000,Group!C221)</f>
        <v>0</v>
      </c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M221" s="1">
        <f>BOM!D221</f>
        <v>0</v>
      </c>
      <c r="AN221" s="1">
        <f>BOM!C221</f>
        <v>0</v>
      </c>
      <c r="AO221" s="1">
        <f>BOM!B221</f>
        <v>0</v>
      </c>
    </row>
    <row r="222" spans="2:41">
      <c r="B222" s="205">
        <v>220</v>
      </c>
      <c r="C222" s="659">
        <f t="shared" si="5"/>
        <v>0</v>
      </c>
      <c r="D222" s="1" t="s">
        <v>881</v>
      </c>
      <c r="E222" s="259" t="e">
        <f>SUMIFS(Hose_Material!$Z$1:$Z$10000,Hose_Material!$D$1:$D$10000,Group!C222)</f>
        <v>#N/A</v>
      </c>
      <c r="F222" s="259">
        <f>SUMIFS(Hose_Process!$J$1:$J$10000,Hose_Process!$B$1:$B$10000,Group!F$2,Hose_Process!$A$1:$A$10000,Group!$C222)</f>
        <v>0</v>
      </c>
      <c r="G222" s="259">
        <f>SUMIFS(Hose_Process!$J$1:$J$10000,Hose_Process!$B$1:$B$10000,Group!G$2,Hose_Process!$A$1:$A$10000,Group!$C222)</f>
        <v>0</v>
      </c>
      <c r="H222" s="259"/>
      <c r="I222" s="259">
        <f>SUMIFS(Hose_Material!$U$1:$U$10000,Hose_Material!$D$1:$D$10000,Group!C222)</f>
        <v>0</v>
      </c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M222" s="1">
        <f>BOM!D222</f>
        <v>0</v>
      </c>
      <c r="AN222" s="1">
        <f>BOM!C222</f>
        <v>0</v>
      </c>
      <c r="AO222" s="1">
        <f>BOM!B222</f>
        <v>0</v>
      </c>
    </row>
    <row r="223" spans="2:41">
      <c r="B223" s="205">
        <v>221</v>
      </c>
      <c r="C223" s="659">
        <f t="shared" si="5"/>
        <v>0</v>
      </c>
      <c r="D223" s="1" t="s">
        <v>881</v>
      </c>
      <c r="E223" s="259" t="e">
        <f>SUMIFS(Hose_Material!$Z$1:$Z$10000,Hose_Material!$D$1:$D$10000,Group!C223)</f>
        <v>#N/A</v>
      </c>
      <c r="F223" s="259">
        <f>SUMIFS(Hose_Process!$J$1:$J$10000,Hose_Process!$B$1:$B$10000,Group!F$2,Hose_Process!$A$1:$A$10000,Group!$C223)</f>
        <v>0</v>
      </c>
      <c r="G223" s="259">
        <f>SUMIFS(Hose_Process!$J$1:$J$10000,Hose_Process!$B$1:$B$10000,Group!G$2,Hose_Process!$A$1:$A$10000,Group!$C223)</f>
        <v>0</v>
      </c>
      <c r="H223" s="259"/>
      <c r="I223" s="259">
        <f>SUMIFS(Hose_Material!$U$1:$U$10000,Hose_Material!$D$1:$D$10000,Group!C223)</f>
        <v>0</v>
      </c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M223" s="1">
        <f>BOM!D223</f>
        <v>0</v>
      </c>
      <c r="AN223" s="1">
        <f>BOM!C223</f>
        <v>0</v>
      </c>
      <c r="AO223" s="1">
        <f>BOM!B223</f>
        <v>0</v>
      </c>
    </row>
    <row r="224" spans="2:41">
      <c r="B224" s="205">
        <v>222</v>
      </c>
      <c r="C224" s="659">
        <f t="shared" si="5"/>
        <v>0</v>
      </c>
      <c r="D224" s="1" t="s">
        <v>881</v>
      </c>
      <c r="E224" s="259" t="e">
        <f>SUMIFS(Hose_Material!$Z$1:$Z$10000,Hose_Material!$D$1:$D$10000,Group!C224)</f>
        <v>#N/A</v>
      </c>
      <c r="F224" s="259">
        <f>SUMIFS(Hose_Process!$J$1:$J$10000,Hose_Process!$B$1:$B$10000,Group!F$2,Hose_Process!$A$1:$A$10000,Group!$C224)</f>
        <v>0</v>
      </c>
      <c r="G224" s="259">
        <f>SUMIFS(Hose_Process!$J$1:$J$10000,Hose_Process!$B$1:$B$10000,Group!G$2,Hose_Process!$A$1:$A$10000,Group!$C224)</f>
        <v>0</v>
      </c>
      <c r="H224" s="259"/>
      <c r="I224" s="259">
        <f>SUMIFS(Hose_Material!$U$1:$U$10000,Hose_Material!$D$1:$D$10000,Group!C224)</f>
        <v>0</v>
      </c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M224" s="1">
        <f>BOM!D224</f>
        <v>0</v>
      </c>
      <c r="AN224" s="1">
        <f>BOM!C224</f>
        <v>0</v>
      </c>
      <c r="AO224" s="1">
        <f>BOM!B224</f>
        <v>0</v>
      </c>
    </row>
    <row r="225" spans="2:41">
      <c r="B225" s="205">
        <v>223</v>
      </c>
      <c r="C225" s="659">
        <f t="shared" si="5"/>
        <v>0</v>
      </c>
      <c r="D225" s="1" t="s">
        <v>881</v>
      </c>
      <c r="E225" s="259" t="e">
        <f>SUMIFS(Hose_Material!$Z$1:$Z$10000,Hose_Material!$D$1:$D$10000,Group!C225)</f>
        <v>#N/A</v>
      </c>
      <c r="F225" s="259">
        <f>SUMIFS(Hose_Process!$J$1:$J$10000,Hose_Process!$B$1:$B$10000,Group!F$2,Hose_Process!$A$1:$A$10000,Group!$C225)</f>
        <v>0</v>
      </c>
      <c r="G225" s="259">
        <f>SUMIFS(Hose_Process!$J$1:$J$10000,Hose_Process!$B$1:$B$10000,Group!G$2,Hose_Process!$A$1:$A$10000,Group!$C225)</f>
        <v>0</v>
      </c>
      <c r="H225" s="259"/>
      <c r="I225" s="259">
        <f>SUMIFS(Hose_Material!$U$1:$U$10000,Hose_Material!$D$1:$D$10000,Group!C225)</f>
        <v>0</v>
      </c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M225" s="1">
        <f>BOM!D225</f>
        <v>0</v>
      </c>
      <c r="AN225" s="1">
        <f>BOM!C225</f>
        <v>0</v>
      </c>
      <c r="AO225" s="1">
        <f>BOM!B225</f>
        <v>0</v>
      </c>
    </row>
    <row r="226" spans="2:41">
      <c r="B226" s="205">
        <v>224</v>
      </c>
      <c r="C226" s="659">
        <f t="shared" si="5"/>
        <v>0</v>
      </c>
      <c r="D226" s="1" t="s">
        <v>881</v>
      </c>
      <c r="E226" s="259" t="e">
        <f>SUMIFS(Hose_Material!$Z$1:$Z$10000,Hose_Material!$D$1:$D$10000,Group!C226)</f>
        <v>#N/A</v>
      </c>
      <c r="F226" s="259">
        <f>SUMIFS(Hose_Process!$J$1:$J$10000,Hose_Process!$B$1:$B$10000,Group!F$2,Hose_Process!$A$1:$A$10000,Group!$C226)</f>
        <v>0</v>
      </c>
      <c r="G226" s="259">
        <f>SUMIFS(Hose_Process!$J$1:$J$10000,Hose_Process!$B$1:$B$10000,Group!G$2,Hose_Process!$A$1:$A$10000,Group!$C226)</f>
        <v>0</v>
      </c>
      <c r="H226" s="259"/>
      <c r="I226" s="259">
        <f>SUMIFS(Hose_Material!$U$1:$U$10000,Hose_Material!$D$1:$D$10000,Group!C226)</f>
        <v>0</v>
      </c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M226" s="1">
        <f>BOM!D226</f>
        <v>0</v>
      </c>
      <c r="AN226" s="1">
        <f>BOM!C226</f>
        <v>0</v>
      </c>
      <c r="AO226" s="1">
        <f>BOM!B226</f>
        <v>0</v>
      </c>
    </row>
    <row r="227" spans="2:41">
      <c r="B227" s="205">
        <v>225</v>
      </c>
      <c r="C227" s="659">
        <f t="shared" si="5"/>
        <v>0</v>
      </c>
      <c r="D227" s="1" t="s">
        <v>881</v>
      </c>
      <c r="E227" s="259" t="e">
        <f>SUMIFS(Hose_Material!$Z$1:$Z$10000,Hose_Material!$D$1:$D$10000,Group!C227)</f>
        <v>#N/A</v>
      </c>
      <c r="F227" s="259">
        <f>SUMIFS(Hose_Process!$J$1:$J$10000,Hose_Process!$B$1:$B$10000,Group!F$2,Hose_Process!$A$1:$A$10000,Group!$C227)</f>
        <v>0</v>
      </c>
      <c r="G227" s="259">
        <f>SUMIFS(Hose_Process!$J$1:$J$10000,Hose_Process!$B$1:$B$10000,Group!G$2,Hose_Process!$A$1:$A$10000,Group!$C227)</f>
        <v>0</v>
      </c>
      <c r="H227" s="259"/>
      <c r="I227" s="259">
        <f>SUMIFS(Hose_Material!$U$1:$U$10000,Hose_Material!$D$1:$D$10000,Group!C227)</f>
        <v>0</v>
      </c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M227" s="1">
        <f>BOM!D227</f>
        <v>0</v>
      </c>
      <c r="AN227" s="1">
        <f>BOM!C227</f>
        <v>0</v>
      </c>
      <c r="AO227" s="1">
        <f>BOM!B227</f>
        <v>0</v>
      </c>
    </row>
    <row r="228" spans="2:41">
      <c r="B228" s="205">
        <v>226</v>
      </c>
      <c r="C228" s="659">
        <f t="shared" si="5"/>
        <v>0</v>
      </c>
      <c r="D228" s="1" t="s">
        <v>881</v>
      </c>
      <c r="E228" s="259" t="e">
        <f>SUMIFS(Hose_Material!$Z$1:$Z$10000,Hose_Material!$D$1:$D$10000,Group!C228)</f>
        <v>#N/A</v>
      </c>
      <c r="F228" s="259">
        <f>SUMIFS(Hose_Process!$J$1:$J$10000,Hose_Process!$B$1:$B$10000,Group!F$2,Hose_Process!$A$1:$A$10000,Group!$C228)</f>
        <v>0</v>
      </c>
      <c r="G228" s="259">
        <f>SUMIFS(Hose_Process!$J$1:$J$10000,Hose_Process!$B$1:$B$10000,Group!G$2,Hose_Process!$A$1:$A$10000,Group!$C228)</f>
        <v>0</v>
      </c>
      <c r="H228" s="259"/>
      <c r="I228" s="259">
        <f>SUMIFS(Hose_Material!$U$1:$U$10000,Hose_Material!$D$1:$D$10000,Group!C228)</f>
        <v>0</v>
      </c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M228" s="1">
        <f>BOM!D228</f>
        <v>0</v>
      </c>
      <c r="AN228" s="1">
        <f>BOM!C228</f>
        <v>0</v>
      </c>
      <c r="AO228" s="1">
        <f>BOM!B228</f>
        <v>0</v>
      </c>
    </row>
    <row r="229" spans="2:41">
      <c r="B229" s="205">
        <v>227</v>
      </c>
      <c r="C229" s="659">
        <f t="shared" si="5"/>
        <v>0</v>
      </c>
      <c r="D229" s="1" t="s">
        <v>881</v>
      </c>
      <c r="E229" s="259" t="e">
        <f>SUMIFS(Hose_Material!$Z$1:$Z$10000,Hose_Material!$D$1:$D$10000,Group!C229)</f>
        <v>#N/A</v>
      </c>
      <c r="F229" s="259">
        <f>SUMIFS(Hose_Process!$J$1:$J$10000,Hose_Process!$B$1:$B$10000,Group!F$2,Hose_Process!$A$1:$A$10000,Group!$C229)</f>
        <v>0</v>
      </c>
      <c r="G229" s="259">
        <f>SUMIFS(Hose_Process!$J$1:$J$10000,Hose_Process!$B$1:$B$10000,Group!G$2,Hose_Process!$A$1:$A$10000,Group!$C229)</f>
        <v>0</v>
      </c>
      <c r="H229" s="259"/>
      <c r="I229" s="259">
        <f>SUMIFS(Hose_Material!$U$1:$U$10000,Hose_Material!$D$1:$D$10000,Group!C229)</f>
        <v>0</v>
      </c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M229" s="1">
        <f>BOM!D229</f>
        <v>0</v>
      </c>
      <c r="AN229" s="1">
        <f>BOM!C229</f>
        <v>0</v>
      </c>
      <c r="AO229" s="1">
        <f>BOM!B229</f>
        <v>0</v>
      </c>
    </row>
    <row r="230" spans="2:41">
      <c r="B230" s="205">
        <v>228</v>
      </c>
      <c r="C230" s="659">
        <f t="shared" si="5"/>
        <v>0</v>
      </c>
      <c r="D230" s="1" t="s">
        <v>881</v>
      </c>
      <c r="E230" s="259" t="e">
        <f>SUMIFS(Hose_Material!$Z$1:$Z$10000,Hose_Material!$D$1:$D$10000,Group!C230)</f>
        <v>#N/A</v>
      </c>
      <c r="F230" s="259">
        <f>SUMIFS(Hose_Process!$J$1:$J$10000,Hose_Process!$B$1:$B$10000,Group!F$2,Hose_Process!$A$1:$A$10000,Group!$C230)</f>
        <v>0</v>
      </c>
      <c r="G230" s="259">
        <f>SUMIFS(Hose_Process!$J$1:$J$10000,Hose_Process!$B$1:$B$10000,Group!G$2,Hose_Process!$A$1:$A$10000,Group!$C230)</f>
        <v>0</v>
      </c>
      <c r="H230" s="259"/>
      <c r="I230" s="259">
        <f>SUMIFS(Hose_Material!$U$1:$U$10000,Hose_Material!$D$1:$D$10000,Group!C230)</f>
        <v>0</v>
      </c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M230" s="1">
        <f>BOM!D230</f>
        <v>0</v>
      </c>
      <c r="AN230" s="1">
        <f>BOM!C230</f>
        <v>0</v>
      </c>
      <c r="AO230" s="1">
        <f>BOM!B230</f>
        <v>0</v>
      </c>
    </row>
    <row r="231" spans="2:41">
      <c r="B231" s="205">
        <v>229</v>
      </c>
      <c r="C231" s="659">
        <f t="shared" si="5"/>
        <v>0</v>
      </c>
      <c r="D231" s="1" t="s">
        <v>881</v>
      </c>
      <c r="E231" s="259" t="e">
        <f>SUMIFS(Hose_Material!$Z$1:$Z$10000,Hose_Material!$D$1:$D$10000,Group!C231)</f>
        <v>#N/A</v>
      </c>
      <c r="F231" s="259">
        <f>SUMIFS(Hose_Process!$J$1:$J$10000,Hose_Process!$B$1:$B$10000,Group!F$2,Hose_Process!$A$1:$A$10000,Group!$C231)</f>
        <v>0</v>
      </c>
      <c r="G231" s="259">
        <f>SUMIFS(Hose_Process!$J$1:$J$10000,Hose_Process!$B$1:$B$10000,Group!G$2,Hose_Process!$A$1:$A$10000,Group!$C231)</f>
        <v>0</v>
      </c>
      <c r="H231" s="259"/>
      <c r="I231" s="259">
        <f>SUMIFS(Hose_Material!$U$1:$U$10000,Hose_Material!$D$1:$D$10000,Group!C231)</f>
        <v>0</v>
      </c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M231" s="1">
        <f>BOM!D231</f>
        <v>0</v>
      </c>
      <c r="AN231" s="1">
        <f>BOM!C231</f>
        <v>0</v>
      </c>
      <c r="AO231" s="1">
        <f>BOM!B231</f>
        <v>0</v>
      </c>
    </row>
    <row r="232" spans="2:41">
      <c r="B232" s="205">
        <v>230</v>
      </c>
      <c r="C232" s="659">
        <f t="shared" si="5"/>
        <v>0</v>
      </c>
      <c r="D232" s="1" t="s">
        <v>881</v>
      </c>
      <c r="E232" s="259" t="e">
        <f>SUMIFS(Hose_Material!$Z$1:$Z$10000,Hose_Material!$D$1:$D$10000,Group!C232)</f>
        <v>#N/A</v>
      </c>
      <c r="F232" s="259">
        <f>SUMIFS(Hose_Process!$J$1:$J$10000,Hose_Process!$B$1:$B$10000,Group!F$2,Hose_Process!$A$1:$A$10000,Group!$C232)</f>
        <v>0</v>
      </c>
      <c r="G232" s="259">
        <f>SUMIFS(Hose_Process!$J$1:$J$10000,Hose_Process!$B$1:$B$10000,Group!G$2,Hose_Process!$A$1:$A$10000,Group!$C232)</f>
        <v>0</v>
      </c>
      <c r="H232" s="259"/>
      <c r="I232" s="259">
        <f>SUMIFS(Hose_Material!$U$1:$U$10000,Hose_Material!$D$1:$D$10000,Group!C232)</f>
        <v>0</v>
      </c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M232" s="1">
        <f>BOM!D232</f>
        <v>0</v>
      </c>
      <c r="AN232" s="1">
        <f>BOM!C232</f>
        <v>0</v>
      </c>
      <c r="AO232" s="1">
        <f>BOM!B232</f>
        <v>0</v>
      </c>
    </row>
    <row r="233" spans="2:41">
      <c r="B233" s="205">
        <v>231</v>
      </c>
      <c r="C233" s="659">
        <f t="shared" si="5"/>
        <v>0</v>
      </c>
      <c r="D233" s="1" t="s">
        <v>881</v>
      </c>
      <c r="E233" s="259" t="e">
        <f>SUMIFS(Hose_Material!$Z$1:$Z$10000,Hose_Material!$D$1:$D$10000,Group!C233)</f>
        <v>#N/A</v>
      </c>
      <c r="F233" s="259">
        <f>SUMIFS(Hose_Process!$J$1:$J$10000,Hose_Process!$B$1:$B$10000,Group!F$2,Hose_Process!$A$1:$A$10000,Group!$C233)</f>
        <v>0</v>
      </c>
      <c r="G233" s="259">
        <f>SUMIFS(Hose_Process!$J$1:$J$10000,Hose_Process!$B$1:$B$10000,Group!G$2,Hose_Process!$A$1:$A$10000,Group!$C233)</f>
        <v>0</v>
      </c>
      <c r="H233" s="259"/>
      <c r="I233" s="259">
        <f>SUMIFS(Hose_Material!$U$1:$U$10000,Hose_Material!$D$1:$D$10000,Group!C233)</f>
        <v>0</v>
      </c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M233" s="1">
        <f>BOM!D233</f>
        <v>0</v>
      </c>
      <c r="AN233" s="1">
        <f>BOM!C233</f>
        <v>0</v>
      </c>
      <c r="AO233" s="1">
        <f>BOM!B233</f>
        <v>0</v>
      </c>
    </row>
    <row r="234" spans="2:41">
      <c r="B234" s="205">
        <v>232</v>
      </c>
      <c r="C234" s="659">
        <f t="shared" si="5"/>
        <v>0</v>
      </c>
      <c r="D234" s="1" t="s">
        <v>881</v>
      </c>
      <c r="E234" s="259" t="e">
        <f>SUMIFS(Hose_Material!$Z$1:$Z$10000,Hose_Material!$D$1:$D$10000,Group!C234)</f>
        <v>#N/A</v>
      </c>
      <c r="F234" s="259">
        <f>SUMIFS(Hose_Process!$J$1:$J$10000,Hose_Process!$B$1:$B$10000,Group!F$2,Hose_Process!$A$1:$A$10000,Group!$C234)</f>
        <v>0</v>
      </c>
      <c r="G234" s="259">
        <f>SUMIFS(Hose_Process!$J$1:$J$10000,Hose_Process!$B$1:$B$10000,Group!G$2,Hose_Process!$A$1:$A$10000,Group!$C234)</f>
        <v>0</v>
      </c>
      <c r="H234" s="259"/>
      <c r="I234" s="259">
        <f>SUMIFS(Hose_Material!$U$1:$U$10000,Hose_Material!$D$1:$D$10000,Group!C234)</f>
        <v>0</v>
      </c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M234" s="1">
        <f>BOM!D234</f>
        <v>0</v>
      </c>
      <c r="AN234" s="1">
        <f>BOM!C234</f>
        <v>0</v>
      </c>
      <c r="AO234" s="1">
        <f>BOM!B234</f>
        <v>0</v>
      </c>
    </row>
    <row r="235" spans="2:41">
      <c r="B235" s="205">
        <v>233</v>
      </c>
      <c r="C235" s="659">
        <f t="shared" si="5"/>
        <v>0</v>
      </c>
      <c r="D235" s="1" t="s">
        <v>881</v>
      </c>
      <c r="E235" s="259" t="e">
        <f>SUMIFS(Hose_Material!$Z$1:$Z$10000,Hose_Material!$D$1:$D$10000,Group!C235)</f>
        <v>#N/A</v>
      </c>
      <c r="F235" s="259">
        <f>SUMIFS(Hose_Process!$J$1:$J$10000,Hose_Process!$B$1:$B$10000,Group!F$2,Hose_Process!$A$1:$A$10000,Group!$C235)</f>
        <v>0</v>
      </c>
      <c r="G235" s="259">
        <f>SUMIFS(Hose_Process!$J$1:$J$10000,Hose_Process!$B$1:$B$10000,Group!G$2,Hose_Process!$A$1:$A$10000,Group!$C235)</f>
        <v>0</v>
      </c>
      <c r="H235" s="259"/>
      <c r="I235" s="259">
        <f>SUMIFS(Hose_Material!$U$1:$U$10000,Hose_Material!$D$1:$D$10000,Group!C235)</f>
        <v>0</v>
      </c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M235" s="1">
        <f>BOM!D235</f>
        <v>0</v>
      </c>
      <c r="AN235" s="1">
        <f>BOM!C235</f>
        <v>0</v>
      </c>
      <c r="AO235" s="1">
        <f>BOM!B235</f>
        <v>0</v>
      </c>
    </row>
    <row r="236" spans="2:41">
      <c r="B236" s="205">
        <v>234</v>
      </c>
      <c r="C236" s="659">
        <f t="shared" si="5"/>
        <v>0</v>
      </c>
      <c r="D236" s="1" t="s">
        <v>881</v>
      </c>
      <c r="E236" s="259" t="e">
        <f>SUMIFS(Hose_Material!$Z$1:$Z$10000,Hose_Material!$D$1:$D$10000,Group!C236)</f>
        <v>#N/A</v>
      </c>
      <c r="F236" s="259">
        <f>SUMIFS(Hose_Process!$J$1:$J$10000,Hose_Process!$B$1:$B$10000,Group!F$2,Hose_Process!$A$1:$A$10000,Group!$C236)</f>
        <v>0</v>
      </c>
      <c r="G236" s="259">
        <f>SUMIFS(Hose_Process!$J$1:$J$10000,Hose_Process!$B$1:$B$10000,Group!G$2,Hose_Process!$A$1:$A$10000,Group!$C236)</f>
        <v>0</v>
      </c>
      <c r="H236" s="259"/>
      <c r="I236" s="259">
        <f>SUMIFS(Hose_Material!$U$1:$U$10000,Hose_Material!$D$1:$D$10000,Group!C236)</f>
        <v>0</v>
      </c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M236" s="1">
        <f>BOM!D236</f>
        <v>0</v>
      </c>
      <c r="AN236" s="1">
        <f>BOM!C236</f>
        <v>0</v>
      </c>
      <c r="AO236" s="1">
        <f>BOM!B236</f>
        <v>0</v>
      </c>
    </row>
    <row r="237" spans="2:41">
      <c r="B237" s="205">
        <v>235</v>
      </c>
      <c r="C237" s="659">
        <f t="shared" si="5"/>
        <v>0</v>
      </c>
      <c r="D237" s="1" t="s">
        <v>881</v>
      </c>
      <c r="E237" s="259" t="e">
        <f>SUMIFS(Hose_Material!$Z$1:$Z$10000,Hose_Material!$D$1:$D$10000,Group!C237)</f>
        <v>#N/A</v>
      </c>
      <c r="F237" s="259">
        <f>SUMIFS(Hose_Process!$J$1:$J$10000,Hose_Process!$B$1:$B$10000,Group!F$2,Hose_Process!$A$1:$A$10000,Group!$C237)</f>
        <v>0</v>
      </c>
      <c r="G237" s="259">
        <f>SUMIFS(Hose_Process!$J$1:$J$10000,Hose_Process!$B$1:$B$10000,Group!G$2,Hose_Process!$A$1:$A$10000,Group!$C237)</f>
        <v>0</v>
      </c>
      <c r="H237" s="259"/>
      <c r="I237" s="259">
        <f>SUMIFS(Hose_Material!$U$1:$U$10000,Hose_Material!$D$1:$D$10000,Group!C237)</f>
        <v>0</v>
      </c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M237" s="1">
        <f>BOM!D237</f>
        <v>0</v>
      </c>
      <c r="AN237" s="1">
        <f>BOM!C237</f>
        <v>0</v>
      </c>
      <c r="AO237" s="1">
        <f>BOM!B237</f>
        <v>0</v>
      </c>
    </row>
    <row r="238" spans="2:41">
      <c r="B238" s="205">
        <v>236</v>
      </c>
      <c r="C238" s="659">
        <f t="shared" si="5"/>
        <v>0</v>
      </c>
      <c r="D238" s="1" t="s">
        <v>881</v>
      </c>
      <c r="E238" s="259" t="e">
        <f>SUMIFS(Hose_Material!$Z$1:$Z$10000,Hose_Material!$D$1:$D$10000,Group!C238)</f>
        <v>#N/A</v>
      </c>
      <c r="F238" s="259">
        <f>SUMIFS(Hose_Process!$J$1:$J$10000,Hose_Process!$B$1:$B$10000,Group!F$2,Hose_Process!$A$1:$A$10000,Group!$C238)</f>
        <v>0</v>
      </c>
      <c r="G238" s="259">
        <f>SUMIFS(Hose_Process!$J$1:$J$10000,Hose_Process!$B$1:$B$10000,Group!G$2,Hose_Process!$A$1:$A$10000,Group!$C238)</f>
        <v>0</v>
      </c>
      <c r="H238" s="259"/>
      <c r="I238" s="259">
        <f>SUMIFS(Hose_Material!$U$1:$U$10000,Hose_Material!$D$1:$D$10000,Group!C238)</f>
        <v>0</v>
      </c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M238" s="1">
        <f>BOM!D238</f>
        <v>0</v>
      </c>
      <c r="AN238" s="1">
        <f>BOM!C238</f>
        <v>0</v>
      </c>
      <c r="AO238" s="1">
        <f>BOM!B238</f>
        <v>0</v>
      </c>
    </row>
    <row r="239" spans="2:41">
      <c r="B239" s="205">
        <v>237</v>
      </c>
      <c r="C239" s="659">
        <f t="shared" si="5"/>
        <v>0</v>
      </c>
      <c r="D239" s="1" t="s">
        <v>881</v>
      </c>
      <c r="E239" s="259" t="e">
        <f>SUMIFS(Hose_Material!$Z$1:$Z$10000,Hose_Material!$D$1:$D$10000,Group!C239)</f>
        <v>#N/A</v>
      </c>
      <c r="F239" s="259">
        <f>SUMIFS(Hose_Process!$J$1:$J$10000,Hose_Process!$B$1:$B$10000,Group!F$2,Hose_Process!$A$1:$A$10000,Group!$C239)</f>
        <v>0</v>
      </c>
      <c r="G239" s="259">
        <f>SUMIFS(Hose_Process!$J$1:$J$10000,Hose_Process!$B$1:$B$10000,Group!G$2,Hose_Process!$A$1:$A$10000,Group!$C239)</f>
        <v>0</v>
      </c>
      <c r="H239" s="259"/>
      <c r="I239" s="259">
        <f>SUMIFS(Hose_Material!$U$1:$U$10000,Hose_Material!$D$1:$D$10000,Group!C239)</f>
        <v>0</v>
      </c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M239" s="1">
        <f>BOM!D239</f>
        <v>0</v>
      </c>
      <c r="AN239" s="1">
        <f>BOM!C239</f>
        <v>0</v>
      </c>
      <c r="AO239" s="1">
        <f>BOM!B239</f>
        <v>0</v>
      </c>
    </row>
    <row r="240" spans="2:41">
      <c r="B240" s="205">
        <v>238</v>
      </c>
      <c r="C240" s="659">
        <f t="shared" si="5"/>
        <v>0</v>
      </c>
      <c r="D240" s="1" t="s">
        <v>881</v>
      </c>
      <c r="E240" s="259" t="e">
        <f>SUMIFS(Hose_Material!$Z$1:$Z$10000,Hose_Material!$D$1:$D$10000,Group!C240)</f>
        <v>#N/A</v>
      </c>
      <c r="F240" s="259">
        <f>SUMIFS(Hose_Process!$J$1:$J$10000,Hose_Process!$B$1:$B$10000,Group!F$2,Hose_Process!$A$1:$A$10000,Group!$C240)</f>
        <v>0</v>
      </c>
      <c r="G240" s="259">
        <f>SUMIFS(Hose_Process!$J$1:$J$10000,Hose_Process!$B$1:$B$10000,Group!G$2,Hose_Process!$A$1:$A$10000,Group!$C240)</f>
        <v>0</v>
      </c>
      <c r="H240" s="259"/>
      <c r="I240" s="259">
        <f>SUMIFS(Hose_Material!$U$1:$U$10000,Hose_Material!$D$1:$D$10000,Group!C240)</f>
        <v>0</v>
      </c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M240" s="1">
        <f>BOM!D240</f>
        <v>0</v>
      </c>
      <c r="AN240" s="1">
        <f>BOM!C240</f>
        <v>0</v>
      </c>
      <c r="AO240" s="1">
        <f>BOM!B240</f>
        <v>0</v>
      </c>
    </row>
    <row r="241" spans="2:41">
      <c r="B241" s="205">
        <v>239</v>
      </c>
      <c r="C241" s="659">
        <f t="shared" si="5"/>
        <v>0</v>
      </c>
      <c r="D241" s="1" t="s">
        <v>881</v>
      </c>
      <c r="E241" s="259" t="e">
        <f>SUMIFS(Hose_Material!$Z$1:$Z$10000,Hose_Material!$D$1:$D$10000,Group!C241)</f>
        <v>#N/A</v>
      </c>
      <c r="F241" s="259">
        <f>SUMIFS(Hose_Process!$J$1:$J$10000,Hose_Process!$B$1:$B$10000,Group!F$2,Hose_Process!$A$1:$A$10000,Group!$C241)</f>
        <v>0</v>
      </c>
      <c r="G241" s="259">
        <f>SUMIFS(Hose_Process!$J$1:$J$10000,Hose_Process!$B$1:$B$10000,Group!G$2,Hose_Process!$A$1:$A$10000,Group!$C241)</f>
        <v>0</v>
      </c>
      <c r="H241" s="259"/>
      <c r="I241" s="259">
        <f>SUMIFS(Hose_Material!$U$1:$U$10000,Hose_Material!$D$1:$D$10000,Group!C241)</f>
        <v>0</v>
      </c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M241" s="1">
        <f>BOM!D241</f>
        <v>0</v>
      </c>
      <c r="AN241" s="1">
        <f>BOM!C241</f>
        <v>0</v>
      </c>
      <c r="AO241" s="1">
        <f>BOM!B241</f>
        <v>0</v>
      </c>
    </row>
    <row r="242" spans="2:41">
      <c r="B242" s="205">
        <v>240</v>
      </c>
      <c r="C242" s="659">
        <f t="shared" si="5"/>
        <v>0</v>
      </c>
      <c r="D242" s="1" t="s">
        <v>881</v>
      </c>
      <c r="E242" s="259" t="e">
        <f>SUMIFS(Hose_Material!$Z$1:$Z$10000,Hose_Material!$D$1:$D$10000,Group!C242)</f>
        <v>#N/A</v>
      </c>
      <c r="F242" s="259">
        <f>SUMIFS(Hose_Process!$J$1:$J$10000,Hose_Process!$B$1:$B$10000,Group!F$2,Hose_Process!$A$1:$A$10000,Group!$C242)</f>
        <v>0</v>
      </c>
      <c r="G242" s="259">
        <f>SUMIFS(Hose_Process!$J$1:$J$10000,Hose_Process!$B$1:$B$10000,Group!G$2,Hose_Process!$A$1:$A$10000,Group!$C242)</f>
        <v>0</v>
      </c>
      <c r="H242" s="259"/>
      <c r="I242" s="259">
        <f>SUMIFS(Hose_Material!$U$1:$U$10000,Hose_Material!$D$1:$D$10000,Group!C242)</f>
        <v>0</v>
      </c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M242" s="1">
        <f>BOM!D242</f>
        <v>0</v>
      </c>
      <c r="AN242" s="1">
        <f>BOM!C242</f>
        <v>0</v>
      </c>
      <c r="AO242" s="1">
        <f>BOM!B242</f>
        <v>0</v>
      </c>
    </row>
    <row r="243" spans="2:41">
      <c r="B243" s="205">
        <v>241</v>
      </c>
      <c r="C243" s="659">
        <f t="shared" si="5"/>
        <v>0</v>
      </c>
      <c r="D243" s="1" t="s">
        <v>881</v>
      </c>
      <c r="E243" s="259" t="e">
        <f>SUMIFS(Hose_Material!$Z$1:$Z$10000,Hose_Material!$D$1:$D$10000,Group!C243)</f>
        <v>#N/A</v>
      </c>
      <c r="F243" s="259">
        <f>SUMIFS(Hose_Process!$J$1:$J$10000,Hose_Process!$B$1:$B$10000,Group!F$2,Hose_Process!$A$1:$A$10000,Group!$C243)</f>
        <v>0</v>
      </c>
      <c r="G243" s="259">
        <f>SUMIFS(Hose_Process!$J$1:$J$10000,Hose_Process!$B$1:$B$10000,Group!G$2,Hose_Process!$A$1:$A$10000,Group!$C243)</f>
        <v>0</v>
      </c>
      <c r="H243" s="259"/>
      <c r="I243" s="259">
        <f>SUMIFS(Hose_Material!$U$1:$U$10000,Hose_Material!$D$1:$D$10000,Group!C243)</f>
        <v>0</v>
      </c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M243" s="1">
        <f>BOM!D243</f>
        <v>0</v>
      </c>
      <c r="AN243" s="1">
        <f>BOM!C243</f>
        <v>0</v>
      </c>
      <c r="AO243" s="1">
        <f>BOM!B243</f>
        <v>0</v>
      </c>
    </row>
    <row r="244" spans="2:41">
      <c r="B244" s="205">
        <v>242</v>
      </c>
      <c r="C244" s="659">
        <f t="shared" si="5"/>
        <v>0</v>
      </c>
      <c r="D244" s="1" t="s">
        <v>881</v>
      </c>
      <c r="E244" s="259" t="e">
        <f>SUMIFS(Hose_Material!$Z$1:$Z$10000,Hose_Material!$D$1:$D$10000,Group!C244)</f>
        <v>#N/A</v>
      </c>
      <c r="F244" s="259">
        <f>SUMIFS(Hose_Process!$J$1:$J$10000,Hose_Process!$B$1:$B$10000,Group!F$2,Hose_Process!$A$1:$A$10000,Group!$C244)</f>
        <v>0</v>
      </c>
      <c r="G244" s="259">
        <f>SUMIFS(Hose_Process!$J$1:$J$10000,Hose_Process!$B$1:$B$10000,Group!G$2,Hose_Process!$A$1:$A$10000,Group!$C244)</f>
        <v>0</v>
      </c>
      <c r="H244" s="259"/>
      <c r="I244" s="259">
        <f>SUMIFS(Hose_Material!$U$1:$U$10000,Hose_Material!$D$1:$D$10000,Group!C244)</f>
        <v>0</v>
      </c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M244" s="1">
        <f>BOM!D244</f>
        <v>0</v>
      </c>
      <c r="AN244" s="1">
        <f>BOM!C244</f>
        <v>0</v>
      </c>
      <c r="AO244" s="1">
        <f>BOM!B244</f>
        <v>0</v>
      </c>
    </row>
    <row r="245" spans="2:41">
      <c r="B245" s="205">
        <v>243</v>
      </c>
      <c r="C245" s="659">
        <f t="shared" si="5"/>
        <v>0</v>
      </c>
      <c r="D245" s="1" t="s">
        <v>881</v>
      </c>
      <c r="E245" s="259" t="e">
        <f>SUMIFS(Hose_Material!$Z$1:$Z$10000,Hose_Material!$D$1:$D$10000,Group!C245)</f>
        <v>#N/A</v>
      </c>
      <c r="F245" s="259">
        <f>SUMIFS(Hose_Process!$J$1:$J$10000,Hose_Process!$B$1:$B$10000,Group!F$2,Hose_Process!$A$1:$A$10000,Group!$C245)</f>
        <v>0</v>
      </c>
      <c r="G245" s="259">
        <f>SUMIFS(Hose_Process!$J$1:$J$10000,Hose_Process!$B$1:$B$10000,Group!G$2,Hose_Process!$A$1:$A$10000,Group!$C245)</f>
        <v>0</v>
      </c>
      <c r="H245" s="259"/>
      <c r="I245" s="259">
        <f>SUMIFS(Hose_Material!$U$1:$U$10000,Hose_Material!$D$1:$D$10000,Group!C245)</f>
        <v>0</v>
      </c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M245" s="1">
        <f>BOM!D245</f>
        <v>0</v>
      </c>
      <c r="AN245" s="1">
        <f>BOM!C245</f>
        <v>0</v>
      </c>
      <c r="AO245" s="1">
        <f>BOM!B245</f>
        <v>0</v>
      </c>
    </row>
    <row r="246" spans="2:41">
      <c r="B246" s="205">
        <v>244</v>
      </c>
      <c r="C246" s="659">
        <f t="shared" si="5"/>
        <v>0</v>
      </c>
      <c r="D246" s="1" t="s">
        <v>881</v>
      </c>
      <c r="E246" s="259" t="e">
        <f>SUMIFS(Hose_Material!$Z$1:$Z$10000,Hose_Material!$D$1:$D$10000,Group!C246)</f>
        <v>#N/A</v>
      </c>
      <c r="F246" s="259">
        <f>SUMIFS(Hose_Process!$J$1:$J$10000,Hose_Process!$B$1:$B$10000,Group!F$2,Hose_Process!$A$1:$A$10000,Group!$C246)</f>
        <v>0</v>
      </c>
      <c r="G246" s="259">
        <f>SUMIFS(Hose_Process!$J$1:$J$10000,Hose_Process!$B$1:$B$10000,Group!G$2,Hose_Process!$A$1:$A$10000,Group!$C246)</f>
        <v>0</v>
      </c>
      <c r="H246" s="259"/>
      <c r="I246" s="259">
        <f>SUMIFS(Hose_Material!$U$1:$U$10000,Hose_Material!$D$1:$D$10000,Group!C246)</f>
        <v>0</v>
      </c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M246" s="1">
        <f>BOM!D246</f>
        <v>0</v>
      </c>
      <c r="AN246" s="1">
        <f>BOM!C246</f>
        <v>0</v>
      </c>
      <c r="AO246" s="1">
        <f>BOM!B246</f>
        <v>0</v>
      </c>
    </row>
    <row r="247" spans="2:41">
      <c r="B247" s="205">
        <v>245</v>
      </c>
      <c r="C247" s="659">
        <f t="shared" si="5"/>
        <v>0</v>
      </c>
      <c r="D247" s="1" t="s">
        <v>881</v>
      </c>
      <c r="E247" s="259" t="e">
        <f>SUMIFS(Hose_Material!$Z$1:$Z$10000,Hose_Material!$D$1:$D$10000,Group!C247)</f>
        <v>#N/A</v>
      </c>
      <c r="F247" s="259">
        <f>SUMIFS(Hose_Process!$J$1:$J$10000,Hose_Process!$B$1:$B$10000,Group!F$2,Hose_Process!$A$1:$A$10000,Group!$C247)</f>
        <v>0</v>
      </c>
      <c r="G247" s="259">
        <f>SUMIFS(Hose_Process!$J$1:$J$10000,Hose_Process!$B$1:$B$10000,Group!G$2,Hose_Process!$A$1:$A$10000,Group!$C247)</f>
        <v>0</v>
      </c>
      <c r="H247" s="259"/>
      <c r="I247" s="259">
        <f>SUMIFS(Hose_Material!$U$1:$U$10000,Hose_Material!$D$1:$D$10000,Group!C247)</f>
        <v>0</v>
      </c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M247" s="1">
        <f>BOM!D247</f>
        <v>0</v>
      </c>
      <c r="AN247" s="1">
        <f>BOM!C247</f>
        <v>0</v>
      </c>
      <c r="AO247" s="1">
        <f>BOM!B247</f>
        <v>0</v>
      </c>
    </row>
    <row r="248" spans="2:41">
      <c r="B248" s="205">
        <v>246</v>
      </c>
      <c r="C248" s="659">
        <f t="shared" si="5"/>
        <v>0</v>
      </c>
      <c r="D248" s="1" t="s">
        <v>881</v>
      </c>
      <c r="E248" s="259" t="e">
        <f>SUMIFS(Hose_Material!$Z$1:$Z$10000,Hose_Material!$D$1:$D$10000,Group!C248)</f>
        <v>#N/A</v>
      </c>
      <c r="F248" s="259">
        <f>SUMIFS(Hose_Process!$J$1:$J$10000,Hose_Process!$B$1:$B$10000,Group!F$2,Hose_Process!$A$1:$A$10000,Group!$C248)</f>
        <v>0</v>
      </c>
      <c r="G248" s="259">
        <f>SUMIFS(Hose_Process!$J$1:$J$10000,Hose_Process!$B$1:$B$10000,Group!G$2,Hose_Process!$A$1:$A$10000,Group!$C248)</f>
        <v>0</v>
      </c>
      <c r="H248" s="259"/>
      <c r="I248" s="259">
        <f>SUMIFS(Hose_Material!$U$1:$U$10000,Hose_Material!$D$1:$D$10000,Group!C248)</f>
        <v>0</v>
      </c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M248" s="1">
        <f>BOM!D248</f>
        <v>0</v>
      </c>
      <c r="AN248" s="1">
        <f>BOM!C248</f>
        <v>0</v>
      </c>
      <c r="AO248" s="1">
        <f>BOM!B248</f>
        <v>0</v>
      </c>
    </row>
    <row r="249" spans="2:41">
      <c r="B249" s="205">
        <v>247</v>
      </c>
      <c r="C249" s="659">
        <f t="shared" si="5"/>
        <v>0</v>
      </c>
      <c r="D249" s="1" t="s">
        <v>881</v>
      </c>
      <c r="E249" s="259" t="e">
        <f>SUMIFS(Hose_Material!$Z$1:$Z$10000,Hose_Material!$D$1:$D$10000,Group!C249)</f>
        <v>#N/A</v>
      </c>
      <c r="F249" s="259">
        <f>SUMIFS(Hose_Process!$J$1:$J$10000,Hose_Process!$B$1:$B$10000,Group!F$2,Hose_Process!$A$1:$A$10000,Group!$C249)</f>
        <v>0</v>
      </c>
      <c r="G249" s="259">
        <f>SUMIFS(Hose_Process!$J$1:$J$10000,Hose_Process!$B$1:$B$10000,Group!G$2,Hose_Process!$A$1:$A$10000,Group!$C249)</f>
        <v>0</v>
      </c>
      <c r="H249" s="259"/>
      <c r="I249" s="259">
        <f>SUMIFS(Hose_Material!$U$1:$U$10000,Hose_Material!$D$1:$D$10000,Group!C249)</f>
        <v>0</v>
      </c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M249" s="1">
        <f>BOM!D249</f>
        <v>0</v>
      </c>
      <c r="AN249" s="1">
        <f>BOM!C249</f>
        <v>0</v>
      </c>
      <c r="AO249" s="1">
        <f>BOM!B249</f>
        <v>0</v>
      </c>
    </row>
    <row r="250" spans="2:41">
      <c r="B250" s="205">
        <v>248</v>
      </c>
      <c r="C250" s="659">
        <f t="shared" si="5"/>
        <v>0</v>
      </c>
      <c r="D250" s="1" t="s">
        <v>881</v>
      </c>
      <c r="E250" s="259" t="e">
        <f>SUMIFS(Hose_Material!$Z$1:$Z$10000,Hose_Material!$D$1:$D$10000,Group!C250)</f>
        <v>#N/A</v>
      </c>
      <c r="F250" s="259">
        <f>SUMIFS(Hose_Process!$J$1:$J$10000,Hose_Process!$B$1:$B$10000,Group!F$2,Hose_Process!$A$1:$A$10000,Group!$C250)</f>
        <v>0</v>
      </c>
      <c r="G250" s="259">
        <f>SUMIFS(Hose_Process!$J$1:$J$10000,Hose_Process!$B$1:$B$10000,Group!G$2,Hose_Process!$A$1:$A$10000,Group!$C250)</f>
        <v>0</v>
      </c>
      <c r="H250" s="259"/>
      <c r="I250" s="259">
        <f>SUMIFS(Hose_Material!$U$1:$U$10000,Hose_Material!$D$1:$D$10000,Group!C250)</f>
        <v>0</v>
      </c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M250" s="1">
        <f>BOM!D250</f>
        <v>0</v>
      </c>
      <c r="AN250" s="1">
        <f>BOM!C250</f>
        <v>0</v>
      </c>
      <c r="AO250" s="1">
        <f>BOM!B250</f>
        <v>0</v>
      </c>
    </row>
    <row r="251" spans="2:41">
      <c r="B251" s="205">
        <v>249</v>
      </c>
      <c r="C251" s="659">
        <f t="shared" si="5"/>
        <v>0</v>
      </c>
      <c r="D251" s="1" t="s">
        <v>881</v>
      </c>
      <c r="E251" s="259" t="e">
        <f>SUMIFS(Hose_Material!$Z$1:$Z$10000,Hose_Material!$D$1:$D$10000,Group!C251)</f>
        <v>#N/A</v>
      </c>
      <c r="F251" s="259">
        <f>SUMIFS(Hose_Process!$J$1:$J$10000,Hose_Process!$B$1:$B$10000,Group!F$2,Hose_Process!$A$1:$A$10000,Group!$C251)</f>
        <v>0</v>
      </c>
      <c r="G251" s="259">
        <f>SUMIFS(Hose_Process!$J$1:$J$10000,Hose_Process!$B$1:$B$10000,Group!G$2,Hose_Process!$A$1:$A$10000,Group!$C251)</f>
        <v>0</v>
      </c>
      <c r="H251" s="259"/>
      <c r="I251" s="259">
        <f>SUMIFS(Hose_Material!$U$1:$U$10000,Hose_Material!$D$1:$D$10000,Group!C251)</f>
        <v>0</v>
      </c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M251" s="1">
        <f>BOM!D251</f>
        <v>0</v>
      </c>
      <c r="AN251" s="1">
        <f>BOM!C251</f>
        <v>0</v>
      </c>
      <c r="AO251" s="1">
        <f>BOM!B251</f>
        <v>0</v>
      </c>
    </row>
    <row r="252" spans="2:41">
      <c r="B252" s="205">
        <v>250</v>
      </c>
      <c r="C252" s="659">
        <f t="shared" si="5"/>
        <v>0</v>
      </c>
      <c r="D252" s="1" t="s">
        <v>881</v>
      </c>
      <c r="E252" s="259" t="e">
        <f>SUMIFS(Hose_Material!$Z$1:$Z$10000,Hose_Material!$D$1:$D$10000,Group!C252)</f>
        <v>#N/A</v>
      </c>
      <c r="F252" s="259">
        <f>SUMIFS(Hose_Process!$J$1:$J$10000,Hose_Process!$B$1:$B$10000,Group!F$2,Hose_Process!$A$1:$A$10000,Group!$C252)</f>
        <v>0</v>
      </c>
      <c r="G252" s="259">
        <f>SUMIFS(Hose_Process!$J$1:$J$10000,Hose_Process!$B$1:$B$10000,Group!G$2,Hose_Process!$A$1:$A$10000,Group!$C252)</f>
        <v>0</v>
      </c>
      <c r="H252" s="259"/>
      <c r="I252" s="259">
        <f>SUMIFS(Hose_Material!$U$1:$U$10000,Hose_Material!$D$1:$D$10000,Group!C252)</f>
        <v>0</v>
      </c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M252" s="1">
        <f>BOM!D252</f>
        <v>0</v>
      </c>
      <c r="AN252" s="1">
        <f>BOM!C252</f>
        <v>0</v>
      </c>
      <c r="AO252" s="1">
        <f>BOM!B252</f>
        <v>0</v>
      </c>
    </row>
    <row r="253" spans="2:41">
      <c r="B253" s="205">
        <v>251</v>
      </c>
      <c r="C253" s="659">
        <f t="shared" si="5"/>
        <v>0</v>
      </c>
      <c r="D253" s="1" t="s">
        <v>881</v>
      </c>
      <c r="E253" s="259" t="e">
        <f>SUMIFS(Hose_Material!$Z$1:$Z$10000,Hose_Material!$D$1:$D$10000,Group!C253)</f>
        <v>#N/A</v>
      </c>
      <c r="F253" s="259">
        <f>SUMIFS(Hose_Process!$J$1:$J$10000,Hose_Process!$B$1:$B$10000,Group!F$2,Hose_Process!$A$1:$A$10000,Group!$C253)</f>
        <v>0</v>
      </c>
      <c r="G253" s="259">
        <f>SUMIFS(Hose_Process!$J$1:$J$10000,Hose_Process!$B$1:$B$10000,Group!G$2,Hose_Process!$A$1:$A$10000,Group!$C253)</f>
        <v>0</v>
      </c>
      <c r="H253" s="259"/>
      <c r="I253" s="259">
        <f>SUMIFS(Hose_Material!$U$1:$U$10000,Hose_Material!$D$1:$D$10000,Group!C253)</f>
        <v>0</v>
      </c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M253" s="1">
        <f>BOM!D253</f>
        <v>0</v>
      </c>
      <c r="AN253" s="1">
        <f>BOM!C253</f>
        <v>0</v>
      </c>
      <c r="AO253" s="1">
        <f>BOM!B253</f>
        <v>0</v>
      </c>
    </row>
    <row r="254" spans="2:41">
      <c r="B254" s="205">
        <v>252</v>
      </c>
      <c r="C254" s="659">
        <f t="shared" si="5"/>
        <v>0</v>
      </c>
      <c r="D254" s="1" t="s">
        <v>881</v>
      </c>
      <c r="E254" s="259" t="e">
        <f>SUMIFS(Hose_Material!$Z$1:$Z$10000,Hose_Material!$D$1:$D$10000,Group!C254)</f>
        <v>#N/A</v>
      </c>
      <c r="F254" s="259">
        <f>SUMIFS(Hose_Process!$J$1:$J$10000,Hose_Process!$B$1:$B$10000,Group!F$2,Hose_Process!$A$1:$A$10000,Group!$C254)</f>
        <v>0</v>
      </c>
      <c r="G254" s="259">
        <f>SUMIFS(Hose_Process!$J$1:$J$10000,Hose_Process!$B$1:$B$10000,Group!G$2,Hose_Process!$A$1:$A$10000,Group!$C254)</f>
        <v>0</v>
      </c>
      <c r="H254" s="259"/>
      <c r="I254" s="259">
        <f>SUMIFS(Hose_Material!$U$1:$U$10000,Hose_Material!$D$1:$D$10000,Group!C254)</f>
        <v>0</v>
      </c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M254" s="1">
        <f>BOM!D254</f>
        <v>0</v>
      </c>
      <c r="AN254" s="1">
        <f>BOM!C254</f>
        <v>0</v>
      </c>
      <c r="AO254" s="1">
        <f>BOM!B254</f>
        <v>0</v>
      </c>
    </row>
    <row r="255" spans="2:41">
      <c r="B255" s="205">
        <v>253</v>
      </c>
      <c r="C255" s="659">
        <f t="shared" si="5"/>
        <v>0</v>
      </c>
      <c r="D255" s="1" t="s">
        <v>881</v>
      </c>
      <c r="E255" s="259" t="e">
        <f>SUMIFS(Hose_Material!$Z$1:$Z$10000,Hose_Material!$D$1:$D$10000,Group!C255)</f>
        <v>#N/A</v>
      </c>
      <c r="F255" s="259">
        <f>SUMIFS(Hose_Process!$J$1:$J$10000,Hose_Process!$B$1:$B$10000,Group!F$2,Hose_Process!$A$1:$A$10000,Group!$C255)</f>
        <v>0</v>
      </c>
      <c r="G255" s="259">
        <f>SUMIFS(Hose_Process!$J$1:$J$10000,Hose_Process!$B$1:$B$10000,Group!G$2,Hose_Process!$A$1:$A$10000,Group!$C255)</f>
        <v>0</v>
      </c>
      <c r="H255" s="259"/>
      <c r="I255" s="259">
        <f>SUMIFS(Hose_Material!$U$1:$U$10000,Hose_Material!$D$1:$D$10000,Group!C255)</f>
        <v>0</v>
      </c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M255" s="1">
        <f>BOM!D255</f>
        <v>0</v>
      </c>
      <c r="AN255" s="1">
        <f>BOM!C255</f>
        <v>0</v>
      </c>
      <c r="AO255" s="1">
        <f>BOM!B255</f>
        <v>0</v>
      </c>
    </row>
    <row r="256" spans="2:41">
      <c r="B256" s="205">
        <v>254</v>
      </c>
      <c r="C256" s="659">
        <f t="shared" si="5"/>
        <v>0</v>
      </c>
      <c r="D256" s="1" t="s">
        <v>881</v>
      </c>
      <c r="E256" s="259" t="e">
        <f>SUMIFS(Hose_Material!$Z$1:$Z$10000,Hose_Material!$D$1:$D$10000,Group!C256)</f>
        <v>#N/A</v>
      </c>
      <c r="F256" s="259">
        <f>SUMIFS(Hose_Process!$J$1:$J$10000,Hose_Process!$B$1:$B$10000,Group!F$2,Hose_Process!$A$1:$A$10000,Group!$C256)</f>
        <v>0</v>
      </c>
      <c r="G256" s="259">
        <f>SUMIFS(Hose_Process!$J$1:$J$10000,Hose_Process!$B$1:$B$10000,Group!G$2,Hose_Process!$A$1:$A$10000,Group!$C256)</f>
        <v>0</v>
      </c>
      <c r="H256" s="259"/>
      <c r="I256" s="259">
        <f>SUMIFS(Hose_Material!$U$1:$U$10000,Hose_Material!$D$1:$D$10000,Group!C256)</f>
        <v>0</v>
      </c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M256" s="1">
        <f>BOM!D256</f>
        <v>0</v>
      </c>
      <c r="AN256" s="1">
        <f>BOM!C256</f>
        <v>0</v>
      </c>
      <c r="AO256" s="1">
        <f>BOM!B256</f>
        <v>0</v>
      </c>
    </row>
    <row r="257" spans="2:41">
      <c r="B257" s="205">
        <v>255</v>
      </c>
      <c r="C257" s="659">
        <f t="shared" si="5"/>
        <v>0</v>
      </c>
      <c r="D257" s="1" t="s">
        <v>881</v>
      </c>
      <c r="E257" s="259" t="e">
        <f>SUMIFS(Hose_Material!$Z$1:$Z$10000,Hose_Material!$D$1:$D$10000,Group!C257)</f>
        <v>#N/A</v>
      </c>
      <c r="F257" s="259">
        <f>SUMIFS(Hose_Process!$J$1:$J$10000,Hose_Process!$B$1:$B$10000,Group!F$2,Hose_Process!$A$1:$A$10000,Group!$C257)</f>
        <v>0</v>
      </c>
      <c r="G257" s="259">
        <f>SUMIFS(Hose_Process!$J$1:$J$10000,Hose_Process!$B$1:$B$10000,Group!G$2,Hose_Process!$A$1:$A$10000,Group!$C257)</f>
        <v>0</v>
      </c>
      <c r="H257" s="259"/>
      <c r="I257" s="259">
        <f>SUMIFS(Hose_Material!$U$1:$U$10000,Hose_Material!$D$1:$D$10000,Group!C257)</f>
        <v>0</v>
      </c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M257" s="1">
        <f>BOM!D257</f>
        <v>0</v>
      </c>
      <c r="AN257" s="1">
        <f>BOM!C257</f>
        <v>0</v>
      </c>
      <c r="AO257" s="1">
        <f>BOM!B257</f>
        <v>0</v>
      </c>
    </row>
    <row r="258" spans="2:41">
      <c r="B258" s="205">
        <v>256</v>
      </c>
      <c r="C258" s="659">
        <f t="shared" si="5"/>
        <v>0</v>
      </c>
      <c r="D258" s="1" t="s">
        <v>881</v>
      </c>
      <c r="E258" s="259" t="e">
        <f>SUMIFS(Hose_Material!$Z$1:$Z$10000,Hose_Material!$D$1:$D$10000,Group!C258)</f>
        <v>#N/A</v>
      </c>
      <c r="F258" s="259">
        <f>SUMIFS(Hose_Process!$J$1:$J$10000,Hose_Process!$B$1:$B$10000,Group!F$2,Hose_Process!$A$1:$A$10000,Group!$C258)</f>
        <v>0</v>
      </c>
      <c r="G258" s="259">
        <f>SUMIFS(Hose_Process!$J$1:$J$10000,Hose_Process!$B$1:$B$10000,Group!G$2,Hose_Process!$A$1:$A$10000,Group!$C258)</f>
        <v>0</v>
      </c>
      <c r="H258" s="259"/>
      <c r="I258" s="259">
        <f>SUMIFS(Hose_Material!$U$1:$U$10000,Hose_Material!$D$1:$D$10000,Group!C258)</f>
        <v>0</v>
      </c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M258" s="1">
        <f>BOM!D258</f>
        <v>0</v>
      </c>
      <c r="AN258" s="1">
        <f>BOM!C258</f>
        <v>0</v>
      </c>
      <c r="AO258" s="1">
        <f>BOM!B258</f>
        <v>0</v>
      </c>
    </row>
    <row r="259" spans="2:41">
      <c r="B259" s="205">
        <v>257</v>
      </c>
      <c r="C259" s="659">
        <f t="shared" si="5"/>
        <v>0</v>
      </c>
      <c r="D259" s="1" t="s">
        <v>881</v>
      </c>
      <c r="E259" s="259" t="e">
        <f>SUMIFS(Hose_Material!$Z$1:$Z$10000,Hose_Material!$D$1:$D$10000,Group!C259)</f>
        <v>#N/A</v>
      </c>
      <c r="F259" s="259">
        <f>SUMIFS(Hose_Process!$J$1:$J$10000,Hose_Process!$B$1:$B$10000,Group!F$2,Hose_Process!$A$1:$A$10000,Group!$C259)</f>
        <v>0</v>
      </c>
      <c r="G259" s="259">
        <f>SUMIFS(Hose_Process!$J$1:$J$10000,Hose_Process!$B$1:$B$10000,Group!G$2,Hose_Process!$A$1:$A$10000,Group!$C259)</f>
        <v>0</v>
      </c>
      <c r="H259" s="259"/>
      <c r="I259" s="259">
        <f>SUMIFS(Hose_Material!$U$1:$U$10000,Hose_Material!$D$1:$D$10000,Group!C259)</f>
        <v>0</v>
      </c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M259" s="1">
        <f>BOM!D259</f>
        <v>0</v>
      </c>
      <c r="AN259" s="1">
        <f>BOM!C259</f>
        <v>0</v>
      </c>
      <c r="AO259" s="1">
        <f>BOM!B259</f>
        <v>0</v>
      </c>
    </row>
    <row r="260" spans="2:41">
      <c r="B260" s="205">
        <v>258</v>
      </c>
      <c r="C260" s="659">
        <f t="shared" si="5"/>
        <v>0</v>
      </c>
      <c r="D260" s="1" t="s">
        <v>881</v>
      </c>
      <c r="E260" s="259" t="e">
        <f>SUMIFS(Hose_Material!$Z$1:$Z$10000,Hose_Material!$D$1:$D$10000,Group!C260)</f>
        <v>#N/A</v>
      </c>
      <c r="F260" s="259">
        <f>SUMIFS(Hose_Process!$J$1:$J$10000,Hose_Process!$B$1:$B$10000,Group!F$2,Hose_Process!$A$1:$A$10000,Group!$C260)</f>
        <v>0</v>
      </c>
      <c r="G260" s="259">
        <f>SUMIFS(Hose_Process!$J$1:$J$10000,Hose_Process!$B$1:$B$10000,Group!G$2,Hose_Process!$A$1:$A$10000,Group!$C260)</f>
        <v>0</v>
      </c>
      <c r="H260" s="259"/>
      <c r="I260" s="259">
        <f>SUMIFS(Hose_Material!$U$1:$U$10000,Hose_Material!$D$1:$D$10000,Group!C260)</f>
        <v>0</v>
      </c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M260" s="1">
        <f>BOM!D260</f>
        <v>0</v>
      </c>
      <c r="AN260" s="1">
        <f>BOM!C260</f>
        <v>0</v>
      </c>
      <c r="AO260" s="1">
        <f>BOM!B260</f>
        <v>0</v>
      </c>
    </row>
    <row r="261" spans="2:41">
      <c r="B261" s="205">
        <v>259</v>
      </c>
      <c r="C261" s="659" t="str">
        <f>X2</f>
        <v>FV516568</v>
      </c>
      <c r="D261" s="1" t="s">
        <v>77</v>
      </c>
      <c r="E261" s="259">
        <f>SUMIFS(IM_Material!$S$1:$S$10000,IM_Material!$E$1:$E$10000,Group!C261)</f>
        <v>128.75</v>
      </c>
      <c r="F261" s="259">
        <f>SUMIFS(IM_Process!$A$1:$A$10000,IM_Process!$B$1:$B$10000,Group!C261,IM_Process!$C$1:$C$10000,Group!$F$2)</f>
        <v>0</v>
      </c>
      <c r="G261" s="259">
        <f>SUMIFS(IM_Process!$A$1:$A$10000,IM_Process!$B$1:$B$10000,Group!C261,IM_Process!$C$1:$C$10000,Group!$G$2)</f>
        <v>45.248322547323198</v>
      </c>
      <c r="H261" s="259"/>
      <c r="I261" s="259">
        <f>SUMIFS(IM_Material!$K$1:$K$10000,IM_Material!$E$1:$E$10000,Group!C261)/1000</f>
        <v>0.92700000000000005</v>
      </c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M261" s="1">
        <f>BOM!D261</f>
        <v>0</v>
      </c>
      <c r="AN261" s="1">
        <f>BOM!C261</f>
        <v>0</v>
      </c>
      <c r="AO261" s="1">
        <f>BOM!B261</f>
        <v>0</v>
      </c>
    </row>
    <row r="262" spans="2:41">
      <c r="B262" s="205">
        <v>260</v>
      </c>
      <c r="C262" s="659" t="str">
        <f t="shared" ref="C262:C310" si="6">X3</f>
        <v>FC450368</v>
      </c>
      <c r="D262" s="1" t="s">
        <v>77</v>
      </c>
      <c r="E262" s="259">
        <f>SUMIFS(IM_Material!$S$1:$S$10000,IM_Material!$E$1:$E$10000,Group!C262)</f>
        <v>444.44444444444446</v>
      </c>
      <c r="F262" s="259">
        <f>SUMIFS(IM_Process!$A$1:$A$10000,IM_Process!$B$1:$B$10000,Group!C262,IM_Process!$C$1:$C$10000,Group!$F$2)</f>
        <v>0</v>
      </c>
      <c r="G262" s="259">
        <f>SUMIFS(IM_Process!$A$1:$A$10000,IM_Process!$B$1:$B$10000,Group!C262,IM_Process!$C$1:$C$10000,Group!$G$2)</f>
        <v>92.142940509327588</v>
      </c>
      <c r="H262" s="259"/>
      <c r="I262" s="259">
        <f>SUMIFS(IM_Material!$K$1:$K$10000,IM_Material!$E$1:$E$10000,Group!C262)/1000</f>
        <v>3.2</v>
      </c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M262" s="1">
        <f>BOM!D262</f>
        <v>0</v>
      </c>
      <c r="AN262" s="1">
        <f>BOM!C262</f>
        <v>0</v>
      </c>
      <c r="AO262" s="1">
        <f>BOM!B262</f>
        <v>0</v>
      </c>
    </row>
    <row r="263" spans="2:41">
      <c r="B263" s="205">
        <v>261</v>
      </c>
      <c r="C263" s="659">
        <f t="shared" si="6"/>
        <v>0</v>
      </c>
      <c r="D263" s="1" t="s">
        <v>77</v>
      </c>
      <c r="E263" s="259">
        <f>SUMIFS(IM_Material!$S$1:$S$10000,IM_Material!$E$1:$E$10000,Group!C263)</f>
        <v>0</v>
      </c>
      <c r="F263" s="259">
        <f>SUMIFS(IM_Process!$A$1:$A$10000,IM_Process!$B$1:$B$10000,Group!C263,IM_Process!$C$1:$C$10000,Group!$F$2)</f>
        <v>0</v>
      </c>
      <c r="G263" s="259">
        <f>SUMIFS(IM_Process!$A$1:$A$10000,IM_Process!$B$1:$B$10000,Group!C263,IM_Process!$C$1:$C$10000,Group!$G$2)</f>
        <v>0</v>
      </c>
      <c r="H263" s="259"/>
      <c r="I263" s="259">
        <f>SUMIFS(IM_Material!$K$1:$K$10000,IM_Material!$E$1:$E$10000,Group!C263)/1000</f>
        <v>0</v>
      </c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M263" s="1">
        <f>BOM!D263</f>
        <v>0</v>
      </c>
      <c r="AN263" s="1">
        <f>BOM!C263</f>
        <v>0</v>
      </c>
      <c r="AO263" s="1">
        <f>BOM!B263</f>
        <v>0</v>
      </c>
    </row>
    <row r="264" spans="2:41">
      <c r="B264" s="205">
        <v>262</v>
      </c>
      <c r="C264" s="659">
        <f t="shared" si="6"/>
        <v>0</v>
      </c>
      <c r="D264" s="1" t="s">
        <v>77</v>
      </c>
      <c r="E264" s="259">
        <f>SUMIFS(IM_Material!$S$1:$S$10000,IM_Material!$E$1:$E$10000,Group!C264)</f>
        <v>0</v>
      </c>
      <c r="F264" s="259">
        <f>SUMIFS(IM_Process!$A$1:$A$10000,IM_Process!$B$1:$B$10000,Group!C264,IM_Process!$C$1:$C$10000,Group!$F$2)</f>
        <v>0</v>
      </c>
      <c r="G264" s="259">
        <f>SUMIFS(IM_Process!$A$1:$A$10000,IM_Process!$B$1:$B$10000,Group!C264,IM_Process!$C$1:$C$10000,Group!$G$2)</f>
        <v>0</v>
      </c>
      <c r="H264" s="259"/>
      <c r="I264" s="259">
        <f>SUMIFS(IM_Material!$K$1:$K$10000,IM_Material!$E$1:$E$10000,Group!C264)/1000</f>
        <v>0</v>
      </c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M264" s="1">
        <f>BOM!D264</f>
        <v>0</v>
      </c>
      <c r="AN264" s="1">
        <f>BOM!C264</f>
        <v>0</v>
      </c>
      <c r="AO264" s="1">
        <f>BOM!B264</f>
        <v>0</v>
      </c>
    </row>
    <row r="265" spans="2:41">
      <c r="B265" s="205">
        <v>263</v>
      </c>
      <c r="C265" s="659">
        <f t="shared" si="6"/>
        <v>0</v>
      </c>
      <c r="D265" s="1" t="s">
        <v>77</v>
      </c>
      <c r="E265" s="259">
        <f>SUMIFS(IM_Material!$S$1:$S$10000,IM_Material!$E$1:$E$10000,Group!C265)</f>
        <v>0</v>
      </c>
      <c r="F265" s="259">
        <f>SUMIFS(IM_Process!$A$1:$A$10000,IM_Process!$B$1:$B$10000,Group!C265,IM_Process!$C$1:$C$10000,Group!$F$2)</f>
        <v>0</v>
      </c>
      <c r="G265" s="259">
        <f>SUMIFS(IM_Process!$A$1:$A$10000,IM_Process!$B$1:$B$10000,Group!C265,IM_Process!$C$1:$C$10000,Group!$G$2)</f>
        <v>0</v>
      </c>
      <c r="H265" s="259"/>
      <c r="I265" s="259">
        <f>SUMIFS(IM_Material!$K$1:$K$10000,IM_Material!$E$1:$E$10000,Group!C265)/1000</f>
        <v>0</v>
      </c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M265" s="1">
        <f>BOM!D265</f>
        <v>0</v>
      </c>
      <c r="AN265" s="1">
        <f>BOM!C265</f>
        <v>0</v>
      </c>
      <c r="AO265" s="1">
        <f>BOM!B265</f>
        <v>0</v>
      </c>
    </row>
    <row r="266" spans="2:41">
      <c r="B266" s="205">
        <v>264</v>
      </c>
      <c r="C266" s="659">
        <f t="shared" si="6"/>
        <v>0</v>
      </c>
      <c r="D266" s="1" t="s">
        <v>77</v>
      </c>
      <c r="E266" s="259">
        <f>SUMIFS(IM_Material!$S$1:$S$10000,IM_Material!$E$1:$E$10000,Group!C266)</f>
        <v>0</v>
      </c>
      <c r="F266" s="259">
        <f>SUMIFS(IM_Process!$A$1:$A$10000,IM_Process!$B$1:$B$10000,Group!C266,IM_Process!$C$1:$C$10000,Group!$F$2)</f>
        <v>0</v>
      </c>
      <c r="G266" s="259">
        <f>SUMIFS(IM_Process!$A$1:$A$10000,IM_Process!$B$1:$B$10000,Group!C266,IM_Process!$C$1:$C$10000,Group!$G$2)</f>
        <v>0</v>
      </c>
      <c r="H266" s="259"/>
      <c r="I266" s="259">
        <f>SUMIFS(IM_Material!$K$1:$K$10000,IM_Material!$E$1:$E$10000,Group!C266)/1000</f>
        <v>0</v>
      </c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M266" s="1">
        <f>BOM!D266</f>
        <v>0</v>
      </c>
      <c r="AN266" s="1">
        <f>BOM!C266</f>
        <v>0</v>
      </c>
      <c r="AO266" s="1">
        <f>BOM!B266</f>
        <v>0</v>
      </c>
    </row>
    <row r="267" spans="2:41">
      <c r="B267" s="205">
        <v>265</v>
      </c>
      <c r="C267" s="659">
        <f t="shared" si="6"/>
        <v>0</v>
      </c>
      <c r="D267" s="1" t="s">
        <v>77</v>
      </c>
      <c r="E267" s="259">
        <f>SUMIFS(IM_Material!$S$1:$S$10000,IM_Material!$E$1:$E$10000,Group!C267)</f>
        <v>0</v>
      </c>
      <c r="F267" s="259">
        <f>SUMIFS(IM_Process!$A$1:$A$10000,IM_Process!$B$1:$B$10000,Group!C267,IM_Process!$C$1:$C$10000,Group!$F$2)</f>
        <v>0</v>
      </c>
      <c r="G267" s="259">
        <f>SUMIFS(IM_Process!$A$1:$A$10000,IM_Process!$B$1:$B$10000,Group!C267,IM_Process!$C$1:$C$10000,Group!$G$2)</f>
        <v>0</v>
      </c>
      <c r="H267" s="259"/>
      <c r="I267" s="259">
        <f>SUMIFS(IM_Material!$K$1:$K$10000,IM_Material!$E$1:$E$10000,Group!C267)/1000</f>
        <v>0</v>
      </c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M267" s="1">
        <f>BOM!D267</f>
        <v>0</v>
      </c>
      <c r="AN267" s="1">
        <f>BOM!C267</f>
        <v>0</v>
      </c>
      <c r="AO267" s="1">
        <f>BOM!B267</f>
        <v>0</v>
      </c>
    </row>
    <row r="268" spans="2:41">
      <c r="B268" s="205">
        <v>266</v>
      </c>
      <c r="C268" s="659">
        <f t="shared" si="6"/>
        <v>0</v>
      </c>
      <c r="D268" s="1" t="s">
        <v>77</v>
      </c>
      <c r="E268" s="259">
        <f>SUMIFS(IM_Material!$S$1:$S$10000,IM_Material!$E$1:$E$10000,Group!C268)</f>
        <v>0</v>
      </c>
      <c r="F268" s="259">
        <f>SUMIFS(IM_Process!$A$1:$A$10000,IM_Process!$B$1:$B$10000,Group!C268,IM_Process!$C$1:$C$10000,Group!$F$2)</f>
        <v>0</v>
      </c>
      <c r="G268" s="259">
        <f>SUMIFS(IM_Process!$A$1:$A$10000,IM_Process!$B$1:$B$10000,Group!C268,IM_Process!$C$1:$C$10000,Group!$G$2)</f>
        <v>0</v>
      </c>
      <c r="H268" s="259"/>
      <c r="I268" s="259">
        <f>SUMIFS(IM_Material!$K$1:$K$10000,IM_Material!$E$1:$E$10000,Group!C268)/1000</f>
        <v>0</v>
      </c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M268" s="1">
        <f>BOM!D268</f>
        <v>0</v>
      </c>
      <c r="AN268" s="1">
        <f>BOM!C268</f>
        <v>0</v>
      </c>
      <c r="AO268" s="1">
        <f>BOM!B268</f>
        <v>0</v>
      </c>
    </row>
    <row r="269" spans="2:41">
      <c r="B269" s="205">
        <v>267</v>
      </c>
      <c r="C269" s="659">
        <f t="shared" si="6"/>
        <v>0</v>
      </c>
      <c r="D269" s="1" t="s">
        <v>77</v>
      </c>
      <c r="E269" s="259">
        <f>SUMIFS(IM_Material!$S$1:$S$10000,IM_Material!$E$1:$E$10000,Group!C269)</f>
        <v>0</v>
      </c>
      <c r="F269" s="259">
        <f>SUMIFS(IM_Process!$A$1:$A$10000,IM_Process!$B$1:$B$10000,Group!C269,IM_Process!$C$1:$C$10000,Group!$F$2)</f>
        <v>0</v>
      </c>
      <c r="G269" s="259">
        <f>SUMIFS(IM_Process!$A$1:$A$10000,IM_Process!$B$1:$B$10000,Group!C269,IM_Process!$C$1:$C$10000,Group!$G$2)</f>
        <v>0</v>
      </c>
      <c r="H269" s="259"/>
      <c r="I269" s="259">
        <f>SUMIFS(IM_Material!$K$1:$K$10000,IM_Material!$E$1:$E$10000,Group!C269)/1000</f>
        <v>0</v>
      </c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M269" s="1">
        <f>BOM!D269</f>
        <v>0</v>
      </c>
      <c r="AN269" s="1">
        <f>BOM!C269</f>
        <v>0</v>
      </c>
      <c r="AO269" s="1">
        <f>BOM!B269</f>
        <v>0</v>
      </c>
    </row>
    <row r="270" spans="2:41">
      <c r="B270" s="205">
        <v>268</v>
      </c>
      <c r="C270" s="659">
        <f t="shared" si="6"/>
        <v>0</v>
      </c>
      <c r="D270" s="1" t="s">
        <v>77</v>
      </c>
      <c r="E270" s="259">
        <f>SUMIFS(IM_Material!$S$1:$S$10000,IM_Material!$E$1:$E$10000,Group!C270)</f>
        <v>0</v>
      </c>
      <c r="F270" s="259">
        <f>SUMIFS(IM_Process!$A$1:$A$10000,IM_Process!$B$1:$B$10000,Group!C270,IM_Process!$C$1:$C$10000,Group!$F$2)</f>
        <v>0</v>
      </c>
      <c r="G270" s="259">
        <f>SUMIFS(IM_Process!$A$1:$A$10000,IM_Process!$B$1:$B$10000,Group!C270,IM_Process!$C$1:$C$10000,Group!$G$2)</f>
        <v>0</v>
      </c>
      <c r="H270" s="259"/>
      <c r="I270" s="259">
        <f>SUMIFS(IM_Material!$K$1:$K$10000,IM_Material!$E$1:$E$10000,Group!C270)/1000</f>
        <v>0</v>
      </c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M270" s="1">
        <f>BOM!D270</f>
        <v>0</v>
      </c>
      <c r="AN270" s="1">
        <f>BOM!C270</f>
        <v>0</v>
      </c>
      <c r="AO270" s="1">
        <f>BOM!B270</f>
        <v>0</v>
      </c>
    </row>
    <row r="271" spans="2:41">
      <c r="B271" s="205">
        <v>269</v>
      </c>
      <c r="C271" s="659">
        <f t="shared" si="6"/>
        <v>0</v>
      </c>
      <c r="D271" s="1" t="s">
        <v>77</v>
      </c>
      <c r="E271" s="259">
        <f>SUMIFS(IM_Material!$S$1:$S$10000,IM_Material!$E$1:$E$10000,Group!C271)</f>
        <v>0</v>
      </c>
      <c r="F271" s="259">
        <f>SUMIFS(IM_Process!$A$1:$A$10000,IM_Process!$B$1:$B$10000,Group!C271,IM_Process!$C$1:$C$10000,Group!$F$2)</f>
        <v>0</v>
      </c>
      <c r="G271" s="259">
        <f>SUMIFS(IM_Process!$A$1:$A$10000,IM_Process!$B$1:$B$10000,Group!C271,IM_Process!$C$1:$C$10000,Group!$G$2)</f>
        <v>0</v>
      </c>
      <c r="H271" s="259"/>
      <c r="I271" s="259">
        <f>SUMIFS(IM_Material!$K$1:$K$10000,IM_Material!$E$1:$E$10000,Group!C271)/1000</f>
        <v>0</v>
      </c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M271" s="1">
        <f>BOM!D271</f>
        <v>0</v>
      </c>
      <c r="AN271" s="1">
        <f>BOM!C271</f>
        <v>0</v>
      </c>
      <c r="AO271" s="1">
        <f>BOM!B271</f>
        <v>0</v>
      </c>
    </row>
    <row r="272" spans="2:41">
      <c r="B272" s="205">
        <v>270</v>
      </c>
      <c r="C272" s="659">
        <f t="shared" si="6"/>
        <v>0</v>
      </c>
      <c r="D272" s="1" t="s">
        <v>77</v>
      </c>
      <c r="E272" s="259">
        <f>SUMIFS(IM_Material!$S$1:$S$10000,IM_Material!$E$1:$E$10000,Group!C272)</f>
        <v>0</v>
      </c>
      <c r="F272" s="259">
        <f>SUMIFS(IM_Process!$A$1:$A$10000,IM_Process!$B$1:$B$10000,Group!C272,IM_Process!$C$1:$C$10000,Group!$F$2)</f>
        <v>0</v>
      </c>
      <c r="G272" s="259">
        <f>SUMIFS(IM_Process!$A$1:$A$10000,IM_Process!$B$1:$B$10000,Group!C272,IM_Process!$C$1:$C$10000,Group!$G$2)</f>
        <v>0</v>
      </c>
      <c r="H272" s="259"/>
      <c r="I272" s="259">
        <f>SUMIFS(IM_Material!$K$1:$K$10000,IM_Material!$E$1:$E$10000,Group!C272)/1000</f>
        <v>0</v>
      </c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M272" s="1">
        <f>BOM!D272</f>
        <v>0</v>
      </c>
      <c r="AN272" s="1">
        <f>BOM!C272</f>
        <v>0</v>
      </c>
      <c r="AO272" s="1">
        <f>BOM!B272</f>
        <v>0</v>
      </c>
    </row>
    <row r="273" spans="2:41">
      <c r="B273" s="205">
        <v>271</v>
      </c>
      <c r="C273" s="659">
        <f t="shared" si="6"/>
        <v>0</v>
      </c>
      <c r="D273" s="1" t="s">
        <v>77</v>
      </c>
      <c r="E273" s="259">
        <f>SUMIFS(IM_Material!$S$1:$S$10000,IM_Material!$E$1:$E$10000,Group!C273)</f>
        <v>0</v>
      </c>
      <c r="F273" s="259">
        <f>SUMIFS(IM_Process!$A$1:$A$10000,IM_Process!$B$1:$B$10000,Group!C273,IM_Process!$C$1:$C$10000,Group!$F$2)</f>
        <v>0</v>
      </c>
      <c r="G273" s="259">
        <f>SUMIFS(IM_Process!$A$1:$A$10000,IM_Process!$B$1:$B$10000,Group!C273,IM_Process!$C$1:$C$10000,Group!$G$2)</f>
        <v>0</v>
      </c>
      <c r="H273" s="259"/>
      <c r="I273" s="259">
        <f>SUMIFS(IM_Material!$K$1:$K$10000,IM_Material!$E$1:$E$10000,Group!C273)/1000</f>
        <v>0</v>
      </c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M273" s="1">
        <f>BOM!D273</f>
        <v>0</v>
      </c>
      <c r="AN273" s="1">
        <f>BOM!C273</f>
        <v>0</v>
      </c>
      <c r="AO273" s="1">
        <f>BOM!B273</f>
        <v>0</v>
      </c>
    </row>
    <row r="274" spans="2:41">
      <c r="B274" s="205">
        <v>272</v>
      </c>
      <c r="C274" s="659">
        <f t="shared" si="6"/>
        <v>0</v>
      </c>
      <c r="D274" s="1" t="s">
        <v>77</v>
      </c>
      <c r="E274" s="259">
        <f>SUMIFS(IM_Material!$S$1:$S$10000,IM_Material!$E$1:$E$10000,Group!C274)</f>
        <v>0</v>
      </c>
      <c r="F274" s="259">
        <f>SUMIFS(IM_Process!$A$1:$A$10000,IM_Process!$B$1:$B$10000,Group!C274,IM_Process!$C$1:$C$10000,Group!$F$2)</f>
        <v>0</v>
      </c>
      <c r="G274" s="259">
        <f>SUMIFS(IM_Process!$A$1:$A$10000,IM_Process!$B$1:$B$10000,Group!C274,IM_Process!$C$1:$C$10000,Group!$G$2)</f>
        <v>0</v>
      </c>
      <c r="H274" s="259"/>
      <c r="I274" s="259">
        <f>SUMIFS(IM_Material!$K$1:$K$10000,IM_Material!$E$1:$E$10000,Group!C274)/1000</f>
        <v>0</v>
      </c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M274" s="1">
        <f>BOM!D274</f>
        <v>0</v>
      </c>
      <c r="AN274" s="1">
        <f>BOM!C274</f>
        <v>0</v>
      </c>
      <c r="AO274" s="1">
        <f>BOM!B274</f>
        <v>0</v>
      </c>
    </row>
    <row r="275" spans="2:41">
      <c r="B275" s="205">
        <v>273</v>
      </c>
      <c r="C275" s="659">
        <f t="shared" si="6"/>
        <v>0</v>
      </c>
      <c r="D275" s="1" t="s">
        <v>77</v>
      </c>
      <c r="E275" s="259">
        <f>SUMIFS(IM_Material!$S$1:$S$10000,IM_Material!$E$1:$E$10000,Group!C275)</f>
        <v>0</v>
      </c>
      <c r="F275" s="259">
        <f>SUMIFS(IM_Process!$A$1:$A$10000,IM_Process!$B$1:$B$10000,Group!C275,IM_Process!$C$1:$C$10000,Group!$F$2)</f>
        <v>0</v>
      </c>
      <c r="G275" s="259">
        <f>SUMIFS(IM_Process!$A$1:$A$10000,IM_Process!$B$1:$B$10000,Group!C275,IM_Process!$C$1:$C$10000,Group!$G$2)</f>
        <v>0</v>
      </c>
      <c r="H275" s="259"/>
      <c r="I275" s="259">
        <f>SUMIFS(IM_Material!$K$1:$K$10000,IM_Material!$E$1:$E$10000,Group!C275)/1000</f>
        <v>0</v>
      </c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M275" s="1">
        <f>BOM!D275</f>
        <v>0</v>
      </c>
      <c r="AN275" s="1">
        <f>BOM!C275</f>
        <v>0</v>
      </c>
      <c r="AO275" s="1">
        <f>BOM!B275</f>
        <v>0</v>
      </c>
    </row>
    <row r="276" spans="2:41">
      <c r="B276" s="205">
        <v>274</v>
      </c>
      <c r="C276" s="659">
        <f t="shared" si="6"/>
        <v>0</v>
      </c>
      <c r="D276" s="1" t="s">
        <v>77</v>
      </c>
      <c r="E276" s="259">
        <f>SUMIFS(IM_Material!$S$1:$S$10000,IM_Material!$E$1:$E$10000,Group!C276)</f>
        <v>0</v>
      </c>
      <c r="F276" s="259">
        <f>SUMIFS(IM_Process!$A$1:$A$10000,IM_Process!$B$1:$B$10000,Group!C276,IM_Process!$C$1:$C$10000,Group!$F$2)</f>
        <v>0</v>
      </c>
      <c r="G276" s="259">
        <f>SUMIFS(IM_Process!$A$1:$A$10000,IM_Process!$B$1:$B$10000,Group!C276,IM_Process!$C$1:$C$10000,Group!$G$2)</f>
        <v>0</v>
      </c>
      <c r="H276" s="259"/>
      <c r="I276" s="259">
        <f>SUMIFS(IM_Material!$K$1:$K$10000,IM_Material!$E$1:$E$10000,Group!C276)/1000</f>
        <v>0</v>
      </c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M276" s="1">
        <f>BOM!D276</f>
        <v>0</v>
      </c>
      <c r="AN276" s="1">
        <f>BOM!C276</f>
        <v>0</v>
      </c>
      <c r="AO276" s="1">
        <f>BOM!B276</f>
        <v>0</v>
      </c>
    </row>
    <row r="277" spans="2:41">
      <c r="B277" s="205">
        <v>275</v>
      </c>
      <c r="C277" s="659">
        <f t="shared" si="6"/>
        <v>0</v>
      </c>
      <c r="D277" s="1" t="s">
        <v>77</v>
      </c>
      <c r="E277" s="259">
        <f>SUMIFS(IM_Material!$S$1:$S$10000,IM_Material!$E$1:$E$10000,Group!C277)</f>
        <v>0</v>
      </c>
      <c r="F277" s="259">
        <f>SUMIFS(IM_Process!$A$1:$A$10000,IM_Process!$B$1:$B$10000,Group!C277,IM_Process!$C$1:$C$10000,Group!$F$2)</f>
        <v>0</v>
      </c>
      <c r="G277" s="259">
        <f>SUMIFS(IM_Process!$A$1:$A$10000,IM_Process!$B$1:$B$10000,Group!C277,IM_Process!$C$1:$C$10000,Group!$G$2)</f>
        <v>0</v>
      </c>
      <c r="H277" s="259"/>
      <c r="I277" s="259">
        <f>SUMIFS(IM_Material!$K$1:$K$10000,IM_Material!$E$1:$E$10000,Group!C277)/1000</f>
        <v>0</v>
      </c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M277" s="1">
        <f>BOM!D277</f>
        <v>0</v>
      </c>
      <c r="AN277" s="1">
        <f>BOM!C277</f>
        <v>0</v>
      </c>
      <c r="AO277" s="1">
        <f>BOM!B277</f>
        <v>0</v>
      </c>
    </row>
    <row r="278" spans="2:41">
      <c r="B278" s="205">
        <v>276</v>
      </c>
      <c r="C278" s="659">
        <f t="shared" si="6"/>
        <v>0</v>
      </c>
      <c r="D278" s="1" t="s">
        <v>77</v>
      </c>
      <c r="E278" s="259">
        <f>SUMIFS(IM_Material!$S$1:$S$10000,IM_Material!$E$1:$E$10000,Group!C278)</f>
        <v>0</v>
      </c>
      <c r="F278" s="259">
        <f>SUMIFS(IM_Process!$A$1:$A$10000,IM_Process!$B$1:$B$10000,Group!C278,IM_Process!$C$1:$C$10000,Group!$F$2)</f>
        <v>0</v>
      </c>
      <c r="G278" s="259">
        <f>SUMIFS(IM_Process!$A$1:$A$10000,IM_Process!$B$1:$B$10000,Group!C278,IM_Process!$C$1:$C$10000,Group!$G$2)</f>
        <v>0</v>
      </c>
      <c r="H278" s="259"/>
      <c r="I278" s="259">
        <f>SUMIFS(IM_Material!$K$1:$K$10000,IM_Material!$E$1:$E$10000,Group!C278)/1000</f>
        <v>0</v>
      </c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M278" s="1">
        <f>BOM!D278</f>
        <v>0</v>
      </c>
      <c r="AN278" s="1">
        <f>BOM!C278</f>
        <v>0</v>
      </c>
      <c r="AO278" s="1">
        <f>BOM!B278</f>
        <v>0</v>
      </c>
    </row>
    <row r="279" spans="2:41">
      <c r="B279" s="205">
        <v>277</v>
      </c>
      <c r="C279" s="659">
        <f t="shared" si="6"/>
        <v>0</v>
      </c>
      <c r="D279" s="1" t="s">
        <v>77</v>
      </c>
      <c r="E279" s="259">
        <f>SUMIFS(IM_Material!$S$1:$S$10000,IM_Material!$E$1:$E$10000,Group!C279)</f>
        <v>0</v>
      </c>
      <c r="F279" s="259">
        <f>SUMIFS(IM_Process!$A$1:$A$10000,IM_Process!$B$1:$B$10000,Group!C279,IM_Process!$C$1:$C$10000,Group!$F$2)</f>
        <v>0</v>
      </c>
      <c r="G279" s="259">
        <f>SUMIFS(IM_Process!$A$1:$A$10000,IM_Process!$B$1:$B$10000,Group!C279,IM_Process!$C$1:$C$10000,Group!$G$2)</f>
        <v>0</v>
      </c>
      <c r="H279" s="259"/>
      <c r="I279" s="259">
        <f>SUMIFS(IM_Material!$K$1:$K$10000,IM_Material!$E$1:$E$10000,Group!C279)/1000</f>
        <v>0</v>
      </c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M279" s="1">
        <f>BOM!D279</f>
        <v>0</v>
      </c>
      <c r="AN279" s="1">
        <f>BOM!C279</f>
        <v>0</v>
      </c>
      <c r="AO279" s="1">
        <f>BOM!B279</f>
        <v>0</v>
      </c>
    </row>
    <row r="280" spans="2:41">
      <c r="B280" s="205">
        <v>278</v>
      </c>
      <c r="C280" s="659">
        <f t="shared" si="6"/>
        <v>0</v>
      </c>
      <c r="D280" s="1" t="s">
        <v>77</v>
      </c>
      <c r="E280" s="259">
        <f>SUMIFS(IM_Material!$S$1:$S$10000,IM_Material!$E$1:$E$10000,Group!C280)</f>
        <v>0</v>
      </c>
      <c r="F280" s="259">
        <f>SUMIFS(IM_Process!$A$1:$A$10000,IM_Process!$B$1:$B$10000,Group!C280,IM_Process!$C$1:$C$10000,Group!$F$2)</f>
        <v>0</v>
      </c>
      <c r="G280" s="259">
        <f>SUMIFS(IM_Process!$A$1:$A$10000,IM_Process!$B$1:$B$10000,Group!C280,IM_Process!$C$1:$C$10000,Group!$G$2)</f>
        <v>0</v>
      </c>
      <c r="H280" s="259"/>
      <c r="I280" s="259">
        <f>SUMIFS(IM_Material!$K$1:$K$10000,IM_Material!$E$1:$E$10000,Group!C280)/1000</f>
        <v>0</v>
      </c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M280" s="1">
        <f>BOM!D280</f>
        <v>0</v>
      </c>
      <c r="AN280" s="1">
        <f>BOM!C280</f>
        <v>0</v>
      </c>
      <c r="AO280" s="1">
        <f>BOM!B280</f>
        <v>0</v>
      </c>
    </row>
    <row r="281" spans="2:41">
      <c r="B281" s="205">
        <v>279</v>
      </c>
      <c r="C281" s="659">
        <f t="shared" si="6"/>
        <v>0</v>
      </c>
      <c r="D281" s="1" t="s">
        <v>77</v>
      </c>
      <c r="E281" s="259">
        <f>SUMIFS(IM_Material!$S$1:$S$10000,IM_Material!$E$1:$E$10000,Group!C281)</f>
        <v>0</v>
      </c>
      <c r="F281" s="259">
        <f>SUMIFS(IM_Process!$A$1:$A$10000,IM_Process!$B$1:$B$10000,Group!C281,IM_Process!$C$1:$C$10000,Group!$F$2)</f>
        <v>0</v>
      </c>
      <c r="G281" s="259">
        <f>SUMIFS(IM_Process!$A$1:$A$10000,IM_Process!$B$1:$B$10000,Group!C281,IM_Process!$C$1:$C$10000,Group!$G$2)</f>
        <v>0</v>
      </c>
      <c r="H281" s="259"/>
      <c r="I281" s="259">
        <f>SUMIFS(IM_Material!$K$1:$K$10000,IM_Material!$E$1:$E$10000,Group!C281)/1000</f>
        <v>0</v>
      </c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M281" s="1">
        <f>BOM!D281</f>
        <v>0</v>
      </c>
      <c r="AN281" s="1">
        <f>BOM!C281</f>
        <v>0</v>
      </c>
      <c r="AO281" s="1">
        <f>BOM!B281</f>
        <v>0</v>
      </c>
    </row>
    <row r="282" spans="2:41">
      <c r="B282" s="205">
        <v>280</v>
      </c>
      <c r="C282" s="659">
        <f t="shared" si="6"/>
        <v>0</v>
      </c>
      <c r="D282" s="1" t="s">
        <v>77</v>
      </c>
      <c r="E282" s="259">
        <f>SUMIFS(IM_Material!$S$1:$S$10000,IM_Material!$E$1:$E$10000,Group!C282)</f>
        <v>0</v>
      </c>
      <c r="F282" s="259">
        <f>SUMIFS(IM_Process!$A$1:$A$10000,IM_Process!$B$1:$B$10000,Group!C282,IM_Process!$C$1:$C$10000,Group!$F$2)</f>
        <v>0</v>
      </c>
      <c r="G282" s="259">
        <f>SUMIFS(IM_Process!$A$1:$A$10000,IM_Process!$B$1:$B$10000,Group!C282,IM_Process!$C$1:$C$10000,Group!$G$2)</f>
        <v>0</v>
      </c>
      <c r="H282" s="259"/>
      <c r="I282" s="259">
        <f>SUMIFS(IM_Material!$K$1:$K$10000,IM_Material!$E$1:$E$10000,Group!C282)/1000</f>
        <v>0</v>
      </c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M282" s="1">
        <f>BOM!D282</f>
        <v>0</v>
      </c>
      <c r="AN282" s="1">
        <f>BOM!C282</f>
        <v>0</v>
      </c>
      <c r="AO282" s="1">
        <f>BOM!B282</f>
        <v>0</v>
      </c>
    </row>
    <row r="283" spans="2:41">
      <c r="B283" s="205">
        <v>281</v>
      </c>
      <c r="C283" s="659">
        <f t="shared" si="6"/>
        <v>0</v>
      </c>
      <c r="D283" s="1" t="s">
        <v>77</v>
      </c>
      <c r="E283" s="259">
        <f>SUMIFS(IM_Material!$S$1:$S$10000,IM_Material!$E$1:$E$10000,Group!C283)</f>
        <v>0</v>
      </c>
      <c r="F283" s="259">
        <f>SUMIFS(IM_Process!$A$1:$A$10000,IM_Process!$B$1:$B$10000,Group!C283,IM_Process!$C$1:$C$10000,Group!$F$2)</f>
        <v>0</v>
      </c>
      <c r="G283" s="259">
        <f>SUMIFS(IM_Process!$A$1:$A$10000,IM_Process!$B$1:$B$10000,Group!C283,IM_Process!$C$1:$C$10000,Group!$G$2)</f>
        <v>0</v>
      </c>
      <c r="H283" s="259"/>
      <c r="I283" s="259">
        <f>SUMIFS(IM_Material!$K$1:$K$10000,IM_Material!$E$1:$E$10000,Group!C283)/1000</f>
        <v>0</v>
      </c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M283" s="1">
        <f>BOM!D283</f>
        <v>0</v>
      </c>
      <c r="AN283" s="1">
        <f>BOM!C283</f>
        <v>0</v>
      </c>
      <c r="AO283" s="1">
        <f>BOM!B283</f>
        <v>0</v>
      </c>
    </row>
    <row r="284" spans="2:41">
      <c r="B284" s="205">
        <v>282</v>
      </c>
      <c r="C284" s="659">
        <f t="shared" si="6"/>
        <v>0</v>
      </c>
      <c r="D284" s="1" t="s">
        <v>77</v>
      </c>
      <c r="E284" s="259">
        <f>SUMIFS(IM_Material!$S$1:$S$10000,IM_Material!$E$1:$E$10000,Group!C284)</f>
        <v>0</v>
      </c>
      <c r="F284" s="259">
        <f>SUMIFS(IM_Process!$A$1:$A$10000,IM_Process!$B$1:$B$10000,Group!C284,IM_Process!$C$1:$C$10000,Group!$F$2)</f>
        <v>0</v>
      </c>
      <c r="G284" s="259">
        <f>SUMIFS(IM_Process!$A$1:$A$10000,IM_Process!$B$1:$B$10000,Group!C284,IM_Process!$C$1:$C$10000,Group!$G$2)</f>
        <v>0</v>
      </c>
      <c r="H284" s="259"/>
      <c r="I284" s="259">
        <f>SUMIFS(IM_Material!$K$1:$K$10000,IM_Material!$E$1:$E$10000,Group!C284)/1000</f>
        <v>0</v>
      </c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M284" s="1">
        <f>BOM!D284</f>
        <v>0</v>
      </c>
      <c r="AN284" s="1">
        <f>BOM!C284</f>
        <v>0</v>
      </c>
      <c r="AO284" s="1">
        <f>BOM!B284</f>
        <v>0</v>
      </c>
    </row>
    <row r="285" spans="2:41">
      <c r="B285" s="205">
        <v>283</v>
      </c>
      <c r="C285" s="659">
        <f t="shared" si="6"/>
        <v>0</v>
      </c>
      <c r="D285" s="1" t="s">
        <v>77</v>
      </c>
      <c r="E285" s="259">
        <f>SUMIFS(IM_Material!$S$1:$S$10000,IM_Material!$E$1:$E$10000,Group!C285)</f>
        <v>0</v>
      </c>
      <c r="F285" s="259">
        <f>SUMIFS(IM_Process!$A$1:$A$10000,IM_Process!$B$1:$B$10000,Group!C285,IM_Process!$C$1:$C$10000,Group!$F$2)</f>
        <v>0</v>
      </c>
      <c r="G285" s="259">
        <f>SUMIFS(IM_Process!$A$1:$A$10000,IM_Process!$B$1:$B$10000,Group!C285,IM_Process!$C$1:$C$10000,Group!$G$2)</f>
        <v>0</v>
      </c>
      <c r="H285" s="259"/>
      <c r="I285" s="259">
        <f>SUMIFS(IM_Material!$K$1:$K$10000,IM_Material!$E$1:$E$10000,Group!C285)/1000</f>
        <v>0</v>
      </c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M285" s="1">
        <f>BOM!D285</f>
        <v>0</v>
      </c>
      <c r="AN285" s="1">
        <f>BOM!C285</f>
        <v>0</v>
      </c>
      <c r="AO285" s="1">
        <f>BOM!B285</f>
        <v>0</v>
      </c>
    </row>
    <row r="286" spans="2:41">
      <c r="B286" s="205">
        <v>284</v>
      </c>
      <c r="C286" s="659">
        <f t="shared" si="6"/>
        <v>0</v>
      </c>
      <c r="D286" s="1" t="s">
        <v>77</v>
      </c>
      <c r="E286" s="259">
        <f>SUMIFS(IM_Material!$S$1:$S$10000,IM_Material!$E$1:$E$10000,Group!C286)</f>
        <v>0</v>
      </c>
      <c r="F286" s="259">
        <f>SUMIFS(IM_Process!$A$1:$A$10000,IM_Process!$B$1:$B$10000,Group!C286,IM_Process!$C$1:$C$10000,Group!$F$2)</f>
        <v>0</v>
      </c>
      <c r="G286" s="259">
        <f>SUMIFS(IM_Process!$A$1:$A$10000,IM_Process!$B$1:$B$10000,Group!C286,IM_Process!$C$1:$C$10000,Group!$G$2)</f>
        <v>0</v>
      </c>
      <c r="H286" s="259"/>
      <c r="I286" s="259">
        <f>SUMIFS(IM_Material!$K$1:$K$10000,IM_Material!$E$1:$E$10000,Group!C286)/1000</f>
        <v>0</v>
      </c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M286" s="1">
        <f>BOM!D286</f>
        <v>0</v>
      </c>
      <c r="AN286" s="1">
        <f>BOM!C286</f>
        <v>0</v>
      </c>
      <c r="AO286" s="1">
        <f>BOM!B286</f>
        <v>0</v>
      </c>
    </row>
    <row r="287" spans="2:41">
      <c r="B287" s="205">
        <v>285</v>
      </c>
      <c r="C287" s="659">
        <f t="shared" si="6"/>
        <v>0</v>
      </c>
      <c r="D287" s="1" t="s">
        <v>77</v>
      </c>
      <c r="E287" s="259">
        <f>SUMIFS(IM_Material!$S$1:$S$10000,IM_Material!$E$1:$E$10000,Group!C287)</f>
        <v>0</v>
      </c>
      <c r="F287" s="259">
        <f>SUMIFS(IM_Process!$A$1:$A$10000,IM_Process!$B$1:$B$10000,Group!C287,IM_Process!$C$1:$C$10000,Group!$F$2)</f>
        <v>0</v>
      </c>
      <c r="G287" s="259">
        <f>SUMIFS(IM_Process!$A$1:$A$10000,IM_Process!$B$1:$B$10000,Group!C287,IM_Process!$C$1:$C$10000,Group!$G$2)</f>
        <v>0</v>
      </c>
      <c r="H287" s="259"/>
      <c r="I287" s="259">
        <f>SUMIFS(IM_Material!$K$1:$K$10000,IM_Material!$E$1:$E$10000,Group!C287)/1000</f>
        <v>0</v>
      </c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M287" s="1">
        <f>BOM!D287</f>
        <v>0</v>
      </c>
      <c r="AN287" s="1">
        <f>BOM!C287</f>
        <v>0</v>
      </c>
      <c r="AO287" s="1">
        <f>BOM!B287</f>
        <v>0</v>
      </c>
    </row>
    <row r="288" spans="2:41">
      <c r="B288" s="205">
        <v>286</v>
      </c>
      <c r="C288" s="659">
        <f t="shared" si="6"/>
        <v>0</v>
      </c>
      <c r="D288" s="1" t="s">
        <v>77</v>
      </c>
      <c r="E288" s="259">
        <f>SUMIFS(IM_Material!$S$1:$S$10000,IM_Material!$E$1:$E$10000,Group!C288)</f>
        <v>0</v>
      </c>
      <c r="F288" s="259">
        <f>SUMIFS(IM_Process!$A$1:$A$10000,IM_Process!$B$1:$B$10000,Group!C288,IM_Process!$C$1:$C$10000,Group!$F$2)</f>
        <v>0</v>
      </c>
      <c r="G288" s="259">
        <f>SUMIFS(IM_Process!$A$1:$A$10000,IM_Process!$B$1:$B$10000,Group!C288,IM_Process!$C$1:$C$10000,Group!$G$2)</f>
        <v>0</v>
      </c>
      <c r="H288" s="259"/>
      <c r="I288" s="259">
        <f>SUMIFS(IM_Material!$K$1:$K$10000,IM_Material!$E$1:$E$10000,Group!C288)/1000</f>
        <v>0</v>
      </c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M288" s="1">
        <f>BOM!D288</f>
        <v>0</v>
      </c>
      <c r="AN288" s="1">
        <f>BOM!C288</f>
        <v>0</v>
      </c>
      <c r="AO288" s="1">
        <f>BOM!B288</f>
        <v>0</v>
      </c>
    </row>
    <row r="289" spans="2:41">
      <c r="B289" s="205">
        <v>287</v>
      </c>
      <c r="C289" s="659">
        <f t="shared" si="6"/>
        <v>0</v>
      </c>
      <c r="D289" s="1" t="s">
        <v>77</v>
      </c>
      <c r="E289" s="259">
        <f>SUMIFS(IM_Material!$S$1:$S$10000,IM_Material!$E$1:$E$10000,Group!C289)</f>
        <v>0</v>
      </c>
      <c r="F289" s="259">
        <f>SUMIFS(IM_Process!$A$1:$A$10000,IM_Process!$B$1:$B$10000,Group!C289,IM_Process!$C$1:$C$10000,Group!$F$2)</f>
        <v>0</v>
      </c>
      <c r="G289" s="259">
        <f>SUMIFS(IM_Process!$A$1:$A$10000,IM_Process!$B$1:$B$10000,Group!C289,IM_Process!$C$1:$C$10000,Group!$G$2)</f>
        <v>0</v>
      </c>
      <c r="H289" s="259"/>
      <c r="I289" s="259">
        <f>SUMIFS(IM_Material!$K$1:$K$10000,IM_Material!$E$1:$E$10000,Group!C289)/1000</f>
        <v>0</v>
      </c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M289" s="1">
        <f>BOM!D289</f>
        <v>0</v>
      </c>
      <c r="AN289" s="1">
        <f>BOM!C289</f>
        <v>0</v>
      </c>
      <c r="AO289" s="1">
        <f>BOM!B289</f>
        <v>0</v>
      </c>
    </row>
    <row r="290" spans="2:41">
      <c r="B290" s="205">
        <v>288</v>
      </c>
      <c r="C290" s="659">
        <f t="shared" si="6"/>
        <v>0</v>
      </c>
      <c r="D290" s="1" t="s">
        <v>77</v>
      </c>
      <c r="E290" s="259">
        <f>SUMIFS(IM_Material!$S$1:$S$10000,IM_Material!$E$1:$E$10000,Group!C290)</f>
        <v>0</v>
      </c>
      <c r="F290" s="259">
        <f>SUMIFS(IM_Process!$A$1:$A$10000,IM_Process!$B$1:$B$10000,Group!C290,IM_Process!$C$1:$C$10000,Group!$F$2)</f>
        <v>0</v>
      </c>
      <c r="G290" s="259">
        <f>SUMIFS(IM_Process!$A$1:$A$10000,IM_Process!$B$1:$B$10000,Group!C290,IM_Process!$C$1:$C$10000,Group!$G$2)</f>
        <v>0</v>
      </c>
      <c r="H290" s="259"/>
      <c r="I290" s="259">
        <f>SUMIFS(IM_Material!$K$1:$K$10000,IM_Material!$E$1:$E$10000,Group!C290)/1000</f>
        <v>0</v>
      </c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M290" s="1">
        <f>BOM!D290</f>
        <v>0</v>
      </c>
      <c r="AN290" s="1">
        <f>BOM!C290</f>
        <v>0</v>
      </c>
      <c r="AO290" s="1">
        <f>BOM!B290</f>
        <v>0</v>
      </c>
    </row>
    <row r="291" spans="2:41">
      <c r="B291" s="205">
        <v>289</v>
      </c>
      <c r="C291" s="659">
        <f t="shared" si="6"/>
        <v>0</v>
      </c>
      <c r="D291" s="1" t="s">
        <v>77</v>
      </c>
      <c r="E291" s="259">
        <f>SUMIFS(IM_Material!$S$1:$S$10000,IM_Material!$E$1:$E$10000,Group!C291)</f>
        <v>0</v>
      </c>
      <c r="F291" s="259">
        <f>SUMIFS(IM_Process!$A$1:$A$10000,IM_Process!$B$1:$B$10000,Group!C291,IM_Process!$C$1:$C$10000,Group!$F$2)</f>
        <v>0</v>
      </c>
      <c r="G291" s="259">
        <f>SUMIFS(IM_Process!$A$1:$A$10000,IM_Process!$B$1:$B$10000,Group!C291,IM_Process!$C$1:$C$10000,Group!$G$2)</f>
        <v>0</v>
      </c>
      <c r="H291" s="259"/>
      <c r="I291" s="259">
        <f>SUMIFS(IM_Material!$K$1:$K$10000,IM_Material!$E$1:$E$10000,Group!C291)/1000</f>
        <v>0</v>
      </c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M291" s="1">
        <f>BOM!D291</f>
        <v>0</v>
      </c>
      <c r="AN291" s="1">
        <f>BOM!C291</f>
        <v>0</v>
      </c>
      <c r="AO291" s="1">
        <f>BOM!B291</f>
        <v>0</v>
      </c>
    </row>
    <row r="292" spans="2:41">
      <c r="B292" s="205">
        <v>290</v>
      </c>
      <c r="C292" s="659">
        <f t="shared" si="6"/>
        <v>0</v>
      </c>
      <c r="D292" s="1" t="s">
        <v>77</v>
      </c>
      <c r="E292" s="259">
        <f>SUMIFS(IM_Material!$S$1:$S$10000,IM_Material!$E$1:$E$10000,Group!C292)</f>
        <v>0</v>
      </c>
      <c r="F292" s="259">
        <f>SUMIFS(IM_Process!$A$1:$A$10000,IM_Process!$B$1:$B$10000,Group!C292,IM_Process!$C$1:$C$10000,Group!$F$2)</f>
        <v>0</v>
      </c>
      <c r="G292" s="259">
        <f>SUMIFS(IM_Process!$A$1:$A$10000,IM_Process!$B$1:$B$10000,Group!C292,IM_Process!$C$1:$C$10000,Group!$G$2)</f>
        <v>0</v>
      </c>
      <c r="H292" s="259"/>
      <c r="I292" s="259">
        <f>SUMIFS(IM_Material!$K$1:$K$10000,IM_Material!$E$1:$E$10000,Group!C292)/1000</f>
        <v>0</v>
      </c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M292" s="1">
        <f>BOM!D292</f>
        <v>0</v>
      </c>
      <c r="AN292" s="1">
        <f>BOM!C292</f>
        <v>0</v>
      </c>
      <c r="AO292" s="1">
        <f>BOM!B292</f>
        <v>0</v>
      </c>
    </row>
    <row r="293" spans="2:41">
      <c r="B293" s="205">
        <v>291</v>
      </c>
      <c r="C293" s="659">
        <f t="shared" si="6"/>
        <v>0</v>
      </c>
      <c r="D293" s="1" t="s">
        <v>77</v>
      </c>
      <c r="E293" s="259">
        <f>SUMIFS(IM_Material!$S$1:$S$10000,IM_Material!$E$1:$E$10000,Group!C293)</f>
        <v>0</v>
      </c>
      <c r="F293" s="259">
        <f>SUMIFS(IM_Process!$A$1:$A$10000,IM_Process!$B$1:$B$10000,Group!C293,IM_Process!$C$1:$C$10000,Group!$F$2)</f>
        <v>0</v>
      </c>
      <c r="G293" s="259">
        <f>SUMIFS(IM_Process!$A$1:$A$10000,IM_Process!$B$1:$B$10000,Group!C293,IM_Process!$C$1:$C$10000,Group!$G$2)</f>
        <v>0</v>
      </c>
      <c r="H293" s="259"/>
      <c r="I293" s="259">
        <f>SUMIFS(IM_Material!$K$1:$K$10000,IM_Material!$E$1:$E$10000,Group!C293)/1000</f>
        <v>0</v>
      </c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M293" s="1">
        <f>BOM!D293</f>
        <v>0</v>
      </c>
      <c r="AN293" s="1">
        <f>BOM!C293</f>
        <v>0</v>
      </c>
      <c r="AO293" s="1">
        <f>BOM!B293</f>
        <v>0</v>
      </c>
    </row>
    <row r="294" spans="2:41">
      <c r="B294" s="205">
        <v>292</v>
      </c>
      <c r="C294" s="659">
        <f t="shared" si="6"/>
        <v>0</v>
      </c>
      <c r="D294" s="1" t="s">
        <v>77</v>
      </c>
      <c r="E294" s="259">
        <f>SUMIFS(IM_Material!$S$1:$S$10000,IM_Material!$E$1:$E$10000,Group!C294)</f>
        <v>0</v>
      </c>
      <c r="F294" s="259">
        <f>SUMIFS(IM_Process!$A$1:$A$10000,IM_Process!$B$1:$B$10000,Group!C294,IM_Process!$C$1:$C$10000,Group!$F$2)</f>
        <v>0</v>
      </c>
      <c r="G294" s="259">
        <f>SUMIFS(IM_Process!$A$1:$A$10000,IM_Process!$B$1:$B$10000,Group!C294,IM_Process!$C$1:$C$10000,Group!$G$2)</f>
        <v>0</v>
      </c>
      <c r="H294" s="259"/>
      <c r="I294" s="259">
        <f>SUMIFS(IM_Material!$K$1:$K$10000,IM_Material!$E$1:$E$10000,Group!C294)/1000</f>
        <v>0</v>
      </c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M294" s="1">
        <f>BOM!D294</f>
        <v>0</v>
      </c>
      <c r="AN294" s="1">
        <f>BOM!C294</f>
        <v>0</v>
      </c>
      <c r="AO294" s="1">
        <f>BOM!B294</f>
        <v>0</v>
      </c>
    </row>
    <row r="295" spans="2:41">
      <c r="B295" s="205">
        <v>293</v>
      </c>
      <c r="C295" s="659">
        <f t="shared" si="6"/>
        <v>0</v>
      </c>
      <c r="D295" s="1" t="s">
        <v>77</v>
      </c>
      <c r="E295" s="259">
        <f>SUMIFS(IM_Material!$S$1:$S$10000,IM_Material!$E$1:$E$10000,Group!C295)</f>
        <v>0</v>
      </c>
      <c r="F295" s="259">
        <f>SUMIFS(IM_Process!$A$1:$A$10000,IM_Process!$B$1:$B$10000,Group!C295,IM_Process!$C$1:$C$10000,Group!$F$2)</f>
        <v>0</v>
      </c>
      <c r="G295" s="259">
        <f>SUMIFS(IM_Process!$A$1:$A$10000,IM_Process!$B$1:$B$10000,Group!C295,IM_Process!$C$1:$C$10000,Group!$G$2)</f>
        <v>0</v>
      </c>
      <c r="H295" s="259"/>
      <c r="I295" s="259">
        <f>SUMIFS(IM_Material!$K$1:$K$10000,IM_Material!$E$1:$E$10000,Group!C295)/1000</f>
        <v>0</v>
      </c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M295" s="1">
        <f>BOM!D295</f>
        <v>0</v>
      </c>
      <c r="AN295" s="1">
        <f>BOM!C295</f>
        <v>0</v>
      </c>
      <c r="AO295" s="1">
        <f>BOM!B295</f>
        <v>0</v>
      </c>
    </row>
    <row r="296" spans="2:41">
      <c r="B296" s="205">
        <v>294</v>
      </c>
      <c r="C296" s="659">
        <f t="shared" si="6"/>
        <v>0</v>
      </c>
      <c r="D296" s="1" t="s">
        <v>77</v>
      </c>
      <c r="E296" s="259">
        <f>SUMIFS(IM_Material!$S$1:$S$10000,IM_Material!$E$1:$E$10000,Group!C296)</f>
        <v>0</v>
      </c>
      <c r="F296" s="259">
        <f>SUMIFS(IM_Process!$A$1:$A$10000,IM_Process!$B$1:$B$10000,Group!C296,IM_Process!$C$1:$C$10000,Group!$F$2)</f>
        <v>0</v>
      </c>
      <c r="G296" s="259">
        <f>SUMIFS(IM_Process!$A$1:$A$10000,IM_Process!$B$1:$B$10000,Group!C296,IM_Process!$C$1:$C$10000,Group!$G$2)</f>
        <v>0</v>
      </c>
      <c r="H296" s="259"/>
      <c r="I296" s="259">
        <f>SUMIFS(IM_Material!$K$1:$K$10000,IM_Material!$E$1:$E$10000,Group!C296)/1000</f>
        <v>0</v>
      </c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M296" s="1">
        <f>BOM!D296</f>
        <v>0</v>
      </c>
      <c r="AN296" s="1">
        <f>BOM!C296</f>
        <v>0</v>
      </c>
      <c r="AO296" s="1">
        <f>BOM!B296</f>
        <v>0</v>
      </c>
    </row>
    <row r="297" spans="2:41">
      <c r="B297" s="205">
        <v>295</v>
      </c>
      <c r="C297" s="659">
        <f t="shared" si="6"/>
        <v>0</v>
      </c>
      <c r="D297" s="1" t="s">
        <v>77</v>
      </c>
      <c r="E297" s="259">
        <f>SUMIFS(IM_Material!$S$1:$S$10000,IM_Material!$E$1:$E$10000,Group!C297)</f>
        <v>0</v>
      </c>
      <c r="F297" s="259">
        <f>SUMIFS(IM_Process!$A$1:$A$10000,IM_Process!$B$1:$B$10000,Group!C297,IM_Process!$C$1:$C$10000,Group!$F$2)</f>
        <v>0</v>
      </c>
      <c r="G297" s="259">
        <f>SUMIFS(IM_Process!$A$1:$A$10000,IM_Process!$B$1:$B$10000,Group!C297,IM_Process!$C$1:$C$10000,Group!$G$2)</f>
        <v>0</v>
      </c>
      <c r="H297" s="259"/>
      <c r="I297" s="259">
        <f>SUMIFS(IM_Material!$K$1:$K$10000,IM_Material!$E$1:$E$10000,Group!C297)/1000</f>
        <v>0</v>
      </c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M297" s="1">
        <f>BOM!D297</f>
        <v>0</v>
      </c>
      <c r="AN297" s="1">
        <f>BOM!C297</f>
        <v>0</v>
      </c>
      <c r="AO297" s="1">
        <f>BOM!B297</f>
        <v>0</v>
      </c>
    </row>
    <row r="298" spans="2:41">
      <c r="B298" s="205">
        <v>296</v>
      </c>
      <c r="C298" s="659">
        <f t="shared" si="6"/>
        <v>0</v>
      </c>
      <c r="D298" s="1" t="s">
        <v>77</v>
      </c>
      <c r="E298" s="259">
        <f>SUMIFS(IM_Material!$S$1:$S$10000,IM_Material!$E$1:$E$10000,Group!C298)</f>
        <v>0</v>
      </c>
      <c r="F298" s="259">
        <f>SUMIFS(IM_Process!$A$1:$A$10000,IM_Process!$B$1:$B$10000,Group!C298,IM_Process!$C$1:$C$10000,Group!$F$2)</f>
        <v>0</v>
      </c>
      <c r="G298" s="259">
        <f>SUMIFS(IM_Process!$A$1:$A$10000,IM_Process!$B$1:$B$10000,Group!C298,IM_Process!$C$1:$C$10000,Group!$G$2)</f>
        <v>0</v>
      </c>
      <c r="H298" s="259"/>
      <c r="I298" s="259">
        <f>SUMIFS(IM_Material!$K$1:$K$10000,IM_Material!$E$1:$E$10000,Group!C298)/1000</f>
        <v>0</v>
      </c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M298" s="1">
        <f>BOM!D298</f>
        <v>0</v>
      </c>
      <c r="AN298" s="1">
        <f>BOM!C298</f>
        <v>0</v>
      </c>
      <c r="AO298" s="1">
        <f>BOM!B298</f>
        <v>0</v>
      </c>
    </row>
    <row r="299" spans="2:41">
      <c r="B299" s="205">
        <v>297</v>
      </c>
      <c r="C299" s="659">
        <f t="shared" si="6"/>
        <v>0</v>
      </c>
      <c r="D299" s="1" t="s">
        <v>77</v>
      </c>
      <c r="E299" s="259">
        <f>SUMIFS(IM_Material!$S$1:$S$10000,IM_Material!$E$1:$E$10000,Group!C299)</f>
        <v>0</v>
      </c>
      <c r="F299" s="259">
        <f>SUMIFS(IM_Process!$A$1:$A$10000,IM_Process!$B$1:$B$10000,Group!C299,IM_Process!$C$1:$C$10000,Group!$F$2)</f>
        <v>0</v>
      </c>
      <c r="G299" s="259">
        <f>SUMIFS(IM_Process!$A$1:$A$10000,IM_Process!$B$1:$B$10000,Group!C299,IM_Process!$C$1:$C$10000,Group!$G$2)</f>
        <v>0</v>
      </c>
      <c r="H299" s="259"/>
      <c r="I299" s="259">
        <f>SUMIFS(IM_Material!$K$1:$K$10000,IM_Material!$E$1:$E$10000,Group!C299)/1000</f>
        <v>0</v>
      </c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M299" s="1">
        <f>BOM!D299</f>
        <v>0</v>
      </c>
      <c r="AN299" s="1">
        <f>BOM!C299</f>
        <v>0</v>
      </c>
      <c r="AO299" s="1">
        <f>BOM!B299</f>
        <v>0</v>
      </c>
    </row>
    <row r="300" spans="2:41">
      <c r="B300" s="205">
        <v>298</v>
      </c>
      <c r="C300" s="659">
        <f t="shared" si="6"/>
        <v>0</v>
      </c>
      <c r="D300" s="1" t="s">
        <v>77</v>
      </c>
      <c r="E300" s="259">
        <f>SUMIFS(IM_Material!$S$1:$S$10000,IM_Material!$E$1:$E$10000,Group!C300)</f>
        <v>0</v>
      </c>
      <c r="F300" s="259">
        <f>SUMIFS(IM_Process!$A$1:$A$10000,IM_Process!$B$1:$B$10000,Group!C300,IM_Process!$C$1:$C$10000,Group!$F$2)</f>
        <v>0</v>
      </c>
      <c r="G300" s="259">
        <f>SUMIFS(IM_Process!$A$1:$A$10000,IM_Process!$B$1:$B$10000,Group!C300,IM_Process!$C$1:$C$10000,Group!$G$2)</f>
        <v>0</v>
      </c>
      <c r="H300" s="259"/>
      <c r="I300" s="259">
        <f>SUMIFS(IM_Material!$K$1:$K$10000,IM_Material!$E$1:$E$10000,Group!C300)/1000</f>
        <v>0</v>
      </c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M300" s="1">
        <f>BOM!D300</f>
        <v>0</v>
      </c>
      <c r="AN300" s="1">
        <f>BOM!C300</f>
        <v>0</v>
      </c>
      <c r="AO300" s="1">
        <f>BOM!B300</f>
        <v>0</v>
      </c>
    </row>
    <row r="301" spans="2:41">
      <c r="B301" s="205">
        <v>299</v>
      </c>
      <c r="C301" s="659">
        <f t="shared" si="6"/>
        <v>0</v>
      </c>
      <c r="D301" s="1" t="s">
        <v>77</v>
      </c>
      <c r="E301" s="259">
        <f>SUMIFS(IM_Material!$S$1:$S$10000,IM_Material!$E$1:$E$10000,Group!C301)</f>
        <v>0</v>
      </c>
      <c r="F301" s="259">
        <f>SUMIFS(IM_Process!$A$1:$A$10000,IM_Process!$B$1:$B$10000,Group!C301,IM_Process!$C$1:$C$10000,Group!$F$2)</f>
        <v>0</v>
      </c>
      <c r="G301" s="259">
        <f>SUMIFS(IM_Process!$A$1:$A$10000,IM_Process!$B$1:$B$10000,Group!C301,IM_Process!$C$1:$C$10000,Group!$G$2)</f>
        <v>0</v>
      </c>
      <c r="H301" s="259"/>
      <c r="I301" s="259">
        <f>SUMIFS(IM_Material!$K$1:$K$10000,IM_Material!$E$1:$E$10000,Group!C301)/1000</f>
        <v>0</v>
      </c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M301" s="1">
        <f>BOM!D301</f>
        <v>0</v>
      </c>
      <c r="AN301" s="1">
        <f>BOM!C301</f>
        <v>0</v>
      </c>
      <c r="AO301" s="1">
        <f>BOM!B301</f>
        <v>0</v>
      </c>
    </row>
    <row r="302" spans="2:41">
      <c r="B302" s="205">
        <v>300</v>
      </c>
      <c r="C302" s="659">
        <f t="shared" si="6"/>
        <v>0</v>
      </c>
      <c r="D302" s="1" t="s">
        <v>77</v>
      </c>
      <c r="E302" s="259">
        <f>SUMIFS(IM_Material!$S$1:$S$10000,IM_Material!$E$1:$E$10000,Group!C302)</f>
        <v>0</v>
      </c>
      <c r="F302" s="259">
        <f>SUMIFS(IM_Process!$A$1:$A$10000,IM_Process!$B$1:$B$10000,Group!C302,IM_Process!$C$1:$C$10000,Group!$F$2)</f>
        <v>0</v>
      </c>
      <c r="G302" s="259">
        <f>SUMIFS(IM_Process!$A$1:$A$10000,IM_Process!$B$1:$B$10000,Group!C302,IM_Process!$C$1:$C$10000,Group!$G$2)</f>
        <v>0</v>
      </c>
      <c r="H302" s="259"/>
      <c r="I302" s="259">
        <f>SUMIFS(IM_Material!$K$1:$K$10000,IM_Material!$E$1:$E$10000,Group!C302)/1000</f>
        <v>0</v>
      </c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M302" s="1">
        <f>BOM!D302</f>
        <v>0</v>
      </c>
      <c r="AN302" s="1">
        <f>BOM!C302</f>
        <v>0</v>
      </c>
      <c r="AO302" s="1">
        <f>BOM!B302</f>
        <v>0</v>
      </c>
    </row>
    <row r="303" spans="2:41">
      <c r="B303" s="205">
        <v>301</v>
      </c>
      <c r="C303" s="659">
        <f t="shared" si="6"/>
        <v>0</v>
      </c>
      <c r="D303" s="1" t="s">
        <v>77</v>
      </c>
      <c r="E303" s="259">
        <f>SUMIFS(IM_Material!$S$1:$S$10000,IM_Material!$E$1:$E$10000,Group!C303)</f>
        <v>0</v>
      </c>
      <c r="F303" s="259">
        <f>SUMIFS(IM_Process!$A$1:$A$10000,IM_Process!$B$1:$B$10000,Group!C303,IM_Process!$C$1:$C$10000,Group!$F$2)</f>
        <v>0</v>
      </c>
      <c r="G303" s="259">
        <f>SUMIFS(IM_Process!$A$1:$A$10000,IM_Process!$B$1:$B$10000,Group!C303,IM_Process!$C$1:$C$10000,Group!$G$2)</f>
        <v>0</v>
      </c>
      <c r="H303" s="259"/>
      <c r="I303" s="259">
        <f>SUMIFS(IM_Material!$K$1:$K$10000,IM_Material!$E$1:$E$10000,Group!C303)/1000</f>
        <v>0</v>
      </c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M303" s="1">
        <f>BOM!D303</f>
        <v>0</v>
      </c>
      <c r="AN303" s="1">
        <f>BOM!C303</f>
        <v>0</v>
      </c>
      <c r="AO303" s="1">
        <f>BOM!B303</f>
        <v>0</v>
      </c>
    </row>
    <row r="304" spans="2:41">
      <c r="B304" s="205">
        <v>302</v>
      </c>
      <c r="C304" s="659">
        <f t="shared" si="6"/>
        <v>0</v>
      </c>
      <c r="D304" s="1" t="s">
        <v>77</v>
      </c>
      <c r="E304" s="259">
        <f>SUMIFS(IM_Material!$S$1:$S$10000,IM_Material!$E$1:$E$10000,Group!C304)</f>
        <v>0</v>
      </c>
      <c r="F304" s="259">
        <f>SUMIFS(IM_Process!$A$1:$A$10000,IM_Process!$B$1:$B$10000,Group!C304,IM_Process!$C$1:$C$10000,Group!$F$2)</f>
        <v>0</v>
      </c>
      <c r="G304" s="259">
        <f>SUMIFS(IM_Process!$A$1:$A$10000,IM_Process!$B$1:$B$10000,Group!C304,IM_Process!$C$1:$C$10000,Group!$G$2)</f>
        <v>0</v>
      </c>
      <c r="H304" s="259"/>
      <c r="I304" s="259">
        <f>SUMIFS(IM_Material!$K$1:$K$10000,IM_Material!$E$1:$E$10000,Group!C304)/1000</f>
        <v>0</v>
      </c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M304" s="1">
        <f>BOM!D304</f>
        <v>0</v>
      </c>
      <c r="AN304" s="1">
        <f>BOM!C304</f>
        <v>0</v>
      </c>
      <c r="AO304" s="1">
        <f>BOM!B304</f>
        <v>0</v>
      </c>
    </row>
    <row r="305" spans="2:41">
      <c r="B305" s="205">
        <v>303</v>
      </c>
      <c r="C305" s="659">
        <f t="shared" si="6"/>
        <v>0</v>
      </c>
      <c r="D305" s="1" t="s">
        <v>77</v>
      </c>
      <c r="E305" s="259">
        <f>SUMIFS(IM_Material!$S$1:$S$10000,IM_Material!$E$1:$E$10000,Group!C305)</f>
        <v>0</v>
      </c>
      <c r="F305" s="259">
        <f>SUMIFS(IM_Process!$A$1:$A$10000,IM_Process!$B$1:$B$10000,Group!C305,IM_Process!$C$1:$C$10000,Group!$F$2)</f>
        <v>0</v>
      </c>
      <c r="G305" s="259">
        <f>SUMIFS(IM_Process!$A$1:$A$10000,IM_Process!$B$1:$B$10000,Group!C305,IM_Process!$C$1:$C$10000,Group!$G$2)</f>
        <v>0</v>
      </c>
      <c r="H305" s="259"/>
      <c r="I305" s="259">
        <f>SUMIFS(IM_Material!$K$1:$K$10000,IM_Material!$E$1:$E$10000,Group!C305)/1000</f>
        <v>0</v>
      </c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M305" s="1">
        <f>BOM!D305</f>
        <v>0</v>
      </c>
      <c r="AN305" s="1">
        <f>BOM!C305</f>
        <v>0</v>
      </c>
      <c r="AO305" s="1">
        <f>BOM!B305</f>
        <v>0</v>
      </c>
    </row>
    <row r="306" spans="2:41">
      <c r="B306" s="205">
        <v>304</v>
      </c>
      <c r="C306" s="659">
        <f t="shared" si="6"/>
        <v>0</v>
      </c>
      <c r="D306" s="1" t="s">
        <v>77</v>
      </c>
      <c r="E306" s="259">
        <f>SUMIFS(IM_Material!$S$1:$S$10000,IM_Material!$E$1:$E$10000,Group!C306)</f>
        <v>0</v>
      </c>
      <c r="F306" s="259">
        <f>SUMIFS(IM_Process!$A$1:$A$10000,IM_Process!$B$1:$B$10000,Group!C306,IM_Process!$C$1:$C$10000,Group!$F$2)</f>
        <v>0</v>
      </c>
      <c r="G306" s="259">
        <f>SUMIFS(IM_Process!$A$1:$A$10000,IM_Process!$B$1:$B$10000,Group!C306,IM_Process!$C$1:$C$10000,Group!$G$2)</f>
        <v>0</v>
      </c>
      <c r="H306" s="259"/>
      <c r="I306" s="259">
        <f>SUMIFS(IM_Material!$K$1:$K$10000,IM_Material!$E$1:$E$10000,Group!C306)/1000</f>
        <v>0</v>
      </c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M306" s="1">
        <f>BOM!D306</f>
        <v>0</v>
      </c>
      <c r="AN306" s="1">
        <f>BOM!C306</f>
        <v>0</v>
      </c>
      <c r="AO306" s="1">
        <f>BOM!B306</f>
        <v>0</v>
      </c>
    </row>
    <row r="307" spans="2:41">
      <c r="B307" s="205">
        <v>305</v>
      </c>
      <c r="C307" s="659">
        <f t="shared" si="6"/>
        <v>0</v>
      </c>
      <c r="D307" s="1" t="s">
        <v>77</v>
      </c>
      <c r="E307" s="259">
        <f>SUMIFS(IM_Material!$S$1:$S$10000,IM_Material!$E$1:$E$10000,Group!C307)</f>
        <v>0</v>
      </c>
      <c r="F307" s="259">
        <f>SUMIFS(IM_Process!$A$1:$A$10000,IM_Process!$B$1:$B$10000,Group!C307,IM_Process!$C$1:$C$10000,Group!$F$2)</f>
        <v>0</v>
      </c>
      <c r="G307" s="259">
        <f>SUMIFS(IM_Process!$A$1:$A$10000,IM_Process!$B$1:$B$10000,Group!C307,IM_Process!$C$1:$C$10000,Group!$G$2)</f>
        <v>0</v>
      </c>
      <c r="H307" s="259"/>
      <c r="I307" s="259">
        <f>SUMIFS(IM_Material!$K$1:$K$10000,IM_Material!$E$1:$E$10000,Group!C307)/1000</f>
        <v>0</v>
      </c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M307" s="1">
        <f>BOM!D307</f>
        <v>0</v>
      </c>
      <c r="AN307" s="1">
        <f>BOM!C307</f>
        <v>0</v>
      </c>
      <c r="AO307" s="1">
        <f>BOM!B307</f>
        <v>0</v>
      </c>
    </row>
    <row r="308" spans="2:41">
      <c r="B308" s="205">
        <v>306</v>
      </c>
      <c r="C308" s="659">
        <f t="shared" si="6"/>
        <v>0</v>
      </c>
      <c r="D308" s="1" t="s">
        <v>77</v>
      </c>
      <c r="E308" s="259">
        <f>SUMIFS(IM_Material!$S$1:$S$10000,IM_Material!$E$1:$E$10000,Group!C308)</f>
        <v>0</v>
      </c>
      <c r="F308" s="259">
        <f>SUMIFS(IM_Process!$A$1:$A$10000,IM_Process!$B$1:$B$10000,Group!C308,IM_Process!$C$1:$C$10000,Group!$F$2)</f>
        <v>0</v>
      </c>
      <c r="G308" s="259">
        <f>SUMIFS(IM_Process!$A$1:$A$10000,IM_Process!$B$1:$B$10000,Group!C308,IM_Process!$C$1:$C$10000,Group!$G$2)</f>
        <v>0</v>
      </c>
      <c r="H308" s="259"/>
      <c r="I308" s="259">
        <f>SUMIFS(IM_Material!$K$1:$K$10000,IM_Material!$E$1:$E$10000,Group!C308)/1000</f>
        <v>0</v>
      </c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M308" s="1">
        <f>BOM!D308</f>
        <v>0</v>
      </c>
      <c r="AN308" s="1">
        <f>BOM!C308</f>
        <v>0</v>
      </c>
      <c r="AO308" s="1">
        <f>BOM!B308</f>
        <v>0</v>
      </c>
    </row>
    <row r="309" spans="2:41">
      <c r="B309" s="205">
        <v>307</v>
      </c>
      <c r="C309" s="659">
        <f t="shared" si="6"/>
        <v>0</v>
      </c>
      <c r="D309" s="1" t="s">
        <v>77</v>
      </c>
      <c r="E309" s="259">
        <f>SUMIFS(IM_Material!$S$1:$S$10000,IM_Material!$E$1:$E$10000,Group!C309)</f>
        <v>0</v>
      </c>
      <c r="F309" s="259">
        <f>SUMIFS(IM_Process!$A$1:$A$10000,IM_Process!$B$1:$B$10000,Group!C309,IM_Process!$C$1:$C$10000,Group!$F$2)</f>
        <v>0</v>
      </c>
      <c r="G309" s="259">
        <f>SUMIFS(IM_Process!$A$1:$A$10000,IM_Process!$B$1:$B$10000,Group!C309,IM_Process!$C$1:$C$10000,Group!$G$2)</f>
        <v>0</v>
      </c>
      <c r="H309" s="259"/>
      <c r="I309" s="259">
        <f>SUMIFS(IM_Material!$K$1:$K$10000,IM_Material!$E$1:$E$10000,Group!C309)/1000</f>
        <v>0</v>
      </c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M309" s="1">
        <f>BOM!D309</f>
        <v>0</v>
      </c>
      <c r="AN309" s="1">
        <f>BOM!C309</f>
        <v>0</v>
      </c>
      <c r="AO309" s="1">
        <f>BOM!B309</f>
        <v>0</v>
      </c>
    </row>
    <row r="310" spans="2:41">
      <c r="B310" s="205">
        <v>308</v>
      </c>
      <c r="C310" s="659">
        <f t="shared" si="6"/>
        <v>0</v>
      </c>
      <c r="D310" s="1" t="s">
        <v>77</v>
      </c>
      <c r="E310" s="259">
        <f>SUMIFS(IM_Material!$S$1:$S$10000,IM_Material!$E$1:$E$10000,Group!C310)</f>
        <v>0</v>
      </c>
      <c r="F310" s="259">
        <f>SUMIFS(IM_Process!$A$1:$A$10000,IM_Process!$B$1:$B$10000,Group!C310,IM_Process!$C$1:$C$10000,Group!$F$2)</f>
        <v>0</v>
      </c>
      <c r="G310" s="259">
        <f>SUMIFS(IM_Process!$A$1:$A$10000,IM_Process!$B$1:$B$10000,Group!C310,IM_Process!$C$1:$C$10000,Group!$G$2)</f>
        <v>0</v>
      </c>
      <c r="H310" s="259"/>
      <c r="I310" s="259">
        <f>SUMIFS(IM_Material!$K$1:$K$10000,IM_Material!$E$1:$E$10000,Group!C310)/1000</f>
        <v>0</v>
      </c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M310" s="1">
        <f>BOM!D310</f>
        <v>0</v>
      </c>
      <c r="AN310" s="1">
        <f>BOM!C310</f>
        <v>0</v>
      </c>
      <c r="AO310" s="1">
        <f>BOM!B310</f>
        <v>0</v>
      </c>
    </row>
    <row r="311" spans="2:41">
      <c r="B311" s="205">
        <v>309</v>
      </c>
      <c r="C311" s="659">
        <f>AA2</f>
        <v>0</v>
      </c>
      <c r="D311" s="1" t="s">
        <v>890</v>
      </c>
      <c r="E311" s="259">
        <f>SUMIFS(CM_Material!$J$1:$J$10000,CM_Material!$A$1:$A$10000,Group!C311)</f>
        <v>0</v>
      </c>
      <c r="F311" s="259">
        <f>SUMIFS(CM_Material!$W$1:$W$10000,CM_Material!$A$1:$A$10000,Group!C311,CM_Material!$B$1:$B$10000,Group!$F$2)</f>
        <v>0</v>
      </c>
      <c r="G311" s="259">
        <f>SUMIFS(CM_Material!$W$1:$W$10000,CM_Material!$A$1:$A$10000,Group!C311,CM_Material!$B$1:$B$10000,Group!$G$2)</f>
        <v>0</v>
      </c>
      <c r="H311" s="259"/>
      <c r="I311" s="259">
        <f>SUMIFS(CM_Material!$H$1:$H$10000,CM_Material!$A$1:$A$10000,Group!C311)</f>
        <v>0</v>
      </c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M311" s="1">
        <f>BOM!D311</f>
        <v>0</v>
      </c>
      <c r="AN311" s="1">
        <f>BOM!C311</f>
        <v>0</v>
      </c>
      <c r="AO311" s="1">
        <f>BOM!B311</f>
        <v>0</v>
      </c>
    </row>
    <row r="312" spans="2:41">
      <c r="B312" s="205">
        <v>310</v>
      </c>
      <c r="C312" s="659">
        <f t="shared" ref="C312:C360" si="7">AA3</f>
        <v>0</v>
      </c>
      <c r="D312" s="1" t="s">
        <v>890</v>
      </c>
      <c r="E312" s="259">
        <f>SUMIFS(CM_Material!$J$1:$J$10000,CM_Material!$A$1:$A$10000,Group!C312)</f>
        <v>0</v>
      </c>
      <c r="F312" s="259">
        <f>SUMIFS(CM_Material!$W$1:$W$10000,CM_Material!$A$1:$A$10000,Group!C312,CM_Material!$B$1:$B$10000,Group!$F$2)</f>
        <v>0</v>
      </c>
      <c r="G312" s="259">
        <f>SUMIFS(CM_Material!$W$1:$W$10000,CM_Material!$A$1:$A$10000,Group!C312,CM_Material!$B$1:$B$10000,Group!$G$2)</f>
        <v>0</v>
      </c>
      <c r="H312" s="259"/>
      <c r="I312" s="259">
        <f>SUMIFS(CM_Material!$H$1:$H$10000,CM_Material!$A$1:$A$10000,Group!C312)</f>
        <v>0</v>
      </c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M312" s="1">
        <f>BOM!D312</f>
        <v>0</v>
      </c>
      <c r="AN312" s="1">
        <f>BOM!C312</f>
        <v>0</v>
      </c>
      <c r="AO312" s="1">
        <f>BOM!B312</f>
        <v>0</v>
      </c>
    </row>
    <row r="313" spans="2:41">
      <c r="B313" s="205">
        <v>311</v>
      </c>
      <c r="C313" s="659">
        <f t="shared" si="7"/>
        <v>0</v>
      </c>
      <c r="D313" s="1" t="s">
        <v>890</v>
      </c>
      <c r="E313" s="259">
        <f>SUMIFS(CM_Material!$J$1:$J$10000,CM_Material!$A$1:$A$10000,Group!C313)</f>
        <v>0</v>
      </c>
      <c r="F313" s="259">
        <f>SUMIFS(CM_Material!$W$1:$W$10000,CM_Material!$A$1:$A$10000,Group!C313,CM_Material!$B$1:$B$10000,Group!$F$2)</f>
        <v>0</v>
      </c>
      <c r="G313" s="259">
        <f>SUMIFS(CM_Material!$W$1:$W$10000,CM_Material!$A$1:$A$10000,Group!C313,CM_Material!$B$1:$B$10000,Group!$G$2)</f>
        <v>0</v>
      </c>
      <c r="H313" s="259"/>
      <c r="I313" s="259">
        <f>SUMIFS(CM_Material!$H$1:$H$10000,CM_Material!$A$1:$A$10000,Group!C313)</f>
        <v>0</v>
      </c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M313" s="1">
        <f>BOM!D313</f>
        <v>0</v>
      </c>
      <c r="AN313" s="1">
        <f>BOM!C313</f>
        <v>0</v>
      </c>
      <c r="AO313" s="1">
        <f>BOM!B313</f>
        <v>0</v>
      </c>
    </row>
    <row r="314" spans="2:41">
      <c r="B314" s="205">
        <v>312</v>
      </c>
      <c r="C314" s="659">
        <f t="shared" si="7"/>
        <v>0</v>
      </c>
      <c r="D314" s="1" t="s">
        <v>890</v>
      </c>
      <c r="E314" s="259">
        <f>SUMIFS(CM_Material!$J$1:$J$10000,CM_Material!$A$1:$A$10000,Group!C314)</f>
        <v>0</v>
      </c>
      <c r="F314" s="259">
        <f>SUMIFS(CM_Material!$W$1:$W$10000,CM_Material!$A$1:$A$10000,Group!C314,CM_Material!$B$1:$B$10000,Group!$F$2)</f>
        <v>0</v>
      </c>
      <c r="G314" s="259">
        <f>SUMIFS(CM_Material!$W$1:$W$10000,CM_Material!$A$1:$A$10000,Group!C314,CM_Material!$B$1:$B$10000,Group!$G$2)</f>
        <v>0</v>
      </c>
      <c r="H314" s="259"/>
      <c r="I314" s="259">
        <f>SUMIFS(CM_Material!$H$1:$H$10000,CM_Material!$A$1:$A$10000,Group!C314)</f>
        <v>0</v>
      </c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M314" s="1">
        <f>BOM!D314</f>
        <v>0</v>
      </c>
      <c r="AN314" s="1">
        <f>BOM!C314</f>
        <v>0</v>
      </c>
      <c r="AO314" s="1">
        <f>BOM!B314</f>
        <v>0</v>
      </c>
    </row>
    <row r="315" spans="2:41">
      <c r="B315" s="205">
        <v>313</v>
      </c>
      <c r="C315" s="659">
        <f t="shared" si="7"/>
        <v>0</v>
      </c>
      <c r="D315" s="1" t="s">
        <v>890</v>
      </c>
      <c r="E315" s="259">
        <f>SUMIFS(CM_Material!$J$1:$J$10000,CM_Material!$A$1:$A$10000,Group!C315)</f>
        <v>0</v>
      </c>
      <c r="F315" s="259">
        <f>SUMIFS(CM_Material!$W$1:$W$10000,CM_Material!$A$1:$A$10000,Group!C315,CM_Material!$B$1:$B$10000,Group!$F$2)</f>
        <v>0</v>
      </c>
      <c r="G315" s="259">
        <f>SUMIFS(CM_Material!$W$1:$W$10000,CM_Material!$A$1:$A$10000,Group!C315,CM_Material!$B$1:$B$10000,Group!$G$2)</f>
        <v>0</v>
      </c>
      <c r="H315" s="259"/>
      <c r="I315" s="259">
        <f>SUMIFS(CM_Material!$H$1:$H$10000,CM_Material!$A$1:$A$10000,Group!C315)</f>
        <v>0</v>
      </c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M315" s="1">
        <f>BOM!D315</f>
        <v>0</v>
      </c>
      <c r="AN315" s="1">
        <f>BOM!C315</f>
        <v>0</v>
      </c>
      <c r="AO315" s="1">
        <f>BOM!B315</f>
        <v>0</v>
      </c>
    </row>
    <row r="316" spans="2:41">
      <c r="B316" s="205">
        <v>314</v>
      </c>
      <c r="C316" s="659">
        <f t="shared" si="7"/>
        <v>0</v>
      </c>
      <c r="D316" s="1" t="s">
        <v>890</v>
      </c>
      <c r="E316" s="259">
        <f>SUMIFS(CM_Material!$J$1:$J$10000,CM_Material!$A$1:$A$10000,Group!C316)</f>
        <v>0</v>
      </c>
      <c r="F316" s="259">
        <f>SUMIFS(CM_Material!$W$1:$W$10000,CM_Material!$A$1:$A$10000,Group!C316,CM_Material!$B$1:$B$10000,Group!$F$2)</f>
        <v>0</v>
      </c>
      <c r="G316" s="259">
        <f>SUMIFS(CM_Material!$W$1:$W$10000,CM_Material!$A$1:$A$10000,Group!C316,CM_Material!$B$1:$B$10000,Group!$G$2)</f>
        <v>0</v>
      </c>
      <c r="H316" s="259"/>
      <c r="I316" s="259">
        <f>SUMIFS(CM_Material!$H$1:$H$10000,CM_Material!$A$1:$A$10000,Group!C316)</f>
        <v>0</v>
      </c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M316" s="1">
        <f>BOM!D316</f>
        <v>0</v>
      </c>
      <c r="AN316" s="1">
        <f>BOM!C316</f>
        <v>0</v>
      </c>
      <c r="AO316" s="1">
        <f>BOM!B316</f>
        <v>0</v>
      </c>
    </row>
    <row r="317" spans="2:41">
      <c r="B317" s="205">
        <v>315</v>
      </c>
      <c r="C317" s="659">
        <f t="shared" si="7"/>
        <v>0</v>
      </c>
      <c r="D317" s="1" t="s">
        <v>890</v>
      </c>
      <c r="E317" s="259">
        <f>SUMIFS(CM_Material!$J$1:$J$10000,CM_Material!$A$1:$A$10000,Group!C317)</f>
        <v>0</v>
      </c>
      <c r="F317" s="259">
        <f>SUMIFS(CM_Material!$W$1:$W$10000,CM_Material!$A$1:$A$10000,Group!C317,CM_Material!$B$1:$B$10000,Group!$F$2)</f>
        <v>0</v>
      </c>
      <c r="G317" s="259">
        <f>SUMIFS(CM_Material!$W$1:$W$10000,CM_Material!$A$1:$A$10000,Group!C317,CM_Material!$B$1:$B$10000,Group!$G$2)</f>
        <v>0</v>
      </c>
      <c r="H317" s="259"/>
      <c r="I317" s="259">
        <f>SUMIFS(CM_Material!$H$1:$H$10000,CM_Material!$A$1:$A$10000,Group!C317)</f>
        <v>0</v>
      </c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M317" s="1">
        <f>BOM!D317</f>
        <v>0</v>
      </c>
      <c r="AN317" s="1">
        <f>BOM!C317</f>
        <v>0</v>
      </c>
      <c r="AO317" s="1">
        <f>BOM!B317</f>
        <v>0</v>
      </c>
    </row>
    <row r="318" spans="2:41">
      <c r="B318" s="205">
        <v>316</v>
      </c>
      <c r="C318" s="659">
        <f t="shared" si="7"/>
        <v>0</v>
      </c>
      <c r="D318" s="1" t="s">
        <v>890</v>
      </c>
      <c r="E318" s="259">
        <f>SUMIFS(CM_Material!$J$1:$J$10000,CM_Material!$A$1:$A$10000,Group!C318)</f>
        <v>0</v>
      </c>
      <c r="F318" s="259">
        <f>SUMIFS(CM_Material!$W$1:$W$10000,CM_Material!$A$1:$A$10000,Group!C318,CM_Material!$B$1:$B$10000,Group!$F$2)</f>
        <v>0</v>
      </c>
      <c r="G318" s="259">
        <f>SUMIFS(CM_Material!$W$1:$W$10000,CM_Material!$A$1:$A$10000,Group!C318,CM_Material!$B$1:$B$10000,Group!$G$2)</f>
        <v>0</v>
      </c>
      <c r="H318" s="259"/>
      <c r="I318" s="259">
        <f>SUMIFS(CM_Material!$H$1:$H$10000,CM_Material!$A$1:$A$10000,Group!C318)</f>
        <v>0</v>
      </c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M318" s="1">
        <f>BOM!D318</f>
        <v>0</v>
      </c>
      <c r="AN318" s="1">
        <f>BOM!C318</f>
        <v>0</v>
      </c>
      <c r="AO318" s="1">
        <f>BOM!B318</f>
        <v>0</v>
      </c>
    </row>
    <row r="319" spans="2:41">
      <c r="B319" s="205">
        <v>317</v>
      </c>
      <c r="C319" s="659">
        <f t="shared" si="7"/>
        <v>0</v>
      </c>
      <c r="D319" s="1" t="s">
        <v>890</v>
      </c>
      <c r="E319" s="259">
        <f>SUMIFS(CM_Material!$J$1:$J$10000,CM_Material!$A$1:$A$10000,Group!C319)</f>
        <v>0</v>
      </c>
      <c r="F319" s="259">
        <f>SUMIFS(CM_Material!$W$1:$W$10000,CM_Material!$A$1:$A$10000,Group!C319,CM_Material!$B$1:$B$10000,Group!$F$2)</f>
        <v>0</v>
      </c>
      <c r="G319" s="259">
        <f>SUMIFS(CM_Material!$W$1:$W$10000,CM_Material!$A$1:$A$10000,Group!C319,CM_Material!$B$1:$B$10000,Group!$G$2)</f>
        <v>0</v>
      </c>
      <c r="H319" s="259"/>
      <c r="I319" s="259">
        <f>SUMIFS(CM_Material!$H$1:$H$10000,CM_Material!$A$1:$A$10000,Group!C319)</f>
        <v>0</v>
      </c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M319" s="1">
        <f>BOM!D319</f>
        <v>0</v>
      </c>
      <c r="AN319" s="1">
        <f>BOM!C319</f>
        <v>0</v>
      </c>
      <c r="AO319" s="1">
        <f>BOM!B319</f>
        <v>0</v>
      </c>
    </row>
    <row r="320" spans="2:41">
      <c r="B320" s="205">
        <v>318</v>
      </c>
      <c r="C320" s="659">
        <f t="shared" si="7"/>
        <v>0</v>
      </c>
      <c r="D320" s="1" t="s">
        <v>890</v>
      </c>
      <c r="E320" s="259">
        <f>SUMIFS(CM_Material!$J$1:$J$10000,CM_Material!$A$1:$A$10000,Group!C320)</f>
        <v>0</v>
      </c>
      <c r="F320" s="259">
        <f>SUMIFS(CM_Material!$W$1:$W$10000,CM_Material!$A$1:$A$10000,Group!C320,CM_Material!$B$1:$B$10000,Group!$F$2)</f>
        <v>0</v>
      </c>
      <c r="G320" s="259">
        <f>SUMIFS(CM_Material!$W$1:$W$10000,CM_Material!$A$1:$A$10000,Group!C320,CM_Material!$B$1:$B$10000,Group!$G$2)</f>
        <v>0</v>
      </c>
      <c r="H320" s="259"/>
      <c r="I320" s="259">
        <f>SUMIFS(CM_Material!$H$1:$H$10000,CM_Material!$A$1:$A$10000,Group!C320)</f>
        <v>0</v>
      </c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M320" s="1">
        <f>BOM!D320</f>
        <v>0</v>
      </c>
      <c r="AN320" s="1">
        <f>BOM!C320</f>
        <v>0</v>
      </c>
      <c r="AO320" s="1">
        <f>BOM!B320</f>
        <v>0</v>
      </c>
    </row>
    <row r="321" spans="2:41">
      <c r="B321" s="205">
        <v>319</v>
      </c>
      <c r="C321" s="659">
        <f t="shared" si="7"/>
        <v>0</v>
      </c>
      <c r="D321" s="1" t="s">
        <v>890</v>
      </c>
      <c r="E321" s="259">
        <f>SUMIFS(CM_Material!$J$1:$J$10000,CM_Material!$A$1:$A$10000,Group!C321)</f>
        <v>0</v>
      </c>
      <c r="F321" s="259">
        <f>SUMIFS(CM_Material!$W$1:$W$10000,CM_Material!$A$1:$A$10000,Group!C321,CM_Material!$B$1:$B$10000,Group!$F$2)</f>
        <v>0</v>
      </c>
      <c r="G321" s="259">
        <f>SUMIFS(CM_Material!$W$1:$W$10000,CM_Material!$A$1:$A$10000,Group!C321,CM_Material!$B$1:$B$10000,Group!$G$2)</f>
        <v>0</v>
      </c>
      <c r="H321" s="259"/>
      <c r="I321" s="259">
        <f>SUMIFS(CM_Material!$H$1:$H$10000,CM_Material!$A$1:$A$10000,Group!C321)</f>
        <v>0</v>
      </c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M321" s="1">
        <f>BOM!D321</f>
        <v>0</v>
      </c>
      <c r="AN321" s="1">
        <f>BOM!C321</f>
        <v>0</v>
      </c>
      <c r="AO321" s="1">
        <f>BOM!B321</f>
        <v>0</v>
      </c>
    </row>
    <row r="322" spans="2:41">
      <c r="B322" s="205">
        <v>320</v>
      </c>
      <c r="C322" s="659">
        <f t="shared" si="7"/>
        <v>0</v>
      </c>
      <c r="D322" s="1" t="s">
        <v>890</v>
      </c>
      <c r="E322" s="259">
        <f>SUMIFS(CM_Material!$J$1:$J$10000,CM_Material!$A$1:$A$10000,Group!C322)</f>
        <v>0</v>
      </c>
      <c r="F322" s="259">
        <f>SUMIFS(CM_Material!$W$1:$W$10000,CM_Material!$A$1:$A$10000,Group!C322,CM_Material!$B$1:$B$10000,Group!$F$2)</f>
        <v>0</v>
      </c>
      <c r="G322" s="259">
        <f>SUMIFS(CM_Material!$W$1:$W$10000,CM_Material!$A$1:$A$10000,Group!C322,CM_Material!$B$1:$B$10000,Group!$G$2)</f>
        <v>0</v>
      </c>
      <c r="H322" s="259"/>
      <c r="I322" s="259">
        <f>SUMIFS(CM_Material!$H$1:$H$10000,CM_Material!$A$1:$A$10000,Group!C322)</f>
        <v>0</v>
      </c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M322" s="1">
        <f>BOM!D322</f>
        <v>0</v>
      </c>
      <c r="AN322" s="1">
        <f>BOM!C322</f>
        <v>0</v>
      </c>
      <c r="AO322" s="1">
        <f>BOM!B322</f>
        <v>0</v>
      </c>
    </row>
    <row r="323" spans="2:41">
      <c r="B323" s="205">
        <v>321</v>
      </c>
      <c r="C323" s="659">
        <f t="shared" si="7"/>
        <v>0</v>
      </c>
      <c r="D323" s="1" t="s">
        <v>890</v>
      </c>
      <c r="E323" s="259">
        <f>SUMIFS(CM_Material!$J$1:$J$10000,CM_Material!$A$1:$A$10000,Group!C323)</f>
        <v>0</v>
      </c>
      <c r="F323" s="259">
        <f>SUMIFS(CM_Material!$W$1:$W$10000,CM_Material!$A$1:$A$10000,Group!C323,CM_Material!$B$1:$B$10000,Group!$F$2)</f>
        <v>0</v>
      </c>
      <c r="G323" s="259">
        <f>SUMIFS(CM_Material!$W$1:$W$10000,CM_Material!$A$1:$A$10000,Group!C323,CM_Material!$B$1:$B$10000,Group!$G$2)</f>
        <v>0</v>
      </c>
      <c r="H323" s="259"/>
      <c r="I323" s="259">
        <f>SUMIFS(CM_Material!$H$1:$H$10000,CM_Material!$A$1:$A$10000,Group!C323)</f>
        <v>0</v>
      </c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M323" s="1">
        <f>BOM!D323</f>
        <v>0</v>
      </c>
      <c r="AN323" s="1">
        <f>BOM!C323</f>
        <v>0</v>
      </c>
      <c r="AO323" s="1">
        <f>BOM!B323</f>
        <v>0</v>
      </c>
    </row>
    <row r="324" spans="2:41">
      <c r="B324" s="205">
        <v>322</v>
      </c>
      <c r="C324" s="659">
        <f t="shared" si="7"/>
        <v>0</v>
      </c>
      <c r="D324" s="1" t="s">
        <v>890</v>
      </c>
      <c r="E324" s="259">
        <f>SUMIFS(CM_Material!$J$1:$J$10000,CM_Material!$A$1:$A$10000,Group!C324)</f>
        <v>0</v>
      </c>
      <c r="F324" s="259">
        <f>SUMIFS(CM_Material!$W$1:$W$10000,CM_Material!$A$1:$A$10000,Group!C324,CM_Material!$B$1:$B$10000,Group!$F$2)</f>
        <v>0</v>
      </c>
      <c r="G324" s="259">
        <f>SUMIFS(CM_Material!$W$1:$W$10000,CM_Material!$A$1:$A$10000,Group!C324,CM_Material!$B$1:$B$10000,Group!$G$2)</f>
        <v>0</v>
      </c>
      <c r="H324" s="259"/>
      <c r="I324" s="259">
        <f>SUMIFS(CM_Material!$H$1:$H$10000,CM_Material!$A$1:$A$10000,Group!C324)</f>
        <v>0</v>
      </c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M324" s="1">
        <f>BOM!D324</f>
        <v>0</v>
      </c>
      <c r="AN324" s="1">
        <f>BOM!C324</f>
        <v>0</v>
      </c>
      <c r="AO324" s="1">
        <f>BOM!B324</f>
        <v>0</v>
      </c>
    </row>
    <row r="325" spans="2:41">
      <c r="B325" s="205">
        <v>323</v>
      </c>
      <c r="C325" s="659">
        <f t="shared" si="7"/>
        <v>0</v>
      </c>
      <c r="D325" s="1" t="s">
        <v>890</v>
      </c>
      <c r="E325" s="259">
        <f>SUMIFS(CM_Material!$J$1:$J$10000,CM_Material!$A$1:$A$10000,Group!C325)</f>
        <v>0</v>
      </c>
      <c r="F325" s="259">
        <f>SUMIFS(CM_Material!$W$1:$W$10000,CM_Material!$A$1:$A$10000,Group!C325,CM_Material!$B$1:$B$10000,Group!$F$2)</f>
        <v>0</v>
      </c>
      <c r="G325" s="259">
        <f>SUMIFS(CM_Material!$W$1:$W$10000,CM_Material!$A$1:$A$10000,Group!C325,CM_Material!$B$1:$B$10000,Group!$G$2)</f>
        <v>0</v>
      </c>
      <c r="H325" s="259"/>
      <c r="I325" s="259">
        <f>SUMIFS(CM_Material!$H$1:$H$10000,CM_Material!$A$1:$A$10000,Group!C325)</f>
        <v>0</v>
      </c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M325" s="1">
        <f>BOM!D325</f>
        <v>0</v>
      </c>
      <c r="AN325" s="1">
        <f>BOM!C325</f>
        <v>0</v>
      </c>
      <c r="AO325" s="1">
        <f>BOM!B325</f>
        <v>0</v>
      </c>
    </row>
    <row r="326" spans="2:41">
      <c r="B326" s="205">
        <v>324</v>
      </c>
      <c r="C326" s="659">
        <f t="shared" si="7"/>
        <v>0</v>
      </c>
      <c r="D326" s="1" t="s">
        <v>890</v>
      </c>
      <c r="E326" s="259">
        <f>SUMIFS(CM_Material!$J$1:$J$10000,CM_Material!$A$1:$A$10000,Group!C326)</f>
        <v>0</v>
      </c>
      <c r="F326" s="259">
        <f>SUMIFS(CM_Material!$W$1:$W$10000,CM_Material!$A$1:$A$10000,Group!C326,CM_Material!$B$1:$B$10000,Group!$F$2)</f>
        <v>0</v>
      </c>
      <c r="G326" s="259">
        <f>SUMIFS(CM_Material!$W$1:$W$10000,CM_Material!$A$1:$A$10000,Group!C326,CM_Material!$B$1:$B$10000,Group!$G$2)</f>
        <v>0</v>
      </c>
      <c r="H326" s="259"/>
      <c r="I326" s="259">
        <f>SUMIFS(CM_Material!$H$1:$H$10000,CM_Material!$A$1:$A$10000,Group!C326)</f>
        <v>0</v>
      </c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M326" s="1">
        <f>BOM!D326</f>
        <v>0</v>
      </c>
      <c r="AN326" s="1">
        <f>BOM!C326</f>
        <v>0</v>
      </c>
      <c r="AO326" s="1">
        <f>BOM!B326</f>
        <v>0</v>
      </c>
    </row>
    <row r="327" spans="2:41">
      <c r="B327" s="205">
        <v>325</v>
      </c>
      <c r="C327" s="659">
        <f t="shared" si="7"/>
        <v>0</v>
      </c>
      <c r="D327" s="1" t="s">
        <v>890</v>
      </c>
      <c r="E327" s="259">
        <f>SUMIFS(CM_Material!$J$1:$J$10000,CM_Material!$A$1:$A$10000,Group!C327)</f>
        <v>0</v>
      </c>
      <c r="F327" s="259">
        <f>SUMIFS(CM_Material!$W$1:$W$10000,CM_Material!$A$1:$A$10000,Group!C327,CM_Material!$B$1:$B$10000,Group!$F$2)</f>
        <v>0</v>
      </c>
      <c r="G327" s="259">
        <f>SUMIFS(CM_Material!$W$1:$W$10000,CM_Material!$A$1:$A$10000,Group!C327,CM_Material!$B$1:$B$10000,Group!$G$2)</f>
        <v>0</v>
      </c>
      <c r="H327" s="259"/>
      <c r="I327" s="259">
        <f>SUMIFS(CM_Material!$H$1:$H$10000,CM_Material!$A$1:$A$10000,Group!C327)</f>
        <v>0</v>
      </c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M327" s="1">
        <f>BOM!D327</f>
        <v>0</v>
      </c>
      <c r="AN327" s="1">
        <f>BOM!C327</f>
        <v>0</v>
      </c>
      <c r="AO327" s="1">
        <f>BOM!B327</f>
        <v>0</v>
      </c>
    </row>
    <row r="328" spans="2:41">
      <c r="B328" s="205">
        <v>326</v>
      </c>
      <c r="C328" s="659">
        <f t="shared" si="7"/>
        <v>0</v>
      </c>
      <c r="D328" s="1" t="s">
        <v>890</v>
      </c>
      <c r="E328" s="259">
        <f>SUMIFS(CM_Material!$J$1:$J$10000,CM_Material!$A$1:$A$10000,Group!C328)</f>
        <v>0</v>
      </c>
      <c r="F328" s="259">
        <f>SUMIFS(CM_Material!$W$1:$W$10000,CM_Material!$A$1:$A$10000,Group!C328,CM_Material!$B$1:$B$10000,Group!$F$2)</f>
        <v>0</v>
      </c>
      <c r="G328" s="259">
        <f>SUMIFS(CM_Material!$W$1:$W$10000,CM_Material!$A$1:$A$10000,Group!C328,CM_Material!$B$1:$B$10000,Group!$G$2)</f>
        <v>0</v>
      </c>
      <c r="H328" s="259"/>
      <c r="I328" s="259">
        <f>SUMIFS(CM_Material!$H$1:$H$10000,CM_Material!$A$1:$A$10000,Group!C328)</f>
        <v>0</v>
      </c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M328" s="1">
        <f>BOM!D328</f>
        <v>0</v>
      </c>
      <c r="AN328" s="1">
        <f>BOM!C328</f>
        <v>0</v>
      </c>
      <c r="AO328" s="1">
        <f>BOM!B328</f>
        <v>0</v>
      </c>
    </row>
    <row r="329" spans="2:41">
      <c r="B329" s="205">
        <v>327</v>
      </c>
      <c r="C329" s="659">
        <f t="shared" si="7"/>
        <v>0</v>
      </c>
      <c r="D329" s="1" t="s">
        <v>890</v>
      </c>
      <c r="E329" s="259">
        <f>SUMIFS(CM_Material!$J$1:$J$10000,CM_Material!$A$1:$A$10000,Group!C329)</f>
        <v>0</v>
      </c>
      <c r="F329" s="259">
        <f>SUMIFS(CM_Material!$W$1:$W$10000,CM_Material!$A$1:$A$10000,Group!C329,CM_Material!$B$1:$B$10000,Group!$F$2)</f>
        <v>0</v>
      </c>
      <c r="G329" s="259">
        <f>SUMIFS(CM_Material!$W$1:$W$10000,CM_Material!$A$1:$A$10000,Group!C329,CM_Material!$B$1:$B$10000,Group!$G$2)</f>
        <v>0</v>
      </c>
      <c r="H329" s="259"/>
      <c r="I329" s="259">
        <f>SUMIFS(CM_Material!$H$1:$H$10000,CM_Material!$A$1:$A$10000,Group!C329)</f>
        <v>0</v>
      </c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M329" s="1">
        <f>BOM!D329</f>
        <v>0</v>
      </c>
      <c r="AN329" s="1">
        <f>BOM!C329</f>
        <v>0</v>
      </c>
      <c r="AO329" s="1">
        <f>BOM!B329</f>
        <v>0</v>
      </c>
    </row>
    <row r="330" spans="2:41">
      <c r="B330" s="205">
        <v>328</v>
      </c>
      <c r="C330" s="659">
        <f t="shared" si="7"/>
        <v>0</v>
      </c>
      <c r="D330" s="1" t="s">
        <v>890</v>
      </c>
      <c r="E330" s="259">
        <f>SUMIFS(CM_Material!$J$1:$J$10000,CM_Material!$A$1:$A$10000,Group!C330)</f>
        <v>0</v>
      </c>
      <c r="F330" s="259">
        <f>SUMIFS(CM_Material!$W$1:$W$10000,CM_Material!$A$1:$A$10000,Group!C330,CM_Material!$B$1:$B$10000,Group!$F$2)</f>
        <v>0</v>
      </c>
      <c r="G330" s="259">
        <f>SUMIFS(CM_Material!$W$1:$W$10000,CM_Material!$A$1:$A$10000,Group!C330,CM_Material!$B$1:$B$10000,Group!$G$2)</f>
        <v>0</v>
      </c>
      <c r="H330" s="259"/>
      <c r="I330" s="259">
        <f>SUMIFS(CM_Material!$H$1:$H$10000,CM_Material!$A$1:$A$10000,Group!C330)</f>
        <v>0</v>
      </c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M330" s="1">
        <f>BOM!D330</f>
        <v>0</v>
      </c>
      <c r="AN330" s="1">
        <f>BOM!C330</f>
        <v>0</v>
      </c>
      <c r="AO330" s="1">
        <f>BOM!B330</f>
        <v>0</v>
      </c>
    </row>
    <row r="331" spans="2:41">
      <c r="B331" s="205">
        <v>329</v>
      </c>
      <c r="C331" s="659">
        <f t="shared" si="7"/>
        <v>0</v>
      </c>
      <c r="D331" s="1" t="s">
        <v>890</v>
      </c>
      <c r="E331" s="259">
        <f>SUMIFS(CM_Material!$J$1:$J$10000,CM_Material!$A$1:$A$10000,Group!C331)</f>
        <v>0</v>
      </c>
      <c r="F331" s="259">
        <f>SUMIFS(CM_Material!$W$1:$W$10000,CM_Material!$A$1:$A$10000,Group!C331,CM_Material!$B$1:$B$10000,Group!$F$2)</f>
        <v>0</v>
      </c>
      <c r="G331" s="259">
        <f>SUMIFS(CM_Material!$W$1:$W$10000,CM_Material!$A$1:$A$10000,Group!C331,CM_Material!$B$1:$B$10000,Group!$G$2)</f>
        <v>0</v>
      </c>
      <c r="H331" s="259"/>
      <c r="I331" s="259">
        <f>SUMIFS(CM_Material!$H$1:$H$10000,CM_Material!$A$1:$A$10000,Group!C331)</f>
        <v>0</v>
      </c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M331" s="1">
        <f>BOM!D331</f>
        <v>0</v>
      </c>
      <c r="AN331" s="1">
        <f>BOM!C331</f>
        <v>0</v>
      </c>
      <c r="AO331" s="1">
        <f>BOM!B331</f>
        <v>0</v>
      </c>
    </row>
    <row r="332" spans="2:41">
      <c r="B332" s="205">
        <v>330</v>
      </c>
      <c r="C332" s="659">
        <f t="shared" si="7"/>
        <v>0</v>
      </c>
      <c r="D332" s="1" t="s">
        <v>890</v>
      </c>
      <c r="E332" s="259">
        <f>SUMIFS(CM_Material!$J$1:$J$10000,CM_Material!$A$1:$A$10000,Group!C332)</f>
        <v>0</v>
      </c>
      <c r="F332" s="259">
        <f>SUMIFS(CM_Material!$W$1:$W$10000,CM_Material!$A$1:$A$10000,Group!C332,CM_Material!$B$1:$B$10000,Group!$F$2)</f>
        <v>0</v>
      </c>
      <c r="G332" s="259">
        <f>SUMIFS(CM_Material!$W$1:$W$10000,CM_Material!$A$1:$A$10000,Group!C332,CM_Material!$B$1:$B$10000,Group!$G$2)</f>
        <v>0</v>
      </c>
      <c r="H332" s="259"/>
      <c r="I332" s="259">
        <f>SUMIFS(CM_Material!$H$1:$H$10000,CM_Material!$A$1:$A$10000,Group!C332)</f>
        <v>0</v>
      </c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M332" s="1">
        <f>BOM!D332</f>
        <v>0</v>
      </c>
      <c r="AN332" s="1">
        <f>BOM!C332</f>
        <v>0</v>
      </c>
      <c r="AO332" s="1">
        <f>BOM!B332</f>
        <v>0</v>
      </c>
    </row>
    <row r="333" spans="2:41">
      <c r="B333" s="205">
        <v>331</v>
      </c>
      <c r="C333" s="659">
        <f t="shared" si="7"/>
        <v>0</v>
      </c>
      <c r="D333" s="1" t="s">
        <v>890</v>
      </c>
      <c r="E333" s="259">
        <f>SUMIFS(CM_Material!$J$1:$J$10000,CM_Material!$A$1:$A$10000,Group!C333)</f>
        <v>0</v>
      </c>
      <c r="F333" s="259">
        <f>SUMIFS(CM_Material!$W$1:$W$10000,CM_Material!$A$1:$A$10000,Group!C333,CM_Material!$B$1:$B$10000,Group!$F$2)</f>
        <v>0</v>
      </c>
      <c r="G333" s="259">
        <f>SUMIFS(CM_Material!$W$1:$W$10000,CM_Material!$A$1:$A$10000,Group!C333,CM_Material!$B$1:$B$10000,Group!$G$2)</f>
        <v>0</v>
      </c>
      <c r="H333" s="259"/>
      <c r="I333" s="259">
        <f>SUMIFS(CM_Material!$H$1:$H$10000,CM_Material!$A$1:$A$10000,Group!C333)</f>
        <v>0</v>
      </c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M333" s="1">
        <f>BOM!D333</f>
        <v>0</v>
      </c>
      <c r="AN333" s="1">
        <f>BOM!C333</f>
        <v>0</v>
      </c>
      <c r="AO333" s="1">
        <f>BOM!B333</f>
        <v>0</v>
      </c>
    </row>
    <row r="334" spans="2:41">
      <c r="B334" s="205">
        <v>332</v>
      </c>
      <c r="C334" s="659">
        <f t="shared" si="7"/>
        <v>0</v>
      </c>
      <c r="D334" s="1" t="s">
        <v>890</v>
      </c>
      <c r="E334" s="259">
        <f>SUMIFS(CM_Material!$J$1:$J$10000,CM_Material!$A$1:$A$10000,Group!C334)</f>
        <v>0</v>
      </c>
      <c r="F334" s="259">
        <f>SUMIFS(CM_Material!$W$1:$W$10000,CM_Material!$A$1:$A$10000,Group!C334,CM_Material!$B$1:$B$10000,Group!$F$2)</f>
        <v>0</v>
      </c>
      <c r="G334" s="259">
        <f>SUMIFS(CM_Material!$W$1:$W$10000,CM_Material!$A$1:$A$10000,Group!C334,CM_Material!$B$1:$B$10000,Group!$G$2)</f>
        <v>0</v>
      </c>
      <c r="H334" s="259"/>
      <c r="I334" s="259">
        <f>SUMIFS(CM_Material!$H$1:$H$10000,CM_Material!$A$1:$A$10000,Group!C334)</f>
        <v>0</v>
      </c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M334" s="1">
        <f>BOM!D334</f>
        <v>0</v>
      </c>
      <c r="AN334" s="1">
        <f>BOM!C334</f>
        <v>0</v>
      </c>
      <c r="AO334" s="1">
        <f>BOM!B334</f>
        <v>0</v>
      </c>
    </row>
    <row r="335" spans="2:41">
      <c r="B335" s="205">
        <v>333</v>
      </c>
      <c r="C335" s="659">
        <f t="shared" si="7"/>
        <v>0</v>
      </c>
      <c r="D335" s="1" t="s">
        <v>890</v>
      </c>
      <c r="E335" s="259">
        <f>SUMIFS(CM_Material!$J$1:$J$10000,CM_Material!$A$1:$A$10000,Group!C335)</f>
        <v>0</v>
      </c>
      <c r="F335" s="259">
        <f>SUMIFS(CM_Material!$W$1:$W$10000,CM_Material!$A$1:$A$10000,Group!C335,CM_Material!$B$1:$B$10000,Group!$F$2)</f>
        <v>0</v>
      </c>
      <c r="G335" s="259">
        <f>SUMIFS(CM_Material!$W$1:$W$10000,CM_Material!$A$1:$A$10000,Group!C335,CM_Material!$B$1:$B$10000,Group!$G$2)</f>
        <v>0</v>
      </c>
      <c r="H335" s="259"/>
      <c r="I335" s="259">
        <f>SUMIFS(CM_Material!$H$1:$H$10000,CM_Material!$A$1:$A$10000,Group!C335)</f>
        <v>0</v>
      </c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M335" s="1">
        <f>BOM!D335</f>
        <v>0</v>
      </c>
      <c r="AN335" s="1">
        <f>BOM!C335</f>
        <v>0</v>
      </c>
      <c r="AO335" s="1">
        <f>BOM!B335</f>
        <v>0</v>
      </c>
    </row>
    <row r="336" spans="2:41">
      <c r="B336" s="205">
        <v>334</v>
      </c>
      <c r="C336" s="659">
        <f t="shared" si="7"/>
        <v>0</v>
      </c>
      <c r="D336" s="1" t="s">
        <v>890</v>
      </c>
      <c r="E336" s="259">
        <f>SUMIFS(CM_Material!$J$1:$J$10000,CM_Material!$A$1:$A$10000,Group!C336)</f>
        <v>0</v>
      </c>
      <c r="F336" s="259">
        <f>SUMIFS(CM_Material!$W$1:$W$10000,CM_Material!$A$1:$A$10000,Group!C336,CM_Material!$B$1:$B$10000,Group!$F$2)</f>
        <v>0</v>
      </c>
      <c r="G336" s="259">
        <f>SUMIFS(CM_Material!$W$1:$W$10000,CM_Material!$A$1:$A$10000,Group!C336,CM_Material!$B$1:$B$10000,Group!$G$2)</f>
        <v>0</v>
      </c>
      <c r="H336" s="259"/>
      <c r="I336" s="259">
        <f>SUMIFS(CM_Material!$H$1:$H$10000,CM_Material!$A$1:$A$10000,Group!C336)</f>
        <v>0</v>
      </c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M336" s="1">
        <f>BOM!D336</f>
        <v>0</v>
      </c>
      <c r="AN336" s="1">
        <f>BOM!C336</f>
        <v>0</v>
      </c>
      <c r="AO336" s="1">
        <f>BOM!B336</f>
        <v>0</v>
      </c>
    </row>
    <row r="337" spans="2:41">
      <c r="B337" s="205">
        <v>335</v>
      </c>
      <c r="C337" s="659">
        <f t="shared" si="7"/>
        <v>0</v>
      </c>
      <c r="D337" s="1" t="s">
        <v>890</v>
      </c>
      <c r="E337" s="259">
        <f>SUMIFS(CM_Material!$J$1:$J$10000,CM_Material!$A$1:$A$10000,Group!C337)</f>
        <v>0</v>
      </c>
      <c r="F337" s="259">
        <f>SUMIFS(CM_Material!$W$1:$W$10000,CM_Material!$A$1:$A$10000,Group!C337,CM_Material!$B$1:$B$10000,Group!$F$2)</f>
        <v>0</v>
      </c>
      <c r="G337" s="259">
        <f>SUMIFS(CM_Material!$W$1:$W$10000,CM_Material!$A$1:$A$10000,Group!C337,CM_Material!$B$1:$B$10000,Group!$G$2)</f>
        <v>0</v>
      </c>
      <c r="H337" s="259"/>
      <c r="I337" s="259">
        <f>SUMIFS(CM_Material!$H$1:$H$10000,CM_Material!$A$1:$A$10000,Group!C337)</f>
        <v>0</v>
      </c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M337" s="1">
        <f>BOM!D337</f>
        <v>0</v>
      </c>
      <c r="AN337" s="1">
        <f>BOM!C337</f>
        <v>0</v>
      </c>
      <c r="AO337" s="1">
        <f>BOM!B337</f>
        <v>0</v>
      </c>
    </row>
    <row r="338" spans="2:41">
      <c r="B338" s="205">
        <v>336</v>
      </c>
      <c r="C338" s="659">
        <f t="shared" si="7"/>
        <v>0</v>
      </c>
      <c r="D338" s="1" t="s">
        <v>890</v>
      </c>
      <c r="E338" s="259">
        <f>SUMIFS(CM_Material!$J$1:$J$10000,CM_Material!$A$1:$A$10000,Group!C338)</f>
        <v>0</v>
      </c>
      <c r="F338" s="259">
        <f>SUMIFS(CM_Material!$W$1:$W$10000,CM_Material!$A$1:$A$10000,Group!C338,CM_Material!$B$1:$B$10000,Group!$F$2)</f>
        <v>0</v>
      </c>
      <c r="G338" s="259">
        <f>SUMIFS(CM_Material!$W$1:$W$10000,CM_Material!$A$1:$A$10000,Group!C338,CM_Material!$B$1:$B$10000,Group!$G$2)</f>
        <v>0</v>
      </c>
      <c r="H338" s="259"/>
      <c r="I338" s="259">
        <f>SUMIFS(CM_Material!$H$1:$H$10000,CM_Material!$A$1:$A$10000,Group!C338)</f>
        <v>0</v>
      </c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M338" s="1">
        <f>BOM!D338</f>
        <v>0</v>
      </c>
      <c r="AN338" s="1">
        <f>BOM!C338</f>
        <v>0</v>
      </c>
      <c r="AO338" s="1">
        <f>BOM!B338</f>
        <v>0</v>
      </c>
    </row>
    <row r="339" spans="2:41">
      <c r="B339" s="205">
        <v>337</v>
      </c>
      <c r="C339" s="659">
        <f t="shared" si="7"/>
        <v>0</v>
      </c>
      <c r="D339" s="1" t="s">
        <v>890</v>
      </c>
      <c r="E339" s="259">
        <f>SUMIFS(CM_Material!$J$1:$J$10000,CM_Material!$A$1:$A$10000,Group!C339)</f>
        <v>0</v>
      </c>
      <c r="F339" s="259">
        <f>SUMIFS(CM_Material!$W$1:$W$10000,CM_Material!$A$1:$A$10000,Group!C339,CM_Material!$B$1:$B$10000,Group!$F$2)</f>
        <v>0</v>
      </c>
      <c r="G339" s="259">
        <f>SUMIFS(CM_Material!$W$1:$W$10000,CM_Material!$A$1:$A$10000,Group!C339,CM_Material!$B$1:$B$10000,Group!$G$2)</f>
        <v>0</v>
      </c>
      <c r="H339" s="259"/>
      <c r="I339" s="259">
        <f>SUMIFS(CM_Material!$H$1:$H$10000,CM_Material!$A$1:$A$10000,Group!C339)</f>
        <v>0</v>
      </c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M339" s="1">
        <f>BOM!D339</f>
        <v>0</v>
      </c>
      <c r="AN339" s="1">
        <f>BOM!C339</f>
        <v>0</v>
      </c>
      <c r="AO339" s="1">
        <f>BOM!B339</f>
        <v>0</v>
      </c>
    </row>
    <row r="340" spans="2:41">
      <c r="B340" s="205">
        <v>338</v>
      </c>
      <c r="C340" s="659">
        <f t="shared" si="7"/>
        <v>0</v>
      </c>
      <c r="D340" s="1" t="s">
        <v>890</v>
      </c>
      <c r="E340" s="259">
        <f>SUMIFS(CM_Material!$J$1:$J$10000,CM_Material!$A$1:$A$10000,Group!C340)</f>
        <v>0</v>
      </c>
      <c r="F340" s="259">
        <f>SUMIFS(CM_Material!$W$1:$W$10000,CM_Material!$A$1:$A$10000,Group!C340,CM_Material!$B$1:$B$10000,Group!$F$2)</f>
        <v>0</v>
      </c>
      <c r="G340" s="259">
        <f>SUMIFS(CM_Material!$W$1:$W$10000,CM_Material!$A$1:$A$10000,Group!C340,CM_Material!$B$1:$B$10000,Group!$G$2)</f>
        <v>0</v>
      </c>
      <c r="H340" s="259"/>
      <c r="I340" s="259">
        <f>SUMIFS(CM_Material!$H$1:$H$10000,CM_Material!$A$1:$A$10000,Group!C340)</f>
        <v>0</v>
      </c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M340" s="1">
        <f>BOM!D340</f>
        <v>0</v>
      </c>
      <c r="AN340" s="1">
        <f>BOM!C340</f>
        <v>0</v>
      </c>
      <c r="AO340" s="1">
        <f>BOM!B340</f>
        <v>0</v>
      </c>
    </row>
    <row r="341" spans="2:41">
      <c r="B341" s="205">
        <v>339</v>
      </c>
      <c r="C341" s="659">
        <f t="shared" si="7"/>
        <v>0</v>
      </c>
      <c r="D341" s="1" t="s">
        <v>890</v>
      </c>
      <c r="E341" s="259">
        <f>SUMIFS(CM_Material!$J$1:$J$10000,CM_Material!$A$1:$A$10000,Group!C341)</f>
        <v>0</v>
      </c>
      <c r="F341" s="259">
        <f>SUMIFS(CM_Material!$W$1:$W$10000,CM_Material!$A$1:$A$10000,Group!C341,CM_Material!$B$1:$B$10000,Group!$F$2)</f>
        <v>0</v>
      </c>
      <c r="G341" s="259">
        <f>SUMIFS(CM_Material!$W$1:$W$10000,CM_Material!$A$1:$A$10000,Group!C341,CM_Material!$B$1:$B$10000,Group!$G$2)</f>
        <v>0</v>
      </c>
      <c r="H341" s="259"/>
      <c r="I341" s="259">
        <f>SUMIFS(CM_Material!$H$1:$H$10000,CM_Material!$A$1:$A$10000,Group!C341)</f>
        <v>0</v>
      </c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M341" s="1">
        <f>BOM!D341</f>
        <v>0</v>
      </c>
      <c r="AN341" s="1">
        <f>BOM!C341</f>
        <v>0</v>
      </c>
      <c r="AO341" s="1">
        <f>BOM!B341</f>
        <v>0</v>
      </c>
    </row>
    <row r="342" spans="2:41">
      <c r="B342" s="205">
        <v>340</v>
      </c>
      <c r="C342" s="659">
        <f t="shared" si="7"/>
        <v>0</v>
      </c>
      <c r="D342" s="1" t="s">
        <v>890</v>
      </c>
      <c r="E342" s="259">
        <f>SUMIFS(CM_Material!$J$1:$J$10000,CM_Material!$A$1:$A$10000,Group!C342)</f>
        <v>0</v>
      </c>
      <c r="F342" s="259">
        <f>SUMIFS(CM_Material!$W$1:$W$10000,CM_Material!$A$1:$A$10000,Group!C342,CM_Material!$B$1:$B$10000,Group!$F$2)</f>
        <v>0</v>
      </c>
      <c r="G342" s="259">
        <f>SUMIFS(CM_Material!$W$1:$W$10000,CM_Material!$A$1:$A$10000,Group!C342,CM_Material!$B$1:$B$10000,Group!$G$2)</f>
        <v>0</v>
      </c>
      <c r="H342" s="259"/>
      <c r="I342" s="259">
        <f>SUMIFS(CM_Material!$H$1:$H$10000,CM_Material!$A$1:$A$10000,Group!C342)</f>
        <v>0</v>
      </c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M342" s="1">
        <f>BOM!D342</f>
        <v>0</v>
      </c>
      <c r="AN342" s="1">
        <f>BOM!C342</f>
        <v>0</v>
      </c>
      <c r="AO342" s="1">
        <f>BOM!B342</f>
        <v>0</v>
      </c>
    </row>
    <row r="343" spans="2:41">
      <c r="B343" s="205">
        <v>341</v>
      </c>
      <c r="C343" s="659">
        <f t="shared" si="7"/>
        <v>0</v>
      </c>
      <c r="D343" s="1" t="s">
        <v>890</v>
      </c>
      <c r="E343" s="259">
        <f>SUMIFS(CM_Material!$J$1:$J$10000,CM_Material!$A$1:$A$10000,Group!C343)</f>
        <v>0</v>
      </c>
      <c r="F343" s="259">
        <f>SUMIFS(CM_Material!$W$1:$W$10000,CM_Material!$A$1:$A$10000,Group!C343,CM_Material!$B$1:$B$10000,Group!$F$2)</f>
        <v>0</v>
      </c>
      <c r="G343" s="259">
        <f>SUMIFS(CM_Material!$W$1:$W$10000,CM_Material!$A$1:$A$10000,Group!C343,CM_Material!$B$1:$B$10000,Group!$G$2)</f>
        <v>0</v>
      </c>
      <c r="H343" s="259"/>
      <c r="I343" s="259">
        <f>SUMIFS(CM_Material!$H$1:$H$10000,CM_Material!$A$1:$A$10000,Group!C343)</f>
        <v>0</v>
      </c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M343" s="1">
        <f>BOM!D343</f>
        <v>0</v>
      </c>
      <c r="AN343" s="1">
        <f>BOM!C343</f>
        <v>0</v>
      </c>
      <c r="AO343" s="1">
        <f>BOM!B343</f>
        <v>0</v>
      </c>
    </row>
    <row r="344" spans="2:41">
      <c r="B344" s="205">
        <v>342</v>
      </c>
      <c r="C344" s="659">
        <f t="shared" si="7"/>
        <v>0</v>
      </c>
      <c r="D344" s="1" t="s">
        <v>890</v>
      </c>
      <c r="E344" s="259">
        <f>SUMIFS(CM_Material!$J$1:$J$10000,CM_Material!$A$1:$A$10000,Group!C344)</f>
        <v>0</v>
      </c>
      <c r="F344" s="259">
        <f>SUMIFS(CM_Material!$W$1:$W$10000,CM_Material!$A$1:$A$10000,Group!C344,CM_Material!$B$1:$B$10000,Group!$F$2)</f>
        <v>0</v>
      </c>
      <c r="G344" s="259">
        <f>SUMIFS(CM_Material!$W$1:$W$10000,CM_Material!$A$1:$A$10000,Group!C344,CM_Material!$B$1:$B$10000,Group!$G$2)</f>
        <v>0</v>
      </c>
      <c r="H344" s="259"/>
      <c r="I344" s="259">
        <f>SUMIFS(CM_Material!$H$1:$H$10000,CM_Material!$A$1:$A$10000,Group!C344)</f>
        <v>0</v>
      </c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M344" s="1">
        <f>BOM!D344</f>
        <v>0</v>
      </c>
      <c r="AN344" s="1">
        <f>BOM!C344</f>
        <v>0</v>
      </c>
      <c r="AO344" s="1">
        <f>BOM!B344</f>
        <v>0</v>
      </c>
    </row>
    <row r="345" spans="2:41">
      <c r="B345" s="205">
        <v>343</v>
      </c>
      <c r="C345" s="659">
        <f t="shared" si="7"/>
        <v>0</v>
      </c>
      <c r="D345" s="1" t="s">
        <v>890</v>
      </c>
      <c r="E345" s="259">
        <f>SUMIFS(CM_Material!$J$1:$J$10000,CM_Material!$A$1:$A$10000,Group!C345)</f>
        <v>0</v>
      </c>
      <c r="F345" s="259">
        <f>SUMIFS(CM_Material!$W$1:$W$10000,CM_Material!$A$1:$A$10000,Group!C345,CM_Material!$B$1:$B$10000,Group!$F$2)</f>
        <v>0</v>
      </c>
      <c r="G345" s="259">
        <f>SUMIFS(CM_Material!$W$1:$W$10000,CM_Material!$A$1:$A$10000,Group!C345,CM_Material!$B$1:$B$10000,Group!$G$2)</f>
        <v>0</v>
      </c>
      <c r="H345" s="259"/>
      <c r="I345" s="259">
        <f>SUMIFS(CM_Material!$H$1:$H$10000,CM_Material!$A$1:$A$10000,Group!C345)</f>
        <v>0</v>
      </c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M345" s="1">
        <f>BOM!D345</f>
        <v>0</v>
      </c>
      <c r="AN345" s="1">
        <f>BOM!C345</f>
        <v>0</v>
      </c>
      <c r="AO345" s="1">
        <f>BOM!B345</f>
        <v>0</v>
      </c>
    </row>
    <row r="346" spans="2:41">
      <c r="B346" s="205">
        <v>344</v>
      </c>
      <c r="C346" s="659">
        <f t="shared" si="7"/>
        <v>0</v>
      </c>
      <c r="D346" s="1" t="s">
        <v>890</v>
      </c>
      <c r="E346" s="259">
        <f>SUMIFS(CM_Material!$J$1:$J$10000,CM_Material!$A$1:$A$10000,Group!C346)</f>
        <v>0</v>
      </c>
      <c r="F346" s="259">
        <f>SUMIFS(CM_Material!$W$1:$W$10000,CM_Material!$A$1:$A$10000,Group!C346,CM_Material!$B$1:$B$10000,Group!$F$2)</f>
        <v>0</v>
      </c>
      <c r="G346" s="259">
        <f>SUMIFS(CM_Material!$W$1:$W$10000,CM_Material!$A$1:$A$10000,Group!C346,CM_Material!$B$1:$B$10000,Group!$G$2)</f>
        <v>0</v>
      </c>
      <c r="H346" s="259"/>
      <c r="I346" s="259">
        <f>SUMIFS(CM_Material!$H$1:$H$10000,CM_Material!$A$1:$A$10000,Group!C346)</f>
        <v>0</v>
      </c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M346" s="1">
        <f>BOM!D346</f>
        <v>0</v>
      </c>
      <c r="AN346" s="1">
        <f>BOM!C346</f>
        <v>0</v>
      </c>
      <c r="AO346" s="1">
        <f>BOM!B346</f>
        <v>0</v>
      </c>
    </row>
    <row r="347" spans="2:41">
      <c r="B347" s="205">
        <v>345</v>
      </c>
      <c r="C347" s="659">
        <f t="shared" si="7"/>
        <v>0</v>
      </c>
      <c r="D347" s="1" t="s">
        <v>890</v>
      </c>
      <c r="E347" s="259">
        <f>SUMIFS(CM_Material!$J$1:$J$10000,CM_Material!$A$1:$A$10000,Group!C347)</f>
        <v>0</v>
      </c>
      <c r="F347" s="259">
        <f>SUMIFS(CM_Material!$W$1:$W$10000,CM_Material!$A$1:$A$10000,Group!C347,CM_Material!$B$1:$B$10000,Group!$F$2)</f>
        <v>0</v>
      </c>
      <c r="G347" s="259">
        <f>SUMIFS(CM_Material!$W$1:$W$10000,CM_Material!$A$1:$A$10000,Group!C347,CM_Material!$B$1:$B$10000,Group!$G$2)</f>
        <v>0</v>
      </c>
      <c r="H347" s="259"/>
      <c r="I347" s="259">
        <f>SUMIFS(CM_Material!$H$1:$H$10000,CM_Material!$A$1:$A$10000,Group!C347)</f>
        <v>0</v>
      </c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M347" s="1">
        <f>BOM!D347</f>
        <v>0</v>
      </c>
      <c r="AN347" s="1">
        <f>BOM!C347</f>
        <v>0</v>
      </c>
      <c r="AO347" s="1">
        <f>BOM!B347</f>
        <v>0</v>
      </c>
    </row>
    <row r="348" spans="2:41">
      <c r="B348" s="205">
        <v>346</v>
      </c>
      <c r="C348" s="659">
        <f t="shared" si="7"/>
        <v>0</v>
      </c>
      <c r="D348" s="1" t="s">
        <v>890</v>
      </c>
      <c r="E348" s="259">
        <f>SUMIFS(CM_Material!$J$1:$J$10000,CM_Material!$A$1:$A$10000,Group!C348)</f>
        <v>0</v>
      </c>
      <c r="F348" s="259">
        <f>SUMIFS(CM_Material!$W$1:$W$10000,CM_Material!$A$1:$A$10000,Group!C348,CM_Material!$B$1:$B$10000,Group!$F$2)</f>
        <v>0</v>
      </c>
      <c r="G348" s="259">
        <f>SUMIFS(CM_Material!$W$1:$W$10000,CM_Material!$A$1:$A$10000,Group!C348,CM_Material!$B$1:$B$10000,Group!$G$2)</f>
        <v>0</v>
      </c>
      <c r="H348" s="259"/>
      <c r="I348" s="259">
        <f>SUMIFS(CM_Material!$H$1:$H$10000,CM_Material!$A$1:$A$10000,Group!C348)</f>
        <v>0</v>
      </c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M348" s="1">
        <f>BOM!D348</f>
        <v>0</v>
      </c>
      <c r="AN348" s="1">
        <f>BOM!C348</f>
        <v>0</v>
      </c>
      <c r="AO348" s="1">
        <f>BOM!B348</f>
        <v>0</v>
      </c>
    </row>
    <row r="349" spans="2:41">
      <c r="B349" s="205">
        <v>347</v>
      </c>
      <c r="C349" s="659">
        <f t="shared" si="7"/>
        <v>0</v>
      </c>
      <c r="D349" s="1" t="s">
        <v>890</v>
      </c>
      <c r="E349" s="259">
        <f>SUMIFS(CM_Material!$J$1:$J$10000,CM_Material!$A$1:$A$10000,Group!C349)</f>
        <v>0</v>
      </c>
      <c r="F349" s="259">
        <f>SUMIFS(CM_Material!$W$1:$W$10000,CM_Material!$A$1:$A$10000,Group!C349,CM_Material!$B$1:$B$10000,Group!$F$2)</f>
        <v>0</v>
      </c>
      <c r="G349" s="259">
        <f>SUMIFS(CM_Material!$W$1:$W$10000,CM_Material!$A$1:$A$10000,Group!C349,CM_Material!$B$1:$B$10000,Group!$G$2)</f>
        <v>0</v>
      </c>
      <c r="H349" s="259"/>
      <c r="I349" s="259">
        <f>SUMIFS(CM_Material!$H$1:$H$10000,CM_Material!$A$1:$A$10000,Group!C349)</f>
        <v>0</v>
      </c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M349" s="1">
        <f>BOM!D349</f>
        <v>0</v>
      </c>
      <c r="AN349" s="1">
        <f>BOM!C349</f>
        <v>0</v>
      </c>
      <c r="AO349" s="1">
        <f>BOM!B349</f>
        <v>0</v>
      </c>
    </row>
    <row r="350" spans="2:41">
      <c r="B350" s="205">
        <v>348</v>
      </c>
      <c r="C350" s="659">
        <f t="shared" si="7"/>
        <v>0</v>
      </c>
      <c r="D350" s="1" t="s">
        <v>890</v>
      </c>
      <c r="E350" s="259">
        <f>SUMIFS(CM_Material!$J$1:$J$10000,CM_Material!$A$1:$A$10000,Group!C350)</f>
        <v>0</v>
      </c>
      <c r="F350" s="259">
        <f>SUMIFS(CM_Material!$W$1:$W$10000,CM_Material!$A$1:$A$10000,Group!C350,CM_Material!$B$1:$B$10000,Group!$F$2)</f>
        <v>0</v>
      </c>
      <c r="G350" s="259">
        <f>SUMIFS(CM_Material!$W$1:$W$10000,CM_Material!$A$1:$A$10000,Group!C350,CM_Material!$B$1:$B$10000,Group!$G$2)</f>
        <v>0</v>
      </c>
      <c r="H350" s="259"/>
      <c r="I350" s="259">
        <f>SUMIFS(CM_Material!$H$1:$H$10000,CM_Material!$A$1:$A$10000,Group!C350)</f>
        <v>0</v>
      </c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M350" s="1">
        <f>BOM!D350</f>
        <v>0</v>
      </c>
      <c r="AN350" s="1">
        <f>BOM!C350</f>
        <v>0</v>
      </c>
      <c r="AO350" s="1">
        <f>BOM!B350</f>
        <v>0</v>
      </c>
    </row>
    <row r="351" spans="2:41">
      <c r="B351" s="205">
        <v>349</v>
      </c>
      <c r="C351" s="659">
        <f t="shared" si="7"/>
        <v>0</v>
      </c>
      <c r="D351" s="1" t="s">
        <v>890</v>
      </c>
      <c r="E351" s="259">
        <f>SUMIFS(CM_Material!$J$1:$J$10000,CM_Material!$A$1:$A$10000,Group!C351)</f>
        <v>0</v>
      </c>
      <c r="F351" s="259">
        <f>SUMIFS(CM_Material!$W$1:$W$10000,CM_Material!$A$1:$A$10000,Group!C351,CM_Material!$B$1:$B$10000,Group!$F$2)</f>
        <v>0</v>
      </c>
      <c r="G351" s="259">
        <f>SUMIFS(CM_Material!$W$1:$W$10000,CM_Material!$A$1:$A$10000,Group!C351,CM_Material!$B$1:$B$10000,Group!$G$2)</f>
        <v>0</v>
      </c>
      <c r="H351" s="259"/>
      <c r="I351" s="259">
        <f>SUMIFS(CM_Material!$H$1:$H$10000,CM_Material!$A$1:$A$10000,Group!C351)</f>
        <v>0</v>
      </c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M351" s="1">
        <f>BOM!D351</f>
        <v>0</v>
      </c>
      <c r="AN351" s="1">
        <f>BOM!C351</f>
        <v>0</v>
      </c>
      <c r="AO351" s="1">
        <f>BOM!B351</f>
        <v>0</v>
      </c>
    </row>
    <row r="352" spans="2:41">
      <c r="B352" s="205">
        <v>350</v>
      </c>
      <c r="C352" s="659">
        <f t="shared" si="7"/>
        <v>0</v>
      </c>
      <c r="D352" s="1" t="s">
        <v>890</v>
      </c>
      <c r="E352" s="259">
        <f>SUMIFS(CM_Material!$J$1:$J$10000,CM_Material!$A$1:$A$10000,Group!C352)</f>
        <v>0</v>
      </c>
      <c r="F352" s="259">
        <f>SUMIFS(CM_Material!$W$1:$W$10000,CM_Material!$A$1:$A$10000,Group!C352,CM_Material!$B$1:$B$10000,Group!$F$2)</f>
        <v>0</v>
      </c>
      <c r="G352" s="259">
        <f>SUMIFS(CM_Material!$W$1:$W$10000,CM_Material!$A$1:$A$10000,Group!C352,CM_Material!$B$1:$B$10000,Group!$G$2)</f>
        <v>0</v>
      </c>
      <c r="H352" s="259"/>
      <c r="I352" s="259">
        <f>SUMIFS(CM_Material!$H$1:$H$10000,CM_Material!$A$1:$A$10000,Group!C352)</f>
        <v>0</v>
      </c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M352" s="1">
        <f>BOM!D352</f>
        <v>0</v>
      </c>
      <c r="AN352" s="1">
        <f>BOM!C352</f>
        <v>0</v>
      </c>
      <c r="AO352" s="1">
        <f>BOM!B352</f>
        <v>0</v>
      </c>
    </row>
    <row r="353" spans="2:41">
      <c r="B353" s="205">
        <v>351</v>
      </c>
      <c r="C353" s="659">
        <f t="shared" si="7"/>
        <v>0</v>
      </c>
      <c r="D353" s="1" t="s">
        <v>890</v>
      </c>
      <c r="E353" s="259">
        <f>SUMIFS(CM_Material!$J$1:$J$10000,CM_Material!$A$1:$A$10000,Group!C353)</f>
        <v>0</v>
      </c>
      <c r="F353" s="259">
        <f>SUMIFS(CM_Material!$W$1:$W$10000,CM_Material!$A$1:$A$10000,Group!C353,CM_Material!$B$1:$B$10000,Group!$F$2)</f>
        <v>0</v>
      </c>
      <c r="G353" s="259">
        <f>SUMIFS(CM_Material!$W$1:$W$10000,CM_Material!$A$1:$A$10000,Group!C353,CM_Material!$B$1:$B$10000,Group!$G$2)</f>
        <v>0</v>
      </c>
      <c r="H353" s="259"/>
      <c r="I353" s="259">
        <f>SUMIFS(CM_Material!$H$1:$H$10000,CM_Material!$A$1:$A$10000,Group!C353)</f>
        <v>0</v>
      </c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M353" s="1">
        <f>BOM!D353</f>
        <v>0</v>
      </c>
      <c r="AN353" s="1">
        <f>BOM!C353</f>
        <v>0</v>
      </c>
      <c r="AO353" s="1">
        <f>BOM!B353</f>
        <v>0</v>
      </c>
    </row>
    <row r="354" spans="2:41">
      <c r="B354" s="205">
        <v>352</v>
      </c>
      <c r="C354" s="659">
        <f t="shared" si="7"/>
        <v>0</v>
      </c>
      <c r="D354" s="1" t="s">
        <v>890</v>
      </c>
      <c r="E354" s="259">
        <f>SUMIFS(CM_Material!$J$1:$J$10000,CM_Material!$A$1:$A$10000,Group!C354)</f>
        <v>0</v>
      </c>
      <c r="F354" s="259">
        <f>SUMIFS(CM_Material!$W$1:$W$10000,CM_Material!$A$1:$A$10000,Group!C354,CM_Material!$B$1:$B$10000,Group!$F$2)</f>
        <v>0</v>
      </c>
      <c r="G354" s="259">
        <f>SUMIFS(CM_Material!$W$1:$W$10000,CM_Material!$A$1:$A$10000,Group!C354,CM_Material!$B$1:$B$10000,Group!$G$2)</f>
        <v>0</v>
      </c>
      <c r="H354" s="259"/>
      <c r="I354" s="259">
        <f>SUMIFS(CM_Material!$H$1:$H$10000,CM_Material!$A$1:$A$10000,Group!C354)</f>
        <v>0</v>
      </c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M354" s="1">
        <f>BOM!D354</f>
        <v>0</v>
      </c>
      <c r="AN354" s="1">
        <f>BOM!C354</f>
        <v>0</v>
      </c>
      <c r="AO354" s="1">
        <f>BOM!B354</f>
        <v>0</v>
      </c>
    </row>
    <row r="355" spans="2:41">
      <c r="B355" s="205">
        <v>353</v>
      </c>
      <c r="C355" s="659">
        <f t="shared" si="7"/>
        <v>0</v>
      </c>
      <c r="D355" s="1" t="s">
        <v>890</v>
      </c>
      <c r="E355" s="259">
        <f>SUMIFS(CM_Material!$J$1:$J$10000,CM_Material!$A$1:$A$10000,Group!C355)</f>
        <v>0</v>
      </c>
      <c r="F355" s="259">
        <f>SUMIFS(CM_Material!$W$1:$W$10000,CM_Material!$A$1:$A$10000,Group!C355,CM_Material!$B$1:$B$10000,Group!$F$2)</f>
        <v>0</v>
      </c>
      <c r="G355" s="259">
        <f>SUMIFS(CM_Material!$W$1:$W$10000,CM_Material!$A$1:$A$10000,Group!C355,CM_Material!$B$1:$B$10000,Group!$G$2)</f>
        <v>0</v>
      </c>
      <c r="H355" s="259"/>
      <c r="I355" s="259">
        <f>SUMIFS(CM_Material!$H$1:$H$10000,CM_Material!$A$1:$A$10000,Group!C355)</f>
        <v>0</v>
      </c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M355" s="1">
        <f>BOM!D355</f>
        <v>0</v>
      </c>
      <c r="AN355" s="1">
        <f>BOM!C355</f>
        <v>0</v>
      </c>
      <c r="AO355" s="1">
        <f>BOM!B355</f>
        <v>0</v>
      </c>
    </row>
    <row r="356" spans="2:41">
      <c r="B356" s="205">
        <v>354</v>
      </c>
      <c r="C356" s="659">
        <f t="shared" si="7"/>
        <v>0</v>
      </c>
      <c r="D356" s="1" t="s">
        <v>890</v>
      </c>
      <c r="E356" s="259">
        <f>SUMIFS(CM_Material!$J$1:$J$10000,CM_Material!$A$1:$A$10000,Group!C356)</f>
        <v>0</v>
      </c>
      <c r="F356" s="259">
        <f>SUMIFS(CM_Material!$W$1:$W$10000,CM_Material!$A$1:$A$10000,Group!C356,CM_Material!$B$1:$B$10000,Group!$F$2)</f>
        <v>0</v>
      </c>
      <c r="G356" s="259">
        <f>SUMIFS(CM_Material!$W$1:$W$10000,CM_Material!$A$1:$A$10000,Group!C356,CM_Material!$B$1:$B$10000,Group!$G$2)</f>
        <v>0</v>
      </c>
      <c r="H356" s="259"/>
      <c r="I356" s="259">
        <f>SUMIFS(CM_Material!$H$1:$H$10000,CM_Material!$A$1:$A$10000,Group!C356)</f>
        <v>0</v>
      </c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M356" s="1">
        <f>BOM!D356</f>
        <v>0</v>
      </c>
      <c r="AN356" s="1">
        <f>BOM!C356</f>
        <v>0</v>
      </c>
      <c r="AO356" s="1">
        <f>BOM!B356</f>
        <v>0</v>
      </c>
    </row>
    <row r="357" spans="2:41">
      <c r="B357" s="205">
        <v>355</v>
      </c>
      <c r="C357" s="659">
        <f t="shared" si="7"/>
        <v>0</v>
      </c>
      <c r="D357" s="1" t="s">
        <v>890</v>
      </c>
      <c r="E357" s="259">
        <f>SUMIFS(CM_Material!$J$1:$J$10000,CM_Material!$A$1:$A$10000,Group!C357)</f>
        <v>0</v>
      </c>
      <c r="F357" s="259">
        <f>SUMIFS(CM_Material!$W$1:$W$10000,CM_Material!$A$1:$A$10000,Group!C357,CM_Material!$B$1:$B$10000,Group!$F$2)</f>
        <v>0</v>
      </c>
      <c r="G357" s="259">
        <f>SUMIFS(CM_Material!$W$1:$W$10000,CM_Material!$A$1:$A$10000,Group!C357,CM_Material!$B$1:$B$10000,Group!$G$2)</f>
        <v>0</v>
      </c>
      <c r="H357" s="259"/>
      <c r="I357" s="259">
        <f>SUMIFS(CM_Material!$H$1:$H$10000,CM_Material!$A$1:$A$10000,Group!C357)</f>
        <v>0</v>
      </c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M357" s="1">
        <f>BOM!D357</f>
        <v>0</v>
      </c>
      <c r="AN357" s="1">
        <f>BOM!C357</f>
        <v>0</v>
      </c>
      <c r="AO357" s="1">
        <f>BOM!B357</f>
        <v>0</v>
      </c>
    </row>
    <row r="358" spans="2:41">
      <c r="B358" s="205">
        <v>356</v>
      </c>
      <c r="C358" s="659">
        <f t="shared" si="7"/>
        <v>0</v>
      </c>
      <c r="D358" s="1" t="s">
        <v>890</v>
      </c>
      <c r="E358" s="259">
        <f>SUMIFS(CM_Material!$J$1:$J$10000,CM_Material!$A$1:$A$10000,Group!C358)</f>
        <v>0</v>
      </c>
      <c r="F358" s="259">
        <f>SUMIFS(CM_Material!$W$1:$W$10000,CM_Material!$A$1:$A$10000,Group!C358,CM_Material!$B$1:$B$10000,Group!$F$2)</f>
        <v>0</v>
      </c>
      <c r="G358" s="259">
        <f>SUMIFS(CM_Material!$W$1:$W$10000,CM_Material!$A$1:$A$10000,Group!C358,CM_Material!$B$1:$B$10000,Group!$G$2)</f>
        <v>0</v>
      </c>
      <c r="H358" s="259"/>
      <c r="I358" s="259">
        <f>SUMIFS(CM_Material!$H$1:$H$10000,CM_Material!$A$1:$A$10000,Group!C358)</f>
        <v>0</v>
      </c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M358" s="1">
        <f>BOM!D358</f>
        <v>0</v>
      </c>
      <c r="AN358" s="1">
        <f>BOM!C358</f>
        <v>0</v>
      </c>
      <c r="AO358" s="1">
        <f>BOM!B358</f>
        <v>0</v>
      </c>
    </row>
    <row r="359" spans="2:41">
      <c r="B359" s="205">
        <v>357</v>
      </c>
      <c r="C359" s="659">
        <f t="shared" si="7"/>
        <v>0</v>
      </c>
      <c r="D359" s="1" t="s">
        <v>890</v>
      </c>
      <c r="E359" s="259">
        <f>SUMIFS(CM_Material!$J$1:$J$10000,CM_Material!$A$1:$A$10000,Group!C359)</f>
        <v>0</v>
      </c>
      <c r="F359" s="259">
        <f>SUMIFS(CM_Material!$W$1:$W$10000,CM_Material!$A$1:$A$10000,Group!C359,CM_Material!$B$1:$B$10000,Group!$F$2)</f>
        <v>0</v>
      </c>
      <c r="G359" s="259">
        <f>SUMIFS(CM_Material!$W$1:$W$10000,CM_Material!$A$1:$A$10000,Group!C359,CM_Material!$B$1:$B$10000,Group!$G$2)</f>
        <v>0</v>
      </c>
      <c r="H359" s="259"/>
      <c r="I359" s="259">
        <f>SUMIFS(CM_Material!$H$1:$H$10000,CM_Material!$A$1:$A$10000,Group!C359)</f>
        <v>0</v>
      </c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M359" s="1">
        <f>BOM!D359</f>
        <v>0</v>
      </c>
      <c r="AN359" s="1">
        <f>BOM!C359</f>
        <v>0</v>
      </c>
      <c r="AO359" s="1">
        <f>BOM!B359</f>
        <v>0</v>
      </c>
    </row>
    <row r="360" spans="2:41">
      <c r="B360" s="205">
        <v>358</v>
      </c>
      <c r="C360" s="659">
        <f t="shared" si="7"/>
        <v>0</v>
      </c>
      <c r="D360" s="1" t="s">
        <v>890</v>
      </c>
      <c r="E360" s="259">
        <f>SUMIFS(CM_Material!$J$1:$J$10000,CM_Material!$A$1:$A$10000,Group!C360)</f>
        <v>0</v>
      </c>
      <c r="F360" s="259">
        <f>SUMIFS(CM_Material!$W$1:$W$10000,CM_Material!$A$1:$A$10000,Group!C360,CM_Material!$B$1:$B$10000,Group!$F$2)</f>
        <v>0</v>
      </c>
      <c r="G360" s="259">
        <f>SUMIFS(CM_Material!$W$1:$W$10000,CM_Material!$A$1:$A$10000,Group!C360,CM_Material!$B$1:$B$10000,Group!$G$2)</f>
        <v>0</v>
      </c>
      <c r="H360" s="259"/>
      <c r="I360" s="259">
        <f>SUMIFS(CM_Material!$H$1:$H$10000,CM_Material!$A$1:$A$10000,Group!C360)</f>
        <v>0</v>
      </c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M360" s="1">
        <f>BOM!D360</f>
        <v>0</v>
      </c>
      <c r="AN360" s="1">
        <f>BOM!C360</f>
        <v>0</v>
      </c>
      <c r="AO360" s="1">
        <f>BOM!B360</f>
        <v>0</v>
      </c>
    </row>
    <row r="361" spans="2:41">
      <c r="B361" s="205">
        <v>359</v>
      </c>
      <c r="C361" s="659">
        <f>AE2</f>
        <v>0</v>
      </c>
      <c r="D361" s="1" t="s">
        <v>894</v>
      </c>
      <c r="E361" s="259">
        <f>SUMIFS(EP_Material!$AB$1:$AB$10000,EP_Material!$D$1:$D$10000,Group!C361)</f>
        <v>0</v>
      </c>
      <c r="F361" s="259">
        <f>SUMIFS(EP_Process!$AB$1:$AB$10000,EP_Process!$A$1:$A$10000,Group!C361,EP_Process!$C$1:$C$10000,Group!$F$2)</f>
        <v>0</v>
      </c>
      <c r="G361" s="259">
        <f>SUMIFS(EP_Process!$AB$1:$AB$10000,EP_Process!$A$1:$A$10000,Group!C361,EP_Process!$C$1:$C$10000,Group!$G$2)</f>
        <v>0</v>
      </c>
      <c r="H361" s="259">
        <f>SUMIFS(EP_Process!$AA$1:$AA$10000,EP_Process!$A$1:$A$10000,Group!C361)</f>
        <v>0</v>
      </c>
      <c r="I361" s="259">
        <f>SUMIFS(EP_Material!$O$1:$O$10000,EP_Material!$D$1:$D$10000,Group!C361)</f>
        <v>0</v>
      </c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M361" s="1">
        <f>BOM!D361</f>
        <v>0</v>
      </c>
      <c r="AN361" s="1">
        <f>BOM!C361</f>
        <v>0</v>
      </c>
      <c r="AO361" s="1">
        <f>BOM!B361</f>
        <v>0</v>
      </c>
    </row>
    <row r="362" spans="2:41">
      <c r="B362" s="205">
        <v>360</v>
      </c>
      <c r="C362" s="659">
        <f t="shared" ref="C362:C410" si="8">AE3</f>
        <v>0</v>
      </c>
      <c r="D362" s="1" t="s">
        <v>894</v>
      </c>
      <c r="E362" s="259">
        <f>SUMIFS(EP_Material!$AB$1:$AB$10000,EP_Material!$D$1:$D$10000,Group!C362)</f>
        <v>0</v>
      </c>
      <c r="F362" s="259">
        <f>SUMIFS(EP_Process!$AB$1:$AB$10000,EP_Process!$A$1:$A$10000,Group!C362,EP_Process!$C$1:$C$10000,Group!$F$2)</f>
        <v>0</v>
      </c>
      <c r="G362" s="259">
        <f>SUMIFS(EP_Process!$AB$1:$AB$10000,EP_Process!$A$1:$A$10000,Group!C362,EP_Process!$C$1:$C$10000,Group!$G$2)</f>
        <v>0</v>
      </c>
      <c r="H362" s="259">
        <f>SUMIFS(EP_Process!$AA$1:$AA$10000,EP_Process!$A$1:$A$10000,Group!C362)</f>
        <v>0</v>
      </c>
      <c r="I362" s="259">
        <f>SUMIFS(EP_Material!$O$1:$O$10000,EP_Material!$D$1:$D$10000,Group!C362)</f>
        <v>0</v>
      </c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M362" s="1">
        <f>BOM!D362</f>
        <v>0</v>
      </c>
      <c r="AN362" s="1">
        <f>BOM!C362</f>
        <v>0</v>
      </c>
      <c r="AO362" s="1">
        <f>BOM!B362</f>
        <v>0</v>
      </c>
    </row>
    <row r="363" spans="2:41">
      <c r="B363" s="205">
        <v>361</v>
      </c>
      <c r="C363" s="659">
        <f t="shared" si="8"/>
        <v>0</v>
      </c>
      <c r="D363" s="1" t="s">
        <v>894</v>
      </c>
      <c r="E363" s="259">
        <f>SUMIFS(EP_Material!$AB$1:$AB$10000,EP_Material!$D$1:$D$10000,Group!C363)</f>
        <v>0</v>
      </c>
      <c r="F363" s="259">
        <f>SUMIFS(EP_Process!$AB$1:$AB$10000,EP_Process!$A$1:$A$10000,Group!C363,EP_Process!$C$1:$C$10000,Group!$F$2)</f>
        <v>0</v>
      </c>
      <c r="G363" s="259">
        <f>SUMIFS(EP_Process!$AB$1:$AB$10000,EP_Process!$A$1:$A$10000,Group!C363,EP_Process!$C$1:$C$10000,Group!$G$2)</f>
        <v>0</v>
      </c>
      <c r="H363" s="259">
        <f>SUMIFS(EP_Process!$AA$1:$AA$10000,EP_Process!$A$1:$A$10000,Group!C363)</f>
        <v>0</v>
      </c>
      <c r="I363" s="259">
        <f>SUMIFS(EP_Material!$O$1:$O$10000,EP_Material!$D$1:$D$10000,Group!C363)</f>
        <v>0</v>
      </c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M363" s="1">
        <f>BOM!D363</f>
        <v>0</v>
      </c>
      <c r="AN363" s="1">
        <f>BOM!C363</f>
        <v>0</v>
      </c>
      <c r="AO363" s="1">
        <f>BOM!B363</f>
        <v>0</v>
      </c>
    </row>
    <row r="364" spans="2:41">
      <c r="B364" s="205">
        <v>362</v>
      </c>
      <c r="C364" s="659">
        <f t="shared" si="8"/>
        <v>0</v>
      </c>
      <c r="D364" s="1" t="s">
        <v>894</v>
      </c>
      <c r="E364" s="259">
        <f>SUMIFS(EP_Material!$AB$1:$AB$10000,EP_Material!$D$1:$D$10000,Group!C364)</f>
        <v>0</v>
      </c>
      <c r="F364" s="259">
        <f>SUMIFS(EP_Process!$AB$1:$AB$10000,EP_Process!$A$1:$A$10000,Group!C364,EP_Process!$C$1:$C$10000,Group!$F$2)</f>
        <v>0</v>
      </c>
      <c r="G364" s="259">
        <f>SUMIFS(EP_Process!$AB$1:$AB$10000,EP_Process!$A$1:$A$10000,Group!C364,EP_Process!$C$1:$C$10000,Group!$G$2)</f>
        <v>0</v>
      </c>
      <c r="H364" s="259">
        <f>SUMIFS(EP_Process!$AA$1:$AA$10000,EP_Process!$A$1:$A$10000,Group!C364)</f>
        <v>0</v>
      </c>
      <c r="I364" s="259">
        <f>SUMIFS(EP_Material!$O$1:$O$10000,EP_Material!$D$1:$D$10000,Group!C364)</f>
        <v>0</v>
      </c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M364" s="1">
        <f>BOM!D364</f>
        <v>0</v>
      </c>
      <c r="AN364" s="1">
        <f>BOM!C364</f>
        <v>0</v>
      </c>
      <c r="AO364" s="1">
        <f>BOM!B364</f>
        <v>0</v>
      </c>
    </row>
    <row r="365" spans="2:41">
      <c r="B365" s="205">
        <v>363</v>
      </c>
      <c r="C365" s="659">
        <f t="shared" si="8"/>
        <v>0</v>
      </c>
      <c r="D365" s="1" t="s">
        <v>894</v>
      </c>
      <c r="E365" s="259">
        <f>SUMIFS(EP_Material!$AB$1:$AB$10000,EP_Material!$D$1:$D$10000,Group!C365)</f>
        <v>0</v>
      </c>
      <c r="F365" s="259">
        <f>SUMIFS(EP_Process!$AB$1:$AB$10000,EP_Process!$A$1:$A$10000,Group!C365,EP_Process!$C$1:$C$10000,Group!$F$2)</f>
        <v>0</v>
      </c>
      <c r="G365" s="259">
        <f>SUMIFS(EP_Process!$AB$1:$AB$10000,EP_Process!$A$1:$A$10000,Group!C365,EP_Process!$C$1:$C$10000,Group!$G$2)</f>
        <v>0</v>
      </c>
      <c r="H365" s="259">
        <f>SUMIFS(EP_Process!$AA$1:$AA$10000,EP_Process!$A$1:$A$10000,Group!C365)</f>
        <v>0</v>
      </c>
      <c r="I365" s="259">
        <f>SUMIFS(EP_Material!$O$1:$O$10000,EP_Material!$D$1:$D$10000,Group!C365)</f>
        <v>0</v>
      </c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M365" s="1">
        <f>BOM!D365</f>
        <v>0</v>
      </c>
      <c r="AN365" s="1">
        <f>BOM!C365</f>
        <v>0</v>
      </c>
      <c r="AO365" s="1">
        <f>BOM!B365</f>
        <v>0</v>
      </c>
    </row>
    <row r="366" spans="2:41">
      <c r="B366" s="205">
        <v>364</v>
      </c>
      <c r="C366" s="659">
        <f t="shared" si="8"/>
        <v>0</v>
      </c>
      <c r="D366" s="1" t="s">
        <v>894</v>
      </c>
      <c r="E366" s="259">
        <f>SUMIFS(EP_Material!$AB$1:$AB$10000,EP_Material!$D$1:$D$10000,Group!C366)</f>
        <v>0</v>
      </c>
      <c r="F366" s="259">
        <f>SUMIFS(EP_Process!$AB$1:$AB$10000,EP_Process!$A$1:$A$10000,Group!C366,EP_Process!$C$1:$C$10000,Group!$F$2)</f>
        <v>0</v>
      </c>
      <c r="G366" s="259">
        <f>SUMIFS(EP_Process!$AB$1:$AB$10000,EP_Process!$A$1:$A$10000,Group!C366,EP_Process!$C$1:$C$10000,Group!$G$2)</f>
        <v>0</v>
      </c>
      <c r="H366" s="259">
        <f>SUMIFS(EP_Process!$AA$1:$AA$10000,EP_Process!$A$1:$A$10000,Group!C366)</f>
        <v>0</v>
      </c>
      <c r="I366" s="259">
        <f>SUMIFS(EP_Material!$O$1:$O$10000,EP_Material!$D$1:$D$10000,Group!C366)</f>
        <v>0</v>
      </c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M366" s="1">
        <f>BOM!D366</f>
        <v>0</v>
      </c>
      <c r="AN366" s="1">
        <f>BOM!C366</f>
        <v>0</v>
      </c>
      <c r="AO366" s="1">
        <f>BOM!B366</f>
        <v>0</v>
      </c>
    </row>
    <row r="367" spans="2:41">
      <c r="B367" s="205">
        <v>365</v>
      </c>
      <c r="C367" s="659">
        <f t="shared" si="8"/>
        <v>0</v>
      </c>
      <c r="D367" s="1" t="s">
        <v>894</v>
      </c>
      <c r="E367" s="259">
        <f>SUMIFS(EP_Material!$AB$1:$AB$10000,EP_Material!$D$1:$D$10000,Group!C367)</f>
        <v>0</v>
      </c>
      <c r="F367" s="259">
        <f>SUMIFS(EP_Process!$AB$1:$AB$10000,EP_Process!$A$1:$A$10000,Group!C367,EP_Process!$C$1:$C$10000,Group!$F$2)</f>
        <v>0</v>
      </c>
      <c r="G367" s="259">
        <f>SUMIFS(EP_Process!$AB$1:$AB$10000,EP_Process!$A$1:$A$10000,Group!C367,EP_Process!$C$1:$C$10000,Group!$G$2)</f>
        <v>0</v>
      </c>
      <c r="H367" s="259">
        <f>SUMIFS(EP_Process!$AA$1:$AA$10000,EP_Process!$A$1:$A$10000,Group!C367)</f>
        <v>0</v>
      </c>
      <c r="I367" s="259">
        <f>SUMIFS(EP_Material!$O$1:$O$10000,EP_Material!$D$1:$D$10000,Group!C367)</f>
        <v>0</v>
      </c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M367" s="1">
        <f>BOM!D367</f>
        <v>0</v>
      </c>
      <c r="AN367" s="1">
        <f>BOM!C367</f>
        <v>0</v>
      </c>
      <c r="AO367" s="1">
        <f>BOM!B367</f>
        <v>0</v>
      </c>
    </row>
    <row r="368" spans="2:41">
      <c r="B368" s="205">
        <v>366</v>
      </c>
      <c r="C368" s="659">
        <f t="shared" si="8"/>
        <v>0</v>
      </c>
      <c r="D368" s="1" t="s">
        <v>894</v>
      </c>
      <c r="E368" s="259">
        <f>SUMIFS(EP_Material!$AB$1:$AB$10000,EP_Material!$D$1:$D$10000,Group!C368)</f>
        <v>0</v>
      </c>
      <c r="F368" s="259">
        <f>SUMIFS(EP_Process!$AB$1:$AB$10000,EP_Process!$A$1:$A$10000,Group!C368,EP_Process!$C$1:$C$10000,Group!$F$2)</f>
        <v>0</v>
      </c>
      <c r="G368" s="259">
        <f>SUMIFS(EP_Process!$AB$1:$AB$10000,EP_Process!$A$1:$A$10000,Group!C368,EP_Process!$C$1:$C$10000,Group!$G$2)</f>
        <v>0</v>
      </c>
      <c r="H368" s="259">
        <f>SUMIFS(EP_Process!$AA$1:$AA$10000,EP_Process!$A$1:$A$10000,Group!C368)</f>
        <v>0</v>
      </c>
      <c r="I368" s="259">
        <f>SUMIFS(EP_Material!$O$1:$O$10000,EP_Material!$D$1:$D$10000,Group!C368)</f>
        <v>0</v>
      </c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M368" s="1">
        <f>BOM!D368</f>
        <v>0</v>
      </c>
      <c r="AN368" s="1">
        <f>BOM!C368</f>
        <v>0</v>
      </c>
      <c r="AO368" s="1">
        <f>BOM!B368</f>
        <v>0</v>
      </c>
    </row>
    <row r="369" spans="2:41">
      <c r="B369" s="205">
        <v>367</v>
      </c>
      <c r="C369" s="659">
        <f t="shared" si="8"/>
        <v>0</v>
      </c>
      <c r="D369" s="1" t="s">
        <v>894</v>
      </c>
      <c r="E369" s="259">
        <f>SUMIFS(EP_Material!$AB$1:$AB$10000,EP_Material!$D$1:$D$10000,Group!C369)</f>
        <v>0</v>
      </c>
      <c r="F369" s="259">
        <f>SUMIFS(EP_Process!$AB$1:$AB$10000,EP_Process!$A$1:$A$10000,Group!C369,EP_Process!$C$1:$C$10000,Group!$F$2)</f>
        <v>0</v>
      </c>
      <c r="G369" s="259">
        <f>SUMIFS(EP_Process!$AB$1:$AB$10000,EP_Process!$A$1:$A$10000,Group!C369,EP_Process!$C$1:$C$10000,Group!$G$2)</f>
        <v>0</v>
      </c>
      <c r="H369" s="259">
        <f>SUMIFS(EP_Process!$AA$1:$AA$10000,EP_Process!$A$1:$A$10000,Group!C369)</f>
        <v>0</v>
      </c>
      <c r="I369" s="259">
        <f>SUMIFS(EP_Material!$O$1:$O$10000,EP_Material!$D$1:$D$10000,Group!C369)</f>
        <v>0</v>
      </c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M369" s="1">
        <f>BOM!D369</f>
        <v>0</v>
      </c>
      <c r="AN369" s="1">
        <f>BOM!C369</f>
        <v>0</v>
      </c>
      <c r="AO369" s="1">
        <f>BOM!B369</f>
        <v>0</v>
      </c>
    </row>
    <row r="370" spans="2:41">
      <c r="B370" s="205">
        <v>368</v>
      </c>
      <c r="C370" s="659">
        <f t="shared" si="8"/>
        <v>0</v>
      </c>
      <c r="D370" s="1" t="s">
        <v>894</v>
      </c>
      <c r="E370" s="259">
        <f>SUMIFS(EP_Material!$AB$1:$AB$10000,EP_Material!$D$1:$D$10000,Group!C370)</f>
        <v>0</v>
      </c>
      <c r="F370" s="259">
        <f>SUMIFS(EP_Process!$AB$1:$AB$10000,EP_Process!$A$1:$A$10000,Group!C370,EP_Process!$C$1:$C$10000,Group!$F$2)</f>
        <v>0</v>
      </c>
      <c r="G370" s="259">
        <f>SUMIFS(EP_Process!$AB$1:$AB$10000,EP_Process!$A$1:$A$10000,Group!C370,EP_Process!$C$1:$C$10000,Group!$G$2)</f>
        <v>0</v>
      </c>
      <c r="H370" s="259">
        <f>SUMIFS(EP_Process!$AA$1:$AA$10000,EP_Process!$A$1:$A$10000,Group!C370)</f>
        <v>0</v>
      </c>
      <c r="I370" s="259">
        <f>SUMIFS(EP_Material!$O$1:$O$10000,EP_Material!$D$1:$D$10000,Group!C370)</f>
        <v>0</v>
      </c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M370" s="1">
        <f>BOM!D370</f>
        <v>0</v>
      </c>
      <c r="AN370" s="1">
        <f>BOM!C370</f>
        <v>0</v>
      </c>
      <c r="AO370" s="1">
        <f>BOM!B370</f>
        <v>0</v>
      </c>
    </row>
    <row r="371" spans="2:41">
      <c r="B371" s="205">
        <v>369</v>
      </c>
      <c r="C371" s="659">
        <f t="shared" si="8"/>
        <v>0</v>
      </c>
      <c r="D371" s="1" t="s">
        <v>894</v>
      </c>
      <c r="E371" s="259">
        <f>SUMIFS(EP_Material!$AB$1:$AB$10000,EP_Material!$D$1:$D$10000,Group!C371)</f>
        <v>0</v>
      </c>
      <c r="F371" s="259">
        <f>SUMIFS(EP_Process!$AB$1:$AB$10000,EP_Process!$A$1:$A$10000,Group!C371,EP_Process!$C$1:$C$10000,Group!$F$2)</f>
        <v>0</v>
      </c>
      <c r="G371" s="259">
        <f>SUMIFS(EP_Process!$AB$1:$AB$10000,EP_Process!$A$1:$A$10000,Group!C371,EP_Process!$C$1:$C$10000,Group!$G$2)</f>
        <v>0</v>
      </c>
      <c r="H371" s="259">
        <f>SUMIFS(EP_Process!$AA$1:$AA$10000,EP_Process!$A$1:$A$10000,Group!C371)</f>
        <v>0</v>
      </c>
      <c r="I371" s="259">
        <f>SUMIFS(EP_Material!$O$1:$O$10000,EP_Material!$D$1:$D$10000,Group!C371)</f>
        <v>0</v>
      </c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M371" s="1">
        <f>BOM!D371</f>
        <v>0</v>
      </c>
      <c r="AN371" s="1">
        <f>BOM!C371</f>
        <v>0</v>
      </c>
      <c r="AO371" s="1">
        <f>BOM!B371</f>
        <v>0</v>
      </c>
    </row>
    <row r="372" spans="2:41">
      <c r="B372" s="205">
        <v>370</v>
      </c>
      <c r="C372" s="659">
        <f t="shared" si="8"/>
        <v>0</v>
      </c>
      <c r="D372" s="1" t="s">
        <v>894</v>
      </c>
      <c r="E372" s="259">
        <f>SUMIFS(EP_Material!$AB$1:$AB$10000,EP_Material!$D$1:$D$10000,Group!C372)</f>
        <v>0</v>
      </c>
      <c r="F372" s="259">
        <f>SUMIFS(EP_Process!$AB$1:$AB$10000,EP_Process!$A$1:$A$10000,Group!C372,EP_Process!$C$1:$C$10000,Group!$F$2)</f>
        <v>0</v>
      </c>
      <c r="G372" s="259">
        <f>SUMIFS(EP_Process!$AB$1:$AB$10000,EP_Process!$A$1:$A$10000,Group!C372,EP_Process!$C$1:$C$10000,Group!$G$2)</f>
        <v>0</v>
      </c>
      <c r="H372" s="259">
        <f>SUMIFS(EP_Process!$AA$1:$AA$10000,EP_Process!$A$1:$A$10000,Group!C372)</f>
        <v>0</v>
      </c>
      <c r="I372" s="259">
        <f>SUMIFS(EP_Material!$O$1:$O$10000,EP_Material!$D$1:$D$10000,Group!C372)</f>
        <v>0</v>
      </c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M372" s="1">
        <f>BOM!D372</f>
        <v>0</v>
      </c>
      <c r="AN372" s="1">
        <f>BOM!C372</f>
        <v>0</v>
      </c>
      <c r="AO372" s="1">
        <f>BOM!B372</f>
        <v>0</v>
      </c>
    </row>
    <row r="373" spans="2:41">
      <c r="B373" s="205">
        <v>371</v>
      </c>
      <c r="C373" s="659">
        <f t="shared" si="8"/>
        <v>0</v>
      </c>
      <c r="D373" s="1" t="s">
        <v>894</v>
      </c>
      <c r="E373" s="259">
        <f>SUMIFS(EP_Material!$AB$1:$AB$10000,EP_Material!$D$1:$D$10000,Group!C373)</f>
        <v>0</v>
      </c>
      <c r="F373" s="259">
        <f>SUMIFS(EP_Process!$AB$1:$AB$10000,EP_Process!$A$1:$A$10000,Group!C373,EP_Process!$C$1:$C$10000,Group!$F$2)</f>
        <v>0</v>
      </c>
      <c r="G373" s="259">
        <f>SUMIFS(EP_Process!$AB$1:$AB$10000,EP_Process!$A$1:$A$10000,Group!C373,EP_Process!$C$1:$C$10000,Group!$G$2)</f>
        <v>0</v>
      </c>
      <c r="H373" s="259">
        <f>SUMIFS(EP_Process!$AA$1:$AA$10000,EP_Process!$A$1:$A$10000,Group!C373)</f>
        <v>0</v>
      </c>
      <c r="I373" s="259">
        <f>SUMIFS(EP_Material!$O$1:$O$10000,EP_Material!$D$1:$D$10000,Group!C373)</f>
        <v>0</v>
      </c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M373" s="1">
        <f>BOM!D373</f>
        <v>0</v>
      </c>
      <c r="AN373" s="1">
        <f>BOM!C373</f>
        <v>0</v>
      </c>
      <c r="AO373" s="1">
        <f>BOM!B373</f>
        <v>0</v>
      </c>
    </row>
    <row r="374" spans="2:41">
      <c r="B374" s="205">
        <v>372</v>
      </c>
      <c r="C374" s="659">
        <f t="shared" si="8"/>
        <v>0</v>
      </c>
      <c r="D374" s="1" t="s">
        <v>894</v>
      </c>
      <c r="E374" s="259">
        <f>SUMIFS(EP_Material!$AB$1:$AB$10000,EP_Material!$D$1:$D$10000,Group!C374)</f>
        <v>0</v>
      </c>
      <c r="F374" s="259">
        <f>SUMIFS(EP_Process!$AB$1:$AB$10000,EP_Process!$A$1:$A$10000,Group!C374,EP_Process!$C$1:$C$10000,Group!$F$2)</f>
        <v>0</v>
      </c>
      <c r="G374" s="259">
        <f>SUMIFS(EP_Process!$AB$1:$AB$10000,EP_Process!$A$1:$A$10000,Group!C374,EP_Process!$C$1:$C$10000,Group!$G$2)</f>
        <v>0</v>
      </c>
      <c r="H374" s="259">
        <f>SUMIFS(EP_Process!$AA$1:$AA$10000,EP_Process!$A$1:$A$10000,Group!C374)</f>
        <v>0</v>
      </c>
      <c r="I374" s="259">
        <f>SUMIFS(EP_Material!$O$1:$O$10000,EP_Material!$D$1:$D$10000,Group!C374)</f>
        <v>0</v>
      </c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M374" s="1">
        <f>BOM!D374</f>
        <v>0</v>
      </c>
      <c r="AN374" s="1">
        <f>BOM!C374</f>
        <v>0</v>
      </c>
      <c r="AO374" s="1">
        <f>BOM!B374</f>
        <v>0</v>
      </c>
    </row>
    <row r="375" spans="2:41">
      <c r="B375" s="205">
        <v>373</v>
      </c>
      <c r="C375" s="659">
        <f t="shared" si="8"/>
        <v>0</v>
      </c>
      <c r="D375" s="1" t="s">
        <v>894</v>
      </c>
      <c r="E375" s="259">
        <f>SUMIFS(EP_Material!$AB$1:$AB$10000,EP_Material!$D$1:$D$10000,Group!C375)</f>
        <v>0</v>
      </c>
      <c r="F375" s="259">
        <f>SUMIFS(EP_Process!$AB$1:$AB$10000,EP_Process!$A$1:$A$10000,Group!C375,EP_Process!$C$1:$C$10000,Group!$F$2)</f>
        <v>0</v>
      </c>
      <c r="G375" s="259">
        <f>SUMIFS(EP_Process!$AB$1:$AB$10000,EP_Process!$A$1:$A$10000,Group!C375,EP_Process!$C$1:$C$10000,Group!$G$2)</f>
        <v>0</v>
      </c>
      <c r="H375" s="259">
        <f>SUMIFS(EP_Process!$AA$1:$AA$10000,EP_Process!$A$1:$A$10000,Group!C375)</f>
        <v>0</v>
      </c>
      <c r="I375" s="259">
        <f>SUMIFS(EP_Material!$O$1:$O$10000,EP_Material!$D$1:$D$10000,Group!C375)</f>
        <v>0</v>
      </c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M375" s="1">
        <f>BOM!D375</f>
        <v>0</v>
      </c>
      <c r="AN375" s="1">
        <f>BOM!C375</f>
        <v>0</v>
      </c>
      <c r="AO375" s="1">
        <f>BOM!B375</f>
        <v>0</v>
      </c>
    </row>
    <row r="376" spans="2:41">
      <c r="B376" s="205">
        <v>374</v>
      </c>
      <c r="C376" s="659">
        <f t="shared" si="8"/>
        <v>0</v>
      </c>
      <c r="D376" s="1" t="s">
        <v>894</v>
      </c>
      <c r="E376" s="259">
        <f>SUMIFS(EP_Material!$AB$1:$AB$10000,EP_Material!$D$1:$D$10000,Group!C376)</f>
        <v>0</v>
      </c>
      <c r="F376" s="259">
        <f>SUMIFS(EP_Process!$AB$1:$AB$10000,EP_Process!$A$1:$A$10000,Group!C376,EP_Process!$C$1:$C$10000,Group!$F$2)</f>
        <v>0</v>
      </c>
      <c r="G376" s="259">
        <f>SUMIFS(EP_Process!$AB$1:$AB$10000,EP_Process!$A$1:$A$10000,Group!C376,EP_Process!$C$1:$C$10000,Group!$G$2)</f>
        <v>0</v>
      </c>
      <c r="H376" s="259">
        <f>SUMIFS(EP_Process!$AA$1:$AA$10000,EP_Process!$A$1:$A$10000,Group!C376)</f>
        <v>0</v>
      </c>
      <c r="I376" s="259">
        <f>SUMIFS(EP_Material!$O$1:$O$10000,EP_Material!$D$1:$D$10000,Group!C376)</f>
        <v>0</v>
      </c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M376" s="1">
        <f>BOM!D376</f>
        <v>0</v>
      </c>
      <c r="AN376" s="1">
        <f>BOM!C376</f>
        <v>0</v>
      </c>
      <c r="AO376" s="1">
        <f>BOM!B376</f>
        <v>0</v>
      </c>
    </row>
    <row r="377" spans="2:41">
      <c r="B377" s="205">
        <v>375</v>
      </c>
      <c r="C377" s="659">
        <f t="shared" si="8"/>
        <v>0</v>
      </c>
      <c r="D377" s="1" t="s">
        <v>894</v>
      </c>
      <c r="E377" s="259">
        <f>SUMIFS(EP_Material!$AB$1:$AB$10000,EP_Material!$D$1:$D$10000,Group!C377)</f>
        <v>0</v>
      </c>
      <c r="F377" s="259">
        <f>SUMIFS(EP_Process!$AB$1:$AB$10000,EP_Process!$A$1:$A$10000,Group!C377,EP_Process!$C$1:$C$10000,Group!$F$2)</f>
        <v>0</v>
      </c>
      <c r="G377" s="259">
        <f>SUMIFS(EP_Process!$AB$1:$AB$10000,EP_Process!$A$1:$A$10000,Group!C377,EP_Process!$C$1:$C$10000,Group!$G$2)</f>
        <v>0</v>
      </c>
      <c r="H377" s="259">
        <f>SUMIFS(EP_Process!$AA$1:$AA$10000,EP_Process!$A$1:$A$10000,Group!C377)</f>
        <v>0</v>
      </c>
      <c r="I377" s="259">
        <f>SUMIFS(EP_Material!$O$1:$O$10000,EP_Material!$D$1:$D$10000,Group!C377)</f>
        <v>0</v>
      </c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M377" s="1">
        <f>BOM!D377</f>
        <v>0</v>
      </c>
      <c r="AN377" s="1">
        <f>BOM!C377</f>
        <v>0</v>
      </c>
      <c r="AO377" s="1">
        <f>BOM!B377</f>
        <v>0</v>
      </c>
    </row>
    <row r="378" spans="2:41">
      <c r="B378" s="205">
        <v>376</v>
      </c>
      <c r="C378" s="659">
        <f t="shared" si="8"/>
        <v>0</v>
      </c>
      <c r="D378" s="1" t="s">
        <v>894</v>
      </c>
      <c r="E378" s="259">
        <f>SUMIFS(EP_Material!$AB$1:$AB$10000,EP_Material!$D$1:$D$10000,Group!C378)</f>
        <v>0</v>
      </c>
      <c r="F378" s="259">
        <f>SUMIFS(EP_Process!$AB$1:$AB$10000,EP_Process!$A$1:$A$10000,Group!C378,EP_Process!$C$1:$C$10000,Group!$F$2)</f>
        <v>0</v>
      </c>
      <c r="G378" s="259">
        <f>SUMIFS(EP_Process!$AB$1:$AB$10000,EP_Process!$A$1:$A$10000,Group!C378,EP_Process!$C$1:$C$10000,Group!$G$2)</f>
        <v>0</v>
      </c>
      <c r="H378" s="259">
        <f>SUMIFS(EP_Process!$AA$1:$AA$10000,EP_Process!$A$1:$A$10000,Group!C378)</f>
        <v>0</v>
      </c>
      <c r="I378" s="259">
        <f>SUMIFS(EP_Material!$O$1:$O$10000,EP_Material!$D$1:$D$10000,Group!C378)</f>
        <v>0</v>
      </c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M378" s="1">
        <f>BOM!D378</f>
        <v>0</v>
      </c>
      <c r="AN378" s="1">
        <f>BOM!C378</f>
        <v>0</v>
      </c>
      <c r="AO378" s="1">
        <f>BOM!B378</f>
        <v>0</v>
      </c>
    </row>
    <row r="379" spans="2:41">
      <c r="B379" s="205">
        <v>377</v>
      </c>
      <c r="C379" s="659">
        <f t="shared" si="8"/>
        <v>0</v>
      </c>
      <c r="D379" s="1" t="s">
        <v>894</v>
      </c>
      <c r="E379" s="259">
        <f>SUMIFS(EP_Material!$AB$1:$AB$10000,EP_Material!$D$1:$D$10000,Group!C379)</f>
        <v>0</v>
      </c>
      <c r="F379" s="259">
        <f>SUMIFS(EP_Process!$AB$1:$AB$10000,EP_Process!$A$1:$A$10000,Group!C379,EP_Process!$C$1:$C$10000,Group!$F$2)</f>
        <v>0</v>
      </c>
      <c r="G379" s="259">
        <f>SUMIFS(EP_Process!$AB$1:$AB$10000,EP_Process!$A$1:$A$10000,Group!C379,EP_Process!$C$1:$C$10000,Group!$G$2)</f>
        <v>0</v>
      </c>
      <c r="H379" s="259">
        <f>SUMIFS(EP_Process!$AA$1:$AA$10000,EP_Process!$A$1:$A$10000,Group!C379)</f>
        <v>0</v>
      </c>
      <c r="I379" s="259">
        <f>SUMIFS(EP_Material!$O$1:$O$10000,EP_Material!$D$1:$D$10000,Group!C379)</f>
        <v>0</v>
      </c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M379" s="1">
        <f>BOM!D379</f>
        <v>0</v>
      </c>
      <c r="AN379" s="1">
        <f>BOM!C379</f>
        <v>0</v>
      </c>
      <c r="AO379" s="1">
        <f>BOM!B379</f>
        <v>0</v>
      </c>
    </row>
    <row r="380" spans="2:41">
      <c r="B380" s="205">
        <v>378</v>
      </c>
      <c r="C380" s="659">
        <f t="shared" si="8"/>
        <v>0</v>
      </c>
      <c r="D380" s="1" t="s">
        <v>894</v>
      </c>
      <c r="E380" s="259">
        <f>SUMIFS(EP_Material!$AB$1:$AB$10000,EP_Material!$D$1:$D$10000,Group!C380)</f>
        <v>0</v>
      </c>
      <c r="F380" s="259">
        <f>SUMIFS(EP_Process!$AB$1:$AB$10000,EP_Process!$A$1:$A$10000,Group!C380,EP_Process!$C$1:$C$10000,Group!$F$2)</f>
        <v>0</v>
      </c>
      <c r="G380" s="259">
        <f>SUMIFS(EP_Process!$AB$1:$AB$10000,EP_Process!$A$1:$A$10000,Group!C380,EP_Process!$C$1:$C$10000,Group!$G$2)</f>
        <v>0</v>
      </c>
      <c r="H380" s="259">
        <f>SUMIFS(EP_Process!$AA$1:$AA$10000,EP_Process!$A$1:$A$10000,Group!C380)</f>
        <v>0</v>
      </c>
      <c r="I380" s="259">
        <f>SUMIFS(EP_Material!$O$1:$O$10000,EP_Material!$D$1:$D$10000,Group!C380)</f>
        <v>0</v>
      </c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M380" s="1">
        <f>BOM!D380</f>
        <v>0</v>
      </c>
      <c r="AN380" s="1">
        <f>BOM!C380</f>
        <v>0</v>
      </c>
      <c r="AO380" s="1">
        <f>BOM!B380</f>
        <v>0</v>
      </c>
    </row>
    <row r="381" spans="2:41">
      <c r="B381" s="205">
        <v>379</v>
      </c>
      <c r="C381" s="659">
        <f t="shared" si="8"/>
        <v>0</v>
      </c>
      <c r="D381" s="1" t="s">
        <v>894</v>
      </c>
      <c r="E381" s="259">
        <f>SUMIFS(EP_Material!$AB$1:$AB$10000,EP_Material!$D$1:$D$10000,Group!C381)</f>
        <v>0</v>
      </c>
      <c r="F381" s="259">
        <f>SUMIFS(EP_Process!$AB$1:$AB$10000,EP_Process!$A$1:$A$10000,Group!C381,EP_Process!$C$1:$C$10000,Group!$F$2)</f>
        <v>0</v>
      </c>
      <c r="G381" s="259">
        <f>SUMIFS(EP_Process!$AB$1:$AB$10000,EP_Process!$A$1:$A$10000,Group!C381,EP_Process!$C$1:$C$10000,Group!$G$2)</f>
        <v>0</v>
      </c>
      <c r="H381" s="259">
        <f>SUMIFS(EP_Process!$AA$1:$AA$10000,EP_Process!$A$1:$A$10000,Group!C381)</f>
        <v>0</v>
      </c>
      <c r="I381" s="259">
        <f>SUMIFS(EP_Material!$O$1:$O$10000,EP_Material!$D$1:$D$10000,Group!C381)</f>
        <v>0</v>
      </c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M381" s="1">
        <f>BOM!D381</f>
        <v>0</v>
      </c>
      <c r="AN381" s="1">
        <f>BOM!C381</f>
        <v>0</v>
      </c>
      <c r="AO381" s="1">
        <f>BOM!B381</f>
        <v>0</v>
      </c>
    </row>
    <row r="382" spans="2:41">
      <c r="B382" s="205">
        <v>380</v>
      </c>
      <c r="C382" s="659">
        <f t="shared" si="8"/>
        <v>0</v>
      </c>
      <c r="D382" s="1" t="s">
        <v>894</v>
      </c>
      <c r="E382" s="259">
        <f>SUMIFS(EP_Material!$AB$1:$AB$10000,EP_Material!$D$1:$D$10000,Group!C382)</f>
        <v>0</v>
      </c>
      <c r="F382" s="259">
        <f>SUMIFS(EP_Process!$AB$1:$AB$10000,EP_Process!$A$1:$A$10000,Group!C382,EP_Process!$C$1:$C$10000,Group!$F$2)</f>
        <v>0</v>
      </c>
      <c r="G382" s="259">
        <f>SUMIFS(EP_Process!$AB$1:$AB$10000,EP_Process!$A$1:$A$10000,Group!C382,EP_Process!$C$1:$C$10000,Group!$G$2)</f>
        <v>0</v>
      </c>
      <c r="H382" s="259">
        <f>SUMIFS(EP_Process!$AA$1:$AA$10000,EP_Process!$A$1:$A$10000,Group!C382)</f>
        <v>0</v>
      </c>
      <c r="I382" s="259">
        <f>SUMIFS(EP_Material!$O$1:$O$10000,EP_Material!$D$1:$D$10000,Group!C382)</f>
        <v>0</v>
      </c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M382" s="1">
        <f>BOM!D382</f>
        <v>0</v>
      </c>
      <c r="AN382" s="1">
        <f>BOM!C382</f>
        <v>0</v>
      </c>
      <c r="AO382" s="1">
        <f>BOM!B382</f>
        <v>0</v>
      </c>
    </row>
    <row r="383" spans="2:41">
      <c r="B383" s="205">
        <v>381</v>
      </c>
      <c r="C383" s="659">
        <f t="shared" si="8"/>
        <v>0</v>
      </c>
      <c r="D383" s="1" t="s">
        <v>894</v>
      </c>
      <c r="E383" s="259">
        <f>SUMIFS(EP_Material!$AB$1:$AB$10000,EP_Material!$D$1:$D$10000,Group!C383)</f>
        <v>0</v>
      </c>
      <c r="F383" s="259">
        <f>SUMIFS(EP_Process!$AB$1:$AB$10000,EP_Process!$A$1:$A$10000,Group!C383,EP_Process!$C$1:$C$10000,Group!$F$2)</f>
        <v>0</v>
      </c>
      <c r="G383" s="259">
        <f>SUMIFS(EP_Process!$AB$1:$AB$10000,EP_Process!$A$1:$A$10000,Group!C383,EP_Process!$C$1:$C$10000,Group!$G$2)</f>
        <v>0</v>
      </c>
      <c r="H383" s="259">
        <f>SUMIFS(EP_Process!$AA$1:$AA$10000,EP_Process!$A$1:$A$10000,Group!C383)</f>
        <v>0</v>
      </c>
      <c r="I383" s="259">
        <f>SUMIFS(EP_Material!$O$1:$O$10000,EP_Material!$D$1:$D$10000,Group!C383)</f>
        <v>0</v>
      </c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M383" s="1">
        <f>BOM!D383</f>
        <v>0</v>
      </c>
      <c r="AN383" s="1">
        <f>BOM!C383</f>
        <v>0</v>
      </c>
      <c r="AO383" s="1">
        <f>BOM!B383</f>
        <v>0</v>
      </c>
    </row>
    <row r="384" spans="2:41">
      <c r="B384" s="205">
        <v>382</v>
      </c>
      <c r="C384" s="659">
        <f t="shared" si="8"/>
        <v>0</v>
      </c>
      <c r="D384" s="1" t="s">
        <v>894</v>
      </c>
      <c r="E384" s="259">
        <f>SUMIFS(EP_Material!$AB$1:$AB$10000,EP_Material!$D$1:$D$10000,Group!C384)</f>
        <v>0</v>
      </c>
      <c r="F384" s="259">
        <f>SUMIFS(EP_Process!$AB$1:$AB$10000,EP_Process!$A$1:$A$10000,Group!C384,EP_Process!$C$1:$C$10000,Group!$F$2)</f>
        <v>0</v>
      </c>
      <c r="G384" s="259">
        <f>SUMIFS(EP_Process!$AB$1:$AB$10000,EP_Process!$A$1:$A$10000,Group!C384,EP_Process!$C$1:$C$10000,Group!$G$2)</f>
        <v>0</v>
      </c>
      <c r="H384" s="259">
        <f>SUMIFS(EP_Process!$AA$1:$AA$10000,EP_Process!$A$1:$A$10000,Group!C384)</f>
        <v>0</v>
      </c>
      <c r="I384" s="259">
        <f>SUMIFS(EP_Material!$O$1:$O$10000,EP_Material!$D$1:$D$10000,Group!C384)</f>
        <v>0</v>
      </c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M384" s="1">
        <f>BOM!D384</f>
        <v>0</v>
      </c>
      <c r="AN384" s="1">
        <f>BOM!C384</f>
        <v>0</v>
      </c>
      <c r="AO384" s="1">
        <f>BOM!B384</f>
        <v>0</v>
      </c>
    </row>
    <row r="385" spans="2:41">
      <c r="B385" s="205">
        <v>383</v>
      </c>
      <c r="C385" s="659">
        <f t="shared" si="8"/>
        <v>0</v>
      </c>
      <c r="D385" s="1" t="s">
        <v>894</v>
      </c>
      <c r="E385" s="259">
        <f>SUMIFS(EP_Material!$AB$1:$AB$10000,EP_Material!$D$1:$D$10000,Group!C385)</f>
        <v>0</v>
      </c>
      <c r="F385" s="259">
        <f>SUMIFS(EP_Process!$AB$1:$AB$10000,EP_Process!$A$1:$A$10000,Group!C385,EP_Process!$C$1:$C$10000,Group!$F$2)</f>
        <v>0</v>
      </c>
      <c r="G385" s="259">
        <f>SUMIFS(EP_Process!$AB$1:$AB$10000,EP_Process!$A$1:$A$10000,Group!C385,EP_Process!$C$1:$C$10000,Group!$G$2)</f>
        <v>0</v>
      </c>
      <c r="H385" s="259">
        <f>SUMIFS(EP_Process!$AA$1:$AA$10000,EP_Process!$A$1:$A$10000,Group!C385)</f>
        <v>0</v>
      </c>
      <c r="I385" s="259">
        <f>SUMIFS(EP_Material!$O$1:$O$10000,EP_Material!$D$1:$D$10000,Group!C385)</f>
        <v>0</v>
      </c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M385" s="1">
        <f>BOM!D385</f>
        <v>0</v>
      </c>
      <c r="AN385" s="1">
        <f>BOM!C385</f>
        <v>0</v>
      </c>
      <c r="AO385" s="1">
        <f>BOM!B385</f>
        <v>0</v>
      </c>
    </row>
    <row r="386" spans="2:41">
      <c r="B386" s="205">
        <v>384</v>
      </c>
      <c r="C386" s="659">
        <f t="shared" si="8"/>
        <v>0</v>
      </c>
      <c r="D386" s="1" t="s">
        <v>894</v>
      </c>
      <c r="E386" s="259">
        <f>SUMIFS(EP_Material!$AB$1:$AB$10000,EP_Material!$D$1:$D$10000,Group!C386)</f>
        <v>0</v>
      </c>
      <c r="F386" s="259">
        <f>SUMIFS(EP_Process!$AB$1:$AB$10000,EP_Process!$A$1:$A$10000,Group!C386,EP_Process!$C$1:$C$10000,Group!$F$2)</f>
        <v>0</v>
      </c>
      <c r="G386" s="259">
        <f>SUMIFS(EP_Process!$AB$1:$AB$10000,EP_Process!$A$1:$A$10000,Group!C386,EP_Process!$C$1:$C$10000,Group!$G$2)</f>
        <v>0</v>
      </c>
      <c r="H386" s="259">
        <f>SUMIFS(EP_Process!$AA$1:$AA$10000,EP_Process!$A$1:$A$10000,Group!C386)</f>
        <v>0</v>
      </c>
      <c r="I386" s="259">
        <f>SUMIFS(EP_Material!$O$1:$O$10000,EP_Material!$D$1:$D$10000,Group!C386)</f>
        <v>0</v>
      </c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M386" s="1">
        <f>BOM!D386</f>
        <v>0</v>
      </c>
      <c r="AN386" s="1">
        <f>BOM!C386</f>
        <v>0</v>
      </c>
      <c r="AO386" s="1">
        <f>BOM!B386</f>
        <v>0</v>
      </c>
    </row>
    <row r="387" spans="2:41">
      <c r="B387" s="205">
        <v>385</v>
      </c>
      <c r="C387" s="659">
        <f t="shared" si="8"/>
        <v>0</v>
      </c>
      <c r="D387" s="1" t="s">
        <v>894</v>
      </c>
      <c r="E387" s="259">
        <f>SUMIFS(EP_Material!$AB$1:$AB$10000,EP_Material!$D$1:$D$10000,Group!C387)</f>
        <v>0</v>
      </c>
      <c r="F387" s="259">
        <f>SUMIFS(EP_Process!$AB$1:$AB$10000,EP_Process!$A$1:$A$10000,Group!C387,EP_Process!$C$1:$C$10000,Group!$F$2)</f>
        <v>0</v>
      </c>
      <c r="G387" s="259">
        <f>SUMIFS(EP_Process!$AB$1:$AB$10000,EP_Process!$A$1:$A$10000,Group!C387,EP_Process!$C$1:$C$10000,Group!$G$2)</f>
        <v>0</v>
      </c>
      <c r="H387" s="259">
        <f>SUMIFS(EP_Process!$AA$1:$AA$10000,EP_Process!$A$1:$A$10000,Group!C387)</f>
        <v>0</v>
      </c>
      <c r="I387" s="259">
        <f>SUMIFS(EP_Material!$O$1:$O$10000,EP_Material!$D$1:$D$10000,Group!C387)</f>
        <v>0</v>
      </c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M387" s="1">
        <f>BOM!D387</f>
        <v>0</v>
      </c>
      <c r="AN387" s="1">
        <f>BOM!C387</f>
        <v>0</v>
      </c>
      <c r="AO387" s="1">
        <f>BOM!B387</f>
        <v>0</v>
      </c>
    </row>
    <row r="388" spans="2:41">
      <c r="B388" s="205">
        <v>386</v>
      </c>
      <c r="C388" s="659">
        <f t="shared" si="8"/>
        <v>0</v>
      </c>
      <c r="D388" s="1" t="s">
        <v>894</v>
      </c>
      <c r="E388" s="259">
        <f>SUMIFS(EP_Material!$AB$1:$AB$10000,EP_Material!$D$1:$D$10000,Group!C388)</f>
        <v>0</v>
      </c>
      <c r="F388" s="259">
        <f>SUMIFS(EP_Process!$AB$1:$AB$10000,EP_Process!$A$1:$A$10000,Group!C388,EP_Process!$C$1:$C$10000,Group!$F$2)</f>
        <v>0</v>
      </c>
      <c r="G388" s="259">
        <f>SUMIFS(EP_Process!$AB$1:$AB$10000,EP_Process!$A$1:$A$10000,Group!C388,EP_Process!$C$1:$C$10000,Group!$G$2)</f>
        <v>0</v>
      </c>
      <c r="H388" s="259">
        <f>SUMIFS(EP_Process!$AA$1:$AA$10000,EP_Process!$A$1:$A$10000,Group!C388)</f>
        <v>0</v>
      </c>
      <c r="I388" s="259">
        <f>SUMIFS(EP_Material!$O$1:$O$10000,EP_Material!$D$1:$D$10000,Group!C388)</f>
        <v>0</v>
      </c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M388" s="1">
        <f>BOM!D388</f>
        <v>0</v>
      </c>
      <c r="AN388" s="1">
        <f>BOM!C388</f>
        <v>0</v>
      </c>
      <c r="AO388" s="1">
        <f>BOM!B388</f>
        <v>0</v>
      </c>
    </row>
    <row r="389" spans="2:41">
      <c r="B389" s="205">
        <v>387</v>
      </c>
      <c r="C389" s="659">
        <f t="shared" si="8"/>
        <v>0</v>
      </c>
      <c r="D389" s="1" t="s">
        <v>894</v>
      </c>
      <c r="E389" s="259">
        <f>SUMIFS(EP_Material!$AB$1:$AB$10000,EP_Material!$D$1:$D$10000,Group!C389)</f>
        <v>0</v>
      </c>
      <c r="F389" s="259">
        <f>SUMIFS(EP_Process!$AB$1:$AB$10000,EP_Process!$A$1:$A$10000,Group!C389,EP_Process!$C$1:$C$10000,Group!$F$2)</f>
        <v>0</v>
      </c>
      <c r="G389" s="259">
        <f>SUMIFS(EP_Process!$AB$1:$AB$10000,EP_Process!$A$1:$A$10000,Group!C389,EP_Process!$C$1:$C$10000,Group!$G$2)</f>
        <v>0</v>
      </c>
      <c r="H389" s="259">
        <f>SUMIFS(EP_Process!$AA$1:$AA$10000,EP_Process!$A$1:$A$10000,Group!C389)</f>
        <v>0</v>
      </c>
      <c r="I389" s="259">
        <f>SUMIFS(EP_Material!$O$1:$O$10000,EP_Material!$D$1:$D$10000,Group!C389)</f>
        <v>0</v>
      </c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M389" s="1">
        <f>BOM!D389</f>
        <v>0</v>
      </c>
      <c r="AN389" s="1">
        <f>BOM!C389</f>
        <v>0</v>
      </c>
      <c r="AO389" s="1">
        <f>BOM!B389</f>
        <v>0</v>
      </c>
    </row>
    <row r="390" spans="2:41">
      <c r="B390" s="205">
        <v>388</v>
      </c>
      <c r="C390" s="659">
        <f t="shared" si="8"/>
        <v>0</v>
      </c>
      <c r="D390" s="1" t="s">
        <v>894</v>
      </c>
      <c r="E390" s="259">
        <f>SUMIFS(EP_Material!$AB$1:$AB$10000,EP_Material!$D$1:$D$10000,Group!C390)</f>
        <v>0</v>
      </c>
      <c r="F390" s="259">
        <f>SUMIFS(EP_Process!$AB$1:$AB$10000,EP_Process!$A$1:$A$10000,Group!C390,EP_Process!$C$1:$C$10000,Group!$F$2)</f>
        <v>0</v>
      </c>
      <c r="G390" s="259">
        <f>SUMIFS(EP_Process!$AB$1:$AB$10000,EP_Process!$A$1:$A$10000,Group!C390,EP_Process!$C$1:$C$10000,Group!$G$2)</f>
        <v>0</v>
      </c>
      <c r="H390" s="259">
        <f>SUMIFS(EP_Process!$AA$1:$AA$10000,EP_Process!$A$1:$A$10000,Group!C390)</f>
        <v>0</v>
      </c>
      <c r="I390" s="259">
        <f>SUMIFS(EP_Material!$O$1:$O$10000,EP_Material!$D$1:$D$10000,Group!C390)</f>
        <v>0</v>
      </c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M390" s="1">
        <f>BOM!D390</f>
        <v>0</v>
      </c>
      <c r="AN390" s="1">
        <f>BOM!C390</f>
        <v>0</v>
      </c>
      <c r="AO390" s="1">
        <f>BOM!B390</f>
        <v>0</v>
      </c>
    </row>
    <row r="391" spans="2:41">
      <c r="B391" s="205">
        <v>389</v>
      </c>
      <c r="C391" s="659">
        <f t="shared" si="8"/>
        <v>0</v>
      </c>
      <c r="D391" s="1" t="s">
        <v>894</v>
      </c>
      <c r="E391" s="259">
        <f>SUMIFS(EP_Material!$AB$1:$AB$10000,EP_Material!$D$1:$D$10000,Group!C391)</f>
        <v>0</v>
      </c>
      <c r="F391" s="259">
        <f>SUMIFS(EP_Process!$AB$1:$AB$10000,EP_Process!$A$1:$A$10000,Group!C391,EP_Process!$C$1:$C$10000,Group!$F$2)</f>
        <v>0</v>
      </c>
      <c r="G391" s="259">
        <f>SUMIFS(EP_Process!$AB$1:$AB$10000,EP_Process!$A$1:$A$10000,Group!C391,EP_Process!$C$1:$C$10000,Group!$G$2)</f>
        <v>0</v>
      </c>
      <c r="H391" s="259">
        <f>SUMIFS(EP_Process!$AA$1:$AA$10000,EP_Process!$A$1:$A$10000,Group!C391)</f>
        <v>0</v>
      </c>
      <c r="I391" s="259">
        <f>SUMIFS(EP_Material!$O$1:$O$10000,EP_Material!$D$1:$D$10000,Group!C391)</f>
        <v>0</v>
      </c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M391" s="1">
        <f>BOM!D391</f>
        <v>0</v>
      </c>
      <c r="AN391" s="1">
        <f>BOM!C391</f>
        <v>0</v>
      </c>
      <c r="AO391" s="1">
        <f>BOM!B391</f>
        <v>0</v>
      </c>
    </row>
    <row r="392" spans="2:41">
      <c r="B392" s="205">
        <v>390</v>
      </c>
      <c r="C392" s="659">
        <f t="shared" si="8"/>
        <v>0</v>
      </c>
      <c r="D392" s="1" t="s">
        <v>894</v>
      </c>
      <c r="E392" s="259">
        <f>SUMIFS(EP_Material!$AB$1:$AB$10000,EP_Material!$D$1:$D$10000,Group!C392)</f>
        <v>0</v>
      </c>
      <c r="F392" s="259">
        <f>SUMIFS(EP_Process!$AB$1:$AB$10000,EP_Process!$A$1:$A$10000,Group!C392,EP_Process!$C$1:$C$10000,Group!$F$2)</f>
        <v>0</v>
      </c>
      <c r="G392" s="259">
        <f>SUMIFS(EP_Process!$AB$1:$AB$10000,EP_Process!$A$1:$A$10000,Group!C392,EP_Process!$C$1:$C$10000,Group!$G$2)</f>
        <v>0</v>
      </c>
      <c r="H392" s="259">
        <f>SUMIFS(EP_Process!$AA$1:$AA$10000,EP_Process!$A$1:$A$10000,Group!C392)</f>
        <v>0</v>
      </c>
      <c r="I392" s="259">
        <f>SUMIFS(EP_Material!$O$1:$O$10000,EP_Material!$D$1:$D$10000,Group!C392)</f>
        <v>0</v>
      </c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M392" s="1">
        <f>BOM!D392</f>
        <v>0</v>
      </c>
      <c r="AN392" s="1">
        <f>BOM!C392</f>
        <v>0</v>
      </c>
      <c r="AO392" s="1">
        <f>BOM!B392</f>
        <v>0</v>
      </c>
    </row>
    <row r="393" spans="2:41">
      <c r="B393" s="205">
        <v>391</v>
      </c>
      <c r="C393" s="659">
        <f t="shared" si="8"/>
        <v>0</v>
      </c>
      <c r="D393" s="1" t="s">
        <v>894</v>
      </c>
      <c r="E393" s="259">
        <f>SUMIFS(EP_Material!$AB$1:$AB$10000,EP_Material!$D$1:$D$10000,Group!C393)</f>
        <v>0</v>
      </c>
      <c r="F393" s="259">
        <f>SUMIFS(EP_Process!$AB$1:$AB$10000,EP_Process!$A$1:$A$10000,Group!C393,EP_Process!$C$1:$C$10000,Group!$F$2)</f>
        <v>0</v>
      </c>
      <c r="G393" s="259">
        <f>SUMIFS(EP_Process!$AB$1:$AB$10000,EP_Process!$A$1:$A$10000,Group!C393,EP_Process!$C$1:$C$10000,Group!$G$2)</f>
        <v>0</v>
      </c>
      <c r="H393" s="259">
        <f>SUMIFS(EP_Process!$AA$1:$AA$10000,EP_Process!$A$1:$A$10000,Group!C393)</f>
        <v>0</v>
      </c>
      <c r="I393" s="259">
        <f>SUMIFS(EP_Material!$O$1:$O$10000,EP_Material!$D$1:$D$10000,Group!C393)</f>
        <v>0</v>
      </c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M393" s="1">
        <f>BOM!D393</f>
        <v>0</v>
      </c>
      <c r="AN393" s="1">
        <f>BOM!C393</f>
        <v>0</v>
      </c>
      <c r="AO393" s="1">
        <f>BOM!B393</f>
        <v>0</v>
      </c>
    </row>
    <row r="394" spans="2:41">
      <c r="B394" s="205">
        <v>392</v>
      </c>
      <c r="C394" s="659">
        <f t="shared" si="8"/>
        <v>0</v>
      </c>
      <c r="D394" s="1" t="s">
        <v>894</v>
      </c>
      <c r="E394" s="259">
        <f>SUMIFS(EP_Material!$AB$1:$AB$10000,EP_Material!$D$1:$D$10000,Group!C394)</f>
        <v>0</v>
      </c>
      <c r="F394" s="259">
        <f>SUMIFS(EP_Process!$AB$1:$AB$10000,EP_Process!$A$1:$A$10000,Group!C394,EP_Process!$C$1:$C$10000,Group!$F$2)</f>
        <v>0</v>
      </c>
      <c r="G394" s="259">
        <f>SUMIFS(EP_Process!$AB$1:$AB$10000,EP_Process!$A$1:$A$10000,Group!C394,EP_Process!$C$1:$C$10000,Group!$G$2)</f>
        <v>0</v>
      </c>
      <c r="H394" s="259">
        <f>SUMIFS(EP_Process!$AA$1:$AA$10000,EP_Process!$A$1:$A$10000,Group!C394)</f>
        <v>0</v>
      </c>
      <c r="I394" s="259">
        <f>SUMIFS(EP_Material!$O$1:$O$10000,EP_Material!$D$1:$D$10000,Group!C394)</f>
        <v>0</v>
      </c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M394" s="1">
        <f>BOM!D394</f>
        <v>0</v>
      </c>
      <c r="AN394" s="1">
        <f>BOM!C394</f>
        <v>0</v>
      </c>
      <c r="AO394" s="1">
        <f>BOM!B394</f>
        <v>0</v>
      </c>
    </row>
    <row r="395" spans="2:41">
      <c r="B395" s="205">
        <v>393</v>
      </c>
      <c r="C395" s="659">
        <f t="shared" si="8"/>
        <v>0</v>
      </c>
      <c r="D395" s="1" t="s">
        <v>894</v>
      </c>
      <c r="E395" s="259">
        <f>SUMIFS(EP_Material!$AB$1:$AB$10000,EP_Material!$D$1:$D$10000,Group!C395)</f>
        <v>0</v>
      </c>
      <c r="F395" s="259">
        <f>SUMIFS(EP_Process!$AB$1:$AB$10000,EP_Process!$A$1:$A$10000,Group!C395,EP_Process!$C$1:$C$10000,Group!$F$2)</f>
        <v>0</v>
      </c>
      <c r="G395" s="259">
        <f>SUMIFS(EP_Process!$AB$1:$AB$10000,EP_Process!$A$1:$A$10000,Group!C395,EP_Process!$C$1:$C$10000,Group!$G$2)</f>
        <v>0</v>
      </c>
      <c r="H395" s="259">
        <f>SUMIFS(EP_Process!$AA$1:$AA$10000,EP_Process!$A$1:$A$10000,Group!C395)</f>
        <v>0</v>
      </c>
      <c r="I395" s="259">
        <f>SUMIFS(EP_Material!$O$1:$O$10000,EP_Material!$D$1:$D$10000,Group!C395)</f>
        <v>0</v>
      </c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M395" s="1">
        <f>BOM!D395</f>
        <v>0</v>
      </c>
      <c r="AN395" s="1">
        <f>BOM!C395</f>
        <v>0</v>
      </c>
      <c r="AO395" s="1">
        <f>BOM!B395</f>
        <v>0</v>
      </c>
    </row>
    <row r="396" spans="2:41">
      <c r="B396" s="205">
        <v>394</v>
      </c>
      <c r="C396" s="659">
        <f t="shared" si="8"/>
        <v>0</v>
      </c>
      <c r="D396" s="1" t="s">
        <v>894</v>
      </c>
      <c r="E396" s="259">
        <f>SUMIFS(EP_Material!$AB$1:$AB$10000,EP_Material!$D$1:$D$10000,Group!C396)</f>
        <v>0</v>
      </c>
      <c r="F396" s="259">
        <f>SUMIFS(EP_Process!$AB$1:$AB$10000,EP_Process!$A$1:$A$10000,Group!C396,EP_Process!$C$1:$C$10000,Group!$F$2)</f>
        <v>0</v>
      </c>
      <c r="G396" s="259">
        <f>SUMIFS(EP_Process!$AB$1:$AB$10000,EP_Process!$A$1:$A$10000,Group!C396,EP_Process!$C$1:$C$10000,Group!$G$2)</f>
        <v>0</v>
      </c>
      <c r="H396" s="259">
        <f>SUMIFS(EP_Process!$AA$1:$AA$10000,EP_Process!$A$1:$A$10000,Group!C396)</f>
        <v>0</v>
      </c>
      <c r="I396" s="259">
        <f>SUMIFS(EP_Material!$O$1:$O$10000,EP_Material!$D$1:$D$10000,Group!C396)</f>
        <v>0</v>
      </c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M396" s="1">
        <f>BOM!D396</f>
        <v>0</v>
      </c>
      <c r="AN396" s="1">
        <f>BOM!C396</f>
        <v>0</v>
      </c>
      <c r="AO396" s="1">
        <f>BOM!B396</f>
        <v>0</v>
      </c>
    </row>
    <row r="397" spans="2:41">
      <c r="B397" s="205">
        <v>395</v>
      </c>
      <c r="C397" s="659">
        <f t="shared" si="8"/>
        <v>0</v>
      </c>
      <c r="D397" s="1" t="s">
        <v>894</v>
      </c>
      <c r="E397" s="259">
        <f>SUMIFS(EP_Material!$AB$1:$AB$10000,EP_Material!$D$1:$D$10000,Group!C397)</f>
        <v>0</v>
      </c>
      <c r="F397" s="259">
        <f>SUMIFS(EP_Process!$AB$1:$AB$10000,EP_Process!$A$1:$A$10000,Group!C397,EP_Process!$C$1:$C$10000,Group!$F$2)</f>
        <v>0</v>
      </c>
      <c r="G397" s="259">
        <f>SUMIFS(EP_Process!$AB$1:$AB$10000,EP_Process!$A$1:$A$10000,Group!C397,EP_Process!$C$1:$C$10000,Group!$G$2)</f>
        <v>0</v>
      </c>
      <c r="H397" s="259">
        <f>SUMIFS(EP_Process!$AA$1:$AA$10000,EP_Process!$A$1:$A$10000,Group!C397)</f>
        <v>0</v>
      </c>
      <c r="I397" s="259">
        <f>SUMIFS(EP_Material!$O$1:$O$10000,EP_Material!$D$1:$D$10000,Group!C397)</f>
        <v>0</v>
      </c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M397" s="1">
        <f>BOM!D397</f>
        <v>0</v>
      </c>
      <c r="AN397" s="1">
        <f>BOM!C397</f>
        <v>0</v>
      </c>
      <c r="AO397" s="1">
        <f>BOM!B397</f>
        <v>0</v>
      </c>
    </row>
    <row r="398" spans="2:41">
      <c r="B398" s="205">
        <v>396</v>
      </c>
      <c r="C398" s="659">
        <f t="shared" si="8"/>
        <v>0</v>
      </c>
      <c r="D398" s="1" t="s">
        <v>894</v>
      </c>
      <c r="E398" s="259">
        <f>SUMIFS(EP_Material!$AB$1:$AB$10000,EP_Material!$D$1:$D$10000,Group!C398)</f>
        <v>0</v>
      </c>
      <c r="F398" s="259">
        <f>SUMIFS(EP_Process!$AB$1:$AB$10000,EP_Process!$A$1:$A$10000,Group!C398,EP_Process!$C$1:$C$10000,Group!$F$2)</f>
        <v>0</v>
      </c>
      <c r="G398" s="259">
        <f>SUMIFS(EP_Process!$AB$1:$AB$10000,EP_Process!$A$1:$A$10000,Group!C398,EP_Process!$C$1:$C$10000,Group!$G$2)</f>
        <v>0</v>
      </c>
      <c r="H398" s="259">
        <f>SUMIFS(EP_Process!$AA$1:$AA$10000,EP_Process!$A$1:$A$10000,Group!C398)</f>
        <v>0</v>
      </c>
      <c r="I398" s="259">
        <f>SUMIFS(EP_Material!$O$1:$O$10000,EP_Material!$D$1:$D$10000,Group!C398)</f>
        <v>0</v>
      </c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M398" s="1">
        <f>BOM!D398</f>
        <v>0</v>
      </c>
      <c r="AN398" s="1">
        <f>BOM!C398</f>
        <v>0</v>
      </c>
      <c r="AO398" s="1">
        <f>BOM!B398</f>
        <v>0</v>
      </c>
    </row>
    <row r="399" spans="2:41">
      <c r="B399" s="205">
        <v>397</v>
      </c>
      <c r="C399" s="659">
        <f t="shared" si="8"/>
        <v>0</v>
      </c>
      <c r="D399" s="1" t="s">
        <v>894</v>
      </c>
      <c r="E399" s="259">
        <f>SUMIFS(EP_Material!$AB$1:$AB$10000,EP_Material!$D$1:$D$10000,Group!C399)</f>
        <v>0</v>
      </c>
      <c r="F399" s="259">
        <f>SUMIFS(EP_Process!$AB$1:$AB$10000,EP_Process!$A$1:$A$10000,Group!C399,EP_Process!$C$1:$C$10000,Group!$F$2)</f>
        <v>0</v>
      </c>
      <c r="G399" s="259">
        <f>SUMIFS(EP_Process!$AB$1:$AB$10000,EP_Process!$A$1:$A$10000,Group!C399,EP_Process!$C$1:$C$10000,Group!$G$2)</f>
        <v>0</v>
      </c>
      <c r="H399" s="259">
        <f>SUMIFS(EP_Process!$AA$1:$AA$10000,EP_Process!$A$1:$A$10000,Group!C399)</f>
        <v>0</v>
      </c>
      <c r="I399" s="259">
        <f>SUMIFS(EP_Material!$O$1:$O$10000,EP_Material!$D$1:$D$10000,Group!C399)</f>
        <v>0</v>
      </c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M399" s="1">
        <f>BOM!D399</f>
        <v>0</v>
      </c>
      <c r="AN399" s="1">
        <f>BOM!C399</f>
        <v>0</v>
      </c>
      <c r="AO399" s="1">
        <f>BOM!B399</f>
        <v>0</v>
      </c>
    </row>
    <row r="400" spans="2:41">
      <c r="B400" s="205">
        <v>398</v>
      </c>
      <c r="C400" s="659">
        <f t="shared" si="8"/>
        <v>0</v>
      </c>
      <c r="D400" s="1" t="s">
        <v>894</v>
      </c>
      <c r="E400" s="259">
        <f>SUMIFS(EP_Material!$AB$1:$AB$10000,EP_Material!$D$1:$D$10000,Group!C400)</f>
        <v>0</v>
      </c>
      <c r="F400" s="259">
        <f>SUMIFS(EP_Process!$AB$1:$AB$10000,EP_Process!$A$1:$A$10000,Group!C400,EP_Process!$C$1:$C$10000,Group!$F$2)</f>
        <v>0</v>
      </c>
      <c r="G400" s="259">
        <f>SUMIFS(EP_Process!$AB$1:$AB$10000,EP_Process!$A$1:$A$10000,Group!C400,EP_Process!$C$1:$C$10000,Group!$G$2)</f>
        <v>0</v>
      </c>
      <c r="H400" s="259">
        <f>SUMIFS(EP_Process!$AA$1:$AA$10000,EP_Process!$A$1:$A$10000,Group!C400)</f>
        <v>0</v>
      </c>
      <c r="I400" s="259">
        <f>SUMIFS(EP_Material!$O$1:$O$10000,EP_Material!$D$1:$D$10000,Group!C400)</f>
        <v>0</v>
      </c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M400" s="1">
        <f>BOM!D400</f>
        <v>0</v>
      </c>
      <c r="AN400" s="1">
        <f>BOM!C400</f>
        <v>0</v>
      </c>
      <c r="AO400" s="1">
        <f>BOM!B400</f>
        <v>0</v>
      </c>
    </row>
    <row r="401" spans="2:41">
      <c r="B401" s="205">
        <v>399</v>
      </c>
      <c r="C401" s="659">
        <f t="shared" si="8"/>
        <v>0</v>
      </c>
      <c r="D401" s="1" t="s">
        <v>894</v>
      </c>
      <c r="E401" s="259">
        <f>SUMIFS(EP_Material!$AB$1:$AB$10000,EP_Material!$D$1:$D$10000,Group!C401)</f>
        <v>0</v>
      </c>
      <c r="F401" s="259">
        <f>SUMIFS(EP_Process!$AB$1:$AB$10000,EP_Process!$A$1:$A$10000,Group!C401,EP_Process!$C$1:$C$10000,Group!$F$2)</f>
        <v>0</v>
      </c>
      <c r="G401" s="259">
        <f>SUMIFS(EP_Process!$AB$1:$AB$10000,EP_Process!$A$1:$A$10000,Group!C401,EP_Process!$C$1:$C$10000,Group!$G$2)</f>
        <v>0</v>
      </c>
      <c r="H401" s="259">
        <f>SUMIFS(EP_Process!$AA$1:$AA$10000,EP_Process!$A$1:$A$10000,Group!C401)</f>
        <v>0</v>
      </c>
      <c r="I401" s="259">
        <f>SUMIFS(EP_Material!$O$1:$O$10000,EP_Material!$D$1:$D$10000,Group!C401)</f>
        <v>0</v>
      </c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M401" s="1">
        <f>BOM!D401</f>
        <v>0</v>
      </c>
      <c r="AN401" s="1">
        <f>BOM!C401</f>
        <v>0</v>
      </c>
      <c r="AO401" s="1">
        <f>BOM!B401</f>
        <v>0</v>
      </c>
    </row>
    <row r="402" spans="2:41">
      <c r="B402" s="205">
        <v>400</v>
      </c>
      <c r="C402" s="659">
        <f t="shared" si="8"/>
        <v>0</v>
      </c>
      <c r="D402" s="1" t="s">
        <v>894</v>
      </c>
      <c r="E402" s="259">
        <f>SUMIFS(EP_Material!$AB$1:$AB$10000,EP_Material!$D$1:$D$10000,Group!C402)</f>
        <v>0</v>
      </c>
      <c r="F402" s="259">
        <f>SUMIFS(EP_Process!$AB$1:$AB$10000,EP_Process!$A$1:$A$10000,Group!C402,EP_Process!$C$1:$C$10000,Group!$F$2)</f>
        <v>0</v>
      </c>
      <c r="G402" s="259">
        <f>SUMIFS(EP_Process!$AB$1:$AB$10000,EP_Process!$A$1:$A$10000,Group!C402,EP_Process!$C$1:$C$10000,Group!$G$2)</f>
        <v>0</v>
      </c>
      <c r="H402" s="259">
        <f>SUMIFS(EP_Process!$AA$1:$AA$10000,EP_Process!$A$1:$A$10000,Group!C402)</f>
        <v>0</v>
      </c>
      <c r="I402" s="259">
        <f>SUMIFS(EP_Material!$O$1:$O$10000,EP_Material!$D$1:$D$10000,Group!C402)</f>
        <v>0</v>
      </c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M402" s="1">
        <f>BOM!D402</f>
        <v>0</v>
      </c>
      <c r="AN402" s="1">
        <f>BOM!C402</f>
        <v>0</v>
      </c>
      <c r="AO402" s="1">
        <f>BOM!B402</f>
        <v>0</v>
      </c>
    </row>
    <row r="403" spans="2:41">
      <c r="B403" s="205">
        <v>401</v>
      </c>
      <c r="C403" s="659">
        <f t="shared" si="8"/>
        <v>0</v>
      </c>
      <c r="D403" s="1" t="s">
        <v>894</v>
      </c>
      <c r="E403" s="259">
        <f>SUMIFS(EP_Material!$AB$1:$AB$10000,EP_Material!$D$1:$D$10000,Group!C403)</f>
        <v>0</v>
      </c>
      <c r="F403" s="259">
        <f>SUMIFS(EP_Process!$AB$1:$AB$10000,EP_Process!$A$1:$A$10000,Group!C403,EP_Process!$C$1:$C$10000,Group!$F$2)</f>
        <v>0</v>
      </c>
      <c r="G403" s="259">
        <f>SUMIFS(EP_Process!$AB$1:$AB$10000,EP_Process!$A$1:$A$10000,Group!C403,EP_Process!$C$1:$C$10000,Group!$G$2)</f>
        <v>0</v>
      </c>
      <c r="H403" s="259">
        <f>SUMIFS(EP_Process!$AA$1:$AA$10000,EP_Process!$A$1:$A$10000,Group!C403)</f>
        <v>0</v>
      </c>
      <c r="I403" s="259">
        <f>SUMIFS(EP_Material!$O$1:$O$10000,EP_Material!$D$1:$D$10000,Group!C403)</f>
        <v>0</v>
      </c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M403" s="1">
        <f>BOM!D403</f>
        <v>0</v>
      </c>
      <c r="AN403" s="1">
        <f>BOM!C403</f>
        <v>0</v>
      </c>
      <c r="AO403" s="1">
        <f>BOM!B403</f>
        <v>0</v>
      </c>
    </row>
    <row r="404" spans="2:41">
      <c r="B404" s="205">
        <v>402</v>
      </c>
      <c r="C404" s="659">
        <f t="shared" si="8"/>
        <v>0</v>
      </c>
      <c r="D404" s="1" t="s">
        <v>894</v>
      </c>
      <c r="E404" s="259">
        <f>SUMIFS(EP_Material!$AB$1:$AB$10000,EP_Material!$D$1:$D$10000,Group!C404)</f>
        <v>0</v>
      </c>
      <c r="F404" s="259">
        <f>SUMIFS(EP_Process!$AB$1:$AB$10000,EP_Process!$A$1:$A$10000,Group!C404,EP_Process!$C$1:$C$10000,Group!$F$2)</f>
        <v>0</v>
      </c>
      <c r="G404" s="259">
        <f>SUMIFS(EP_Process!$AB$1:$AB$10000,EP_Process!$A$1:$A$10000,Group!C404,EP_Process!$C$1:$C$10000,Group!$G$2)</f>
        <v>0</v>
      </c>
      <c r="H404" s="259">
        <f>SUMIFS(EP_Process!$AA$1:$AA$10000,EP_Process!$A$1:$A$10000,Group!C404)</f>
        <v>0</v>
      </c>
      <c r="I404" s="259">
        <f>SUMIFS(EP_Material!$O$1:$O$10000,EP_Material!$D$1:$D$10000,Group!C404)</f>
        <v>0</v>
      </c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M404" s="1">
        <f>BOM!D404</f>
        <v>0</v>
      </c>
      <c r="AN404" s="1">
        <f>BOM!C404</f>
        <v>0</v>
      </c>
      <c r="AO404" s="1">
        <f>BOM!B404</f>
        <v>0</v>
      </c>
    </row>
    <row r="405" spans="2:41">
      <c r="B405" s="205">
        <v>403</v>
      </c>
      <c r="C405" s="659">
        <f t="shared" si="8"/>
        <v>0</v>
      </c>
      <c r="D405" s="1" t="s">
        <v>894</v>
      </c>
      <c r="E405" s="259">
        <f>SUMIFS(EP_Material!$AB$1:$AB$10000,EP_Material!$D$1:$D$10000,Group!C405)</f>
        <v>0</v>
      </c>
      <c r="F405" s="259">
        <f>SUMIFS(EP_Process!$AB$1:$AB$10000,EP_Process!$A$1:$A$10000,Group!C405,EP_Process!$C$1:$C$10000,Group!$F$2)</f>
        <v>0</v>
      </c>
      <c r="G405" s="259">
        <f>SUMIFS(EP_Process!$AB$1:$AB$10000,EP_Process!$A$1:$A$10000,Group!C405,EP_Process!$C$1:$C$10000,Group!$G$2)</f>
        <v>0</v>
      </c>
      <c r="H405" s="259">
        <f>SUMIFS(EP_Process!$AA$1:$AA$10000,EP_Process!$A$1:$A$10000,Group!C405)</f>
        <v>0</v>
      </c>
      <c r="I405" s="259">
        <f>SUMIFS(EP_Material!$O$1:$O$10000,EP_Material!$D$1:$D$10000,Group!C405)</f>
        <v>0</v>
      </c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M405" s="1">
        <f>BOM!D405</f>
        <v>0</v>
      </c>
      <c r="AN405" s="1">
        <f>BOM!C405</f>
        <v>0</v>
      </c>
      <c r="AO405" s="1">
        <f>BOM!B405</f>
        <v>0</v>
      </c>
    </row>
    <row r="406" spans="2:41">
      <c r="B406" s="205">
        <v>404</v>
      </c>
      <c r="C406" s="659">
        <f t="shared" si="8"/>
        <v>0</v>
      </c>
      <c r="D406" s="1" t="s">
        <v>894</v>
      </c>
      <c r="E406" s="259">
        <f>SUMIFS(EP_Material!$AB$1:$AB$10000,EP_Material!$D$1:$D$10000,Group!C406)</f>
        <v>0</v>
      </c>
      <c r="F406" s="259">
        <f>SUMIFS(EP_Process!$AB$1:$AB$10000,EP_Process!$A$1:$A$10000,Group!C406,EP_Process!$C$1:$C$10000,Group!$F$2)</f>
        <v>0</v>
      </c>
      <c r="G406" s="259">
        <f>SUMIFS(EP_Process!$AB$1:$AB$10000,EP_Process!$A$1:$A$10000,Group!C406,EP_Process!$C$1:$C$10000,Group!$G$2)</f>
        <v>0</v>
      </c>
      <c r="H406" s="259">
        <f>SUMIFS(EP_Process!$AA$1:$AA$10000,EP_Process!$A$1:$A$10000,Group!C406)</f>
        <v>0</v>
      </c>
      <c r="I406" s="259">
        <f>SUMIFS(EP_Material!$O$1:$O$10000,EP_Material!$D$1:$D$10000,Group!C406)</f>
        <v>0</v>
      </c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M406" s="1">
        <f>BOM!D406</f>
        <v>0</v>
      </c>
      <c r="AN406" s="1">
        <f>BOM!C406</f>
        <v>0</v>
      </c>
      <c r="AO406" s="1">
        <f>BOM!B406</f>
        <v>0</v>
      </c>
    </row>
    <row r="407" spans="2:41">
      <c r="B407" s="205">
        <v>405</v>
      </c>
      <c r="C407" s="659">
        <f t="shared" si="8"/>
        <v>0</v>
      </c>
      <c r="D407" s="1" t="s">
        <v>894</v>
      </c>
      <c r="E407" s="259">
        <f>SUMIFS(EP_Material!$AB$1:$AB$10000,EP_Material!$D$1:$D$10000,Group!C407)</f>
        <v>0</v>
      </c>
      <c r="F407" s="259">
        <f>SUMIFS(EP_Process!$AB$1:$AB$10000,EP_Process!$A$1:$A$10000,Group!C407,EP_Process!$C$1:$C$10000,Group!$F$2)</f>
        <v>0</v>
      </c>
      <c r="G407" s="259">
        <f>SUMIFS(EP_Process!$AB$1:$AB$10000,EP_Process!$A$1:$A$10000,Group!C407,EP_Process!$C$1:$C$10000,Group!$G$2)</f>
        <v>0</v>
      </c>
      <c r="H407" s="259">
        <f>SUMIFS(EP_Process!$AA$1:$AA$10000,EP_Process!$A$1:$A$10000,Group!C407)</f>
        <v>0</v>
      </c>
      <c r="I407" s="259">
        <f>SUMIFS(EP_Material!$O$1:$O$10000,EP_Material!$D$1:$D$10000,Group!C407)</f>
        <v>0</v>
      </c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M407" s="1">
        <f>BOM!D407</f>
        <v>0</v>
      </c>
      <c r="AN407" s="1">
        <f>BOM!C407</f>
        <v>0</v>
      </c>
      <c r="AO407" s="1">
        <f>BOM!B407</f>
        <v>0</v>
      </c>
    </row>
    <row r="408" spans="2:41">
      <c r="B408" s="205">
        <v>406</v>
      </c>
      <c r="C408" s="659">
        <f t="shared" si="8"/>
        <v>0</v>
      </c>
      <c r="D408" s="1" t="s">
        <v>894</v>
      </c>
      <c r="E408" s="259">
        <f>SUMIFS(EP_Material!$AB$1:$AB$10000,EP_Material!$D$1:$D$10000,Group!C408)</f>
        <v>0</v>
      </c>
      <c r="F408" s="259">
        <f>SUMIFS(EP_Process!$AB$1:$AB$10000,EP_Process!$A$1:$A$10000,Group!C408,EP_Process!$C$1:$C$10000,Group!$F$2)</f>
        <v>0</v>
      </c>
      <c r="G408" s="259">
        <f>SUMIFS(EP_Process!$AB$1:$AB$10000,EP_Process!$A$1:$A$10000,Group!C408,EP_Process!$C$1:$C$10000,Group!$G$2)</f>
        <v>0</v>
      </c>
      <c r="H408" s="259">
        <f>SUMIFS(EP_Process!$AA$1:$AA$10000,EP_Process!$A$1:$A$10000,Group!C408)</f>
        <v>0</v>
      </c>
      <c r="I408" s="259">
        <f>SUMIFS(EP_Material!$O$1:$O$10000,EP_Material!$D$1:$D$10000,Group!C408)</f>
        <v>0</v>
      </c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M408" s="1">
        <f>BOM!D408</f>
        <v>0</v>
      </c>
      <c r="AN408" s="1">
        <f>BOM!C408</f>
        <v>0</v>
      </c>
      <c r="AO408" s="1">
        <f>BOM!B408</f>
        <v>0</v>
      </c>
    </row>
    <row r="409" spans="2:41">
      <c r="B409" s="205">
        <v>407</v>
      </c>
      <c r="C409" s="659">
        <f t="shared" si="8"/>
        <v>0</v>
      </c>
      <c r="D409" s="1" t="s">
        <v>894</v>
      </c>
      <c r="E409" s="259">
        <f>SUMIFS(EP_Material!$AB$1:$AB$10000,EP_Material!$D$1:$D$10000,Group!C409)</f>
        <v>0</v>
      </c>
      <c r="F409" s="259">
        <f>SUMIFS(EP_Process!$AB$1:$AB$10000,EP_Process!$A$1:$A$10000,Group!C409,EP_Process!$C$1:$C$10000,Group!$F$2)</f>
        <v>0</v>
      </c>
      <c r="G409" s="259">
        <f>SUMIFS(EP_Process!$AB$1:$AB$10000,EP_Process!$A$1:$A$10000,Group!C409,EP_Process!$C$1:$C$10000,Group!$G$2)</f>
        <v>0</v>
      </c>
      <c r="H409" s="259">
        <f>SUMIFS(EP_Process!$AA$1:$AA$10000,EP_Process!$A$1:$A$10000,Group!C409)</f>
        <v>0</v>
      </c>
      <c r="I409" s="259">
        <f>SUMIFS(EP_Material!$O$1:$O$10000,EP_Material!$D$1:$D$10000,Group!C409)</f>
        <v>0</v>
      </c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M409" s="1">
        <f>BOM!D409</f>
        <v>0</v>
      </c>
      <c r="AN409" s="1">
        <f>BOM!C409</f>
        <v>0</v>
      </c>
      <c r="AO409" s="1">
        <f>BOM!B409</f>
        <v>0</v>
      </c>
    </row>
    <row r="410" spans="2:41">
      <c r="B410" s="205">
        <v>408</v>
      </c>
      <c r="C410" s="659">
        <f t="shared" si="8"/>
        <v>0</v>
      </c>
      <c r="D410" s="1" t="s">
        <v>894</v>
      </c>
      <c r="E410" s="259">
        <f>SUMIFS(EP_Material!$AB$1:$AB$10000,EP_Material!$D$1:$D$10000,Group!C410)</f>
        <v>0</v>
      </c>
      <c r="F410" s="259">
        <f>SUMIFS(EP_Process!$AB$1:$AB$10000,EP_Process!$A$1:$A$10000,Group!C410,EP_Process!$C$1:$C$10000,Group!$F$2)</f>
        <v>0</v>
      </c>
      <c r="G410" s="259">
        <f>SUMIFS(EP_Process!$AB$1:$AB$10000,EP_Process!$A$1:$A$10000,Group!C410,EP_Process!$C$1:$C$10000,Group!$G$2)</f>
        <v>0</v>
      </c>
      <c r="H410" s="259">
        <f>SUMIFS(EP_Process!$AA$1:$AA$10000,EP_Process!$A$1:$A$10000,Group!C410)</f>
        <v>0</v>
      </c>
      <c r="I410" s="259">
        <f>SUMIFS(EP_Material!$O$1:$O$10000,EP_Material!$D$1:$D$10000,Group!C410)</f>
        <v>0</v>
      </c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M410" s="1">
        <f>BOM!D410</f>
        <v>0</v>
      </c>
      <c r="AN410" s="1">
        <f>BOM!C410</f>
        <v>0</v>
      </c>
      <c r="AO410" s="1">
        <f>BOM!B410</f>
        <v>0</v>
      </c>
    </row>
    <row r="411" spans="2:41">
      <c r="B411" s="205">
        <v>409</v>
      </c>
      <c r="C411" s="659" t="str">
        <f>K2</f>
        <v>FE705510</v>
      </c>
      <c r="D411" s="1" t="s">
        <v>1203</v>
      </c>
      <c r="E411" s="259">
        <f>SUMIFS(SM_Material!$AE$1:$AE$10000,SM_Material!$D$1:$D$10000,Group!C411)</f>
        <v>0.71</v>
      </c>
      <c r="F411" s="259">
        <f>SUMIFS(SM_Process!$O$1:$O$10000,SM_Process!$C$1:$C$10000,Group!F$2,SM_Process!$B$1:$B$10000,Group!$C411)</f>
        <v>0</v>
      </c>
      <c r="G411" s="259">
        <f>SUMIFS(SM_Process!$O$1:$O$10000,SM_Process!$C$1:$C$10000,Group!G$2,SM_Process!$B$1:$B$10000,Group!$C411)</f>
        <v>0</v>
      </c>
      <c r="H411" s="259">
        <f>SUMIFS(SM_Process!$O$1:$O$10000,SM_Process!$C$1:$C$10000,Group!H$2,SM_Process!$B$1:$B$10000,Group!$C411)</f>
        <v>0</v>
      </c>
      <c r="I411" s="259">
        <f>SUMIFS(SM_Material!$W$1:$W$10000,SM_Material!$D$1:$D$10000,Group!C411)</f>
        <v>0</v>
      </c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M411" s="1">
        <f>BOM!D411</f>
        <v>0</v>
      </c>
      <c r="AN411" s="1">
        <f>BOM!C411</f>
        <v>0</v>
      </c>
      <c r="AO411" s="1">
        <f>BOM!B411</f>
        <v>0</v>
      </c>
    </row>
    <row r="412" spans="2:41">
      <c r="B412" s="205">
        <v>410</v>
      </c>
      <c r="C412" s="659" t="str">
        <f t="shared" ref="C412:C475" si="9">K3</f>
        <v>FT901100</v>
      </c>
      <c r="D412" s="1" t="s">
        <v>1203</v>
      </c>
      <c r="E412" s="259">
        <f>SUMIFS(SM_Material!$AE$1:$AE$10000,SM_Material!$D$1:$D$10000,Group!C412)</f>
        <v>3.04</v>
      </c>
      <c r="F412" s="259">
        <f>SUMIFS(SM_Process!$O$1:$O$10000,SM_Process!$C$1:$C$10000,Group!F$2,SM_Process!$B$1:$B$10000,Group!$C412)</f>
        <v>0</v>
      </c>
      <c r="G412" s="259">
        <f>SUMIFS(SM_Process!$O$1:$O$10000,SM_Process!$C$1:$C$10000,Group!G$2,SM_Process!$B$1:$B$10000,Group!$C412)</f>
        <v>0</v>
      </c>
      <c r="H412" s="259">
        <f>SUMIFS(SM_Process!$O$1:$O$10000,SM_Process!$C$1:$C$10000,Group!H$2,SM_Process!$B$1:$B$10000,Group!$C412)</f>
        <v>0</v>
      </c>
      <c r="I412" s="259">
        <f>SUMIFS(SM_Material!$W$1:$W$10000,SM_Material!$D$1:$D$10000,Group!C412)</f>
        <v>0</v>
      </c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M412" s="1">
        <f>BOM!D412</f>
        <v>0</v>
      </c>
      <c r="AN412" s="1">
        <f>BOM!C412</f>
        <v>0</v>
      </c>
      <c r="AO412" s="1">
        <f>BOM!B412</f>
        <v>0</v>
      </c>
    </row>
    <row r="413" spans="2:41">
      <c r="B413" s="205">
        <v>411</v>
      </c>
      <c r="C413" s="659">
        <f t="shared" si="9"/>
        <v>0</v>
      </c>
      <c r="D413" s="1" t="s">
        <v>1203</v>
      </c>
      <c r="E413" s="259">
        <f>SUMIFS(SM_Material!$AE$1:$AE$10000,SM_Material!$D$1:$D$10000,Group!C413)</f>
        <v>0</v>
      </c>
      <c r="F413" s="259">
        <f>SUMIFS(SM_Process!$O$1:$O$10000,SM_Process!$C$1:$C$10000,Group!F$2,SM_Process!$B$1:$B$10000,Group!$C413)</f>
        <v>0</v>
      </c>
      <c r="G413" s="259">
        <f>SUMIFS(SM_Process!$O$1:$O$10000,SM_Process!$C$1:$C$10000,Group!G$2,SM_Process!$B$1:$B$10000,Group!$C413)</f>
        <v>0</v>
      </c>
      <c r="H413" s="259">
        <f>SUMIFS(SM_Process!$O$1:$O$10000,SM_Process!$C$1:$C$10000,Group!H$2,SM_Process!$B$1:$B$10000,Group!$C413)</f>
        <v>0</v>
      </c>
      <c r="I413" s="259">
        <f>SUMIFS(SM_Material!$W$1:$W$10000,SM_Material!$D$1:$D$10000,Group!C413)</f>
        <v>0</v>
      </c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M413" s="1">
        <f>BOM!D413</f>
        <v>0</v>
      </c>
      <c r="AN413" s="1">
        <f>BOM!C413</f>
        <v>0</v>
      </c>
      <c r="AO413" s="1">
        <f>BOM!B413</f>
        <v>0</v>
      </c>
    </row>
    <row r="414" spans="2:41">
      <c r="B414" s="205">
        <v>412</v>
      </c>
      <c r="C414" s="659">
        <f t="shared" si="9"/>
        <v>0</v>
      </c>
      <c r="D414" s="1" t="s">
        <v>1203</v>
      </c>
      <c r="E414" s="259">
        <f>SUMIFS(SM_Material!$AE$1:$AE$10000,SM_Material!$D$1:$D$10000,Group!C414)</f>
        <v>0</v>
      </c>
      <c r="F414" s="259">
        <f>SUMIFS(SM_Process!$O$1:$O$10000,SM_Process!$C$1:$C$10000,Group!F$2,SM_Process!$B$1:$B$10000,Group!$C414)</f>
        <v>0</v>
      </c>
      <c r="G414" s="259">
        <f>SUMIFS(SM_Process!$O$1:$O$10000,SM_Process!$C$1:$C$10000,Group!G$2,SM_Process!$B$1:$B$10000,Group!$C414)</f>
        <v>0</v>
      </c>
      <c r="H414" s="259">
        <f>SUMIFS(SM_Process!$O$1:$O$10000,SM_Process!$C$1:$C$10000,Group!H$2,SM_Process!$B$1:$B$10000,Group!$C414)</f>
        <v>0</v>
      </c>
      <c r="I414" s="259">
        <f>SUMIFS(SM_Material!$W$1:$W$10000,SM_Material!$D$1:$D$10000,Group!C414)</f>
        <v>0</v>
      </c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M414" s="1">
        <f>BOM!D414</f>
        <v>0</v>
      </c>
      <c r="AN414" s="1">
        <f>BOM!C414</f>
        <v>0</v>
      </c>
      <c r="AO414" s="1">
        <f>BOM!B414</f>
        <v>0</v>
      </c>
    </row>
    <row r="415" spans="2:41">
      <c r="B415" s="205">
        <v>413</v>
      </c>
      <c r="C415" s="659">
        <f t="shared" si="9"/>
        <v>0</v>
      </c>
      <c r="D415" s="1" t="s">
        <v>1203</v>
      </c>
      <c r="E415" s="259">
        <f>SUMIFS(SM_Material!$AE$1:$AE$10000,SM_Material!$D$1:$D$10000,Group!C415)</f>
        <v>0</v>
      </c>
      <c r="F415" s="259">
        <f>SUMIFS(SM_Process!$O$1:$O$10000,SM_Process!$C$1:$C$10000,Group!F$2,SM_Process!$B$1:$B$10000,Group!$C415)</f>
        <v>0</v>
      </c>
      <c r="G415" s="259">
        <f>SUMIFS(SM_Process!$O$1:$O$10000,SM_Process!$C$1:$C$10000,Group!G$2,SM_Process!$B$1:$B$10000,Group!$C415)</f>
        <v>0</v>
      </c>
      <c r="H415" s="259">
        <f>SUMIFS(SM_Process!$O$1:$O$10000,SM_Process!$C$1:$C$10000,Group!H$2,SM_Process!$B$1:$B$10000,Group!$C415)</f>
        <v>0</v>
      </c>
      <c r="I415" s="259">
        <f>SUMIFS(SM_Material!$W$1:$W$10000,SM_Material!$D$1:$D$10000,Group!C415)</f>
        <v>0</v>
      </c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M415" s="1">
        <f>BOM!D415</f>
        <v>0</v>
      </c>
      <c r="AN415" s="1">
        <f>BOM!C415</f>
        <v>0</v>
      </c>
      <c r="AO415" s="1">
        <f>BOM!B415</f>
        <v>0</v>
      </c>
    </row>
    <row r="416" spans="2:41">
      <c r="B416" s="205">
        <v>414</v>
      </c>
      <c r="C416" s="659">
        <f t="shared" si="9"/>
        <v>0</v>
      </c>
      <c r="D416" s="1" t="s">
        <v>1203</v>
      </c>
      <c r="E416" s="259">
        <f>SUMIFS(SM_Material!$AE$1:$AE$10000,SM_Material!$D$1:$D$10000,Group!C416)</f>
        <v>0</v>
      </c>
      <c r="F416" s="259">
        <f>SUMIFS(SM_Process!$O$1:$O$10000,SM_Process!$C$1:$C$10000,Group!F$2,SM_Process!$B$1:$B$10000,Group!$C416)</f>
        <v>0</v>
      </c>
      <c r="G416" s="259">
        <f>SUMIFS(SM_Process!$O$1:$O$10000,SM_Process!$C$1:$C$10000,Group!G$2,SM_Process!$B$1:$B$10000,Group!$C416)</f>
        <v>0</v>
      </c>
      <c r="H416" s="259">
        <f>SUMIFS(SM_Process!$O$1:$O$10000,SM_Process!$C$1:$C$10000,Group!H$2,SM_Process!$B$1:$B$10000,Group!$C416)</f>
        <v>0</v>
      </c>
      <c r="I416" s="259">
        <f>SUMIFS(SM_Material!$W$1:$W$10000,SM_Material!$D$1:$D$10000,Group!C416)</f>
        <v>0</v>
      </c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M416" s="1">
        <f>BOM!D416</f>
        <v>0</v>
      </c>
      <c r="AN416" s="1">
        <f>BOM!C416</f>
        <v>0</v>
      </c>
      <c r="AO416" s="1">
        <f>BOM!B416</f>
        <v>0</v>
      </c>
    </row>
    <row r="417" spans="2:41">
      <c r="B417" s="205">
        <v>415</v>
      </c>
      <c r="C417" s="659">
        <f t="shared" si="9"/>
        <v>0</v>
      </c>
      <c r="D417" s="1" t="s">
        <v>1203</v>
      </c>
      <c r="E417" s="259">
        <f>SUMIFS(SM_Material!$AE$1:$AE$10000,SM_Material!$D$1:$D$10000,Group!C417)</f>
        <v>0</v>
      </c>
      <c r="F417" s="259">
        <f>SUMIFS(SM_Process!$O$1:$O$10000,SM_Process!$C$1:$C$10000,Group!F$2,SM_Process!$B$1:$B$10000,Group!$C417)</f>
        <v>0</v>
      </c>
      <c r="G417" s="259">
        <f>SUMIFS(SM_Process!$O$1:$O$10000,SM_Process!$C$1:$C$10000,Group!G$2,SM_Process!$B$1:$B$10000,Group!$C417)</f>
        <v>0</v>
      </c>
      <c r="H417" s="259">
        <f>SUMIFS(SM_Process!$O$1:$O$10000,SM_Process!$C$1:$C$10000,Group!H$2,SM_Process!$B$1:$B$10000,Group!$C417)</f>
        <v>0</v>
      </c>
      <c r="I417" s="259">
        <f>SUMIFS(SM_Material!$W$1:$W$10000,SM_Material!$D$1:$D$10000,Group!C417)</f>
        <v>0</v>
      </c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M417" s="1">
        <f>BOM!D417</f>
        <v>0</v>
      </c>
      <c r="AN417" s="1">
        <f>BOM!C417</f>
        <v>0</v>
      </c>
      <c r="AO417" s="1">
        <f>BOM!B417</f>
        <v>0</v>
      </c>
    </row>
    <row r="418" spans="2:41">
      <c r="B418" s="205">
        <v>416</v>
      </c>
      <c r="C418" s="659">
        <f t="shared" si="9"/>
        <v>0</v>
      </c>
      <c r="D418" s="1" t="s">
        <v>1203</v>
      </c>
      <c r="E418" s="259">
        <f>SUMIFS(SM_Material!$AE$1:$AE$10000,SM_Material!$D$1:$D$10000,Group!C418)</f>
        <v>0</v>
      </c>
      <c r="F418" s="259">
        <f>SUMIFS(SM_Process!$O$1:$O$10000,SM_Process!$C$1:$C$10000,Group!F$2,SM_Process!$B$1:$B$10000,Group!$C418)</f>
        <v>0</v>
      </c>
      <c r="G418" s="259">
        <f>SUMIFS(SM_Process!$O$1:$O$10000,SM_Process!$C$1:$C$10000,Group!G$2,SM_Process!$B$1:$B$10000,Group!$C418)</f>
        <v>0</v>
      </c>
      <c r="H418" s="259">
        <f>SUMIFS(SM_Process!$O$1:$O$10000,SM_Process!$C$1:$C$10000,Group!H$2,SM_Process!$B$1:$B$10000,Group!$C418)</f>
        <v>0</v>
      </c>
      <c r="I418" s="259">
        <f>SUMIFS(SM_Material!$W$1:$W$10000,SM_Material!$D$1:$D$10000,Group!C418)</f>
        <v>0</v>
      </c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M418" s="1">
        <f>BOM!D418</f>
        <v>0</v>
      </c>
      <c r="AN418" s="1">
        <f>BOM!C418</f>
        <v>0</v>
      </c>
      <c r="AO418" s="1">
        <f>BOM!B418</f>
        <v>0</v>
      </c>
    </row>
    <row r="419" spans="2:41">
      <c r="B419" s="205">
        <v>417</v>
      </c>
      <c r="C419" s="659">
        <f t="shared" si="9"/>
        <v>0</v>
      </c>
      <c r="D419" s="1" t="s">
        <v>1203</v>
      </c>
      <c r="E419" s="259">
        <f>SUMIFS(SM_Material!$AE$1:$AE$10000,SM_Material!$D$1:$D$10000,Group!C419)</f>
        <v>0</v>
      </c>
      <c r="F419" s="259">
        <f>SUMIFS(SM_Process!$O$1:$O$10000,SM_Process!$C$1:$C$10000,Group!F$2,SM_Process!$B$1:$B$10000,Group!$C419)</f>
        <v>0</v>
      </c>
      <c r="G419" s="259">
        <f>SUMIFS(SM_Process!$O$1:$O$10000,SM_Process!$C$1:$C$10000,Group!G$2,SM_Process!$B$1:$B$10000,Group!$C419)</f>
        <v>0</v>
      </c>
      <c r="H419" s="259">
        <f>SUMIFS(SM_Process!$O$1:$O$10000,SM_Process!$C$1:$C$10000,Group!H$2,SM_Process!$B$1:$B$10000,Group!$C419)</f>
        <v>0</v>
      </c>
      <c r="I419" s="259">
        <f>SUMIFS(SM_Material!$W$1:$W$10000,SM_Material!$D$1:$D$10000,Group!C419)</f>
        <v>0</v>
      </c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M419" s="1">
        <f>BOM!D419</f>
        <v>0</v>
      </c>
      <c r="AN419" s="1">
        <f>BOM!C419</f>
        <v>0</v>
      </c>
      <c r="AO419" s="1">
        <f>BOM!B419</f>
        <v>0</v>
      </c>
    </row>
    <row r="420" spans="2:41">
      <c r="B420" s="205">
        <v>418</v>
      </c>
      <c r="C420" s="659">
        <f t="shared" si="9"/>
        <v>0</v>
      </c>
      <c r="D420" s="1" t="s">
        <v>1203</v>
      </c>
      <c r="E420" s="259">
        <f>SUMIFS(SM_Material!$AE$1:$AE$10000,SM_Material!$D$1:$D$10000,Group!C420)</f>
        <v>0</v>
      </c>
      <c r="F420" s="259">
        <f>SUMIFS(SM_Process!$O$1:$O$10000,SM_Process!$C$1:$C$10000,Group!F$2,SM_Process!$B$1:$B$10000,Group!$C420)</f>
        <v>0</v>
      </c>
      <c r="G420" s="259">
        <f>SUMIFS(SM_Process!$O$1:$O$10000,SM_Process!$C$1:$C$10000,Group!G$2,SM_Process!$B$1:$B$10000,Group!$C420)</f>
        <v>0</v>
      </c>
      <c r="H420" s="259">
        <f>SUMIFS(SM_Process!$O$1:$O$10000,SM_Process!$C$1:$C$10000,Group!H$2,SM_Process!$B$1:$B$10000,Group!$C420)</f>
        <v>0</v>
      </c>
      <c r="I420" s="259">
        <f>SUMIFS(SM_Material!$W$1:$W$10000,SM_Material!$D$1:$D$10000,Group!C420)</f>
        <v>0</v>
      </c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M420" s="1">
        <f>BOM!D420</f>
        <v>0</v>
      </c>
      <c r="AN420" s="1">
        <f>BOM!C420</f>
        <v>0</v>
      </c>
      <c r="AO420" s="1">
        <f>BOM!B420</f>
        <v>0</v>
      </c>
    </row>
    <row r="421" spans="2:41">
      <c r="B421" s="205">
        <v>419</v>
      </c>
      <c r="C421" s="659">
        <f t="shared" si="9"/>
        <v>0</v>
      </c>
      <c r="D421" s="1" t="s">
        <v>1203</v>
      </c>
      <c r="E421" s="259">
        <f>SUMIFS(SM_Material!$AE$1:$AE$10000,SM_Material!$D$1:$D$10000,Group!C421)</f>
        <v>0</v>
      </c>
      <c r="F421" s="259">
        <f>SUMIFS(SM_Process!$O$1:$O$10000,SM_Process!$C$1:$C$10000,Group!F$2,SM_Process!$B$1:$B$10000,Group!$C421)</f>
        <v>0</v>
      </c>
      <c r="G421" s="259">
        <f>SUMIFS(SM_Process!$O$1:$O$10000,SM_Process!$C$1:$C$10000,Group!G$2,SM_Process!$B$1:$B$10000,Group!$C421)</f>
        <v>0</v>
      </c>
      <c r="H421" s="259">
        <f>SUMIFS(SM_Process!$O$1:$O$10000,SM_Process!$C$1:$C$10000,Group!H$2,SM_Process!$B$1:$B$10000,Group!$C421)</f>
        <v>0</v>
      </c>
      <c r="I421" s="259">
        <f>SUMIFS(SM_Material!$W$1:$W$10000,SM_Material!$D$1:$D$10000,Group!C421)</f>
        <v>0</v>
      </c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M421" s="1">
        <f>BOM!D421</f>
        <v>0</v>
      </c>
      <c r="AN421" s="1">
        <f>BOM!C421</f>
        <v>0</v>
      </c>
      <c r="AO421" s="1">
        <f>BOM!B421</f>
        <v>0</v>
      </c>
    </row>
    <row r="422" spans="2:41">
      <c r="B422" s="205">
        <v>420</v>
      </c>
      <c r="C422" s="659">
        <f t="shared" si="9"/>
        <v>0</v>
      </c>
      <c r="D422" s="1" t="s">
        <v>1203</v>
      </c>
      <c r="E422" s="259">
        <f>SUMIFS(SM_Material!$AE$1:$AE$10000,SM_Material!$D$1:$D$10000,Group!C422)</f>
        <v>0</v>
      </c>
      <c r="F422" s="259">
        <f>SUMIFS(SM_Process!$O$1:$O$10000,SM_Process!$C$1:$C$10000,Group!F$2,SM_Process!$B$1:$B$10000,Group!$C422)</f>
        <v>0</v>
      </c>
      <c r="G422" s="259">
        <f>SUMIFS(SM_Process!$O$1:$O$10000,SM_Process!$C$1:$C$10000,Group!G$2,SM_Process!$B$1:$B$10000,Group!$C422)</f>
        <v>0</v>
      </c>
      <c r="H422" s="259">
        <f>SUMIFS(SM_Process!$O$1:$O$10000,SM_Process!$C$1:$C$10000,Group!H$2,SM_Process!$B$1:$B$10000,Group!$C422)</f>
        <v>0</v>
      </c>
      <c r="I422" s="259">
        <f>SUMIFS(SM_Material!$W$1:$W$10000,SM_Material!$D$1:$D$10000,Group!C422)</f>
        <v>0</v>
      </c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M422" s="1">
        <f>BOM!D422</f>
        <v>0</v>
      </c>
      <c r="AN422" s="1">
        <f>BOM!C422</f>
        <v>0</v>
      </c>
      <c r="AO422" s="1">
        <f>BOM!B422</f>
        <v>0</v>
      </c>
    </row>
    <row r="423" spans="2:41">
      <c r="B423" s="205">
        <v>421</v>
      </c>
      <c r="C423" s="659">
        <f t="shared" si="9"/>
        <v>0</v>
      </c>
      <c r="D423" s="1" t="s">
        <v>1203</v>
      </c>
      <c r="E423" s="259">
        <f>SUMIFS(SM_Material!$AE$1:$AE$10000,SM_Material!$D$1:$D$10000,Group!C423)</f>
        <v>0</v>
      </c>
      <c r="F423" s="259">
        <f>SUMIFS(SM_Process!$O$1:$O$10000,SM_Process!$C$1:$C$10000,Group!F$2,SM_Process!$B$1:$B$10000,Group!$C423)</f>
        <v>0</v>
      </c>
      <c r="G423" s="259">
        <f>SUMIFS(SM_Process!$O$1:$O$10000,SM_Process!$C$1:$C$10000,Group!G$2,SM_Process!$B$1:$B$10000,Group!$C423)</f>
        <v>0</v>
      </c>
      <c r="H423" s="259">
        <f>SUMIFS(SM_Process!$O$1:$O$10000,SM_Process!$C$1:$C$10000,Group!H$2,SM_Process!$B$1:$B$10000,Group!$C423)</f>
        <v>0</v>
      </c>
      <c r="I423" s="259">
        <f>SUMIFS(SM_Material!$W$1:$W$10000,SM_Material!$D$1:$D$10000,Group!C423)</f>
        <v>0</v>
      </c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M423" s="1">
        <f>BOM!D423</f>
        <v>0</v>
      </c>
      <c r="AN423" s="1">
        <f>BOM!C423</f>
        <v>0</v>
      </c>
      <c r="AO423" s="1">
        <f>BOM!B423</f>
        <v>0</v>
      </c>
    </row>
    <row r="424" spans="2:41">
      <c r="B424" s="205">
        <v>422</v>
      </c>
      <c r="C424" s="659">
        <f t="shared" si="9"/>
        <v>0</v>
      </c>
      <c r="D424" s="1" t="s">
        <v>1203</v>
      </c>
      <c r="E424" s="259">
        <f>SUMIFS(SM_Material!$AE$1:$AE$10000,SM_Material!$D$1:$D$10000,Group!C424)</f>
        <v>0</v>
      </c>
      <c r="F424" s="259">
        <f>SUMIFS(SM_Process!$O$1:$O$10000,SM_Process!$C$1:$C$10000,Group!F$2,SM_Process!$B$1:$B$10000,Group!$C424)</f>
        <v>0</v>
      </c>
      <c r="G424" s="259">
        <f>SUMIFS(SM_Process!$O$1:$O$10000,SM_Process!$C$1:$C$10000,Group!G$2,SM_Process!$B$1:$B$10000,Group!$C424)</f>
        <v>0</v>
      </c>
      <c r="H424" s="259">
        <f>SUMIFS(SM_Process!$O$1:$O$10000,SM_Process!$C$1:$C$10000,Group!H$2,SM_Process!$B$1:$B$10000,Group!$C424)</f>
        <v>0</v>
      </c>
      <c r="I424" s="259">
        <f>SUMIFS(SM_Material!$W$1:$W$10000,SM_Material!$D$1:$D$10000,Group!C424)</f>
        <v>0</v>
      </c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M424" s="1">
        <f>BOM!D424</f>
        <v>0</v>
      </c>
      <c r="AN424" s="1">
        <f>BOM!C424</f>
        <v>0</v>
      </c>
      <c r="AO424" s="1">
        <f>BOM!B424</f>
        <v>0</v>
      </c>
    </row>
    <row r="425" spans="2:41">
      <c r="B425" s="205">
        <v>423</v>
      </c>
      <c r="C425" s="659">
        <f t="shared" si="9"/>
        <v>0</v>
      </c>
      <c r="D425" s="1" t="s">
        <v>1203</v>
      </c>
      <c r="E425" s="259">
        <f>SUMIFS(SM_Material!$AE$1:$AE$10000,SM_Material!$D$1:$D$10000,Group!C425)</f>
        <v>0</v>
      </c>
      <c r="F425" s="259">
        <f>SUMIFS(SM_Process!$O$1:$O$10000,SM_Process!$C$1:$C$10000,Group!F$2,SM_Process!$B$1:$B$10000,Group!$C425)</f>
        <v>0</v>
      </c>
      <c r="G425" s="259">
        <f>SUMIFS(SM_Process!$O$1:$O$10000,SM_Process!$C$1:$C$10000,Group!G$2,SM_Process!$B$1:$B$10000,Group!$C425)</f>
        <v>0</v>
      </c>
      <c r="H425" s="259">
        <f>SUMIFS(SM_Process!$O$1:$O$10000,SM_Process!$C$1:$C$10000,Group!H$2,SM_Process!$B$1:$B$10000,Group!$C425)</f>
        <v>0</v>
      </c>
      <c r="I425" s="259">
        <f>SUMIFS(SM_Material!$W$1:$W$10000,SM_Material!$D$1:$D$10000,Group!C425)</f>
        <v>0</v>
      </c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M425" s="1">
        <f>BOM!D425</f>
        <v>0</v>
      </c>
      <c r="AN425" s="1">
        <f>BOM!C425</f>
        <v>0</v>
      </c>
      <c r="AO425" s="1">
        <f>BOM!B425</f>
        <v>0</v>
      </c>
    </row>
    <row r="426" spans="2:41">
      <c r="B426" s="205">
        <v>424</v>
      </c>
      <c r="C426" s="659">
        <f t="shared" si="9"/>
        <v>0</v>
      </c>
      <c r="D426" s="1" t="s">
        <v>1203</v>
      </c>
      <c r="E426" s="259">
        <f>SUMIFS(SM_Material!$AE$1:$AE$10000,SM_Material!$D$1:$D$10000,Group!C426)</f>
        <v>0</v>
      </c>
      <c r="F426" s="259">
        <f>SUMIFS(SM_Process!$O$1:$O$10000,SM_Process!$C$1:$C$10000,Group!F$2,SM_Process!$B$1:$B$10000,Group!$C426)</f>
        <v>0</v>
      </c>
      <c r="G426" s="259">
        <f>SUMIFS(SM_Process!$O$1:$O$10000,SM_Process!$C$1:$C$10000,Group!G$2,SM_Process!$B$1:$B$10000,Group!$C426)</f>
        <v>0</v>
      </c>
      <c r="H426" s="259">
        <f>SUMIFS(SM_Process!$O$1:$O$10000,SM_Process!$C$1:$C$10000,Group!H$2,SM_Process!$B$1:$B$10000,Group!$C426)</f>
        <v>0</v>
      </c>
      <c r="I426" s="259">
        <f>SUMIFS(SM_Material!$W$1:$W$10000,SM_Material!$D$1:$D$10000,Group!C426)</f>
        <v>0</v>
      </c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M426" s="1">
        <f>BOM!D426</f>
        <v>0</v>
      </c>
      <c r="AN426" s="1">
        <f>BOM!C426</f>
        <v>0</v>
      </c>
      <c r="AO426" s="1">
        <f>BOM!B426</f>
        <v>0</v>
      </c>
    </row>
    <row r="427" spans="2:41">
      <c r="B427" s="205">
        <v>425</v>
      </c>
      <c r="C427" s="659">
        <f t="shared" si="9"/>
        <v>0</v>
      </c>
      <c r="D427" s="1" t="s">
        <v>1203</v>
      </c>
      <c r="E427" s="259">
        <f>SUMIFS(SM_Material!$AE$1:$AE$10000,SM_Material!$D$1:$D$10000,Group!C427)</f>
        <v>0</v>
      </c>
      <c r="F427" s="259">
        <f>SUMIFS(SM_Process!$O$1:$O$10000,SM_Process!$C$1:$C$10000,Group!F$2,SM_Process!$B$1:$B$10000,Group!$C427)</f>
        <v>0</v>
      </c>
      <c r="G427" s="259">
        <f>SUMIFS(SM_Process!$O$1:$O$10000,SM_Process!$C$1:$C$10000,Group!G$2,SM_Process!$B$1:$B$10000,Group!$C427)</f>
        <v>0</v>
      </c>
      <c r="H427" s="259">
        <f>SUMIFS(SM_Process!$O$1:$O$10000,SM_Process!$C$1:$C$10000,Group!H$2,SM_Process!$B$1:$B$10000,Group!$C427)</f>
        <v>0</v>
      </c>
      <c r="I427" s="259">
        <f>SUMIFS(SM_Material!$W$1:$W$10000,SM_Material!$D$1:$D$10000,Group!C427)</f>
        <v>0</v>
      </c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M427" s="1">
        <f>BOM!D427</f>
        <v>0</v>
      </c>
      <c r="AN427" s="1">
        <f>BOM!C427</f>
        <v>0</v>
      </c>
      <c r="AO427" s="1">
        <f>BOM!B427</f>
        <v>0</v>
      </c>
    </row>
    <row r="428" spans="2:41">
      <c r="B428" s="205">
        <v>426</v>
      </c>
      <c r="C428" s="659">
        <f t="shared" si="9"/>
        <v>0</v>
      </c>
      <c r="D428" s="1" t="s">
        <v>1203</v>
      </c>
      <c r="E428" s="259">
        <f>SUMIFS(SM_Material!$AE$1:$AE$10000,SM_Material!$D$1:$D$10000,Group!C428)</f>
        <v>0</v>
      </c>
      <c r="F428" s="259">
        <f>SUMIFS(SM_Process!$O$1:$O$10000,SM_Process!$C$1:$C$10000,Group!F$2,SM_Process!$B$1:$B$10000,Group!$C428)</f>
        <v>0</v>
      </c>
      <c r="G428" s="259">
        <f>SUMIFS(SM_Process!$O$1:$O$10000,SM_Process!$C$1:$C$10000,Group!G$2,SM_Process!$B$1:$B$10000,Group!$C428)</f>
        <v>0</v>
      </c>
      <c r="H428" s="259">
        <f>SUMIFS(SM_Process!$O$1:$O$10000,SM_Process!$C$1:$C$10000,Group!H$2,SM_Process!$B$1:$B$10000,Group!$C428)</f>
        <v>0</v>
      </c>
      <c r="I428" s="259">
        <f>SUMIFS(SM_Material!$W$1:$W$10000,SM_Material!$D$1:$D$10000,Group!C428)</f>
        <v>0</v>
      </c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M428" s="1">
        <f>BOM!D428</f>
        <v>0</v>
      </c>
      <c r="AN428" s="1">
        <f>BOM!C428</f>
        <v>0</v>
      </c>
      <c r="AO428" s="1">
        <f>BOM!B428</f>
        <v>0</v>
      </c>
    </row>
    <row r="429" spans="2:41">
      <c r="B429" s="205">
        <v>427</v>
      </c>
      <c r="C429" s="659">
        <f t="shared" si="9"/>
        <v>0</v>
      </c>
      <c r="D429" s="1" t="s">
        <v>1203</v>
      </c>
      <c r="E429" s="259">
        <f>SUMIFS(SM_Material!$AE$1:$AE$10000,SM_Material!$D$1:$D$10000,Group!C429)</f>
        <v>0</v>
      </c>
      <c r="F429" s="259">
        <f>SUMIFS(SM_Process!$O$1:$O$10000,SM_Process!$C$1:$C$10000,Group!F$2,SM_Process!$B$1:$B$10000,Group!$C429)</f>
        <v>0</v>
      </c>
      <c r="G429" s="259">
        <f>SUMIFS(SM_Process!$O$1:$O$10000,SM_Process!$C$1:$C$10000,Group!G$2,SM_Process!$B$1:$B$10000,Group!$C429)</f>
        <v>0</v>
      </c>
      <c r="H429" s="259">
        <f>SUMIFS(SM_Process!$O$1:$O$10000,SM_Process!$C$1:$C$10000,Group!H$2,SM_Process!$B$1:$B$10000,Group!$C429)</f>
        <v>0</v>
      </c>
      <c r="I429" s="259">
        <f>SUMIFS(SM_Material!$W$1:$W$10000,SM_Material!$D$1:$D$10000,Group!C429)</f>
        <v>0</v>
      </c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M429" s="1">
        <f>BOM!D429</f>
        <v>0</v>
      </c>
      <c r="AN429" s="1">
        <f>BOM!C429</f>
        <v>0</v>
      </c>
      <c r="AO429" s="1">
        <f>BOM!B429</f>
        <v>0</v>
      </c>
    </row>
    <row r="430" spans="2:41">
      <c r="B430" s="205">
        <v>428</v>
      </c>
      <c r="C430" s="659">
        <f t="shared" si="9"/>
        <v>0</v>
      </c>
      <c r="D430" s="1" t="s">
        <v>1203</v>
      </c>
      <c r="E430" s="259">
        <f>SUMIFS(SM_Material!$AE$1:$AE$10000,SM_Material!$D$1:$D$10000,Group!C430)</f>
        <v>0</v>
      </c>
      <c r="F430" s="259">
        <f>SUMIFS(SM_Process!$O$1:$O$10000,SM_Process!$C$1:$C$10000,Group!F$2,SM_Process!$B$1:$B$10000,Group!$C430)</f>
        <v>0</v>
      </c>
      <c r="G430" s="259">
        <f>SUMIFS(SM_Process!$O$1:$O$10000,SM_Process!$C$1:$C$10000,Group!G$2,SM_Process!$B$1:$B$10000,Group!$C430)</f>
        <v>0</v>
      </c>
      <c r="H430" s="259">
        <f>SUMIFS(SM_Process!$O$1:$O$10000,SM_Process!$C$1:$C$10000,Group!H$2,SM_Process!$B$1:$B$10000,Group!$C430)</f>
        <v>0</v>
      </c>
      <c r="I430" s="259">
        <f>SUMIFS(SM_Material!$W$1:$W$10000,SM_Material!$D$1:$D$10000,Group!C430)</f>
        <v>0</v>
      </c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M430" s="1">
        <f>BOM!D430</f>
        <v>0</v>
      </c>
      <c r="AN430" s="1">
        <f>BOM!C430</f>
        <v>0</v>
      </c>
      <c r="AO430" s="1">
        <f>BOM!B430</f>
        <v>0</v>
      </c>
    </row>
    <row r="431" spans="2:41">
      <c r="B431" s="205">
        <v>429</v>
      </c>
      <c r="C431" s="659">
        <f t="shared" si="9"/>
        <v>0</v>
      </c>
      <c r="D431" s="1" t="s">
        <v>1203</v>
      </c>
      <c r="E431" s="259">
        <f>SUMIFS(SM_Material!$AE$1:$AE$10000,SM_Material!$D$1:$D$10000,Group!C431)</f>
        <v>0</v>
      </c>
      <c r="F431" s="259">
        <f>SUMIFS(SM_Process!$O$1:$O$10000,SM_Process!$C$1:$C$10000,Group!F$2,SM_Process!$B$1:$B$10000,Group!$C431)</f>
        <v>0</v>
      </c>
      <c r="G431" s="259">
        <f>SUMIFS(SM_Process!$O$1:$O$10000,SM_Process!$C$1:$C$10000,Group!G$2,SM_Process!$B$1:$B$10000,Group!$C431)</f>
        <v>0</v>
      </c>
      <c r="H431" s="259">
        <f>SUMIFS(SM_Process!$O$1:$O$10000,SM_Process!$C$1:$C$10000,Group!H$2,SM_Process!$B$1:$B$10000,Group!$C431)</f>
        <v>0</v>
      </c>
      <c r="I431" s="259">
        <f>SUMIFS(SM_Material!$W$1:$W$10000,SM_Material!$D$1:$D$10000,Group!C431)</f>
        <v>0</v>
      </c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M431" s="1">
        <f>BOM!D431</f>
        <v>0</v>
      </c>
      <c r="AN431" s="1">
        <f>BOM!C431</f>
        <v>0</v>
      </c>
      <c r="AO431" s="1">
        <f>BOM!B431</f>
        <v>0</v>
      </c>
    </row>
    <row r="432" spans="2:41">
      <c r="B432" s="205">
        <v>430</v>
      </c>
      <c r="C432" s="659">
        <f t="shared" si="9"/>
        <v>0</v>
      </c>
      <c r="D432" s="1" t="s">
        <v>1203</v>
      </c>
      <c r="E432" s="259">
        <f>SUMIFS(SM_Material!$AE$1:$AE$10000,SM_Material!$D$1:$D$10000,Group!C432)</f>
        <v>0</v>
      </c>
      <c r="F432" s="259">
        <f>SUMIFS(SM_Process!$O$1:$O$10000,SM_Process!$C$1:$C$10000,Group!F$2,SM_Process!$B$1:$B$10000,Group!$C432)</f>
        <v>0</v>
      </c>
      <c r="G432" s="259">
        <f>SUMIFS(SM_Process!$O$1:$O$10000,SM_Process!$C$1:$C$10000,Group!G$2,SM_Process!$B$1:$B$10000,Group!$C432)</f>
        <v>0</v>
      </c>
      <c r="H432" s="259">
        <f>SUMIFS(SM_Process!$O$1:$O$10000,SM_Process!$C$1:$C$10000,Group!H$2,SM_Process!$B$1:$B$10000,Group!$C432)</f>
        <v>0</v>
      </c>
      <c r="I432" s="259">
        <f>SUMIFS(SM_Material!$W$1:$W$10000,SM_Material!$D$1:$D$10000,Group!C432)</f>
        <v>0</v>
      </c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M432" s="1">
        <f>BOM!D432</f>
        <v>0</v>
      </c>
      <c r="AN432" s="1">
        <f>BOM!C432</f>
        <v>0</v>
      </c>
      <c r="AO432" s="1">
        <f>BOM!B432</f>
        <v>0</v>
      </c>
    </row>
    <row r="433" spans="2:41">
      <c r="B433" s="205">
        <v>431</v>
      </c>
      <c r="C433" s="659">
        <f t="shared" si="9"/>
        <v>0</v>
      </c>
      <c r="D433" s="1" t="s">
        <v>1203</v>
      </c>
      <c r="E433" s="259">
        <f>SUMIFS(SM_Material!$AE$1:$AE$10000,SM_Material!$D$1:$D$10000,Group!C433)</f>
        <v>0</v>
      </c>
      <c r="F433" s="259">
        <f>SUMIFS(SM_Process!$O$1:$O$10000,SM_Process!$C$1:$C$10000,Group!F$2,SM_Process!$B$1:$B$10000,Group!$C433)</f>
        <v>0</v>
      </c>
      <c r="G433" s="259">
        <f>SUMIFS(SM_Process!$O$1:$O$10000,SM_Process!$C$1:$C$10000,Group!G$2,SM_Process!$B$1:$B$10000,Group!$C433)</f>
        <v>0</v>
      </c>
      <c r="H433" s="259">
        <f>SUMIFS(SM_Process!$O$1:$O$10000,SM_Process!$C$1:$C$10000,Group!H$2,SM_Process!$B$1:$B$10000,Group!$C433)</f>
        <v>0</v>
      </c>
      <c r="I433" s="259">
        <f>SUMIFS(SM_Material!$W$1:$W$10000,SM_Material!$D$1:$D$10000,Group!C433)</f>
        <v>0</v>
      </c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M433" s="1">
        <f>BOM!D433</f>
        <v>0</v>
      </c>
      <c r="AN433" s="1">
        <f>BOM!C433</f>
        <v>0</v>
      </c>
      <c r="AO433" s="1">
        <f>BOM!B433</f>
        <v>0</v>
      </c>
    </row>
    <row r="434" spans="2:41">
      <c r="B434" s="205">
        <v>432</v>
      </c>
      <c r="C434" s="659">
        <f t="shared" si="9"/>
        <v>0</v>
      </c>
      <c r="D434" s="1" t="s">
        <v>1203</v>
      </c>
      <c r="E434" s="259">
        <f>SUMIFS(SM_Material!$AE$1:$AE$10000,SM_Material!$D$1:$D$10000,Group!C434)</f>
        <v>0</v>
      </c>
      <c r="F434" s="259">
        <f>SUMIFS(SM_Process!$O$1:$O$10000,SM_Process!$C$1:$C$10000,Group!F$2,SM_Process!$B$1:$B$10000,Group!$C434)</f>
        <v>0</v>
      </c>
      <c r="G434" s="259">
        <f>SUMIFS(SM_Process!$O$1:$O$10000,SM_Process!$C$1:$C$10000,Group!G$2,SM_Process!$B$1:$B$10000,Group!$C434)</f>
        <v>0</v>
      </c>
      <c r="H434" s="259">
        <f>SUMIFS(SM_Process!$O$1:$O$10000,SM_Process!$C$1:$C$10000,Group!H$2,SM_Process!$B$1:$B$10000,Group!$C434)</f>
        <v>0</v>
      </c>
      <c r="I434" s="259">
        <f>SUMIFS(SM_Material!$W$1:$W$10000,SM_Material!$D$1:$D$10000,Group!C434)</f>
        <v>0</v>
      </c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M434" s="1">
        <f>BOM!D434</f>
        <v>0</v>
      </c>
      <c r="AN434" s="1">
        <f>BOM!C434</f>
        <v>0</v>
      </c>
      <c r="AO434" s="1">
        <f>BOM!B434</f>
        <v>0</v>
      </c>
    </row>
    <row r="435" spans="2:41">
      <c r="B435" s="205">
        <v>433</v>
      </c>
      <c r="C435" s="659">
        <f t="shared" si="9"/>
        <v>0</v>
      </c>
      <c r="D435" s="1" t="s">
        <v>1203</v>
      </c>
      <c r="E435" s="259">
        <f>SUMIFS(SM_Material!$AE$1:$AE$10000,SM_Material!$D$1:$D$10000,Group!C435)</f>
        <v>0</v>
      </c>
      <c r="F435" s="259">
        <f>SUMIFS(SM_Process!$O$1:$O$10000,SM_Process!$C$1:$C$10000,Group!F$2,SM_Process!$B$1:$B$10000,Group!$C435)</f>
        <v>0</v>
      </c>
      <c r="G435" s="259">
        <f>SUMIFS(SM_Process!$O$1:$O$10000,SM_Process!$C$1:$C$10000,Group!G$2,SM_Process!$B$1:$B$10000,Group!$C435)</f>
        <v>0</v>
      </c>
      <c r="H435" s="259">
        <f>SUMIFS(SM_Process!$O$1:$O$10000,SM_Process!$C$1:$C$10000,Group!H$2,SM_Process!$B$1:$B$10000,Group!$C435)</f>
        <v>0</v>
      </c>
      <c r="I435" s="259">
        <f>SUMIFS(SM_Material!$W$1:$W$10000,SM_Material!$D$1:$D$10000,Group!C435)</f>
        <v>0</v>
      </c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M435" s="1">
        <f>BOM!D435</f>
        <v>0</v>
      </c>
      <c r="AN435" s="1">
        <f>BOM!C435</f>
        <v>0</v>
      </c>
      <c r="AO435" s="1">
        <f>BOM!B435</f>
        <v>0</v>
      </c>
    </row>
    <row r="436" spans="2:41">
      <c r="B436" s="205">
        <v>434</v>
      </c>
      <c r="C436" s="659">
        <f t="shared" si="9"/>
        <v>0</v>
      </c>
      <c r="D436" s="1" t="s">
        <v>1203</v>
      </c>
      <c r="E436" s="259">
        <f>SUMIFS(SM_Material!$AE$1:$AE$10000,SM_Material!$D$1:$D$10000,Group!C436)</f>
        <v>0</v>
      </c>
      <c r="F436" s="259">
        <f>SUMIFS(SM_Process!$O$1:$O$10000,SM_Process!$C$1:$C$10000,Group!F$2,SM_Process!$B$1:$B$10000,Group!$C436)</f>
        <v>0</v>
      </c>
      <c r="G436" s="259">
        <f>SUMIFS(SM_Process!$O$1:$O$10000,SM_Process!$C$1:$C$10000,Group!G$2,SM_Process!$B$1:$B$10000,Group!$C436)</f>
        <v>0</v>
      </c>
      <c r="H436" s="259">
        <f>SUMIFS(SM_Process!$O$1:$O$10000,SM_Process!$C$1:$C$10000,Group!H$2,SM_Process!$B$1:$B$10000,Group!$C436)</f>
        <v>0</v>
      </c>
      <c r="I436" s="259">
        <f>SUMIFS(SM_Material!$W$1:$W$10000,SM_Material!$D$1:$D$10000,Group!C436)</f>
        <v>0</v>
      </c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M436" s="1">
        <f>BOM!D436</f>
        <v>0</v>
      </c>
      <c r="AN436" s="1">
        <f>BOM!C436</f>
        <v>0</v>
      </c>
      <c r="AO436" s="1">
        <f>BOM!B436</f>
        <v>0</v>
      </c>
    </row>
    <row r="437" spans="2:41">
      <c r="B437" s="205">
        <v>435</v>
      </c>
      <c r="C437" s="659">
        <f t="shared" si="9"/>
        <v>0</v>
      </c>
      <c r="D437" s="1" t="s">
        <v>1203</v>
      </c>
      <c r="E437" s="259">
        <f>SUMIFS(SM_Material!$AE$1:$AE$10000,SM_Material!$D$1:$D$10000,Group!C437)</f>
        <v>0</v>
      </c>
      <c r="F437" s="259">
        <f>SUMIFS(SM_Process!$O$1:$O$10000,SM_Process!$C$1:$C$10000,Group!F$2,SM_Process!$B$1:$B$10000,Group!$C437)</f>
        <v>0</v>
      </c>
      <c r="G437" s="259">
        <f>SUMIFS(SM_Process!$O$1:$O$10000,SM_Process!$C$1:$C$10000,Group!G$2,SM_Process!$B$1:$B$10000,Group!$C437)</f>
        <v>0</v>
      </c>
      <c r="H437" s="259">
        <f>SUMIFS(SM_Process!$O$1:$O$10000,SM_Process!$C$1:$C$10000,Group!H$2,SM_Process!$B$1:$B$10000,Group!$C437)</f>
        <v>0</v>
      </c>
      <c r="I437" s="259">
        <f>SUMIFS(SM_Material!$W$1:$W$10000,SM_Material!$D$1:$D$10000,Group!C437)</f>
        <v>0</v>
      </c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M437" s="1">
        <f>BOM!D437</f>
        <v>0</v>
      </c>
      <c r="AN437" s="1">
        <f>BOM!C437</f>
        <v>0</v>
      </c>
      <c r="AO437" s="1">
        <f>BOM!B437</f>
        <v>0</v>
      </c>
    </row>
    <row r="438" spans="2:41">
      <c r="B438" s="205">
        <v>436</v>
      </c>
      <c r="C438" s="659">
        <f t="shared" si="9"/>
        <v>0</v>
      </c>
      <c r="D438" s="1" t="s">
        <v>1203</v>
      </c>
      <c r="E438" s="259">
        <f>SUMIFS(SM_Material!$AE$1:$AE$10000,SM_Material!$D$1:$D$10000,Group!C438)</f>
        <v>0</v>
      </c>
      <c r="F438" s="259">
        <f>SUMIFS(SM_Process!$O$1:$O$10000,SM_Process!$C$1:$C$10000,Group!F$2,SM_Process!$B$1:$B$10000,Group!$C438)</f>
        <v>0</v>
      </c>
      <c r="G438" s="259">
        <f>SUMIFS(SM_Process!$O$1:$O$10000,SM_Process!$C$1:$C$10000,Group!G$2,SM_Process!$B$1:$B$10000,Group!$C438)</f>
        <v>0</v>
      </c>
      <c r="H438" s="259">
        <f>SUMIFS(SM_Process!$O$1:$O$10000,SM_Process!$C$1:$C$10000,Group!H$2,SM_Process!$B$1:$B$10000,Group!$C438)</f>
        <v>0</v>
      </c>
      <c r="I438" s="259">
        <f>SUMIFS(SM_Material!$W$1:$W$10000,SM_Material!$D$1:$D$10000,Group!C438)</f>
        <v>0</v>
      </c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M438" s="1">
        <f>BOM!D438</f>
        <v>0</v>
      </c>
      <c r="AN438" s="1">
        <f>BOM!C438</f>
        <v>0</v>
      </c>
      <c r="AO438" s="1">
        <f>BOM!B438</f>
        <v>0</v>
      </c>
    </row>
    <row r="439" spans="2:41">
      <c r="B439" s="205">
        <v>437</v>
      </c>
      <c r="C439" s="659">
        <f t="shared" si="9"/>
        <v>0</v>
      </c>
      <c r="D439" s="1" t="s">
        <v>1203</v>
      </c>
      <c r="E439" s="259">
        <f>SUMIFS(SM_Material!$AE$1:$AE$10000,SM_Material!$D$1:$D$10000,Group!C439)</f>
        <v>0</v>
      </c>
      <c r="F439" s="259">
        <f>SUMIFS(SM_Process!$O$1:$O$10000,SM_Process!$C$1:$C$10000,Group!F$2,SM_Process!$B$1:$B$10000,Group!$C439)</f>
        <v>0</v>
      </c>
      <c r="G439" s="259">
        <f>SUMIFS(SM_Process!$O$1:$O$10000,SM_Process!$C$1:$C$10000,Group!G$2,SM_Process!$B$1:$B$10000,Group!$C439)</f>
        <v>0</v>
      </c>
      <c r="H439" s="259">
        <f>SUMIFS(SM_Process!$O$1:$O$10000,SM_Process!$C$1:$C$10000,Group!H$2,SM_Process!$B$1:$B$10000,Group!$C439)</f>
        <v>0</v>
      </c>
      <c r="I439" s="259">
        <f>SUMIFS(SM_Material!$W$1:$W$10000,SM_Material!$D$1:$D$10000,Group!C439)</f>
        <v>0</v>
      </c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M439" s="1">
        <f>BOM!D439</f>
        <v>0</v>
      </c>
      <c r="AN439" s="1">
        <f>BOM!C439</f>
        <v>0</v>
      </c>
      <c r="AO439" s="1">
        <f>BOM!B439</f>
        <v>0</v>
      </c>
    </row>
    <row r="440" spans="2:41">
      <c r="B440" s="205">
        <v>438</v>
      </c>
      <c r="C440" s="659">
        <f t="shared" si="9"/>
        <v>0</v>
      </c>
      <c r="D440" s="1" t="s">
        <v>1203</v>
      </c>
      <c r="E440" s="259">
        <f>SUMIFS(SM_Material!$AE$1:$AE$10000,SM_Material!$D$1:$D$10000,Group!C440)</f>
        <v>0</v>
      </c>
      <c r="F440" s="259">
        <f>SUMIFS(SM_Process!$O$1:$O$10000,SM_Process!$C$1:$C$10000,Group!F$2,SM_Process!$B$1:$B$10000,Group!$C440)</f>
        <v>0</v>
      </c>
      <c r="G440" s="259">
        <f>SUMIFS(SM_Process!$O$1:$O$10000,SM_Process!$C$1:$C$10000,Group!G$2,SM_Process!$B$1:$B$10000,Group!$C440)</f>
        <v>0</v>
      </c>
      <c r="H440" s="259">
        <f>SUMIFS(SM_Process!$O$1:$O$10000,SM_Process!$C$1:$C$10000,Group!H$2,SM_Process!$B$1:$B$10000,Group!$C440)</f>
        <v>0</v>
      </c>
      <c r="I440" s="259">
        <f>SUMIFS(SM_Material!$W$1:$W$10000,SM_Material!$D$1:$D$10000,Group!C440)</f>
        <v>0</v>
      </c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M440" s="1">
        <f>BOM!D440</f>
        <v>0</v>
      </c>
      <c r="AN440" s="1">
        <f>BOM!C440</f>
        <v>0</v>
      </c>
      <c r="AO440" s="1">
        <f>BOM!B440</f>
        <v>0</v>
      </c>
    </row>
    <row r="441" spans="2:41">
      <c r="B441" s="205">
        <v>439</v>
      </c>
      <c r="C441" s="659">
        <f t="shared" si="9"/>
        <v>0</v>
      </c>
      <c r="D441" s="1" t="s">
        <v>1203</v>
      </c>
      <c r="E441" s="259">
        <f>SUMIFS(SM_Material!$AE$1:$AE$10000,SM_Material!$D$1:$D$10000,Group!C441)</f>
        <v>0</v>
      </c>
      <c r="F441" s="259">
        <f>SUMIFS(SM_Process!$O$1:$O$10000,SM_Process!$C$1:$C$10000,Group!F$2,SM_Process!$B$1:$B$10000,Group!$C441)</f>
        <v>0</v>
      </c>
      <c r="G441" s="259">
        <f>SUMIFS(SM_Process!$O$1:$O$10000,SM_Process!$C$1:$C$10000,Group!G$2,SM_Process!$B$1:$B$10000,Group!$C441)</f>
        <v>0</v>
      </c>
      <c r="H441" s="259">
        <f>SUMIFS(SM_Process!$O$1:$O$10000,SM_Process!$C$1:$C$10000,Group!H$2,SM_Process!$B$1:$B$10000,Group!$C441)</f>
        <v>0</v>
      </c>
      <c r="I441" s="259">
        <f>SUMIFS(SM_Material!$W$1:$W$10000,SM_Material!$D$1:$D$10000,Group!C441)</f>
        <v>0</v>
      </c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M441" s="1">
        <f>BOM!D441</f>
        <v>0</v>
      </c>
      <c r="AN441" s="1">
        <f>BOM!C441</f>
        <v>0</v>
      </c>
      <c r="AO441" s="1">
        <f>BOM!B441</f>
        <v>0</v>
      </c>
    </row>
    <row r="442" spans="2:41">
      <c r="B442" s="205">
        <v>440</v>
      </c>
      <c r="C442" s="659">
        <f t="shared" si="9"/>
        <v>0</v>
      </c>
      <c r="D442" s="1" t="s">
        <v>1203</v>
      </c>
      <c r="E442" s="259">
        <f>SUMIFS(SM_Material!$AE$1:$AE$10000,SM_Material!$D$1:$D$10000,Group!C442)</f>
        <v>0</v>
      </c>
      <c r="F442" s="259">
        <f>SUMIFS(SM_Process!$O$1:$O$10000,SM_Process!$C$1:$C$10000,Group!F$2,SM_Process!$B$1:$B$10000,Group!$C442)</f>
        <v>0</v>
      </c>
      <c r="G442" s="259">
        <f>SUMIFS(SM_Process!$O$1:$O$10000,SM_Process!$C$1:$C$10000,Group!G$2,SM_Process!$B$1:$B$10000,Group!$C442)</f>
        <v>0</v>
      </c>
      <c r="H442" s="259">
        <f>SUMIFS(SM_Process!$O$1:$O$10000,SM_Process!$C$1:$C$10000,Group!H$2,SM_Process!$B$1:$B$10000,Group!$C442)</f>
        <v>0</v>
      </c>
      <c r="I442" s="259">
        <f>SUMIFS(SM_Material!$W$1:$W$10000,SM_Material!$D$1:$D$10000,Group!C442)</f>
        <v>0</v>
      </c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M442" s="1">
        <f>BOM!D442</f>
        <v>0</v>
      </c>
      <c r="AN442" s="1">
        <f>BOM!C442</f>
        <v>0</v>
      </c>
      <c r="AO442" s="1">
        <f>BOM!B442</f>
        <v>0</v>
      </c>
    </row>
    <row r="443" spans="2:41">
      <c r="B443" s="205">
        <v>441</v>
      </c>
      <c r="C443" s="659">
        <f t="shared" si="9"/>
        <v>0</v>
      </c>
      <c r="D443" s="1" t="s">
        <v>1203</v>
      </c>
      <c r="E443" s="259">
        <f>SUMIFS(SM_Material!$AE$1:$AE$10000,SM_Material!$D$1:$D$10000,Group!C443)</f>
        <v>0</v>
      </c>
      <c r="F443" s="259">
        <f>SUMIFS(SM_Process!$O$1:$O$10000,SM_Process!$C$1:$C$10000,Group!F$2,SM_Process!$B$1:$B$10000,Group!$C443)</f>
        <v>0</v>
      </c>
      <c r="G443" s="259">
        <f>SUMIFS(SM_Process!$O$1:$O$10000,SM_Process!$C$1:$C$10000,Group!G$2,SM_Process!$B$1:$B$10000,Group!$C443)</f>
        <v>0</v>
      </c>
      <c r="H443" s="259">
        <f>SUMIFS(SM_Process!$O$1:$O$10000,SM_Process!$C$1:$C$10000,Group!H$2,SM_Process!$B$1:$B$10000,Group!$C443)</f>
        <v>0</v>
      </c>
      <c r="I443" s="259">
        <f>SUMIFS(SM_Material!$W$1:$W$10000,SM_Material!$D$1:$D$10000,Group!C443)</f>
        <v>0</v>
      </c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M443" s="1">
        <f>BOM!D443</f>
        <v>0</v>
      </c>
      <c r="AN443" s="1">
        <f>BOM!C443</f>
        <v>0</v>
      </c>
      <c r="AO443" s="1">
        <f>BOM!B443</f>
        <v>0</v>
      </c>
    </row>
    <row r="444" spans="2:41">
      <c r="B444" s="205">
        <v>442</v>
      </c>
      <c r="C444" s="659">
        <f t="shared" si="9"/>
        <v>0</v>
      </c>
      <c r="D444" s="1" t="s">
        <v>1203</v>
      </c>
      <c r="E444" s="259">
        <f>SUMIFS(SM_Material!$AE$1:$AE$10000,SM_Material!$D$1:$D$10000,Group!C444)</f>
        <v>0</v>
      </c>
      <c r="F444" s="259">
        <f>SUMIFS(SM_Process!$O$1:$O$10000,SM_Process!$C$1:$C$10000,Group!F$2,SM_Process!$B$1:$B$10000,Group!$C444)</f>
        <v>0</v>
      </c>
      <c r="G444" s="259">
        <f>SUMIFS(SM_Process!$O$1:$O$10000,SM_Process!$C$1:$C$10000,Group!G$2,SM_Process!$B$1:$B$10000,Group!$C444)</f>
        <v>0</v>
      </c>
      <c r="H444" s="259">
        <f>SUMIFS(SM_Process!$O$1:$O$10000,SM_Process!$C$1:$C$10000,Group!H$2,SM_Process!$B$1:$B$10000,Group!$C444)</f>
        <v>0</v>
      </c>
      <c r="I444" s="259">
        <f>SUMIFS(SM_Material!$W$1:$W$10000,SM_Material!$D$1:$D$10000,Group!C444)</f>
        <v>0</v>
      </c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M444" s="1">
        <f>BOM!D444</f>
        <v>0</v>
      </c>
      <c r="AN444" s="1">
        <f>BOM!C444</f>
        <v>0</v>
      </c>
      <c r="AO444" s="1">
        <f>BOM!B444</f>
        <v>0</v>
      </c>
    </row>
    <row r="445" spans="2:41">
      <c r="B445" s="205">
        <v>443</v>
      </c>
      <c r="C445" s="659">
        <f t="shared" si="9"/>
        <v>0</v>
      </c>
      <c r="D445" s="1" t="s">
        <v>1203</v>
      </c>
      <c r="E445" s="259">
        <f>SUMIFS(SM_Material!$AE$1:$AE$10000,SM_Material!$D$1:$D$10000,Group!C445)</f>
        <v>0</v>
      </c>
      <c r="F445" s="259">
        <f>SUMIFS(SM_Process!$O$1:$O$10000,SM_Process!$C$1:$C$10000,Group!F$2,SM_Process!$B$1:$B$10000,Group!$C445)</f>
        <v>0</v>
      </c>
      <c r="G445" s="259">
        <f>SUMIFS(SM_Process!$O$1:$O$10000,SM_Process!$C$1:$C$10000,Group!G$2,SM_Process!$B$1:$B$10000,Group!$C445)</f>
        <v>0</v>
      </c>
      <c r="H445" s="259">
        <f>SUMIFS(SM_Process!$O$1:$O$10000,SM_Process!$C$1:$C$10000,Group!H$2,SM_Process!$B$1:$B$10000,Group!$C445)</f>
        <v>0</v>
      </c>
      <c r="I445" s="259">
        <f>SUMIFS(SM_Material!$W$1:$W$10000,SM_Material!$D$1:$D$10000,Group!C445)</f>
        <v>0</v>
      </c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M445" s="1">
        <f>BOM!D445</f>
        <v>0</v>
      </c>
      <c r="AN445" s="1">
        <f>BOM!C445</f>
        <v>0</v>
      </c>
      <c r="AO445" s="1">
        <f>BOM!B445</f>
        <v>0</v>
      </c>
    </row>
    <row r="446" spans="2:41">
      <c r="B446" s="205">
        <v>444</v>
      </c>
      <c r="C446" s="659">
        <f t="shared" si="9"/>
        <v>0</v>
      </c>
      <c r="D446" s="1" t="s">
        <v>1203</v>
      </c>
      <c r="E446" s="259">
        <f>SUMIFS(SM_Material!$AE$1:$AE$10000,SM_Material!$D$1:$D$10000,Group!C446)</f>
        <v>0</v>
      </c>
      <c r="F446" s="259">
        <f>SUMIFS(SM_Process!$O$1:$O$10000,SM_Process!$C$1:$C$10000,Group!F$2,SM_Process!$B$1:$B$10000,Group!$C446)</f>
        <v>0</v>
      </c>
      <c r="G446" s="259">
        <f>SUMIFS(SM_Process!$O$1:$O$10000,SM_Process!$C$1:$C$10000,Group!G$2,SM_Process!$B$1:$B$10000,Group!$C446)</f>
        <v>0</v>
      </c>
      <c r="H446" s="259">
        <f>SUMIFS(SM_Process!$O$1:$O$10000,SM_Process!$C$1:$C$10000,Group!H$2,SM_Process!$B$1:$B$10000,Group!$C446)</f>
        <v>0</v>
      </c>
      <c r="I446" s="259">
        <f>SUMIFS(SM_Material!$W$1:$W$10000,SM_Material!$D$1:$D$10000,Group!C446)</f>
        <v>0</v>
      </c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M446" s="1">
        <f>BOM!D446</f>
        <v>0</v>
      </c>
      <c r="AN446" s="1">
        <f>BOM!C446</f>
        <v>0</v>
      </c>
      <c r="AO446" s="1">
        <f>BOM!B446</f>
        <v>0</v>
      </c>
    </row>
    <row r="447" spans="2:41">
      <c r="B447" s="205">
        <v>445</v>
      </c>
      <c r="C447" s="659">
        <f t="shared" si="9"/>
        <v>0</v>
      </c>
      <c r="D447" s="1" t="s">
        <v>1203</v>
      </c>
      <c r="E447" s="259">
        <f>SUMIFS(SM_Material!$AE$1:$AE$10000,SM_Material!$D$1:$D$10000,Group!C447)</f>
        <v>0</v>
      </c>
      <c r="F447" s="259">
        <f>SUMIFS(SM_Process!$O$1:$O$10000,SM_Process!$C$1:$C$10000,Group!F$2,SM_Process!$B$1:$B$10000,Group!$C447)</f>
        <v>0</v>
      </c>
      <c r="G447" s="259">
        <f>SUMIFS(SM_Process!$O$1:$O$10000,SM_Process!$C$1:$C$10000,Group!G$2,SM_Process!$B$1:$B$10000,Group!$C447)</f>
        <v>0</v>
      </c>
      <c r="H447" s="259">
        <f>SUMIFS(SM_Process!$O$1:$O$10000,SM_Process!$C$1:$C$10000,Group!H$2,SM_Process!$B$1:$B$10000,Group!$C447)</f>
        <v>0</v>
      </c>
      <c r="I447" s="259">
        <f>SUMIFS(SM_Material!$W$1:$W$10000,SM_Material!$D$1:$D$10000,Group!C447)</f>
        <v>0</v>
      </c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M447" s="1">
        <f>BOM!D447</f>
        <v>0</v>
      </c>
      <c r="AN447" s="1">
        <f>BOM!C447</f>
        <v>0</v>
      </c>
      <c r="AO447" s="1">
        <f>BOM!B447</f>
        <v>0</v>
      </c>
    </row>
    <row r="448" spans="2:41">
      <c r="B448" s="205">
        <v>446</v>
      </c>
      <c r="C448" s="659">
        <f t="shared" si="9"/>
        <v>0</v>
      </c>
      <c r="D448" s="1" t="s">
        <v>1203</v>
      </c>
      <c r="E448" s="259">
        <f>SUMIFS(SM_Material!$AE$1:$AE$10000,SM_Material!$D$1:$D$10000,Group!C448)</f>
        <v>0</v>
      </c>
      <c r="F448" s="259">
        <f>SUMIFS(SM_Process!$O$1:$O$10000,SM_Process!$C$1:$C$10000,Group!F$2,SM_Process!$B$1:$B$10000,Group!$C448)</f>
        <v>0</v>
      </c>
      <c r="G448" s="259">
        <f>SUMIFS(SM_Process!$O$1:$O$10000,SM_Process!$C$1:$C$10000,Group!G$2,SM_Process!$B$1:$B$10000,Group!$C448)</f>
        <v>0</v>
      </c>
      <c r="H448" s="259">
        <f>SUMIFS(SM_Process!$O$1:$O$10000,SM_Process!$C$1:$C$10000,Group!H$2,SM_Process!$B$1:$B$10000,Group!$C448)</f>
        <v>0</v>
      </c>
      <c r="I448" s="259">
        <f>SUMIFS(SM_Material!$W$1:$W$10000,SM_Material!$D$1:$D$10000,Group!C448)</f>
        <v>0</v>
      </c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M448" s="1">
        <f>BOM!D448</f>
        <v>0</v>
      </c>
      <c r="AN448" s="1">
        <f>BOM!C448</f>
        <v>0</v>
      </c>
      <c r="AO448" s="1">
        <f>BOM!B448</f>
        <v>0</v>
      </c>
    </row>
    <row r="449" spans="2:41">
      <c r="B449" s="205">
        <v>447</v>
      </c>
      <c r="C449" s="659">
        <f t="shared" si="9"/>
        <v>0</v>
      </c>
      <c r="D449" s="1" t="s">
        <v>1203</v>
      </c>
      <c r="E449" s="259">
        <f>SUMIFS(SM_Material!$AE$1:$AE$10000,SM_Material!$D$1:$D$10000,Group!C449)</f>
        <v>0</v>
      </c>
      <c r="F449" s="259">
        <f>SUMIFS(SM_Process!$O$1:$O$10000,SM_Process!$C$1:$C$10000,Group!F$2,SM_Process!$B$1:$B$10000,Group!$C449)</f>
        <v>0</v>
      </c>
      <c r="G449" s="259">
        <f>SUMIFS(SM_Process!$O$1:$O$10000,SM_Process!$C$1:$C$10000,Group!G$2,SM_Process!$B$1:$B$10000,Group!$C449)</f>
        <v>0</v>
      </c>
      <c r="H449" s="259">
        <f>SUMIFS(SM_Process!$O$1:$O$10000,SM_Process!$C$1:$C$10000,Group!H$2,SM_Process!$B$1:$B$10000,Group!$C449)</f>
        <v>0</v>
      </c>
      <c r="I449" s="259">
        <f>SUMIFS(SM_Material!$W$1:$W$10000,SM_Material!$D$1:$D$10000,Group!C449)</f>
        <v>0</v>
      </c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M449" s="1">
        <f>BOM!D449</f>
        <v>0</v>
      </c>
      <c r="AN449" s="1">
        <f>BOM!C449</f>
        <v>0</v>
      </c>
      <c r="AO449" s="1">
        <f>BOM!B449</f>
        <v>0</v>
      </c>
    </row>
    <row r="450" spans="2:41">
      <c r="B450" s="205">
        <v>448</v>
      </c>
      <c r="C450" s="659">
        <f t="shared" si="9"/>
        <v>0</v>
      </c>
      <c r="D450" s="1" t="s">
        <v>1203</v>
      </c>
      <c r="E450" s="259">
        <f>SUMIFS(SM_Material!$AE$1:$AE$10000,SM_Material!$D$1:$D$10000,Group!C450)</f>
        <v>0</v>
      </c>
      <c r="F450" s="259">
        <f>SUMIFS(SM_Process!$O$1:$O$10000,SM_Process!$C$1:$C$10000,Group!F$2,SM_Process!$B$1:$B$10000,Group!$C450)</f>
        <v>0</v>
      </c>
      <c r="G450" s="259">
        <f>SUMIFS(SM_Process!$O$1:$O$10000,SM_Process!$C$1:$C$10000,Group!G$2,SM_Process!$B$1:$B$10000,Group!$C450)</f>
        <v>0</v>
      </c>
      <c r="H450" s="259">
        <f>SUMIFS(SM_Process!$O$1:$O$10000,SM_Process!$C$1:$C$10000,Group!H$2,SM_Process!$B$1:$B$10000,Group!$C450)</f>
        <v>0</v>
      </c>
      <c r="I450" s="259">
        <f>SUMIFS(SM_Material!$W$1:$W$10000,SM_Material!$D$1:$D$10000,Group!C450)</f>
        <v>0</v>
      </c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M450" s="1">
        <f>BOM!D450</f>
        <v>0</v>
      </c>
      <c r="AN450" s="1">
        <f>BOM!C450</f>
        <v>0</v>
      </c>
      <c r="AO450" s="1">
        <f>BOM!B450</f>
        <v>0</v>
      </c>
    </row>
    <row r="451" spans="2:41">
      <c r="B451" s="205">
        <v>449</v>
      </c>
      <c r="C451" s="659">
        <f t="shared" si="9"/>
        <v>0</v>
      </c>
      <c r="D451" s="1" t="s">
        <v>1203</v>
      </c>
      <c r="E451" s="259">
        <f>SUMIFS(SM_Material!$AE$1:$AE$10000,SM_Material!$D$1:$D$10000,Group!C451)</f>
        <v>0</v>
      </c>
      <c r="F451" s="259">
        <f>SUMIFS(SM_Process!$O$1:$O$10000,SM_Process!$C$1:$C$10000,Group!F$2,SM_Process!$B$1:$B$10000,Group!$C451)</f>
        <v>0</v>
      </c>
      <c r="G451" s="259">
        <f>SUMIFS(SM_Process!$O$1:$O$10000,SM_Process!$C$1:$C$10000,Group!G$2,SM_Process!$B$1:$B$10000,Group!$C451)</f>
        <v>0</v>
      </c>
      <c r="H451" s="259">
        <f>SUMIFS(SM_Process!$O$1:$O$10000,SM_Process!$C$1:$C$10000,Group!H$2,SM_Process!$B$1:$B$10000,Group!$C451)</f>
        <v>0</v>
      </c>
      <c r="I451" s="259">
        <f>SUMIFS(SM_Material!$W$1:$W$10000,SM_Material!$D$1:$D$10000,Group!C451)</f>
        <v>0</v>
      </c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M451" s="1">
        <f>BOM!D451</f>
        <v>0</v>
      </c>
      <c r="AN451" s="1">
        <f>BOM!C451</f>
        <v>0</v>
      </c>
      <c r="AO451" s="1">
        <f>BOM!B451</f>
        <v>0</v>
      </c>
    </row>
    <row r="452" spans="2:41">
      <c r="B452" s="205">
        <v>450</v>
      </c>
      <c r="C452" s="659">
        <f t="shared" si="9"/>
        <v>0</v>
      </c>
      <c r="D452" s="1" t="s">
        <v>1203</v>
      </c>
      <c r="E452" s="259">
        <f>SUMIFS(SM_Material!$AE$1:$AE$10000,SM_Material!$D$1:$D$10000,Group!C452)</f>
        <v>0</v>
      </c>
      <c r="F452" s="259">
        <f>SUMIFS(SM_Process!$O$1:$O$10000,SM_Process!$C$1:$C$10000,Group!F$2,SM_Process!$B$1:$B$10000,Group!$C452)</f>
        <v>0</v>
      </c>
      <c r="G452" s="259">
        <f>SUMIFS(SM_Process!$O$1:$O$10000,SM_Process!$C$1:$C$10000,Group!G$2,SM_Process!$B$1:$B$10000,Group!$C452)</f>
        <v>0</v>
      </c>
      <c r="H452" s="259">
        <f>SUMIFS(SM_Process!$O$1:$O$10000,SM_Process!$C$1:$C$10000,Group!H$2,SM_Process!$B$1:$B$10000,Group!$C452)</f>
        <v>0</v>
      </c>
      <c r="I452" s="259">
        <f>SUMIFS(SM_Material!$W$1:$W$10000,SM_Material!$D$1:$D$10000,Group!C452)</f>
        <v>0</v>
      </c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M452" s="1">
        <f>BOM!D452</f>
        <v>0</v>
      </c>
      <c r="AN452" s="1">
        <f>BOM!C452</f>
        <v>0</v>
      </c>
      <c r="AO452" s="1">
        <f>BOM!B452</f>
        <v>0</v>
      </c>
    </row>
    <row r="453" spans="2:41">
      <c r="B453" s="205">
        <v>451</v>
      </c>
      <c r="C453" s="659">
        <f t="shared" si="9"/>
        <v>0</v>
      </c>
      <c r="D453" s="1" t="s">
        <v>1203</v>
      </c>
      <c r="E453" s="259">
        <f>SUMIFS(SM_Material!$AE$1:$AE$10000,SM_Material!$D$1:$D$10000,Group!C453)</f>
        <v>0</v>
      </c>
      <c r="F453" s="259">
        <f>SUMIFS(SM_Process!$O$1:$O$10000,SM_Process!$C$1:$C$10000,Group!F$2,SM_Process!$B$1:$B$10000,Group!$C453)</f>
        <v>0</v>
      </c>
      <c r="G453" s="259">
        <f>SUMIFS(SM_Process!$O$1:$O$10000,SM_Process!$C$1:$C$10000,Group!G$2,SM_Process!$B$1:$B$10000,Group!$C453)</f>
        <v>0</v>
      </c>
      <c r="H453" s="259">
        <f>SUMIFS(SM_Process!$O$1:$O$10000,SM_Process!$C$1:$C$10000,Group!H$2,SM_Process!$B$1:$B$10000,Group!$C453)</f>
        <v>0</v>
      </c>
      <c r="I453" s="259">
        <f>SUMIFS(SM_Material!$W$1:$W$10000,SM_Material!$D$1:$D$10000,Group!C453)</f>
        <v>0</v>
      </c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M453" s="1">
        <f>BOM!D453</f>
        <v>0</v>
      </c>
      <c r="AN453" s="1">
        <f>BOM!C453</f>
        <v>0</v>
      </c>
      <c r="AO453" s="1">
        <f>BOM!B453</f>
        <v>0</v>
      </c>
    </row>
    <row r="454" spans="2:41">
      <c r="B454" s="205">
        <v>452</v>
      </c>
      <c r="C454" s="659">
        <f t="shared" si="9"/>
        <v>0</v>
      </c>
      <c r="D454" s="1" t="s">
        <v>1203</v>
      </c>
      <c r="E454" s="259">
        <f>SUMIFS(SM_Material!$AE$1:$AE$10000,SM_Material!$D$1:$D$10000,Group!C454)</f>
        <v>0</v>
      </c>
      <c r="F454" s="259">
        <f>SUMIFS(SM_Process!$O$1:$O$10000,SM_Process!$C$1:$C$10000,Group!F$2,SM_Process!$B$1:$B$10000,Group!$C454)</f>
        <v>0</v>
      </c>
      <c r="G454" s="259">
        <f>SUMIFS(SM_Process!$O$1:$O$10000,SM_Process!$C$1:$C$10000,Group!G$2,SM_Process!$B$1:$B$10000,Group!$C454)</f>
        <v>0</v>
      </c>
      <c r="H454" s="259">
        <f>SUMIFS(SM_Process!$O$1:$O$10000,SM_Process!$C$1:$C$10000,Group!H$2,SM_Process!$B$1:$B$10000,Group!$C454)</f>
        <v>0</v>
      </c>
      <c r="I454" s="259">
        <f>SUMIFS(SM_Material!$W$1:$W$10000,SM_Material!$D$1:$D$10000,Group!C454)</f>
        <v>0</v>
      </c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M454" s="1">
        <f>BOM!D454</f>
        <v>0</v>
      </c>
      <c r="AN454" s="1">
        <f>BOM!C454</f>
        <v>0</v>
      </c>
      <c r="AO454" s="1">
        <f>BOM!B454</f>
        <v>0</v>
      </c>
    </row>
    <row r="455" spans="2:41">
      <c r="B455" s="205">
        <v>453</v>
      </c>
      <c r="C455" s="659">
        <f t="shared" si="9"/>
        <v>0</v>
      </c>
      <c r="D455" s="1" t="s">
        <v>1203</v>
      </c>
      <c r="E455" s="259">
        <f>SUMIFS(SM_Material!$AE$1:$AE$10000,SM_Material!$D$1:$D$10000,Group!C455)</f>
        <v>0</v>
      </c>
      <c r="F455" s="259">
        <f>SUMIFS(SM_Process!$O$1:$O$10000,SM_Process!$C$1:$C$10000,Group!F$2,SM_Process!$B$1:$B$10000,Group!$C455)</f>
        <v>0</v>
      </c>
      <c r="G455" s="259">
        <f>SUMIFS(SM_Process!$O$1:$O$10000,SM_Process!$C$1:$C$10000,Group!G$2,SM_Process!$B$1:$B$10000,Group!$C455)</f>
        <v>0</v>
      </c>
      <c r="H455" s="259">
        <f>SUMIFS(SM_Process!$O$1:$O$10000,SM_Process!$C$1:$C$10000,Group!H$2,SM_Process!$B$1:$B$10000,Group!$C455)</f>
        <v>0</v>
      </c>
      <c r="I455" s="259">
        <f>SUMIFS(SM_Material!$W$1:$W$10000,SM_Material!$D$1:$D$10000,Group!C455)</f>
        <v>0</v>
      </c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M455" s="1">
        <f>BOM!D455</f>
        <v>0</v>
      </c>
      <c r="AN455" s="1">
        <f>BOM!C455</f>
        <v>0</v>
      </c>
      <c r="AO455" s="1">
        <f>BOM!B455</f>
        <v>0</v>
      </c>
    </row>
    <row r="456" spans="2:41">
      <c r="B456" s="205">
        <v>454</v>
      </c>
      <c r="C456" s="659">
        <f t="shared" si="9"/>
        <v>0</v>
      </c>
      <c r="D456" s="1" t="s">
        <v>1203</v>
      </c>
      <c r="E456" s="259">
        <f>SUMIFS(SM_Material!$AE$1:$AE$10000,SM_Material!$D$1:$D$10000,Group!C456)</f>
        <v>0</v>
      </c>
      <c r="F456" s="259">
        <f>SUMIFS(SM_Process!$O$1:$O$10000,SM_Process!$C$1:$C$10000,Group!F$2,SM_Process!$B$1:$B$10000,Group!$C456)</f>
        <v>0</v>
      </c>
      <c r="G456" s="259">
        <f>SUMIFS(SM_Process!$O$1:$O$10000,SM_Process!$C$1:$C$10000,Group!G$2,SM_Process!$B$1:$B$10000,Group!$C456)</f>
        <v>0</v>
      </c>
      <c r="H456" s="259">
        <f>SUMIFS(SM_Process!$O$1:$O$10000,SM_Process!$C$1:$C$10000,Group!H$2,SM_Process!$B$1:$B$10000,Group!$C456)</f>
        <v>0</v>
      </c>
      <c r="I456" s="259">
        <f>SUMIFS(SM_Material!$W$1:$W$10000,SM_Material!$D$1:$D$10000,Group!C456)</f>
        <v>0</v>
      </c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M456" s="1">
        <f>BOM!D456</f>
        <v>0</v>
      </c>
      <c r="AN456" s="1">
        <f>BOM!C456</f>
        <v>0</v>
      </c>
      <c r="AO456" s="1">
        <f>BOM!B456</f>
        <v>0</v>
      </c>
    </row>
    <row r="457" spans="2:41">
      <c r="B457" s="205">
        <v>455</v>
      </c>
      <c r="C457" s="659">
        <f t="shared" si="9"/>
        <v>0</v>
      </c>
      <c r="D457" s="1" t="s">
        <v>1203</v>
      </c>
      <c r="E457" s="259">
        <f>SUMIFS(SM_Material!$AE$1:$AE$10000,SM_Material!$D$1:$D$10000,Group!C457)</f>
        <v>0</v>
      </c>
      <c r="F457" s="259">
        <f>SUMIFS(SM_Process!$O$1:$O$10000,SM_Process!$C$1:$C$10000,Group!F$2,SM_Process!$B$1:$B$10000,Group!$C457)</f>
        <v>0</v>
      </c>
      <c r="G457" s="259">
        <f>SUMIFS(SM_Process!$O$1:$O$10000,SM_Process!$C$1:$C$10000,Group!G$2,SM_Process!$B$1:$B$10000,Group!$C457)</f>
        <v>0</v>
      </c>
      <c r="H457" s="259">
        <f>SUMIFS(SM_Process!$O$1:$O$10000,SM_Process!$C$1:$C$10000,Group!H$2,SM_Process!$B$1:$B$10000,Group!$C457)</f>
        <v>0</v>
      </c>
      <c r="I457" s="259">
        <f>SUMIFS(SM_Material!$W$1:$W$10000,SM_Material!$D$1:$D$10000,Group!C457)</f>
        <v>0</v>
      </c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M457" s="1">
        <f>BOM!D457</f>
        <v>0</v>
      </c>
      <c r="AN457" s="1">
        <f>BOM!C457</f>
        <v>0</v>
      </c>
      <c r="AO457" s="1">
        <f>BOM!B457</f>
        <v>0</v>
      </c>
    </row>
    <row r="458" spans="2:41">
      <c r="B458" s="205">
        <v>456</v>
      </c>
      <c r="C458" s="659">
        <f t="shared" si="9"/>
        <v>0</v>
      </c>
      <c r="D458" s="1" t="s">
        <v>1203</v>
      </c>
      <c r="E458" s="259">
        <f>SUMIFS(SM_Material!$AE$1:$AE$10000,SM_Material!$D$1:$D$10000,Group!C458)</f>
        <v>0</v>
      </c>
      <c r="F458" s="259">
        <f>SUMIFS(SM_Process!$O$1:$O$10000,SM_Process!$C$1:$C$10000,Group!F$2,SM_Process!$B$1:$B$10000,Group!$C458)</f>
        <v>0</v>
      </c>
      <c r="G458" s="259">
        <f>SUMIFS(SM_Process!$O$1:$O$10000,SM_Process!$C$1:$C$10000,Group!G$2,SM_Process!$B$1:$B$10000,Group!$C458)</f>
        <v>0</v>
      </c>
      <c r="H458" s="259">
        <f>SUMIFS(SM_Process!$O$1:$O$10000,SM_Process!$C$1:$C$10000,Group!H$2,SM_Process!$B$1:$B$10000,Group!$C458)</f>
        <v>0</v>
      </c>
      <c r="I458" s="259">
        <f>SUMIFS(SM_Material!$W$1:$W$10000,SM_Material!$D$1:$D$10000,Group!C458)</f>
        <v>0</v>
      </c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M458" s="1">
        <f>BOM!D458</f>
        <v>0</v>
      </c>
      <c r="AN458" s="1">
        <f>BOM!C458</f>
        <v>0</v>
      </c>
      <c r="AO458" s="1">
        <f>BOM!B458</f>
        <v>0</v>
      </c>
    </row>
    <row r="459" spans="2:41">
      <c r="B459" s="205">
        <v>457</v>
      </c>
      <c r="C459" s="659">
        <f t="shared" si="9"/>
        <v>0</v>
      </c>
      <c r="D459" s="1" t="s">
        <v>1203</v>
      </c>
      <c r="E459" s="259">
        <f>SUMIFS(SM_Material!$AE$1:$AE$10000,SM_Material!$D$1:$D$10000,Group!C459)</f>
        <v>0</v>
      </c>
      <c r="F459" s="259">
        <f>SUMIFS(SM_Process!$O$1:$O$10000,SM_Process!$C$1:$C$10000,Group!F$2,SM_Process!$B$1:$B$10000,Group!$C459)</f>
        <v>0</v>
      </c>
      <c r="G459" s="259">
        <f>SUMIFS(SM_Process!$O$1:$O$10000,SM_Process!$C$1:$C$10000,Group!G$2,SM_Process!$B$1:$B$10000,Group!$C459)</f>
        <v>0</v>
      </c>
      <c r="H459" s="259">
        <f>SUMIFS(SM_Process!$O$1:$O$10000,SM_Process!$C$1:$C$10000,Group!H$2,SM_Process!$B$1:$B$10000,Group!$C459)</f>
        <v>0</v>
      </c>
      <c r="I459" s="259">
        <f>SUMIFS(SM_Material!$W$1:$W$10000,SM_Material!$D$1:$D$10000,Group!C459)</f>
        <v>0</v>
      </c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M459" s="1">
        <f>BOM!D459</f>
        <v>0</v>
      </c>
      <c r="AN459" s="1">
        <f>BOM!C459</f>
        <v>0</v>
      </c>
      <c r="AO459" s="1">
        <f>BOM!B459</f>
        <v>0</v>
      </c>
    </row>
    <row r="460" spans="2:41">
      <c r="B460" s="205">
        <v>458</v>
      </c>
      <c r="C460" s="659">
        <f t="shared" si="9"/>
        <v>0</v>
      </c>
      <c r="D460" s="1" t="s">
        <v>1203</v>
      </c>
      <c r="E460" s="259">
        <f>SUMIFS(SM_Material!$AE$1:$AE$10000,SM_Material!$D$1:$D$10000,Group!C460)</f>
        <v>0</v>
      </c>
      <c r="F460" s="259">
        <f>SUMIFS(SM_Process!$O$1:$O$10000,SM_Process!$C$1:$C$10000,Group!F$2,SM_Process!$B$1:$B$10000,Group!$C460)</f>
        <v>0</v>
      </c>
      <c r="G460" s="259">
        <f>SUMIFS(SM_Process!$O$1:$O$10000,SM_Process!$C$1:$C$10000,Group!G$2,SM_Process!$B$1:$B$10000,Group!$C460)</f>
        <v>0</v>
      </c>
      <c r="H460" s="259">
        <f>SUMIFS(SM_Process!$O$1:$O$10000,SM_Process!$C$1:$C$10000,Group!H$2,SM_Process!$B$1:$B$10000,Group!$C460)</f>
        <v>0</v>
      </c>
      <c r="I460" s="259">
        <f>SUMIFS(SM_Material!$W$1:$W$10000,SM_Material!$D$1:$D$10000,Group!C460)</f>
        <v>0</v>
      </c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M460" s="1">
        <f>BOM!D460</f>
        <v>0</v>
      </c>
      <c r="AN460" s="1">
        <f>BOM!C460</f>
        <v>0</v>
      </c>
      <c r="AO460" s="1">
        <f>BOM!B460</f>
        <v>0</v>
      </c>
    </row>
    <row r="461" spans="2:41">
      <c r="B461" s="205">
        <v>459</v>
      </c>
      <c r="C461" s="659">
        <f t="shared" si="9"/>
        <v>0</v>
      </c>
      <c r="D461" s="1" t="s">
        <v>1203</v>
      </c>
      <c r="E461" s="259">
        <f>SUMIFS(SM_Material!$AE$1:$AE$10000,SM_Material!$D$1:$D$10000,Group!C461)</f>
        <v>0</v>
      </c>
      <c r="F461" s="259">
        <f>SUMIFS(SM_Process!$O$1:$O$10000,SM_Process!$C$1:$C$10000,Group!F$2,SM_Process!$B$1:$B$10000,Group!$C461)</f>
        <v>0</v>
      </c>
      <c r="G461" s="259">
        <f>SUMIFS(SM_Process!$O$1:$O$10000,SM_Process!$C$1:$C$10000,Group!G$2,SM_Process!$B$1:$B$10000,Group!$C461)</f>
        <v>0</v>
      </c>
      <c r="H461" s="259">
        <f>SUMIFS(SM_Process!$O$1:$O$10000,SM_Process!$C$1:$C$10000,Group!H$2,SM_Process!$B$1:$B$10000,Group!$C461)</f>
        <v>0</v>
      </c>
      <c r="I461" s="259">
        <f>SUMIFS(SM_Material!$W$1:$W$10000,SM_Material!$D$1:$D$10000,Group!C461)</f>
        <v>0</v>
      </c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M461" s="1">
        <f>BOM!D461</f>
        <v>0</v>
      </c>
      <c r="AN461" s="1">
        <f>BOM!C461</f>
        <v>0</v>
      </c>
      <c r="AO461" s="1">
        <f>BOM!B461</f>
        <v>0</v>
      </c>
    </row>
    <row r="462" spans="2:41">
      <c r="B462" s="205">
        <v>460</v>
      </c>
      <c r="C462" s="659">
        <f t="shared" si="9"/>
        <v>0</v>
      </c>
      <c r="D462" s="1" t="s">
        <v>1203</v>
      </c>
      <c r="E462" s="259">
        <f>SUMIFS(SM_Material!$AE$1:$AE$10000,SM_Material!$D$1:$D$10000,Group!C462)</f>
        <v>0</v>
      </c>
      <c r="F462" s="259">
        <f>SUMIFS(SM_Process!$O$1:$O$10000,SM_Process!$C$1:$C$10000,Group!F$2,SM_Process!$B$1:$B$10000,Group!$C462)</f>
        <v>0</v>
      </c>
      <c r="G462" s="259">
        <f>SUMIFS(SM_Process!$O$1:$O$10000,SM_Process!$C$1:$C$10000,Group!G$2,SM_Process!$B$1:$B$10000,Group!$C462)</f>
        <v>0</v>
      </c>
      <c r="H462" s="259">
        <f>SUMIFS(SM_Process!$O$1:$O$10000,SM_Process!$C$1:$C$10000,Group!H$2,SM_Process!$B$1:$B$10000,Group!$C462)</f>
        <v>0</v>
      </c>
      <c r="I462" s="259">
        <f>SUMIFS(SM_Material!$W$1:$W$10000,SM_Material!$D$1:$D$10000,Group!C462)</f>
        <v>0</v>
      </c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M462" s="1">
        <f>BOM!D462</f>
        <v>0</v>
      </c>
      <c r="AN462" s="1">
        <f>BOM!C462</f>
        <v>0</v>
      </c>
      <c r="AO462" s="1">
        <f>BOM!B462</f>
        <v>0</v>
      </c>
    </row>
    <row r="463" spans="2:41">
      <c r="B463" s="205">
        <v>461</v>
      </c>
      <c r="C463" s="659">
        <f t="shared" si="9"/>
        <v>0</v>
      </c>
      <c r="D463" s="1" t="s">
        <v>1203</v>
      </c>
      <c r="E463" s="259">
        <f>SUMIFS(SM_Material!$AE$1:$AE$10000,SM_Material!$D$1:$D$10000,Group!C463)</f>
        <v>0</v>
      </c>
      <c r="F463" s="259">
        <f>SUMIFS(SM_Process!$O$1:$O$10000,SM_Process!$C$1:$C$10000,Group!F$2,SM_Process!$B$1:$B$10000,Group!$C463)</f>
        <v>0</v>
      </c>
      <c r="G463" s="259">
        <f>SUMIFS(SM_Process!$O$1:$O$10000,SM_Process!$C$1:$C$10000,Group!G$2,SM_Process!$B$1:$B$10000,Group!$C463)</f>
        <v>0</v>
      </c>
      <c r="H463" s="259">
        <f>SUMIFS(SM_Process!$O$1:$O$10000,SM_Process!$C$1:$C$10000,Group!H$2,SM_Process!$B$1:$B$10000,Group!$C463)</f>
        <v>0</v>
      </c>
      <c r="I463" s="259">
        <f>SUMIFS(SM_Material!$W$1:$W$10000,SM_Material!$D$1:$D$10000,Group!C463)</f>
        <v>0</v>
      </c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M463" s="1">
        <f>BOM!D463</f>
        <v>0</v>
      </c>
      <c r="AN463" s="1">
        <f>BOM!C463</f>
        <v>0</v>
      </c>
      <c r="AO463" s="1">
        <f>BOM!B463</f>
        <v>0</v>
      </c>
    </row>
    <row r="464" spans="2:41">
      <c r="B464" s="205">
        <v>462</v>
      </c>
      <c r="C464" s="659">
        <f t="shared" si="9"/>
        <v>0</v>
      </c>
      <c r="D464" s="1" t="s">
        <v>1203</v>
      </c>
      <c r="E464" s="259">
        <f>SUMIFS(SM_Material!$AE$1:$AE$10000,SM_Material!$D$1:$D$10000,Group!C464)</f>
        <v>0</v>
      </c>
      <c r="F464" s="259">
        <f>SUMIFS(SM_Process!$O$1:$O$10000,SM_Process!$C$1:$C$10000,Group!F$2,SM_Process!$B$1:$B$10000,Group!$C464)</f>
        <v>0</v>
      </c>
      <c r="G464" s="259">
        <f>SUMIFS(SM_Process!$O$1:$O$10000,SM_Process!$C$1:$C$10000,Group!G$2,SM_Process!$B$1:$B$10000,Group!$C464)</f>
        <v>0</v>
      </c>
      <c r="H464" s="259">
        <f>SUMIFS(SM_Process!$O$1:$O$10000,SM_Process!$C$1:$C$10000,Group!H$2,SM_Process!$B$1:$B$10000,Group!$C464)</f>
        <v>0</v>
      </c>
      <c r="I464" s="259">
        <f>SUMIFS(SM_Material!$W$1:$W$10000,SM_Material!$D$1:$D$10000,Group!C464)</f>
        <v>0</v>
      </c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M464" s="1">
        <f>BOM!D464</f>
        <v>0</v>
      </c>
      <c r="AN464" s="1">
        <f>BOM!C464</f>
        <v>0</v>
      </c>
      <c r="AO464" s="1">
        <f>BOM!B464</f>
        <v>0</v>
      </c>
    </row>
    <row r="465" spans="2:41">
      <c r="B465" s="205">
        <v>463</v>
      </c>
      <c r="C465" s="659">
        <f t="shared" si="9"/>
        <v>0</v>
      </c>
      <c r="D465" s="1" t="s">
        <v>1203</v>
      </c>
      <c r="E465" s="259">
        <f>SUMIFS(SM_Material!$AE$1:$AE$10000,SM_Material!$D$1:$D$10000,Group!C465)</f>
        <v>0</v>
      </c>
      <c r="F465" s="259">
        <f>SUMIFS(SM_Process!$O$1:$O$10000,SM_Process!$C$1:$C$10000,Group!F$2,SM_Process!$B$1:$B$10000,Group!$C465)</f>
        <v>0</v>
      </c>
      <c r="G465" s="259">
        <f>SUMIFS(SM_Process!$O$1:$O$10000,SM_Process!$C$1:$C$10000,Group!G$2,SM_Process!$B$1:$B$10000,Group!$C465)</f>
        <v>0</v>
      </c>
      <c r="H465" s="259">
        <f>SUMIFS(SM_Process!$O$1:$O$10000,SM_Process!$C$1:$C$10000,Group!H$2,SM_Process!$B$1:$B$10000,Group!$C465)</f>
        <v>0</v>
      </c>
      <c r="I465" s="259">
        <f>SUMIFS(SM_Material!$W$1:$W$10000,SM_Material!$D$1:$D$10000,Group!C465)</f>
        <v>0</v>
      </c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M465" s="1">
        <f>BOM!D465</f>
        <v>0</v>
      </c>
      <c r="AN465" s="1">
        <f>BOM!C465</f>
        <v>0</v>
      </c>
      <c r="AO465" s="1">
        <f>BOM!B465</f>
        <v>0</v>
      </c>
    </row>
    <row r="466" spans="2:41">
      <c r="B466" s="205">
        <v>464</v>
      </c>
      <c r="C466" s="659">
        <f t="shared" si="9"/>
        <v>0</v>
      </c>
      <c r="D466" s="1" t="s">
        <v>1203</v>
      </c>
      <c r="E466" s="259">
        <f>SUMIFS(SM_Material!$AE$1:$AE$10000,SM_Material!$D$1:$D$10000,Group!C466)</f>
        <v>0</v>
      </c>
      <c r="F466" s="259">
        <f>SUMIFS(SM_Process!$O$1:$O$10000,SM_Process!$C$1:$C$10000,Group!F$2,SM_Process!$B$1:$B$10000,Group!$C466)</f>
        <v>0</v>
      </c>
      <c r="G466" s="259">
        <f>SUMIFS(SM_Process!$O$1:$O$10000,SM_Process!$C$1:$C$10000,Group!G$2,SM_Process!$B$1:$B$10000,Group!$C466)</f>
        <v>0</v>
      </c>
      <c r="H466" s="259">
        <f>SUMIFS(SM_Process!$O$1:$O$10000,SM_Process!$C$1:$C$10000,Group!H$2,SM_Process!$B$1:$B$10000,Group!$C466)</f>
        <v>0</v>
      </c>
      <c r="I466" s="259">
        <f>SUMIFS(SM_Material!$W$1:$W$10000,SM_Material!$D$1:$D$10000,Group!C466)</f>
        <v>0</v>
      </c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M466" s="1">
        <f>BOM!D466</f>
        <v>0</v>
      </c>
      <c r="AN466" s="1">
        <f>BOM!C466</f>
        <v>0</v>
      </c>
      <c r="AO466" s="1">
        <f>BOM!B466</f>
        <v>0</v>
      </c>
    </row>
    <row r="467" spans="2:41">
      <c r="B467" s="205">
        <v>465</v>
      </c>
      <c r="C467" s="659">
        <f t="shared" si="9"/>
        <v>0</v>
      </c>
      <c r="D467" s="1" t="s">
        <v>1203</v>
      </c>
      <c r="E467" s="259">
        <f>SUMIFS(SM_Material!$AE$1:$AE$10000,SM_Material!$D$1:$D$10000,Group!C467)</f>
        <v>0</v>
      </c>
      <c r="F467" s="259">
        <f>SUMIFS(SM_Process!$O$1:$O$10000,SM_Process!$C$1:$C$10000,Group!F$2,SM_Process!$B$1:$B$10000,Group!$C467)</f>
        <v>0</v>
      </c>
      <c r="G467" s="259">
        <f>SUMIFS(SM_Process!$O$1:$O$10000,SM_Process!$C$1:$C$10000,Group!G$2,SM_Process!$B$1:$B$10000,Group!$C467)</f>
        <v>0</v>
      </c>
      <c r="H467" s="259">
        <f>SUMIFS(SM_Process!$O$1:$O$10000,SM_Process!$C$1:$C$10000,Group!H$2,SM_Process!$B$1:$B$10000,Group!$C467)</f>
        <v>0</v>
      </c>
      <c r="I467" s="259">
        <f>SUMIFS(SM_Material!$W$1:$W$10000,SM_Material!$D$1:$D$10000,Group!C467)</f>
        <v>0</v>
      </c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M467" s="1">
        <f>BOM!D467</f>
        <v>0</v>
      </c>
      <c r="AN467" s="1">
        <f>BOM!C467</f>
        <v>0</v>
      </c>
      <c r="AO467" s="1">
        <f>BOM!B467</f>
        <v>0</v>
      </c>
    </row>
    <row r="468" spans="2:41">
      <c r="B468" s="205">
        <v>466</v>
      </c>
      <c r="C468" s="659">
        <f t="shared" si="9"/>
        <v>0</v>
      </c>
      <c r="D468" s="1" t="s">
        <v>1203</v>
      </c>
      <c r="E468" s="259">
        <f>SUMIFS(SM_Material!$AE$1:$AE$10000,SM_Material!$D$1:$D$10000,Group!C468)</f>
        <v>0</v>
      </c>
      <c r="F468" s="259">
        <f>SUMIFS(SM_Process!$O$1:$O$10000,SM_Process!$C$1:$C$10000,Group!F$2,SM_Process!$B$1:$B$10000,Group!$C468)</f>
        <v>0</v>
      </c>
      <c r="G468" s="259">
        <f>SUMIFS(SM_Process!$O$1:$O$10000,SM_Process!$C$1:$C$10000,Group!G$2,SM_Process!$B$1:$B$10000,Group!$C468)</f>
        <v>0</v>
      </c>
      <c r="H468" s="259">
        <f>SUMIFS(SM_Process!$O$1:$O$10000,SM_Process!$C$1:$C$10000,Group!H$2,SM_Process!$B$1:$B$10000,Group!$C468)</f>
        <v>0</v>
      </c>
      <c r="I468" s="259">
        <f>SUMIFS(SM_Material!$W$1:$W$10000,SM_Material!$D$1:$D$10000,Group!C468)</f>
        <v>0</v>
      </c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M468" s="1">
        <f>BOM!D468</f>
        <v>0</v>
      </c>
      <c r="AN468" s="1">
        <f>BOM!C468</f>
        <v>0</v>
      </c>
      <c r="AO468" s="1">
        <f>BOM!B468</f>
        <v>0</v>
      </c>
    </row>
    <row r="469" spans="2:41">
      <c r="B469" s="205">
        <v>467</v>
      </c>
      <c r="C469" s="659">
        <f t="shared" si="9"/>
        <v>0</v>
      </c>
      <c r="D469" s="1" t="s">
        <v>1203</v>
      </c>
      <c r="E469" s="259">
        <f>SUMIFS(SM_Material!$AE$1:$AE$10000,SM_Material!$D$1:$D$10000,Group!C469)</f>
        <v>0</v>
      </c>
      <c r="F469" s="259">
        <f>SUMIFS(SM_Process!$O$1:$O$10000,SM_Process!$C$1:$C$10000,Group!F$2,SM_Process!$B$1:$B$10000,Group!$C469)</f>
        <v>0</v>
      </c>
      <c r="G469" s="259">
        <f>SUMIFS(SM_Process!$O$1:$O$10000,SM_Process!$C$1:$C$10000,Group!G$2,SM_Process!$B$1:$B$10000,Group!$C469)</f>
        <v>0</v>
      </c>
      <c r="H469" s="259">
        <f>SUMIFS(SM_Process!$O$1:$O$10000,SM_Process!$C$1:$C$10000,Group!H$2,SM_Process!$B$1:$B$10000,Group!$C469)</f>
        <v>0</v>
      </c>
      <c r="I469" s="259">
        <f>SUMIFS(SM_Material!$W$1:$W$10000,SM_Material!$D$1:$D$10000,Group!C469)</f>
        <v>0</v>
      </c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M469" s="1">
        <f>BOM!D469</f>
        <v>0</v>
      </c>
      <c r="AN469" s="1">
        <f>BOM!C469</f>
        <v>0</v>
      </c>
      <c r="AO469" s="1">
        <f>BOM!B469</f>
        <v>0</v>
      </c>
    </row>
    <row r="470" spans="2:41">
      <c r="B470" s="205">
        <v>468</v>
      </c>
      <c r="C470" s="659">
        <f t="shared" si="9"/>
        <v>0</v>
      </c>
      <c r="D470" s="1" t="s">
        <v>1203</v>
      </c>
      <c r="E470" s="259">
        <f>SUMIFS(SM_Material!$AE$1:$AE$10000,SM_Material!$D$1:$D$10000,Group!C470)</f>
        <v>0</v>
      </c>
      <c r="F470" s="259">
        <f>SUMIFS(SM_Process!$O$1:$O$10000,SM_Process!$C$1:$C$10000,Group!F$2,SM_Process!$B$1:$B$10000,Group!$C470)</f>
        <v>0</v>
      </c>
      <c r="G470" s="259">
        <f>SUMIFS(SM_Process!$O$1:$O$10000,SM_Process!$C$1:$C$10000,Group!G$2,SM_Process!$B$1:$B$10000,Group!$C470)</f>
        <v>0</v>
      </c>
      <c r="H470" s="259">
        <f>SUMIFS(SM_Process!$O$1:$O$10000,SM_Process!$C$1:$C$10000,Group!H$2,SM_Process!$B$1:$B$10000,Group!$C470)</f>
        <v>0</v>
      </c>
      <c r="I470" s="259">
        <f>SUMIFS(SM_Material!$W$1:$W$10000,SM_Material!$D$1:$D$10000,Group!C470)</f>
        <v>0</v>
      </c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M470" s="1">
        <f>BOM!D470</f>
        <v>0</v>
      </c>
      <c r="AN470" s="1">
        <f>BOM!C470</f>
        <v>0</v>
      </c>
      <c r="AO470" s="1">
        <f>BOM!B470</f>
        <v>0</v>
      </c>
    </row>
    <row r="471" spans="2:41">
      <c r="B471" s="205">
        <v>469</v>
      </c>
      <c r="C471" s="659">
        <f t="shared" si="9"/>
        <v>0</v>
      </c>
      <c r="D471" s="1" t="s">
        <v>1203</v>
      </c>
      <c r="E471" s="259">
        <f>SUMIFS(SM_Material!$AE$1:$AE$10000,SM_Material!$D$1:$D$10000,Group!C471)</f>
        <v>0</v>
      </c>
      <c r="F471" s="259">
        <f>SUMIFS(SM_Process!$O$1:$O$10000,SM_Process!$C$1:$C$10000,Group!F$2,SM_Process!$B$1:$B$10000,Group!$C471)</f>
        <v>0</v>
      </c>
      <c r="G471" s="259">
        <f>SUMIFS(SM_Process!$O$1:$O$10000,SM_Process!$C$1:$C$10000,Group!G$2,SM_Process!$B$1:$B$10000,Group!$C471)</f>
        <v>0</v>
      </c>
      <c r="H471" s="259">
        <f>SUMIFS(SM_Process!$O$1:$O$10000,SM_Process!$C$1:$C$10000,Group!H$2,SM_Process!$B$1:$B$10000,Group!$C471)</f>
        <v>0</v>
      </c>
      <c r="I471" s="259">
        <f>SUMIFS(SM_Material!$W$1:$W$10000,SM_Material!$D$1:$D$10000,Group!C471)</f>
        <v>0</v>
      </c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M471" s="1">
        <f>BOM!D471</f>
        <v>0</v>
      </c>
      <c r="AN471" s="1">
        <f>BOM!C471</f>
        <v>0</v>
      </c>
      <c r="AO471" s="1">
        <f>BOM!B471</f>
        <v>0</v>
      </c>
    </row>
    <row r="472" spans="2:41">
      <c r="B472" s="205">
        <v>470</v>
      </c>
      <c r="C472" s="659">
        <f t="shared" si="9"/>
        <v>0</v>
      </c>
      <c r="D472" s="1" t="s">
        <v>1203</v>
      </c>
      <c r="E472" s="259">
        <f>SUMIFS(SM_Material!$AE$1:$AE$10000,SM_Material!$D$1:$D$10000,Group!C472)</f>
        <v>0</v>
      </c>
      <c r="F472" s="259">
        <f>SUMIFS(SM_Process!$O$1:$O$10000,SM_Process!$C$1:$C$10000,Group!F$2,SM_Process!$B$1:$B$10000,Group!$C472)</f>
        <v>0</v>
      </c>
      <c r="G472" s="259">
        <f>SUMIFS(SM_Process!$O$1:$O$10000,SM_Process!$C$1:$C$10000,Group!G$2,SM_Process!$B$1:$B$10000,Group!$C472)</f>
        <v>0</v>
      </c>
      <c r="H472" s="259">
        <f>SUMIFS(SM_Process!$O$1:$O$10000,SM_Process!$C$1:$C$10000,Group!H$2,SM_Process!$B$1:$B$10000,Group!$C472)</f>
        <v>0</v>
      </c>
      <c r="I472" s="259">
        <f>SUMIFS(SM_Material!$W$1:$W$10000,SM_Material!$D$1:$D$10000,Group!C472)</f>
        <v>0</v>
      </c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M472" s="1">
        <f>BOM!D472</f>
        <v>0</v>
      </c>
      <c r="AN472" s="1">
        <f>BOM!C472</f>
        <v>0</v>
      </c>
      <c r="AO472" s="1">
        <f>BOM!B472</f>
        <v>0</v>
      </c>
    </row>
    <row r="473" spans="2:41">
      <c r="B473" s="205">
        <v>471</v>
      </c>
      <c r="C473" s="659">
        <f t="shared" si="9"/>
        <v>0</v>
      </c>
      <c r="D473" s="1" t="s">
        <v>1203</v>
      </c>
      <c r="E473" s="259">
        <f>SUMIFS(SM_Material!$AE$1:$AE$10000,SM_Material!$D$1:$D$10000,Group!C473)</f>
        <v>0</v>
      </c>
      <c r="F473" s="259">
        <f>SUMIFS(SM_Process!$O$1:$O$10000,SM_Process!$C$1:$C$10000,Group!F$2,SM_Process!$B$1:$B$10000,Group!$C473)</f>
        <v>0</v>
      </c>
      <c r="G473" s="259">
        <f>SUMIFS(SM_Process!$O$1:$O$10000,SM_Process!$C$1:$C$10000,Group!G$2,SM_Process!$B$1:$B$10000,Group!$C473)</f>
        <v>0</v>
      </c>
      <c r="H473" s="259">
        <f>SUMIFS(SM_Process!$O$1:$O$10000,SM_Process!$C$1:$C$10000,Group!H$2,SM_Process!$B$1:$B$10000,Group!$C473)</f>
        <v>0</v>
      </c>
      <c r="I473" s="259">
        <f>SUMIFS(SM_Material!$W$1:$W$10000,SM_Material!$D$1:$D$10000,Group!C473)</f>
        <v>0</v>
      </c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M473" s="1">
        <f>BOM!D473</f>
        <v>0</v>
      </c>
      <c r="AN473" s="1">
        <f>BOM!C473</f>
        <v>0</v>
      </c>
      <c r="AO473" s="1">
        <f>BOM!B473</f>
        <v>0</v>
      </c>
    </row>
    <row r="474" spans="2:41">
      <c r="B474" s="205">
        <v>472</v>
      </c>
      <c r="C474" s="659">
        <f t="shared" si="9"/>
        <v>0</v>
      </c>
      <c r="D474" s="1" t="s">
        <v>1203</v>
      </c>
      <c r="E474" s="259">
        <f>SUMIFS(SM_Material!$AE$1:$AE$10000,SM_Material!$D$1:$D$10000,Group!C474)</f>
        <v>0</v>
      </c>
      <c r="F474" s="259">
        <f>SUMIFS(SM_Process!$O$1:$O$10000,SM_Process!$C$1:$C$10000,Group!F$2,SM_Process!$B$1:$B$10000,Group!$C474)</f>
        <v>0</v>
      </c>
      <c r="G474" s="259">
        <f>SUMIFS(SM_Process!$O$1:$O$10000,SM_Process!$C$1:$C$10000,Group!G$2,SM_Process!$B$1:$B$10000,Group!$C474)</f>
        <v>0</v>
      </c>
      <c r="H474" s="259">
        <f>SUMIFS(SM_Process!$O$1:$O$10000,SM_Process!$C$1:$C$10000,Group!H$2,SM_Process!$B$1:$B$10000,Group!$C474)</f>
        <v>0</v>
      </c>
      <c r="I474" s="259">
        <f>SUMIFS(SM_Material!$W$1:$W$10000,SM_Material!$D$1:$D$10000,Group!C474)</f>
        <v>0</v>
      </c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M474" s="1">
        <f>BOM!D474</f>
        <v>0</v>
      </c>
      <c r="AN474" s="1">
        <f>BOM!C474</f>
        <v>0</v>
      </c>
      <c r="AO474" s="1">
        <f>BOM!B474</f>
        <v>0</v>
      </c>
    </row>
    <row r="475" spans="2:41">
      <c r="B475" s="205">
        <v>473</v>
      </c>
      <c r="C475" s="659">
        <f t="shared" si="9"/>
        <v>0</v>
      </c>
      <c r="D475" s="1" t="s">
        <v>1203</v>
      </c>
      <c r="E475" s="259">
        <f>SUMIFS(SM_Material!$AE$1:$AE$10000,SM_Material!$D$1:$D$10000,Group!C475)</f>
        <v>0</v>
      </c>
      <c r="F475" s="259">
        <f>SUMIFS(SM_Process!$O$1:$O$10000,SM_Process!$C$1:$C$10000,Group!F$2,SM_Process!$B$1:$B$10000,Group!$C475)</f>
        <v>0</v>
      </c>
      <c r="G475" s="259">
        <f>SUMIFS(SM_Process!$O$1:$O$10000,SM_Process!$C$1:$C$10000,Group!G$2,SM_Process!$B$1:$B$10000,Group!$C475)</f>
        <v>0</v>
      </c>
      <c r="H475" s="259">
        <f>SUMIFS(SM_Process!$O$1:$O$10000,SM_Process!$C$1:$C$10000,Group!H$2,SM_Process!$B$1:$B$10000,Group!$C475)</f>
        <v>0</v>
      </c>
      <c r="I475" s="259">
        <f>SUMIFS(SM_Material!$W$1:$W$10000,SM_Material!$D$1:$D$10000,Group!C475)</f>
        <v>0</v>
      </c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M475" s="1">
        <f>BOM!D475</f>
        <v>0</v>
      </c>
      <c r="AN475" s="1">
        <f>BOM!C475</f>
        <v>0</v>
      </c>
      <c r="AO475" s="1">
        <f>BOM!B475</f>
        <v>0</v>
      </c>
    </row>
    <row r="476" spans="2:41">
      <c r="B476" s="205">
        <v>474</v>
      </c>
      <c r="C476" s="659">
        <f t="shared" ref="C476:C539" si="10">K67</f>
        <v>0</v>
      </c>
      <c r="D476" s="1" t="s">
        <v>1203</v>
      </c>
      <c r="E476" s="259">
        <f>SUMIFS(SM_Material!$AE$1:$AE$10000,SM_Material!$D$1:$D$10000,Group!C476)</f>
        <v>0</v>
      </c>
      <c r="F476" s="259">
        <f>SUMIFS(SM_Process!$O$1:$O$10000,SM_Process!$C$1:$C$10000,Group!F$2,SM_Process!$B$1:$B$10000,Group!$C476)</f>
        <v>0</v>
      </c>
      <c r="G476" s="259">
        <f>SUMIFS(SM_Process!$O$1:$O$10000,SM_Process!$C$1:$C$10000,Group!G$2,SM_Process!$B$1:$B$10000,Group!$C476)</f>
        <v>0</v>
      </c>
      <c r="H476" s="259">
        <f>SUMIFS(SM_Process!$O$1:$O$10000,SM_Process!$C$1:$C$10000,Group!H$2,SM_Process!$B$1:$B$10000,Group!$C476)</f>
        <v>0</v>
      </c>
      <c r="I476" s="259">
        <f>SUMIFS(SM_Material!$W$1:$W$10000,SM_Material!$D$1:$D$10000,Group!C476)</f>
        <v>0</v>
      </c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M476" s="1">
        <f>BOM!D476</f>
        <v>0</v>
      </c>
      <c r="AN476" s="1">
        <f>BOM!C476</f>
        <v>0</v>
      </c>
      <c r="AO476" s="1">
        <f>BOM!B476</f>
        <v>0</v>
      </c>
    </row>
    <row r="477" spans="2:41">
      <c r="B477" s="205">
        <v>475</v>
      </c>
      <c r="C477" s="659">
        <f t="shared" si="10"/>
        <v>0</v>
      </c>
      <c r="D477" s="1" t="s">
        <v>1203</v>
      </c>
      <c r="E477" s="259">
        <f>SUMIFS(SM_Material!$AE$1:$AE$10000,SM_Material!$D$1:$D$10000,Group!C477)</f>
        <v>0</v>
      </c>
      <c r="F477" s="259">
        <f>SUMIFS(SM_Process!$O$1:$O$10000,SM_Process!$C$1:$C$10000,Group!F$2,SM_Process!$B$1:$B$10000,Group!$C477)</f>
        <v>0</v>
      </c>
      <c r="G477" s="259">
        <f>SUMIFS(SM_Process!$O$1:$O$10000,SM_Process!$C$1:$C$10000,Group!G$2,SM_Process!$B$1:$B$10000,Group!$C477)</f>
        <v>0</v>
      </c>
      <c r="H477" s="259">
        <f>SUMIFS(SM_Process!$O$1:$O$10000,SM_Process!$C$1:$C$10000,Group!H$2,SM_Process!$B$1:$B$10000,Group!$C477)</f>
        <v>0</v>
      </c>
      <c r="I477" s="259">
        <f>SUMIFS(SM_Material!$W$1:$W$10000,SM_Material!$D$1:$D$10000,Group!C477)</f>
        <v>0</v>
      </c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M477" s="1">
        <f>BOM!D477</f>
        <v>0</v>
      </c>
      <c r="AN477" s="1">
        <f>BOM!C477</f>
        <v>0</v>
      </c>
      <c r="AO477" s="1">
        <f>BOM!B477</f>
        <v>0</v>
      </c>
    </row>
    <row r="478" spans="2:41">
      <c r="B478" s="205">
        <v>476</v>
      </c>
      <c r="C478" s="659">
        <f t="shared" si="10"/>
        <v>0</v>
      </c>
      <c r="D478" s="1" t="s">
        <v>1203</v>
      </c>
      <c r="E478" s="259">
        <f>SUMIFS(SM_Material!$AE$1:$AE$10000,SM_Material!$D$1:$D$10000,Group!C478)</f>
        <v>0</v>
      </c>
      <c r="F478" s="259">
        <f>SUMIFS(SM_Process!$O$1:$O$10000,SM_Process!$C$1:$C$10000,Group!F$2,SM_Process!$B$1:$B$10000,Group!$C478)</f>
        <v>0</v>
      </c>
      <c r="G478" s="259">
        <f>SUMIFS(SM_Process!$O$1:$O$10000,SM_Process!$C$1:$C$10000,Group!G$2,SM_Process!$B$1:$B$10000,Group!$C478)</f>
        <v>0</v>
      </c>
      <c r="H478" s="259">
        <f>SUMIFS(SM_Process!$O$1:$O$10000,SM_Process!$C$1:$C$10000,Group!H$2,SM_Process!$B$1:$B$10000,Group!$C478)</f>
        <v>0</v>
      </c>
      <c r="I478" s="259">
        <f>SUMIFS(SM_Material!$W$1:$W$10000,SM_Material!$D$1:$D$10000,Group!C478)</f>
        <v>0</v>
      </c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M478" s="1">
        <f>BOM!D478</f>
        <v>0</v>
      </c>
      <c r="AN478" s="1">
        <f>BOM!C478</f>
        <v>0</v>
      </c>
      <c r="AO478" s="1">
        <f>BOM!B478</f>
        <v>0</v>
      </c>
    </row>
    <row r="479" spans="2:41">
      <c r="B479" s="205">
        <v>477</v>
      </c>
      <c r="C479" s="659">
        <f t="shared" si="10"/>
        <v>0</v>
      </c>
      <c r="D479" s="1" t="s">
        <v>1203</v>
      </c>
      <c r="E479" s="259">
        <f>SUMIFS(SM_Material!$AE$1:$AE$10000,SM_Material!$D$1:$D$10000,Group!C479)</f>
        <v>0</v>
      </c>
      <c r="F479" s="259">
        <f>SUMIFS(SM_Process!$O$1:$O$10000,SM_Process!$C$1:$C$10000,Group!F$2,SM_Process!$B$1:$B$10000,Group!$C479)</f>
        <v>0</v>
      </c>
      <c r="G479" s="259">
        <f>SUMIFS(SM_Process!$O$1:$O$10000,SM_Process!$C$1:$C$10000,Group!G$2,SM_Process!$B$1:$B$10000,Group!$C479)</f>
        <v>0</v>
      </c>
      <c r="H479" s="259">
        <f>SUMIFS(SM_Process!$O$1:$O$10000,SM_Process!$C$1:$C$10000,Group!H$2,SM_Process!$B$1:$B$10000,Group!$C479)</f>
        <v>0</v>
      </c>
      <c r="I479" s="259">
        <f>SUMIFS(SM_Material!$W$1:$W$10000,SM_Material!$D$1:$D$10000,Group!C479)</f>
        <v>0</v>
      </c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M479" s="1">
        <f>BOM!D479</f>
        <v>0</v>
      </c>
      <c r="AN479" s="1">
        <f>BOM!C479</f>
        <v>0</v>
      </c>
      <c r="AO479" s="1">
        <f>BOM!B479</f>
        <v>0</v>
      </c>
    </row>
    <row r="480" spans="2:41">
      <c r="B480" s="205">
        <v>478</v>
      </c>
      <c r="C480" s="659">
        <f t="shared" si="10"/>
        <v>0</v>
      </c>
      <c r="D480" s="1" t="s">
        <v>1203</v>
      </c>
      <c r="E480" s="259">
        <f>SUMIFS(SM_Material!$AE$1:$AE$10000,SM_Material!$D$1:$D$10000,Group!C480)</f>
        <v>0</v>
      </c>
      <c r="F480" s="259">
        <f>SUMIFS(SM_Process!$O$1:$O$10000,SM_Process!$C$1:$C$10000,Group!F$2,SM_Process!$B$1:$B$10000,Group!$C480)</f>
        <v>0</v>
      </c>
      <c r="G480" s="259">
        <f>SUMIFS(SM_Process!$O$1:$O$10000,SM_Process!$C$1:$C$10000,Group!G$2,SM_Process!$B$1:$B$10000,Group!$C480)</f>
        <v>0</v>
      </c>
      <c r="H480" s="259">
        <f>SUMIFS(SM_Process!$O$1:$O$10000,SM_Process!$C$1:$C$10000,Group!H$2,SM_Process!$B$1:$B$10000,Group!$C480)</f>
        <v>0</v>
      </c>
      <c r="I480" s="259">
        <f>SUMIFS(SM_Material!$W$1:$W$10000,SM_Material!$D$1:$D$10000,Group!C480)</f>
        <v>0</v>
      </c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M480" s="1">
        <f>BOM!D480</f>
        <v>0</v>
      </c>
      <c r="AN480" s="1">
        <f>BOM!C480</f>
        <v>0</v>
      </c>
      <c r="AO480" s="1">
        <f>BOM!B480</f>
        <v>0</v>
      </c>
    </row>
    <row r="481" spans="2:41">
      <c r="B481" s="205">
        <v>479</v>
      </c>
      <c r="C481" s="659">
        <f t="shared" si="10"/>
        <v>0</v>
      </c>
      <c r="D481" s="1" t="s">
        <v>1203</v>
      </c>
      <c r="E481" s="259">
        <f>SUMIFS(SM_Material!$AE$1:$AE$10000,SM_Material!$D$1:$D$10000,Group!C481)</f>
        <v>0</v>
      </c>
      <c r="F481" s="259">
        <f>SUMIFS(SM_Process!$O$1:$O$10000,SM_Process!$C$1:$C$10000,Group!F$2,SM_Process!$B$1:$B$10000,Group!$C481)</f>
        <v>0</v>
      </c>
      <c r="G481" s="259">
        <f>SUMIFS(SM_Process!$O$1:$O$10000,SM_Process!$C$1:$C$10000,Group!G$2,SM_Process!$B$1:$B$10000,Group!$C481)</f>
        <v>0</v>
      </c>
      <c r="H481" s="259">
        <f>SUMIFS(SM_Process!$O$1:$O$10000,SM_Process!$C$1:$C$10000,Group!H$2,SM_Process!$B$1:$B$10000,Group!$C481)</f>
        <v>0</v>
      </c>
      <c r="I481" s="259">
        <f>SUMIFS(SM_Material!$W$1:$W$10000,SM_Material!$D$1:$D$10000,Group!C481)</f>
        <v>0</v>
      </c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M481" s="1">
        <f>BOM!D481</f>
        <v>0</v>
      </c>
      <c r="AN481" s="1">
        <f>BOM!C481</f>
        <v>0</v>
      </c>
      <c r="AO481" s="1">
        <f>BOM!B481</f>
        <v>0</v>
      </c>
    </row>
    <row r="482" spans="2:41">
      <c r="B482" s="205">
        <v>480</v>
      </c>
      <c r="C482" s="659">
        <f t="shared" si="10"/>
        <v>0</v>
      </c>
      <c r="D482" s="1" t="s">
        <v>1203</v>
      </c>
      <c r="E482" s="259">
        <f>SUMIFS(SM_Material!$AE$1:$AE$10000,SM_Material!$D$1:$D$10000,Group!C482)</f>
        <v>0</v>
      </c>
      <c r="F482" s="259">
        <f>SUMIFS(SM_Process!$O$1:$O$10000,SM_Process!$C$1:$C$10000,Group!F$2,SM_Process!$B$1:$B$10000,Group!$C482)</f>
        <v>0</v>
      </c>
      <c r="G482" s="259">
        <f>SUMIFS(SM_Process!$O$1:$O$10000,SM_Process!$C$1:$C$10000,Group!G$2,SM_Process!$B$1:$B$10000,Group!$C482)</f>
        <v>0</v>
      </c>
      <c r="H482" s="259">
        <f>SUMIFS(SM_Process!$O$1:$O$10000,SM_Process!$C$1:$C$10000,Group!H$2,SM_Process!$B$1:$B$10000,Group!$C482)</f>
        <v>0</v>
      </c>
      <c r="I482" s="259">
        <f>SUMIFS(SM_Material!$W$1:$W$10000,SM_Material!$D$1:$D$10000,Group!C482)</f>
        <v>0</v>
      </c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M482" s="1">
        <f>BOM!D482</f>
        <v>0</v>
      </c>
      <c r="AN482" s="1">
        <f>BOM!C482</f>
        <v>0</v>
      </c>
      <c r="AO482" s="1">
        <f>BOM!B482</f>
        <v>0</v>
      </c>
    </row>
    <row r="483" spans="2:41">
      <c r="B483" s="205">
        <v>481</v>
      </c>
      <c r="C483" s="659">
        <f t="shared" si="10"/>
        <v>0</v>
      </c>
      <c r="D483" s="1" t="s">
        <v>1203</v>
      </c>
      <c r="E483" s="259">
        <f>SUMIFS(SM_Material!$AE$1:$AE$10000,SM_Material!$D$1:$D$10000,Group!C483)</f>
        <v>0</v>
      </c>
      <c r="F483" s="259">
        <f>SUMIFS(SM_Process!$O$1:$O$10000,SM_Process!$C$1:$C$10000,Group!F$2,SM_Process!$B$1:$B$10000,Group!$C483)</f>
        <v>0</v>
      </c>
      <c r="G483" s="259">
        <f>SUMIFS(SM_Process!$O$1:$O$10000,SM_Process!$C$1:$C$10000,Group!G$2,SM_Process!$B$1:$B$10000,Group!$C483)</f>
        <v>0</v>
      </c>
      <c r="H483" s="259">
        <f>SUMIFS(SM_Process!$O$1:$O$10000,SM_Process!$C$1:$C$10000,Group!H$2,SM_Process!$B$1:$B$10000,Group!$C483)</f>
        <v>0</v>
      </c>
      <c r="I483" s="259">
        <f>SUMIFS(SM_Material!$W$1:$W$10000,SM_Material!$D$1:$D$10000,Group!C483)</f>
        <v>0</v>
      </c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M483" s="1">
        <f>BOM!D483</f>
        <v>0</v>
      </c>
      <c r="AN483" s="1">
        <f>BOM!C483</f>
        <v>0</v>
      </c>
      <c r="AO483" s="1">
        <f>BOM!B483</f>
        <v>0</v>
      </c>
    </row>
    <row r="484" spans="2:41">
      <c r="B484" s="205">
        <v>482</v>
      </c>
      <c r="C484" s="659">
        <f t="shared" si="10"/>
        <v>0</v>
      </c>
      <c r="D484" s="1" t="s">
        <v>1203</v>
      </c>
      <c r="E484" s="259">
        <f>SUMIFS(SM_Material!$AE$1:$AE$10000,SM_Material!$D$1:$D$10000,Group!C484)</f>
        <v>0</v>
      </c>
      <c r="F484" s="259">
        <f>SUMIFS(SM_Process!$O$1:$O$10000,SM_Process!$C$1:$C$10000,Group!F$2,SM_Process!$B$1:$B$10000,Group!$C484)</f>
        <v>0</v>
      </c>
      <c r="G484" s="259">
        <f>SUMIFS(SM_Process!$O$1:$O$10000,SM_Process!$C$1:$C$10000,Group!G$2,SM_Process!$B$1:$B$10000,Group!$C484)</f>
        <v>0</v>
      </c>
      <c r="H484" s="259">
        <f>SUMIFS(SM_Process!$O$1:$O$10000,SM_Process!$C$1:$C$10000,Group!H$2,SM_Process!$B$1:$B$10000,Group!$C484)</f>
        <v>0</v>
      </c>
      <c r="I484" s="259">
        <f>SUMIFS(SM_Material!$W$1:$W$10000,SM_Material!$D$1:$D$10000,Group!C484)</f>
        <v>0</v>
      </c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M484" s="1">
        <f>BOM!D484</f>
        <v>0</v>
      </c>
      <c r="AN484" s="1">
        <f>BOM!C484</f>
        <v>0</v>
      </c>
      <c r="AO484" s="1">
        <f>BOM!B484</f>
        <v>0</v>
      </c>
    </row>
    <row r="485" spans="2:41">
      <c r="B485" s="205">
        <v>483</v>
      </c>
      <c r="C485" s="659">
        <f t="shared" si="10"/>
        <v>0</v>
      </c>
      <c r="D485" s="1" t="s">
        <v>1203</v>
      </c>
      <c r="E485" s="259">
        <f>SUMIFS(SM_Material!$AE$1:$AE$10000,SM_Material!$D$1:$D$10000,Group!C485)</f>
        <v>0</v>
      </c>
      <c r="F485" s="259">
        <f>SUMIFS(SM_Process!$O$1:$O$10000,SM_Process!$C$1:$C$10000,Group!F$2,SM_Process!$B$1:$B$10000,Group!$C485)</f>
        <v>0</v>
      </c>
      <c r="G485" s="259">
        <f>SUMIFS(SM_Process!$O$1:$O$10000,SM_Process!$C$1:$C$10000,Group!G$2,SM_Process!$B$1:$B$10000,Group!$C485)</f>
        <v>0</v>
      </c>
      <c r="H485" s="259">
        <f>SUMIFS(SM_Process!$O$1:$O$10000,SM_Process!$C$1:$C$10000,Group!H$2,SM_Process!$B$1:$B$10000,Group!$C485)</f>
        <v>0</v>
      </c>
      <c r="I485" s="259">
        <f>SUMIFS(SM_Material!$W$1:$W$10000,SM_Material!$D$1:$D$10000,Group!C485)</f>
        <v>0</v>
      </c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M485" s="1">
        <f>BOM!D485</f>
        <v>0</v>
      </c>
      <c r="AN485" s="1">
        <f>BOM!C485</f>
        <v>0</v>
      </c>
      <c r="AO485" s="1">
        <f>BOM!B485</f>
        <v>0</v>
      </c>
    </row>
    <row r="486" spans="2:41">
      <c r="B486" s="205">
        <v>484</v>
      </c>
      <c r="C486" s="659">
        <f t="shared" si="10"/>
        <v>0</v>
      </c>
      <c r="D486" s="1" t="s">
        <v>1203</v>
      </c>
      <c r="E486" s="259">
        <f>SUMIFS(SM_Material!$AE$1:$AE$10000,SM_Material!$D$1:$D$10000,Group!C486)</f>
        <v>0</v>
      </c>
      <c r="F486" s="259">
        <f>SUMIFS(SM_Process!$O$1:$O$10000,SM_Process!$C$1:$C$10000,Group!F$2,SM_Process!$B$1:$B$10000,Group!$C486)</f>
        <v>0</v>
      </c>
      <c r="G486" s="259">
        <f>SUMIFS(SM_Process!$O$1:$O$10000,SM_Process!$C$1:$C$10000,Group!G$2,SM_Process!$B$1:$B$10000,Group!$C486)</f>
        <v>0</v>
      </c>
      <c r="H486" s="259">
        <f>SUMIFS(SM_Process!$O$1:$O$10000,SM_Process!$C$1:$C$10000,Group!H$2,SM_Process!$B$1:$B$10000,Group!$C486)</f>
        <v>0</v>
      </c>
      <c r="I486" s="259">
        <f>SUMIFS(SM_Material!$W$1:$W$10000,SM_Material!$D$1:$D$10000,Group!C486)</f>
        <v>0</v>
      </c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M486" s="1">
        <f>BOM!D486</f>
        <v>0</v>
      </c>
      <c r="AN486" s="1">
        <f>BOM!C486</f>
        <v>0</v>
      </c>
      <c r="AO486" s="1">
        <f>BOM!B486</f>
        <v>0</v>
      </c>
    </row>
    <row r="487" spans="2:41">
      <c r="B487" s="205">
        <v>485</v>
      </c>
      <c r="C487" s="659">
        <f t="shared" si="10"/>
        <v>0</v>
      </c>
      <c r="D487" s="1" t="s">
        <v>1203</v>
      </c>
      <c r="E487" s="259">
        <f>SUMIFS(SM_Material!$AE$1:$AE$10000,SM_Material!$D$1:$D$10000,Group!C487)</f>
        <v>0</v>
      </c>
      <c r="F487" s="259">
        <f>SUMIFS(SM_Process!$O$1:$O$10000,SM_Process!$C$1:$C$10000,Group!F$2,SM_Process!$B$1:$B$10000,Group!$C487)</f>
        <v>0</v>
      </c>
      <c r="G487" s="259">
        <f>SUMIFS(SM_Process!$O$1:$O$10000,SM_Process!$C$1:$C$10000,Group!G$2,SM_Process!$B$1:$B$10000,Group!$C487)</f>
        <v>0</v>
      </c>
      <c r="H487" s="259">
        <f>SUMIFS(SM_Process!$O$1:$O$10000,SM_Process!$C$1:$C$10000,Group!H$2,SM_Process!$B$1:$B$10000,Group!$C487)</f>
        <v>0</v>
      </c>
      <c r="I487" s="259">
        <f>SUMIFS(SM_Material!$W$1:$W$10000,SM_Material!$D$1:$D$10000,Group!C487)</f>
        <v>0</v>
      </c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M487" s="1">
        <f>BOM!D487</f>
        <v>0</v>
      </c>
      <c r="AN487" s="1">
        <f>BOM!C487</f>
        <v>0</v>
      </c>
      <c r="AO487" s="1">
        <f>BOM!B487</f>
        <v>0</v>
      </c>
    </row>
    <row r="488" spans="2:41">
      <c r="B488" s="205">
        <v>486</v>
      </c>
      <c r="C488" s="659">
        <f t="shared" si="10"/>
        <v>0</v>
      </c>
      <c r="D488" s="1" t="s">
        <v>1203</v>
      </c>
      <c r="E488" s="259">
        <f>SUMIFS(SM_Material!$AE$1:$AE$10000,SM_Material!$D$1:$D$10000,Group!C488)</f>
        <v>0</v>
      </c>
      <c r="F488" s="259">
        <f>SUMIFS(SM_Process!$O$1:$O$10000,SM_Process!$C$1:$C$10000,Group!F$2,SM_Process!$B$1:$B$10000,Group!$C488)</f>
        <v>0</v>
      </c>
      <c r="G488" s="259">
        <f>SUMIFS(SM_Process!$O$1:$O$10000,SM_Process!$C$1:$C$10000,Group!G$2,SM_Process!$B$1:$B$10000,Group!$C488)</f>
        <v>0</v>
      </c>
      <c r="H488" s="259">
        <f>SUMIFS(SM_Process!$O$1:$O$10000,SM_Process!$C$1:$C$10000,Group!H$2,SM_Process!$B$1:$B$10000,Group!$C488)</f>
        <v>0</v>
      </c>
      <c r="I488" s="259">
        <f>SUMIFS(SM_Material!$W$1:$W$10000,SM_Material!$D$1:$D$10000,Group!C488)</f>
        <v>0</v>
      </c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M488" s="1">
        <f>BOM!D488</f>
        <v>0</v>
      </c>
      <c r="AN488" s="1">
        <f>BOM!C488</f>
        <v>0</v>
      </c>
      <c r="AO488" s="1">
        <f>BOM!B488</f>
        <v>0</v>
      </c>
    </row>
    <row r="489" spans="2:41">
      <c r="B489" s="205">
        <v>487</v>
      </c>
      <c r="C489" s="659">
        <f t="shared" si="10"/>
        <v>0</v>
      </c>
      <c r="D489" s="1" t="s">
        <v>1203</v>
      </c>
      <c r="E489" s="259">
        <f>SUMIFS(SM_Material!$AE$1:$AE$10000,SM_Material!$D$1:$D$10000,Group!C489)</f>
        <v>0</v>
      </c>
      <c r="F489" s="259">
        <f>SUMIFS(SM_Process!$O$1:$O$10000,SM_Process!$C$1:$C$10000,Group!F$2,SM_Process!$B$1:$B$10000,Group!$C489)</f>
        <v>0</v>
      </c>
      <c r="G489" s="259">
        <f>SUMIFS(SM_Process!$O$1:$O$10000,SM_Process!$C$1:$C$10000,Group!G$2,SM_Process!$B$1:$B$10000,Group!$C489)</f>
        <v>0</v>
      </c>
      <c r="H489" s="259">
        <f>SUMIFS(SM_Process!$O$1:$O$10000,SM_Process!$C$1:$C$10000,Group!H$2,SM_Process!$B$1:$B$10000,Group!$C489)</f>
        <v>0</v>
      </c>
      <c r="I489" s="259">
        <f>SUMIFS(SM_Material!$W$1:$W$10000,SM_Material!$D$1:$D$10000,Group!C489)</f>
        <v>0</v>
      </c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M489" s="1">
        <f>BOM!D489</f>
        <v>0</v>
      </c>
      <c r="AN489" s="1">
        <f>BOM!C489</f>
        <v>0</v>
      </c>
      <c r="AO489" s="1">
        <f>BOM!B489</f>
        <v>0</v>
      </c>
    </row>
    <row r="490" spans="2:41">
      <c r="B490" s="205">
        <v>488</v>
      </c>
      <c r="C490" s="659">
        <f t="shared" si="10"/>
        <v>0</v>
      </c>
      <c r="D490" s="1" t="s">
        <v>1203</v>
      </c>
      <c r="E490" s="259">
        <f>SUMIFS(SM_Material!$AE$1:$AE$10000,SM_Material!$D$1:$D$10000,Group!C490)</f>
        <v>0</v>
      </c>
      <c r="F490" s="259">
        <f>SUMIFS(SM_Process!$O$1:$O$10000,SM_Process!$C$1:$C$10000,Group!F$2,SM_Process!$B$1:$B$10000,Group!$C490)</f>
        <v>0</v>
      </c>
      <c r="G490" s="259">
        <f>SUMIFS(SM_Process!$O$1:$O$10000,SM_Process!$C$1:$C$10000,Group!G$2,SM_Process!$B$1:$B$10000,Group!$C490)</f>
        <v>0</v>
      </c>
      <c r="H490" s="259">
        <f>SUMIFS(SM_Process!$O$1:$O$10000,SM_Process!$C$1:$C$10000,Group!H$2,SM_Process!$B$1:$B$10000,Group!$C490)</f>
        <v>0</v>
      </c>
      <c r="I490" s="259">
        <f>SUMIFS(SM_Material!$W$1:$W$10000,SM_Material!$D$1:$D$10000,Group!C490)</f>
        <v>0</v>
      </c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M490" s="1">
        <f>BOM!D490</f>
        <v>0</v>
      </c>
      <c r="AN490" s="1">
        <f>BOM!C490</f>
        <v>0</v>
      </c>
      <c r="AO490" s="1">
        <f>BOM!B490</f>
        <v>0</v>
      </c>
    </row>
    <row r="491" spans="2:41">
      <c r="B491" s="205">
        <v>489</v>
      </c>
      <c r="C491" s="659">
        <f t="shared" si="10"/>
        <v>0</v>
      </c>
      <c r="D491" s="1" t="s">
        <v>1203</v>
      </c>
      <c r="E491" s="259">
        <f>SUMIFS(SM_Material!$AE$1:$AE$10000,SM_Material!$D$1:$D$10000,Group!C491)</f>
        <v>0</v>
      </c>
      <c r="F491" s="259">
        <f>SUMIFS(SM_Process!$O$1:$O$10000,SM_Process!$C$1:$C$10000,Group!F$2,SM_Process!$B$1:$B$10000,Group!$C491)</f>
        <v>0</v>
      </c>
      <c r="G491" s="259">
        <f>SUMIFS(SM_Process!$O$1:$O$10000,SM_Process!$C$1:$C$10000,Group!G$2,SM_Process!$B$1:$B$10000,Group!$C491)</f>
        <v>0</v>
      </c>
      <c r="H491" s="259">
        <f>SUMIFS(SM_Process!$O$1:$O$10000,SM_Process!$C$1:$C$10000,Group!H$2,SM_Process!$B$1:$B$10000,Group!$C491)</f>
        <v>0</v>
      </c>
      <c r="I491" s="259">
        <f>SUMIFS(SM_Material!$W$1:$W$10000,SM_Material!$D$1:$D$10000,Group!C491)</f>
        <v>0</v>
      </c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M491" s="1">
        <f>BOM!D491</f>
        <v>0</v>
      </c>
      <c r="AN491" s="1">
        <f>BOM!C491</f>
        <v>0</v>
      </c>
      <c r="AO491" s="1">
        <f>BOM!B491</f>
        <v>0</v>
      </c>
    </row>
    <row r="492" spans="2:41">
      <c r="B492" s="205">
        <v>490</v>
      </c>
      <c r="C492" s="659">
        <f t="shared" si="10"/>
        <v>0</v>
      </c>
      <c r="D492" s="1" t="s">
        <v>1203</v>
      </c>
      <c r="E492" s="259">
        <f>SUMIFS(SM_Material!$AE$1:$AE$10000,SM_Material!$D$1:$D$10000,Group!C492)</f>
        <v>0</v>
      </c>
      <c r="F492" s="259">
        <f>SUMIFS(SM_Process!$O$1:$O$10000,SM_Process!$C$1:$C$10000,Group!F$2,SM_Process!$B$1:$B$10000,Group!$C492)</f>
        <v>0</v>
      </c>
      <c r="G492" s="259">
        <f>SUMIFS(SM_Process!$O$1:$O$10000,SM_Process!$C$1:$C$10000,Group!G$2,SM_Process!$B$1:$B$10000,Group!$C492)</f>
        <v>0</v>
      </c>
      <c r="H492" s="259">
        <f>SUMIFS(SM_Process!$O$1:$O$10000,SM_Process!$C$1:$C$10000,Group!H$2,SM_Process!$B$1:$B$10000,Group!$C492)</f>
        <v>0</v>
      </c>
      <c r="I492" s="259">
        <f>SUMIFS(SM_Material!$W$1:$W$10000,SM_Material!$D$1:$D$10000,Group!C492)</f>
        <v>0</v>
      </c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M492" s="1">
        <f>BOM!D492</f>
        <v>0</v>
      </c>
      <c r="AN492" s="1">
        <f>BOM!C492</f>
        <v>0</v>
      </c>
      <c r="AO492" s="1">
        <f>BOM!B492</f>
        <v>0</v>
      </c>
    </row>
    <row r="493" spans="2:41">
      <c r="B493" s="205">
        <v>491</v>
      </c>
      <c r="C493" s="659">
        <f t="shared" si="10"/>
        <v>0</v>
      </c>
      <c r="D493" s="1" t="s">
        <v>1203</v>
      </c>
      <c r="E493" s="259">
        <f>SUMIFS(SM_Material!$AE$1:$AE$10000,SM_Material!$D$1:$D$10000,Group!C493)</f>
        <v>0</v>
      </c>
      <c r="F493" s="259">
        <f>SUMIFS(SM_Process!$O$1:$O$10000,SM_Process!$C$1:$C$10000,Group!F$2,SM_Process!$B$1:$B$10000,Group!$C493)</f>
        <v>0</v>
      </c>
      <c r="G493" s="259">
        <f>SUMIFS(SM_Process!$O$1:$O$10000,SM_Process!$C$1:$C$10000,Group!G$2,SM_Process!$B$1:$B$10000,Group!$C493)</f>
        <v>0</v>
      </c>
      <c r="H493" s="259">
        <f>SUMIFS(SM_Process!$O$1:$O$10000,SM_Process!$C$1:$C$10000,Group!H$2,SM_Process!$B$1:$B$10000,Group!$C493)</f>
        <v>0</v>
      </c>
      <c r="I493" s="259">
        <f>SUMIFS(SM_Material!$W$1:$W$10000,SM_Material!$D$1:$D$10000,Group!C493)</f>
        <v>0</v>
      </c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M493" s="1">
        <f>BOM!D493</f>
        <v>0</v>
      </c>
      <c r="AN493" s="1">
        <f>BOM!C493</f>
        <v>0</v>
      </c>
      <c r="AO493" s="1">
        <f>BOM!B493</f>
        <v>0</v>
      </c>
    </row>
    <row r="494" spans="2:41">
      <c r="B494" s="205">
        <v>492</v>
      </c>
      <c r="C494" s="659">
        <f t="shared" si="10"/>
        <v>0</v>
      </c>
      <c r="D494" s="1" t="s">
        <v>1203</v>
      </c>
      <c r="E494" s="259">
        <f>SUMIFS(SM_Material!$AE$1:$AE$10000,SM_Material!$D$1:$D$10000,Group!C494)</f>
        <v>0</v>
      </c>
      <c r="F494" s="259">
        <f>SUMIFS(SM_Process!$O$1:$O$10000,SM_Process!$C$1:$C$10000,Group!F$2,SM_Process!$B$1:$B$10000,Group!$C494)</f>
        <v>0</v>
      </c>
      <c r="G494" s="259">
        <f>SUMIFS(SM_Process!$O$1:$O$10000,SM_Process!$C$1:$C$10000,Group!G$2,SM_Process!$B$1:$B$10000,Group!$C494)</f>
        <v>0</v>
      </c>
      <c r="H494" s="259">
        <f>SUMIFS(SM_Process!$O$1:$O$10000,SM_Process!$C$1:$C$10000,Group!H$2,SM_Process!$B$1:$B$10000,Group!$C494)</f>
        <v>0</v>
      </c>
      <c r="I494" s="259">
        <f>SUMIFS(SM_Material!$W$1:$W$10000,SM_Material!$D$1:$D$10000,Group!C494)</f>
        <v>0</v>
      </c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M494" s="1">
        <f>BOM!D494</f>
        <v>0</v>
      </c>
      <c r="AN494" s="1">
        <f>BOM!C494</f>
        <v>0</v>
      </c>
      <c r="AO494" s="1">
        <f>BOM!B494</f>
        <v>0</v>
      </c>
    </row>
    <row r="495" spans="2:41">
      <c r="B495" s="205">
        <v>493</v>
      </c>
      <c r="C495" s="659">
        <f t="shared" si="10"/>
        <v>0</v>
      </c>
      <c r="D495" s="1" t="s">
        <v>1203</v>
      </c>
      <c r="E495" s="259">
        <f>SUMIFS(SM_Material!$AE$1:$AE$10000,SM_Material!$D$1:$D$10000,Group!C495)</f>
        <v>0</v>
      </c>
      <c r="F495" s="259">
        <f>SUMIFS(SM_Process!$O$1:$O$10000,SM_Process!$C$1:$C$10000,Group!F$2,SM_Process!$B$1:$B$10000,Group!$C495)</f>
        <v>0</v>
      </c>
      <c r="G495" s="259">
        <f>SUMIFS(SM_Process!$O$1:$O$10000,SM_Process!$C$1:$C$10000,Group!G$2,SM_Process!$B$1:$B$10000,Group!$C495)</f>
        <v>0</v>
      </c>
      <c r="H495" s="259">
        <f>SUMIFS(SM_Process!$O$1:$O$10000,SM_Process!$C$1:$C$10000,Group!H$2,SM_Process!$B$1:$B$10000,Group!$C495)</f>
        <v>0</v>
      </c>
      <c r="I495" s="259">
        <f>SUMIFS(SM_Material!$W$1:$W$10000,SM_Material!$D$1:$D$10000,Group!C495)</f>
        <v>0</v>
      </c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M495" s="1">
        <f>BOM!D495</f>
        <v>0</v>
      </c>
      <c r="AN495" s="1">
        <f>BOM!C495</f>
        <v>0</v>
      </c>
      <c r="AO495" s="1">
        <f>BOM!B495</f>
        <v>0</v>
      </c>
    </row>
    <row r="496" spans="2:41">
      <c r="B496" s="205">
        <v>494</v>
      </c>
      <c r="C496" s="659">
        <f t="shared" si="10"/>
        <v>0</v>
      </c>
      <c r="D496" s="1" t="s">
        <v>1203</v>
      </c>
      <c r="E496" s="259">
        <f>SUMIFS(SM_Material!$AE$1:$AE$10000,SM_Material!$D$1:$D$10000,Group!C496)</f>
        <v>0</v>
      </c>
      <c r="F496" s="259">
        <f>SUMIFS(SM_Process!$O$1:$O$10000,SM_Process!$C$1:$C$10000,Group!F$2,SM_Process!$B$1:$B$10000,Group!$C496)</f>
        <v>0</v>
      </c>
      <c r="G496" s="259">
        <f>SUMIFS(SM_Process!$O$1:$O$10000,SM_Process!$C$1:$C$10000,Group!G$2,SM_Process!$B$1:$B$10000,Group!$C496)</f>
        <v>0</v>
      </c>
      <c r="H496" s="259">
        <f>SUMIFS(SM_Process!$O$1:$O$10000,SM_Process!$C$1:$C$10000,Group!H$2,SM_Process!$B$1:$B$10000,Group!$C496)</f>
        <v>0</v>
      </c>
      <c r="I496" s="259">
        <f>SUMIFS(SM_Material!$W$1:$W$10000,SM_Material!$D$1:$D$10000,Group!C496)</f>
        <v>0</v>
      </c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M496" s="1">
        <f>BOM!D496</f>
        <v>0</v>
      </c>
      <c r="AN496" s="1">
        <f>BOM!C496</f>
        <v>0</v>
      </c>
      <c r="AO496" s="1">
        <f>BOM!B496</f>
        <v>0</v>
      </c>
    </row>
    <row r="497" spans="2:41">
      <c r="B497" s="205">
        <v>495</v>
      </c>
      <c r="C497" s="659">
        <f t="shared" si="10"/>
        <v>0</v>
      </c>
      <c r="D497" s="1" t="s">
        <v>1203</v>
      </c>
      <c r="E497" s="259">
        <f>SUMIFS(SM_Material!$AE$1:$AE$10000,SM_Material!$D$1:$D$10000,Group!C497)</f>
        <v>0</v>
      </c>
      <c r="F497" s="259">
        <f>SUMIFS(SM_Process!$O$1:$O$10000,SM_Process!$C$1:$C$10000,Group!F$2,SM_Process!$B$1:$B$10000,Group!$C497)</f>
        <v>0</v>
      </c>
      <c r="G497" s="259">
        <f>SUMIFS(SM_Process!$O$1:$O$10000,SM_Process!$C$1:$C$10000,Group!G$2,SM_Process!$B$1:$B$10000,Group!$C497)</f>
        <v>0</v>
      </c>
      <c r="H497" s="259">
        <f>SUMIFS(SM_Process!$O$1:$O$10000,SM_Process!$C$1:$C$10000,Group!H$2,SM_Process!$B$1:$B$10000,Group!$C497)</f>
        <v>0</v>
      </c>
      <c r="I497" s="259">
        <f>SUMIFS(SM_Material!$W$1:$W$10000,SM_Material!$D$1:$D$10000,Group!C497)</f>
        <v>0</v>
      </c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M497" s="1">
        <f>BOM!D497</f>
        <v>0</v>
      </c>
      <c r="AN497" s="1">
        <f>BOM!C497</f>
        <v>0</v>
      </c>
      <c r="AO497" s="1">
        <f>BOM!B497</f>
        <v>0</v>
      </c>
    </row>
    <row r="498" spans="2:41">
      <c r="B498" s="205">
        <v>496</v>
      </c>
      <c r="C498" s="659">
        <f t="shared" si="10"/>
        <v>0</v>
      </c>
      <c r="D498" s="1" t="s">
        <v>1203</v>
      </c>
      <c r="E498" s="259">
        <f>SUMIFS(SM_Material!$AE$1:$AE$10000,SM_Material!$D$1:$D$10000,Group!C498)</f>
        <v>0</v>
      </c>
      <c r="F498" s="259">
        <f>SUMIFS(SM_Process!$O$1:$O$10000,SM_Process!$C$1:$C$10000,Group!F$2,SM_Process!$B$1:$B$10000,Group!$C498)</f>
        <v>0</v>
      </c>
      <c r="G498" s="259">
        <f>SUMIFS(SM_Process!$O$1:$O$10000,SM_Process!$C$1:$C$10000,Group!G$2,SM_Process!$B$1:$B$10000,Group!$C498)</f>
        <v>0</v>
      </c>
      <c r="H498" s="259">
        <f>SUMIFS(SM_Process!$O$1:$O$10000,SM_Process!$C$1:$C$10000,Group!H$2,SM_Process!$B$1:$B$10000,Group!$C498)</f>
        <v>0</v>
      </c>
      <c r="I498" s="259">
        <f>SUMIFS(SM_Material!$W$1:$W$10000,SM_Material!$D$1:$D$10000,Group!C498)</f>
        <v>0</v>
      </c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M498" s="1">
        <f>BOM!D498</f>
        <v>0</v>
      </c>
      <c r="AN498" s="1">
        <f>BOM!C498</f>
        <v>0</v>
      </c>
      <c r="AO498" s="1">
        <f>BOM!B498</f>
        <v>0</v>
      </c>
    </row>
    <row r="499" spans="2:41">
      <c r="B499" s="205">
        <v>497</v>
      </c>
      <c r="C499" s="659">
        <f t="shared" si="10"/>
        <v>0</v>
      </c>
      <c r="D499" s="1" t="s">
        <v>1203</v>
      </c>
      <c r="E499" s="259">
        <f>SUMIFS(SM_Material!$AE$1:$AE$10000,SM_Material!$D$1:$D$10000,Group!C499)</f>
        <v>0</v>
      </c>
      <c r="F499" s="259">
        <f>SUMIFS(SM_Process!$O$1:$O$10000,SM_Process!$C$1:$C$10000,Group!F$2,SM_Process!$B$1:$B$10000,Group!$C499)</f>
        <v>0</v>
      </c>
      <c r="G499" s="259">
        <f>SUMIFS(SM_Process!$O$1:$O$10000,SM_Process!$C$1:$C$10000,Group!G$2,SM_Process!$B$1:$B$10000,Group!$C499)</f>
        <v>0</v>
      </c>
      <c r="H499" s="259">
        <f>SUMIFS(SM_Process!$O$1:$O$10000,SM_Process!$C$1:$C$10000,Group!H$2,SM_Process!$B$1:$B$10000,Group!$C499)</f>
        <v>0</v>
      </c>
      <c r="I499" s="259">
        <f>SUMIFS(SM_Material!$W$1:$W$10000,SM_Material!$D$1:$D$10000,Group!C499)</f>
        <v>0</v>
      </c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M499" s="1">
        <f>BOM!D499</f>
        <v>0</v>
      </c>
      <c r="AN499" s="1">
        <f>BOM!C499</f>
        <v>0</v>
      </c>
      <c r="AO499" s="1">
        <f>BOM!B499</f>
        <v>0</v>
      </c>
    </row>
    <row r="500" spans="2:41">
      <c r="B500" s="205">
        <v>498</v>
      </c>
      <c r="C500" s="659">
        <f t="shared" si="10"/>
        <v>0</v>
      </c>
      <c r="D500" s="1" t="s">
        <v>1203</v>
      </c>
      <c r="E500" s="259">
        <f>SUMIFS(SM_Material!$AE$1:$AE$10000,SM_Material!$D$1:$D$10000,Group!C500)</f>
        <v>0</v>
      </c>
      <c r="F500" s="259">
        <f>SUMIFS(SM_Process!$O$1:$O$10000,SM_Process!$C$1:$C$10000,Group!F$2,SM_Process!$B$1:$B$10000,Group!$C500)</f>
        <v>0</v>
      </c>
      <c r="G500" s="259">
        <f>SUMIFS(SM_Process!$O$1:$O$10000,SM_Process!$C$1:$C$10000,Group!G$2,SM_Process!$B$1:$B$10000,Group!$C500)</f>
        <v>0</v>
      </c>
      <c r="H500" s="259">
        <f>SUMIFS(SM_Process!$O$1:$O$10000,SM_Process!$C$1:$C$10000,Group!H$2,SM_Process!$B$1:$B$10000,Group!$C500)</f>
        <v>0</v>
      </c>
      <c r="I500" s="259">
        <f>SUMIFS(SM_Material!$W$1:$W$10000,SM_Material!$D$1:$D$10000,Group!C500)</f>
        <v>0</v>
      </c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M500" s="1">
        <f>BOM!D500</f>
        <v>0</v>
      </c>
      <c r="AN500" s="1">
        <f>BOM!C500</f>
        <v>0</v>
      </c>
      <c r="AO500" s="1">
        <f>BOM!B500</f>
        <v>0</v>
      </c>
    </row>
    <row r="501" spans="2:41">
      <c r="B501" s="205">
        <v>499</v>
      </c>
      <c r="C501" s="659">
        <f t="shared" si="10"/>
        <v>0</v>
      </c>
      <c r="D501" s="1" t="s">
        <v>1203</v>
      </c>
      <c r="E501" s="259">
        <f>SUMIFS(SM_Material!$AE$1:$AE$10000,SM_Material!$D$1:$D$10000,Group!C501)</f>
        <v>0</v>
      </c>
      <c r="F501" s="259">
        <f>SUMIFS(SM_Process!$O$1:$O$10000,SM_Process!$C$1:$C$10000,Group!F$2,SM_Process!$B$1:$B$10000,Group!$C501)</f>
        <v>0</v>
      </c>
      <c r="G501" s="259">
        <f>SUMIFS(SM_Process!$O$1:$O$10000,SM_Process!$C$1:$C$10000,Group!G$2,SM_Process!$B$1:$B$10000,Group!$C501)</f>
        <v>0</v>
      </c>
      <c r="H501" s="259">
        <f>SUMIFS(SM_Process!$O$1:$O$10000,SM_Process!$C$1:$C$10000,Group!H$2,SM_Process!$B$1:$B$10000,Group!$C501)</f>
        <v>0</v>
      </c>
      <c r="I501" s="259">
        <f>SUMIFS(SM_Material!$W$1:$W$10000,SM_Material!$D$1:$D$10000,Group!C501)</f>
        <v>0</v>
      </c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M501" s="1">
        <f>BOM!D501</f>
        <v>0</v>
      </c>
      <c r="AN501" s="1">
        <f>BOM!C501</f>
        <v>0</v>
      </c>
      <c r="AO501" s="1">
        <f>BOM!B501</f>
        <v>0</v>
      </c>
    </row>
    <row r="502" spans="2:41">
      <c r="B502" s="205">
        <v>500</v>
      </c>
      <c r="C502" s="659">
        <f t="shared" si="10"/>
        <v>0</v>
      </c>
      <c r="D502" s="1" t="s">
        <v>1203</v>
      </c>
      <c r="E502" s="259">
        <f>SUMIFS(SM_Material!$AE$1:$AE$10000,SM_Material!$D$1:$D$10000,Group!C502)</f>
        <v>0</v>
      </c>
      <c r="F502" s="259">
        <f>SUMIFS(SM_Process!$O$1:$O$10000,SM_Process!$C$1:$C$10000,Group!F$2,SM_Process!$B$1:$B$10000,Group!$C502)</f>
        <v>0</v>
      </c>
      <c r="G502" s="259">
        <f>SUMIFS(SM_Process!$O$1:$O$10000,SM_Process!$C$1:$C$10000,Group!G$2,SM_Process!$B$1:$B$10000,Group!$C502)</f>
        <v>0</v>
      </c>
      <c r="H502" s="259">
        <f>SUMIFS(SM_Process!$O$1:$O$10000,SM_Process!$C$1:$C$10000,Group!H$2,SM_Process!$B$1:$B$10000,Group!$C502)</f>
        <v>0</v>
      </c>
      <c r="I502" s="259">
        <f>SUMIFS(SM_Material!$W$1:$W$10000,SM_Material!$D$1:$D$10000,Group!C502)</f>
        <v>0</v>
      </c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M502" s="1">
        <f>BOM!D502</f>
        <v>0</v>
      </c>
      <c r="AN502" s="1">
        <f>BOM!C502</f>
        <v>0</v>
      </c>
      <c r="AO502" s="1">
        <f>BOM!B502</f>
        <v>0</v>
      </c>
    </row>
    <row r="503" spans="2:41">
      <c r="B503" s="205">
        <v>501</v>
      </c>
      <c r="C503" s="659">
        <f t="shared" si="10"/>
        <v>0</v>
      </c>
      <c r="D503" s="1" t="s">
        <v>1203</v>
      </c>
      <c r="E503" s="259">
        <f>SUMIFS(SM_Material!$AE$1:$AE$10000,SM_Material!$D$1:$D$10000,Group!C503)</f>
        <v>0</v>
      </c>
      <c r="F503" s="259">
        <f>SUMIFS(SM_Process!$O$1:$O$10000,SM_Process!$C$1:$C$10000,Group!F$2,SM_Process!$B$1:$B$10000,Group!$C503)</f>
        <v>0</v>
      </c>
      <c r="G503" s="259">
        <f>SUMIFS(SM_Process!$O$1:$O$10000,SM_Process!$C$1:$C$10000,Group!G$2,SM_Process!$B$1:$B$10000,Group!$C503)</f>
        <v>0</v>
      </c>
      <c r="H503" s="259">
        <f>SUMIFS(SM_Process!$O$1:$O$10000,SM_Process!$C$1:$C$10000,Group!H$2,SM_Process!$B$1:$B$10000,Group!$C503)</f>
        <v>0</v>
      </c>
      <c r="I503" s="259">
        <f>SUMIFS(SM_Material!$W$1:$W$10000,SM_Material!$D$1:$D$10000,Group!C503)</f>
        <v>0</v>
      </c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M503" s="1">
        <f>BOM!D503</f>
        <v>0</v>
      </c>
      <c r="AN503" s="1">
        <f>BOM!C503</f>
        <v>0</v>
      </c>
      <c r="AO503" s="1">
        <f>BOM!B503</f>
        <v>0</v>
      </c>
    </row>
    <row r="504" spans="2:41">
      <c r="B504" s="205">
        <v>502</v>
      </c>
      <c r="C504" s="659">
        <f t="shared" si="10"/>
        <v>0</v>
      </c>
      <c r="D504" s="1" t="s">
        <v>1203</v>
      </c>
      <c r="E504" s="259">
        <f>SUMIFS(SM_Material!$AE$1:$AE$10000,SM_Material!$D$1:$D$10000,Group!C504)</f>
        <v>0</v>
      </c>
      <c r="F504" s="259">
        <f>SUMIFS(SM_Process!$O$1:$O$10000,SM_Process!$C$1:$C$10000,Group!F$2,SM_Process!$B$1:$B$10000,Group!$C504)</f>
        <v>0</v>
      </c>
      <c r="G504" s="259">
        <f>SUMIFS(SM_Process!$O$1:$O$10000,SM_Process!$C$1:$C$10000,Group!G$2,SM_Process!$B$1:$B$10000,Group!$C504)</f>
        <v>0</v>
      </c>
      <c r="H504" s="259">
        <f>SUMIFS(SM_Process!$O$1:$O$10000,SM_Process!$C$1:$C$10000,Group!H$2,SM_Process!$B$1:$B$10000,Group!$C504)</f>
        <v>0</v>
      </c>
      <c r="I504" s="259">
        <f>SUMIFS(SM_Material!$W$1:$W$10000,SM_Material!$D$1:$D$10000,Group!C504)</f>
        <v>0</v>
      </c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M504" s="1">
        <f>BOM!D504</f>
        <v>0</v>
      </c>
      <c r="AN504" s="1">
        <f>BOM!C504</f>
        <v>0</v>
      </c>
      <c r="AO504" s="1">
        <f>BOM!B504</f>
        <v>0</v>
      </c>
    </row>
    <row r="505" spans="2:41">
      <c r="B505" s="205">
        <v>503</v>
      </c>
      <c r="C505" s="659">
        <f t="shared" si="10"/>
        <v>0</v>
      </c>
      <c r="D505" s="1" t="s">
        <v>1203</v>
      </c>
      <c r="E505" s="259">
        <f>SUMIFS(SM_Material!$AE$1:$AE$10000,SM_Material!$D$1:$D$10000,Group!C505)</f>
        <v>0</v>
      </c>
      <c r="F505" s="259">
        <f>SUMIFS(SM_Process!$O$1:$O$10000,SM_Process!$C$1:$C$10000,Group!F$2,SM_Process!$B$1:$B$10000,Group!$C505)</f>
        <v>0</v>
      </c>
      <c r="G505" s="259">
        <f>SUMIFS(SM_Process!$O$1:$O$10000,SM_Process!$C$1:$C$10000,Group!G$2,SM_Process!$B$1:$B$10000,Group!$C505)</f>
        <v>0</v>
      </c>
      <c r="H505" s="259">
        <f>SUMIFS(SM_Process!$O$1:$O$10000,SM_Process!$C$1:$C$10000,Group!H$2,SM_Process!$B$1:$B$10000,Group!$C505)</f>
        <v>0</v>
      </c>
      <c r="I505" s="259">
        <f>SUMIFS(SM_Material!$W$1:$W$10000,SM_Material!$D$1:$D$10000,Group!C505)</f>
        <v>0</v>
      </c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M505" s="1">
        <f>BOM!D505</f>
        <v>0</v>
      </c>
      <c r="AN505" s="1">
        <f>BOM!C505</f>
        <v>0</v>
      </c>
      <c r="AO505" s="1">
        <f>BOM!B505</f>
        <v>0</v>
      </c>
    </row>
    <row r="506" spans="2:41">
      <c r="B506" s="205">
        <v>504</v>
      </c>
      <c r="C506" s="659">
        <f t="shared" si="10"/>
        <v>0</v>
      </c>
      <c r="D506" s="1" t="s">
        <v>1203</v>
      </c>
      <c r="E506" s="259">
        <f>SUMIFS(SM_Material!$AE$1:$AE$10000,SM_Material!$D$1:$D$10000,Group!C506)</f>
        <v>0</v>
      </c>
      <c r="F506" s="259">
        <f>SUMIFS(SM_Process!$O$1:$O$10000,SM_Process!$C$1:$C$10000,Group!F$2,SM_Process!$B$1:$B$10000,Group!$C506)</f>
        <v>0</v>
      </c>
      <c r="G506" s="259">
        <f>SUMIFS(SM_Process!$O$1:$O$10000,SM_Process!$C$1:$C$10000,Group!G$2,SM_Process!$B$1:$B$10000,Group!$C506)</f>
        <v>0</v>
      </c>
      <c r="H506" s="259">
        <f>SUMIFS(SM_Process!$O$1:$O$10000,SM_Process!$C$1:$C$10000,Group!H$2,SM_Process!$B$1:$B$10000,Group!$C506)</f>
        <v>0</v>
      </c>
      <c r="I506" s="259">
        <f>SUMIFS(SM_Material!$W$1:$W$10000,SM_Material!$D$1:$D$10000,Group!C506)</f>
        <v>0</v>
      </c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M506" s="1">
        <f>BOM!D506</f>
        <v>0</v>
      </c>
      <c r="AN506" s="1">
        <f>BOM!C506</f>
        <v>0</v>
      </c>
      <c r="AO506" s="1">
        <f>BOM!B506</f>
        <v>0</v>
      </c>
    </row>
    <row r="507" spans="2:41">
      <c r="B507" s="205">
        <v>505</v>
      </c>
      <c r="C507" s="659">
        <f t="shared" si="10"/>
        <v>0</v>
      </c>
      <c r="D507" s="1" t="s">
        <v>1203</v>
      </c>
      <c r="E507" s="259">
        <f>SUMIFS(SM_Material!$AE$1:$AE$10000,SM_Material!$D$1:$D$10000,Group!C507)</f>
        <v>0</v>
      </c>
      <c r="F507" s="259">
        <f>SUMIFS(SM_Process!$O$1:$O$10000,SM_Process!$C$1:$C$10000,Group!F$2,SM_Process!$B$1:$B$10000,Group!$C507)</f>
        <v>0</v>
      </c>
      <c r="G507" s="259">
        <f>SUMIFS(SM_Process!$O$1:$O$10000,SM_Process!$C$1:$C$10000,Group!G$2,SM_Process!$B$1:$B$10000,Group!$C507)</f>
        <v>0</v>
      </c>
      <c r="H507" s="259">
        <f>SUMIFS(SM_Process!$O$1:$O$10000,SM_Process!$C$1:$C$10000,Group!H$2,SM_Process!$B$1:$B$10000,Group!$C507)</f>
        <v>0</v>
      </c>
      <c r="I507" s="259">
        <f>SUMIFS(SM_Material!$W$1:$W$10000,SM_Material!$D$1:$D$10000,Group!C507)</f>
        <v>0</v>
      </c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M507" s="1">
        <f>BOM!D507</f>
        <v>0</v>
      </c>
      <c r="AN507" s="1">
        <f>BOM!C507</f>
        <v>0</v>
      </c>
      <c r="AO507" s="1">
        <f>BOM!B507</f>
        <v>0</v>
      </c>
    </row>
    <row r="508" spans="2:41">
      <c r="B508" s="205">
        <v>506</v>
      </c>
      <c r="C508" s="659">
        <f t="shared" si="10"/>
        <v>0</v>
      </c>
      <c r="D508" s="1" t="s">
        <v>1203</v>
      </c>
      <c r="E508" s="259">
        <f>SUMIFS(SM_Material!$AE$1:$AE$10000,SM_Material!$D$1:$D$10000,Group!C508)</f>
        <v>0</v>
      </c>
      <c r="F508" s="259">
        <f>SUMIFS(SM_Process!$O$1:$O$10000,SM_Process!$C$1:$C$10000,Group!F$2,SM_Process!$B$1:$B$10000,Group!$C508)</f>
        <v>0</v>
      </c>
      <c r="G508" s="259">
        <f>SUMIFS(SM_Process!$O$1:$O$10000,SM_Process!$C$1:$C$10000,Group!G$2,SM_Process!$B$1:$B$10000,Group!$C508)</f>
        <v>0</v>
      </c>
      <c r="H508" s="259">
        <f>SUMIFS(SM_Process!$O$1:$O$10000,SM_Process!$C$1:$C$10000,Group!H$2,SM_Process!$B$1:$B$10000,Group!$C508)</f>
        <v>0</v>
      </c>
      <c r="I508" s="259">
        <f>SUMIFS(SM_Material!$W$1:$W$10000,SM_Material!$D$1:$D$10000,Group!C508)</f>
        <v>0</v>
      </c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M508" s="1">
        <f>BOM!D508</f>
        <v>0</v>
      </c>
      <c r="AN508" s="1">
        <f>BOM!C508</f>
        <v>0</v>
      </c>
      <c r="AO508" s="1">
        <f>BOM!B508</f>
        <v>0</v>
      </c>
    </row>
    <row r="509" spans="2:41">
      <c r="B509" s="205">
        <v>507</v>
      </c>
      <c r="C509" s="659">
        <f t="shared" si="10"/>
        <v>0</v>
      </c>
      <c r="D509" s="1" t="s">
        <v>1203</v>
      </c>
      <c r="E509" s="259">
        <f>SUMIFS(SM_Material!$AE$1:$AE$10000,SM_Material!$D$1:$D$10000,Group!C509)</f>
        <v>0</v>
      </c>
      <c r="F509" s="259">
        <f>SUMIFS(SM_Process!$O$1:$O$10000,SM_Process!$C$1:$C$10000,Group!F$2,SM_Process!$B$1:$B$10000,Group!$C509)</f>
        <v>0</v>
      </c>
      <c r="G509" s="259">
        <f>SUMIFS(SM_Process!$O$1:$O$10000,SM_Process!$C$1:$C$10000,Group!G$2,SM_Process!$B$1:$B$10000,Group!$C509)</f>
        <v>0</v>
      </c>
      <c r="H509" s="259">
        <f>SUMIFS(SM_Process!$O$1:$O$10000,SM_Process!$C$1:$C$10000,Group!H$2,SM_Process!$B$1:$B$10000,Group!$C509)</f>
        <v>0</v>
      </c>
      <c r="I509" s="259">
        <f>SUMIFS(SM_Material!$W$1:$W$10000,SM_Material!$D$1:$D$10000,Group!C509)</f>
        <v>0</v>
      </c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M509" s="1">
        <f>BOM!D509</f>
        <v>0</v>
      </c>
      <c r="AN509" s="1">
        <f>BOM!C509</f>
        <v>0</v>
      </c>
      <c r="AO509" s="1">
        <f>BOM!B509</f>
        <v>0</v>
      </c>
    </row>
    <row r="510" spans="2:41">
      <c r="B510" s="205">
        <v>508</v>
      </c>
      <c r="C510" s="659">
        <f t="shared" si="10"/>
        <v>0</v>
      </c>
      <c r="D510" s="1" t="s">
        <v>1203</v>
      </c>
      <c r="E510" s="259">
        <f>SUMIFS(SM_Material!$AE$1:$AE$10000,SM_Material!$D$1:$D$10000,Group!C510)</f>
        <v>0</v>
      </c>
      <c r="F510" s="259">
        <f>SUMIFS(SM_Process!$O$1:$O$10000,SM_Process!$C$1:$C$10000,Group!F$2,SM_Process!$B$1:$B$10000,Group!$C510)</f>
        <v>0</v>
      </c>
      <c r="G510" s="259">
        <f>SUMIFS(SM_Process!$O$1:$O$10000,SM_Process!$C$1:$C$10000,Group!G$2,SM_Process!$B$1:$B$10000,Group!$C510)</f>
        <v>0</v>
      </c>
      <c r="H510" s="259">
        <f>SUMIFS(SM_Process!$O$1:$O$10000,SM_Process!$C$1:$C$10000,Group!H$2,SM_Process!$B$1:$B$10000,Group!$C510)</f>
        <v>0</v>
      </c>
      <c r="I510" s="259">
        <f>SUMIFS(SM_Material!$W$1:$W$10000,SM_Material!$D$1:$D$10000,Group!C510)</f>
        <v>0</v>
      </c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M510" s="1">
        <f>BOM!D510</f>
        <v>0</v>
      </c>
      <c r="AN510" s="1">
        <f>BOM!C510</f>
        <v>0</v>
      </c>
      <c r="AO510" s="1">
        <f>BOM!B510</f>
        <v>0</v>
      </c>
    </row>
    <row r="511" spans="2:41">
      <c r="B511" s="205">
        <v>509</v>
      </c>
      <c r="C511" s="659">
        <f t="shared" si="10"/>
        <v>0</v>
      </c>
      <c r="D511" s="1" t="s">
        <v>1203</v>
      </c>
      <c r="E511" s="259">
        <f>SUMIFS(SM_Material!$AE$1:$AE$10000,SM_Material!$D$1:$D$10000,Group!C511)</f>
        <v>0</v>
      </c>
      <c r="F511" s="259">
        <f>SUMIFS(SM_Process!$O$1:$O$10000,SM_Process!$C$1:$C$10000,Group!F$2,SM_Process!$B$1:$B$10000,Group!$C511)</f>
        <v>0</v>
      </c>
      <c r="G511" s="259">
        <f>SUMIFS(SM_Process!$O$1:$O$10000,SM_Process!$C$1:$C$10000,Group!G$2,SM_Process!$B$1:$B$10000,Group!$C511)</f>
        <v>0</v>
      </c>
      <c r="H511" s="259">
        <f>SUMIFS(SM_Process!$O$1:$O$10000,SM_Process!$C$1:$C$10000,Group!H$2,SM_Process!$B$1:$B$10000,Group!$C511)</f>
        <v>0</v>
      </c>
      <c r="I511" s="259">
        <f>SUMIFS(SM_Material!$W$1:$W$10000,SM_Material!$D$1:$D$10000,Group!C511)</f>
        <v>0</v>
      </c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M511" s="1">
        <f>BOM!D511</f>
        <v>0</v>
      </c>
      <c r="AN511" s="1">
        <f>BOM!C511</f>
        <v>0</v>
      </c>
      <c r="AO511" s="1">
        <f>BOM!B511</f>
        <v>0</v>
      </c>
    </row>
    <row r="512" spans="2:41">
      <c r="B512" s="205">
        <v>510</v>
      </c>
      <c r="C512" s="659">
        <f t="shared" si="10"/>
        <v>0</v>
      </c>
      <c r="D512" s="1" t="s">
        <v>1203</v>
      </c>
      <c r="E512" s="259">
        <f>SUMIFS(SM_Material!$AE$1:$AE$10000,SM_Material!$D$1:$D$10000,Group!C512)</f>
        <v>0</v>
      </c>
      <c r="F512" s="259">
        <f>SUMIFS(SM_Process!$O$1:$O$10000,SM_Process!$C$1:$C$10000,Group!F$2,SM_Process!$B$1:$B$10000,Group!$C512)</f>
        <v>0</v>
      </c>
      <c r="G512" s="259">
        <f>SUMIFS(SM_Process!$O$1:$O$10000,SM_Process!$C$1:$C$10000,Group!G$2,SM_Process!$B$1:$B$10000,Group!$C512)</f>
        <v>0</v>
      </c>
      <c r="H512" s="259">
        <f>SUMIFS(SM_Process!$O$1:$O$10000,SM_Process!$C$1:$C$10000,Group!H$2,SM_Process!$B$1:$B$10000,Group!$C512)</f>
        <v>0</v>
      </c>
      <c r="I512" s="259">
        <f>SUMIFS(SM_Material!$W$1:$W$10000,SM_Material!$D$1:$D$10000,Group!C512)</f>
        <v>0</v>
      </c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M512" s="1">
        <f>BOM!D512</f>
        <v>0</v>
      </c>
      <c r="AN512" s="1">
        <f>BOM!C512</f>
        <v>0</v>
      </c>
      <c r="AO512" s="1">
        <f>BOM!B512</f>
        <v>0</v>
      </c>
    </row>
    <row r="513" spans="2:41">
      <c r="B513" s="205">
        <v>511</v>
      </c>
      <c r="C513" s="659">
        <f t="shared" si="10"/>
        <v>0</v>
      </c>
      <c r="D513" s="1" t="s">
        <v>1203</v>
      </c>
      <c r="E513" s="259">
        <f>SUMIFS(SM_Material!$AE$1:$AE$10000,SM_Material!$D$1:$D$10000,Group!C513)</f>
        <v>0</v>
      </c>
      <c r="F513" s="259">
        <f>SUMIFS(SM_Process!$O$1:$O$10000,SM_Process!$C$1:$C$10000,Group!F$2,SM_Process!$B$1:$B$10000,Group!$C513)</f>
        <v>0</v>
      </c>
      <c r="G513" s="259">
        <f>SUMIFS(SM_Process!$O$1:$O$10000,SM_Process!$C$1:$C$10000,Group!G$2,SM_Process!$B$1:$B$10000,Group!$C513)</f>
        <v>0</v>
      </c>
      <c r="H513" s="259">
        <f>SUMIFS(SM_Process!$O$1:$O$10000,SM_Process!$C$1:$C$10000,Group!H$2,SM_Process!$B$1:$B$10000,Group!$C513)</f>
        <v>0</v>
      </c>
      <c r="I513" s="259">
        <f>SUMIFS(SM_Material!$W$1:$W$10000,SM_Material!$D$1:$D$10000,Group!C513)</f>
        <v>0</v>
      </c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M513" s="1">
        <f>BOM!D513</f>
        <v>0</v>
      </c>
      <c r="AN513" s="1">
        <f>BOM!C513</f>
        <v>0</v>
      </c>
      <c r="AO513" s="1">
        <f>BOM!B513</f>
        <v>0</v>
      </c>
    </row>
    <row r="514" spans="2:41">
      <c r="B514" s="205">
        <v>512</v>
      </c>
      <c r="C514" s="659">
        <f t="shared" si="10"/>
        <v>0</v>
      </c>
      <c r="D514" s="1" t="s">
        <v>1203</v>
      </c>
      <c r="E514" s="259">
        <f>SUMIFS(SM_Material!$AE$1:$AE$10000,SM_Material!$D$1:$D$10000,Group!C514)</f>
        <v>0</v>
      </c>
      <c r="F514" s="259">
        <f>SUMIFS(SM_Process!$O$1:$O$10000,SM_Process!$C$1:$C$10000,Group!F$2,SM_Process!$B$1:$B$10000,Group!$C514)</f>
        <v>0</v>
      </c>
      <c r="G514" s="259">
        <f>SUMIFS(SM_Process!$O$1:$O$10000,SM_Process!$C$1:$C$10000,Group!G$2,SM_Process!$B$1:$B$10000,Group!$C514)</f>
        <v>0</v>
      </c>
      <c r="H514" s="259">
        <f>SUMIFS(SM_Process!$O$1:$O$10000,SM_Process!$C$1:$C$10000,Group!H$2,SM_Process!$B$1:$B$10000,Group!$C514)</f>
        <v>0</v>
      </c>
      <c r="I514" s="259">
        <f>SUMIFS(SM_Material!$W$1:$W$10000,SM_Material!$D$1:$D$10000,Group!C514)</f>
        <v>0</v>
      </c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M514" s="1">
        <f>BOM!D514</f>
        <v>0</v>
      </c>
      <c r="AN514" s="1">
        <f>BOM!C514</f>
        <v>0</v>
      </c>
      <c r="AO514" s="1">
        <f>BOM!B514</f>
        <v>0</v>
      </c>
    </row>
    <row r="515" spans="2:41">
      <c r="B515" s="205">
        <v>513</v>
      </c>
      <c r="C515" s="659">
        <f t="shared" si="10"/>
        <v>0</v>
      </c>
      <c r="D515" s="1" t="s">
        <v>1203</v>
      </c>
      <c r="E515" s="259">
        <f>SUMIFS(SM_Material!$AE$1:$AE$10000,SM_Material!$D$1:$D$10000,Group!C515)</f>
        <v>0</v>
      </c>
      <c r="F515" s="259">
        <f>SUMIFS(SM_Process!$O$1:$O$10000,SM_Process!$C$1:$C$10000,Group!F$2,SM_Process!$B$1:$B$10000,Group!$C515)</f>
        <v>0</v>
      </c>
      <c r="G515" s="259">
        <f>SUMIFS(SM_Process!$O$1:$O$10000,SM_Process!$C$1:$C$10000,Group!G$2,SM_Process!$B$1:$B$10000,Group!$C515)</f>
        <v>0</v>
      </c>
      <c r="H515" s="259">
        <f>SUMIFS(SM_Process!$O$1:$O$10000,SM_Process!$C$1:$C$10000,Group!H$2,SM_Process!$B$1:$B$10000,Group!$C515)</f>
        <v>0</v>
      </c>
      <c r="I515" s="259">
        <f>SUMIFS(SM_Material!$W$1:$W$10000,SM_Material!$D$1:$D$10000,Group!C515)</f>
        <v>0</v>
      </c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M515" s="1">
        <f>BOM!D515</f>
        <v>0</v>
      </c>
      <c r="AN515" s="1">
        <f>BOM!C515</f>
        <v>0</v>
      </c>
      <c r="AO515" s="1">
        <f>BOM!B515</f>
        <v>0</v>
      </c>
    </row>
    <row r="516" spans="2:41">
      <c r="B516" s="205">
        <v>514</v>
      </c>
      <c r="C516" s="659">
        <f t="shared" si="10"/>
        <v>0</v>
      </c>
      <c r="D516" s="1" t="s">
        <v>1203</v>
      </c>
      <c r="E516" s="259">
        <f>SUMIFS(SM_Material!$AE$1:$AE$10000,SM_Material!$D$1:$D$10000,Group!C516)</f>
        <v>0</v>
      </c>
      <c r="F516" s="259">
        <f>SUMIFS(SM_Process!$O$1:$O$10000,SM_Process!$C$1:$C$10000,Group!F$2,SM_Process!$B$1:$B$10000,Group!$C516)</f>
        <v>0</v>
      </c>
      <c r="G516" s="259">
        <f>SUMIFS(SM_Process!$O$1:$O$10000,SM_Process!$C$1:$C$10000,Group!G$2,SM_Process!$B$1:$B$10000,Group!$C516)</f>
        <v>0</v>
      </c>
      <c r="H516" s="259">
        <f>SUMIFS(SM_Process!$O$1:$O$10000,SM_Process!$C$1:$C$10000,Group!H$2,SM_Process!$B$1:$B$10000,Group!$C516)</f>
        <v>0</v>
      </c>
      <c r="I516" s="259">
        <f>SUMIFS(SM_Material!$W$1:$W$10000,SM_Material!$D$1:$D$10000,Group!C516)</f>
        <v>0</v>
      </c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M516" s="1">
        <f>BOM!D516</f>
        <v>0</v>
      </c>
      <c r="AN516" s="1">
        <f>BOM!C516</f>
        <v>0</v>
      </c>
      <c r="AO516" s="1">
        <f>BOM!B516</f>
        <v>0</v>
      </c>
    </row>
    <row r="517" spans="2:41">
      <c r="B517" s="205">
        <v>515</v>
      </c>
      <c r="C517" s="659">
        <f t="shared" si="10"/>
        <v>0</v>
      </c>
      <c r="D517" s="1" t="s">
        <v>1203</v>
      </c>
      <c r="E517" s="259">
        <f>SUMIFS(SM_Material!$AE$1:$AE$10000,SM_Material!$D$1:$D$10000,Group!C517)</f>
        <v>0</v>
      </c>
      <c r="F517" s="259">
        <f>SUMIFS(SM_Process!$O$1:$O$10000,SM_Process!$C$1:$C$10000,Group!F$2,SM_Process!$B$1:$B$10000,Group!$C517)</f>
        <v>0</v>
      </c>
      <c r="G517" s="259">
        <f>SUMIFS(SM_Process!$O$1:$O$10000,SM_Process!$C$1:$C$10000,Group!G$2,SM_Process!$B$1:$B$10000,Group!$C517)</f>
        <v>0</v>
      </c>
      <c r="H517" s="259">
        <f>SUMIFS(SM_Process!$O$1:$O$10000,SM_Process!$C$1:$C$10000,Group!H$2,SM_Process!$B$1:$B$10000,Group!$C517)</f>
        <v>0</v>
      </c>
      <c r="I517" s="259">
        <f>SUMIFS(SM_Material!$W$1:$W$10000,SM_Material!$D$1:$D$10000,Group!C517)</f>
        <v>0</v>
      </c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M517" s="1">
        <f>BOM!D517</f>
        <v>0</v>
      </c>
      <c r="AN517" s="1">
        <f>BOM!C517</f>
        <v>0</v>
      </c>
      <c r="AO517" s="1">
        <f>BOM!B517</f>
        <v>0</v>
      </c>
    </row>
    <row r="518" spans="2:41">
      <c r="B518" s="205">
        <v>516</v>
      </c>
      <c r="C518" s="659">
        <f t="shared" si="10"/>
        <v>0</v>
      </c>
      <c r="D518" s="1" t="s">
        <v>1203</v>
      </c>
      <c r="E518" s="259">
        <f>SUMIFS(SM_Material!$AE$1:$AE$10000,SM_Material!$D$1:$D$10000,Group!C518)</f>
        <v>0</v>
      </c>
      <c r="F518" s="259">
        <f>SUMIFS(SM_Process!$O$1:$O$10000,SM_Process!$C$1:$C$10000,Group!F$2,SM_Process!$B$1:$B$10000,Group!$C518)</f>
        <v>0</v>
      </c>
      <c r="G518" s="259">
        <f>SUMIFS(SM_Process!$O$1:$O$10000,SM_Process!$C$1:$C$10000,Group!G$2,SM_Process!$B$1:$B$10000,Group!$C518)</f>
        <v>0</v>
      </c>
      <c r="H518" s="259">
        <f>SUMIFS(SM_Process!$O$1:$O$10000,SM_Process!$C$1:$C$10000,Group!H$2,SM_Process!$B$1:$B$10000,Group!$C518)</f>
        <v>0</v>
      </c>
      <c r="I518" s="259">
        <f>SUMIFS(SM_Material!$W$1:$W$10000,SM_Material!$D$1:$D$10000,Group!C518)</f>
        <v>0</v>
      </c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M518" s="1">
        <f>BOM!D518</f>
        <v>0</v>
      </c>
      <c r="AN518" s="1">
        <f>BOM!C518</f>
        <v>0</v>
      </c>
      <c r="AO518" s="1">
        <f>BOM!B518</f>
        <v>0</v>
      </c>
    </row>
    <row r="519" spans="2:41">
      <c r="B519" s="205">
        <v>517</v>
      </c>
      <c r="C519" s="659">
        <f t="shared" si="10"/>
        <v>0</v>
      </c>
      <c r="D519" s="1" t="s">
        <v>1203</v>
      </c>
      <c r="E519" s="259">
        <f>SUMIFS(SM_Material!$AE$1:$AE$10000,SM_Material!$D$1:$D$10000,Group!C519)</f>
        <v>0</v>
      </c>
      <c r="F519" s="259">
        <f>SUMIFS(SM_Process!$O$1:$O$10000,SM_Process!$C$1:$C$10000,Group!F$2,SM_Process!$B$1:$B$10000,Group!$C519)</f>
        <v>0</v>
      </c>
      <c r="G519" s="259">
        <f>SUMIFS(SM_Process!$O$1:$O$10000,SM_Process!$C$1:$C$10000,Group!G$2,SM_Process!$B$1:$B$10000,Group!$C519)</f>
        <v>0</v>
      </c>
      <c r="H519" s="259">
        <f>SUMIFS(SM_Process!$O$1:$O$10000,SM_Process!$C$1:$C$10000,Group!H$2,SM_Process!$B$1:$B$10000,Group!$C519)</f>
        <v>0</v>
      </c>
      <c r="I519" s="259">
        <f>SUMIFS(SM_Material!$W$1:$W$10000,SM_Material!$D$1:$D$10000,Group!C519)</f>
        <v>0</v>
      </c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M519" s="1">
        <f>BOM!D519</f>
        <v>0</v>
      </c>
      <c r="AN519" s="1">
        <f>BOM!C519</f>
        <v>0</v>
      </c>
      <c r="AO519" s="1">
        <f>BOM!B519</f>
        <v>0</v>
      </c>
    </row>
    <row r="520" spans="2:41">
      <c r="B520" s="205">
        <v>518</v>
      </c>
      <c r="C520" s="659">
        <f t="shared" si="10"/>
        <v>0</v>
      </c>
      <c r="D520" s="1" t="s">
        <v>1203</v>
      </c>
      <c r="E520" s="259">
        <f>SUMIFS(SM_Material!$AE$1:$AE$10000,SM_Material!$D$1:$D$10000,Group!C520)</f>
        <v>0</v>
      </c>
      <c r="F520" s="259">
        <f>SUMIFS(SM_Process!$O$1:$O$10000,SM_Process!$C$1:$C$10000,Group!F$2,SM_Process!$B$1:$B$10000,Group!$C520)</f>
        <v>0</v>
      </c>
      <c r="G520" s="259">
        <f>SUMIFS(SM_Process!$O$1:$O$10000,SM_Process!$C$1:$C$10000,Group!G$2,SM_Process!$B$1:$B$10000,Group!$C520)</f>
        <v>0</v>
      </c>
      <c r="H520" s="259">
        <f>SUMIFS(SM_Process!$O$1:$O$10000,SM_Process!$C$1:$C$10000,Group!H$2,SM_Process!$B$1:$B$10000,Group!$C520)</f>
        <v>0</v>
      </c>
      <c r="I520" s="259">
        <f>SUMIFS(SM_Material!$W$1:$W$10000,SM_Material!$D$1:$D$10000,Group!C520)</f>
        <v>0</v>
      </c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M520" s="1">
        <f>BOM!D520</f>
        <v>0</v>
      </c>
      <c r="AN520" s="1">
        <f>BOM!C520</f>
        <v>0</v>
      </c>
      <c r="AO520" s="1">
        <f>BOM!B520</f>
        <v>0</v>
      </c>
    </row>
    <row r="521" spans="2:41">
      <c r="B521" s="205">
        <v>519</v>
      </c>
      <c r="C521" s="659">
        <f t="shared" si="10"/>
        <v>0</v>
      </c>
      <c r="D521" s="1" t="s">
        <v>1203</v>
      </c>
      <c r="E521" s="259">
        <f>SUMIFS(SM_Material!$AE$1:$AE$10000,SM_Material!$D$1:$D$10000,Group!C521)</f>
        <v>0</v>
      </c>
      <c r="F521" s="259">
        <f>SUMIFS(SM_Process!$O$1:$O$10000,SM_Process!$C$1:$C$10000,Group!F$2,SM_Process!$B$1:$B$10000,Group!$C521)</f>
        <v>0</v>
      </c>
      <c r="G521" s="259">
        <f>SUMIFS(SM_Process!$O$1:$O$10000,SM_Process!$C$1:$C$10000,Group!G$2,SM_Process!$B$1:$B$10000,Group!$C521)</f>
        <v>0</v>
      </c>
      <c r="H521" s="259">
        <f>SUMIFS(SM_Process!$O$1:$O$10000,SM_Process!$C$1:$C$10000,Group!H$2,SM_Process!$B$1:$B$10000,Group!$C521)</f>
        <v>0</v>
      </c>
      <c r="I521" s="259">
        <f>SUMIFS(SM_Material!$W$1:$W$10000,SM_Material!$D$1:$D$10000,Group!C521)</f>
        <v>0</v>
      </c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M521" s="1">
        <f>BOM!D521</f>
        <v>0</v>
      </c>
      <c r="AN521" s="1">
        <f>BOM!C521</f>
        <v>0</v>
      </c>
      <c r="AO521" s="1">
        <f>BOM!B521</f>
        <v>0</v>
      </c>
    </row>
    <row r="522" spans="2:41">
      <c r="B522" s="205">
        <v>520</v>
      </c>
      <c r="C522" s="659">
        <f t="shared" si="10"/>
        <v>0</v>
      </c>
      <c r="D522" s="1" t="s">
        <v>1203</v>
      </c>
      <c r="E522" s="259">
        <f>SUMIFS(SM_Material!$AE$1:$AE$10000,SM_Material!$D$1:$D$10000,Group!C522)</f>
        <v>0</v>
      </c>
      <c r="F522" s="259">
        <f>SUMIFS(SM_Process!$O$1:$O$10000,SM_Process!$C$1:$C$10000,Group!F$2,SM_Process!$B$1:$B$10000,Group!$C522)</f>
        <v>0</v>
      </c>
      <c r="G522" s="259">
        <f>SUMIFS(SM_Process!$O$1:$O$10000,SM_Process!$C$1:$C$10000,Group!G$2,SM_Process!$B$1:$B$10000,Group!$C522)</f>
        <v>0</v>
      </c>
      <c r="H522" s="259">
        <f>SUMIFS(SM_Process!$O$1:$O$10000,SM_Process!$C$1:$C$10000,Group!H$2,SM_Process!$B$1:$B$10000,Group!$C522)</f>
        <v>0</v>
      </c>
      <c r="I522" s="259">
        <f>SUMIFS(SM_Material!$W$1:$W$10000,SM_Material!$D$1:$D$10000,Group!C522)</f>
        <v>0</v>
      </c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M522" s="1">
        <f>BOM!D522</f>
        <v>0</v>
      </c>
      <c r="AN522" s="1">
        <f>BOM!C522</f>
        <v>0</v>
      </c>
      <c r="AO522" s="1">
        <f>BOM!B522</f>
        <v>0</v>
      </c>
    </row>
    <row r="523" spans="2:41">
      <c r="B523" s="205">
        <v>521</v>
      </c>
      <c r="C523" s="659">
        <f t="shared" si="10"/>
        <v>0</v>
      </c>
      <c r="D523" s="1" t="s">
        <v>1203</v>
      </c>
      <c r="E523" s="259">
        <f>SUMIFS(SM_Material!$AE$1:$AE$10000,SM_Material!$D$1:$D$10000,Group!C523)</f>
        <v>0</v>
      </c>
      <c r="F523" s="259">
        <f>SUMIFS(SM_Process!$O$1:$O$10000,SM_Process!$C$1:$C$10000,Group!F$2,SM_Process!$B$1:$B$10000,Group!$C523)</f>
        <v>0</v>
      </c>
      <c r="G523" s="259">
        <f>SUMIFS(SM_Process!$O$1:$O$10000,SM_Process!$C$1:$C$10000,Group!G$2,SM_Process!$B$1:$B$10000,Group!$C523)</f>
        <v>0</v>
      </c>
      <c r="H523" s="259">
        <f>SUMIFS(SM_Process!$O$1:$O$10000,SM_Process!$C$1:$C$10000,Group!H$2,SM_Process!$B$1:$B$10000,Group!$C523)</f>
        <v>0</v>
      </c>
      <c r="I523" s="259">
        <f>SUMIFS(SM_Material!$W$1:$W$10000,SM_Material!$D$1:$D$10000,Group!C523)</f>
        <v>0</v>
      </c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M523" s="1">
        <f>BOM!D523</f>
        <v>0</v>
      </c>
      <c r="AN523" s="1">
        <f>BOM!C523</f>
        <v>0</v>
      </c>
      <c r="AO523" s="1">
        <f>BOM!B523</f>
        <v>0</v>
      </c>
    </row>
    <row r="524" spans="2:41">
      <c r="B524" s="205">
        <v>522</v>
      </c>
      <c r="C524" s="659">
        <f t="shared" si="10"/>
        <v>0</v>
      </c>
      <c r="D524" s="1" t="s">
        <v>1203</v>
      </c>
      <c r="E524" s="259">
        <f>SUMIFS(SM_Material!$AE$1:$AE$10000,SM_Material!$D$1:$D$10000,Group!C524)</f>
        <v>0</v>
      </c>
      <c r="F524" s="259">
        <f>SUMIFS(SM_Process!$O$1:$O$10000,SM_Process!$C$1:$C$10000,Group!F$2,SM_Process!$B$1:$B$10000,Group!$C524)</f>
        <v>0</v>
      </c>
      <c r="G524" s="259">
        <f>SUMIFS(SM_Process!$O$1:$O$10000,SM_Process!$C$1:$C$10000,Group!G$2,SM_Process!$B$1:$B$10000,Group!$C524)</f>
        <v>0</v>
      </c>
      <c r="H524" s="259">
        <f>SUMIFS(SM_Process!$O$1:$O$10000,SM_Process!$C$1:$C$10000,Group!H$2,SM_Process!$B$1:$B$10000,Group!$C524)</f>
        <v>0</v>
      </c>
      <c r="I524" s="259">
        <f>SUMIFS(SM_Material!$W$1:$W$10000,SM_Material!$D$1:$D$10000,Group!C524)</f>
        <v>0</v>
      </c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M524" s="1">
        <f>BOM!D524</f>
        <v>0</v>
      </c>
      <c r="AN524" s="1">
        <f>BOM!C524</f>
        <v>0</v>
      </c>
      <c r="AO524" s="1">
        <f>BOM!B524</f>
        <v>0</v>
      </c>
    </row>
    <row r="525" spans="2:41">
      <c r="B525" s="205">
        <v>523</v>
      </c>
      <c r="C525" s="659">
        <f t="shared" si="10"/>
        <v>0</v>
      </c>
      <c r="D525" s="1" t="s">
        <v>1203</v>
      </c>
      <c r="E525" s="259">
        <f>SUMIFS(SM_Material!$AE$1:$AE$10000,SM_Material!$D$1:$D$10000,Group!C525)</f>
        <v>0</v>
      </c>
      <c r="F525" s="259">
        <f>SUMIFS(SM_Process!$O$1:$O$10000,SM_Process!$C$1:$C$10000,Group!F$2,SM_Process!$B$1:$B$10000,Group!$C525)</f>
        <v>0</v>
      </c>
      <c r="G525" s="259">
        <f>SUMIFS(SM_Process!$O$1:$O$10000,SM_Process!$C$1:$C$10000,Group!G$2,SM_Process!$B$1:$B$10000,Group!$C525)</f>
        <v>0</v>
      </c>
      <c r="H525" s="259">
        <f>SUMIFS(SM_Process!$O$1:$O$10000,SM_Process!$C$1:$C$10000,Group!H$2,SM_Process!$B$1:$B$10000,Group!$C525)</f>
        <v>0</v>
      </c>
      <c r="I525" s="259">
        <f>SUMIFS(SM_Material!$W$1:$W$10000,SM_Material!$D$1:$D$10000,Group!C525)</f>
        <v>0</v>
      </c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M525" s="1">
        <f>BOM!D525</f>
        <v>0</v>
      </c>
      <c r="AN525" s="1">
        <f>BOM!C525</f>
        <v>0</v>
      </c>
      <c r="AO525" s="1">
        <f>BOM!B525</f>
        <v>0</v>
      </c>
    </row>
    <row r="526" spans="2:41">
      <c r="B526" s="205">
        <v>524</v>
      </c>
      <c r="C526" s="659">
        <f t="shared" si="10"/>
        <v>0</v>
      </c>
      <c r="D526" s="1" t="s">
        <v>1203</v>
      </c>
      <c r="E526" s="259">
        <f>SUMIFS(SM_Material!$AE$1:$AE$10000,SM_Material!$D$1:$D$10000,Group!C526)</f>
        <v>0</v>
      </c>
      <c r="F526" s="259">
        <f>SUMIFS(SM_Process!$O$1:$O$10000,SM_Process!$C$1:$C$10000,Group!F$2,SM_Process!$B$1:$B$10000,Group!$C526)</f>
        <v>0</v>
      </c>
      <c r="G526" s="259">
        <f>SUMIFS(SM_Process!$O$1:$O$10000,SM_Process!$C$1:$C$10000,Group!G$2,SM_Process!$B$1:$B$10000,Group!$C526)</f>
        <v>0</v>
      </c>
      <c r="H526" s="259">
        <f>SUMIFS(SM_Process!$O$1:$O$10000,SM_Process!$C$1:$C$10000,Group!H$2,SM_Process!$B$1:$B$10000,Group!$C526)</f>
        <v>0</v>
      </c>
      <c r="I526" s="259">
        <f>SUMIFS(SM_Material!$W$1:$W$10000,SM_Material!$D$1:$D$10000,Group!C526)</f>
        <v>0</v>
      </c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M526" s="1">
        <f>BOM!D526</f>
        <v>0</v>
      </c>
      <c r="AN526" s="1">
        <f>BOM!C526</f>
        <v>0</v>
      </c>
      <c r="AO526" s="1">
        <f>BOM!B526</f>
        <v>0</v>
      </c>
    </row>
    <row r="527" spans="2:41">
      <c r="B527" s="205">
        <v>525</v>
      </c>
      <c r="C527" s="659">
        <f t="shared" si="10"/>
        <v>0</v>
      </c>
      <c r="D527" s="1" t="s">
        <v>1203</v>
      </c>
      <c r="E527" s="259">
        <f>SUMIFS(SM_Material!$AE$1:$AE$10000,SM_Material!$D$1:$D$10000,Group!C527)</f>
        <v>0</v>
      </c>
      <c r="F527" s="259">
        <f>SUMIFS(SM_Process!$O$1:$O$10000,SM_Process!$C$1:$C$10000,Group!F$2,SM_Process!$B$1:$B$10000,Group!$C527)</f>
        <v>0</v>
      </c>
      <c r="G527" s="259">
        <f>SUMIFS(SM_Process!$O$1:$O$10000,SM_Process!$C$1:$C$10000,Group!G$2,SM_Process!$B$1:$B$10000,Group!$C527)</f>
        <v>0</v>
      </c>
      <c r="H527" s="259">
        <f>SUMIFS(SM_Process!$O$1:$O$10000,SM_Process!$C$1:$C$10000,Group!H$2,SM_Process!$B$1:$B$10000,Group!$C527)</f>
        <v>0</v>
      </c>
      <c r="I527" s="259">
        <f>SUMIFS(SM_Material!$W$1:$W$10000,SM_Material!$D$1:$D$10000,Group!C527)</f>
        <v>0</v>
      </c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M527" s="1">
        <f>BOM!D527</f>
        <v>0</v>
      </c>
      <c r="AN527" s="1">
        <f>BOM!C527</f>
        <v>0</v>
      </c>
      <c r="AO527" s="1">
        <f>BOM!B527</f>
        <v>0</v>
      </c>
    </row>
    <row r="528" spans="2:41">
      <c r="B528" s="205">
        <v>526</v>
      </c>
      <c r="C528" s="659">
        <f t="shared" si="10"/>
        <v>0</v>
      </c>
      <c r="D528" s="1" t="s">
        <v>1203</v>
      </c>
      <c r="E528" s="259">
        <f>SUMIFS(SM_Material!$AE$1:$AE$10000,SM_Material!$D$1:$D$10000,Group!C528)</f>
        <v>0</v>
      </c>
      <c r="F528" s="259">
        <f>SUMIFS(SM_Process!$O$1:$O$10000,SM_Process!$C$1:$C$10000,Group!F$2,SM_Process!$B$1:$B$10000,Group!$C528)</f>
        <v>0</v>
      </c>
      <c r="G528" s="259">
        <f>SUMIFS(SM_Process!$O$1:$O$10000,SM_Process!$C$1:$C$10000,Group!G$2,SM_Process!$B$1:$B$10000,Group!$C528)</f>
        <v>0</v>
      </c>
      <c r="H528" s="259">
        <f>SUMIFS(SM_Process!$O$1:$O$10000,SM_Process!$C$1:$C$10000,Group!H$2,SM_Process!$B$1:$B$10000,Group!$C528)</f>
        <v>0</v>
      </c>
      <c r="I528" s="259">
        <f>SUMIFS(SM_Material!$W$1:$W$10000,SM_Material!$D$1:$D$10000,Group!C528)</f>
        <v>0</v>
      </c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M528" s="1">
        <f>BOM!D528</f>
        <v>0</v>
      </c>
      <c r="AN528" s="1">
        <f>BOM!C528</f>
        <v>0</v>
      </c>
      <c r="AO528" s="1">
        <f>BOM!B528</f>
        <v>0</v>
      </c>
    </row>
    <row r="529" spans="2:41">
      <c r="B529" s="205">
        <v>527</v>
      </c>
      <c r="C529" s="659">
        <f t="shared" si="10"/>
        <v>0</v>
      </c>
      <c r="D529" s="1" t="s">
        <v>1203</v>
      </c>
      <c r="E529" s="259">
        <f>SUMIFS(SM_Material!$AE$1:$AE$10000,SM_Material!$D$1:$D$10000,Group!C529)</f>
        <v>0</v>
      </c>
      <c r="F529" s="259">
        <f>SUMIFS(SM_Process!$O$1:$O$10000,SM_Process!$C$1:$C$10000,Group!F$2,SM_Process!$B$1:$B$10000,Group!$C529)</f>
        <v>0</v>
      </c>
      <c r="G529" s="259">
        <f>SUMIFS(SM_Process!$O$1:$O$10000,SM_Process!$C$1:$C$10000,Group!G$2,SM_Process!$B$1:$B$10000,Group!$C529)</f>
        <v>0</v>
      </c>
      <c r="H529" s="259">
        <f>SUMIFS(SM_Process!$O$1:$O$10000,SM_Process!$C$1:$C$10000,Group!H$2,SM_Process!$B$1:$B$10000,Group!$C529)</f>
        <v>0</v>
      </c>
      <c r="I529" s="259">
        <f>SUMIFS(SM_Material!$W$1:$W$10000,SM_Material!$D$1:$D$10000,Group!C529)</f>
        <v>0</v>
      </c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M529" s="1">
        <f>BOM!D529</f>
        <v>0</v>
      </c>
      <c r="AN529" s="1">
        <f>BOM!C529</f>
        <v>0</v>
      </c>
      <c r="AO529" s="1">
        <f>BOM!B529</f>
        <v>0</v>
      </c>
    </row>
    <row r="530" spans="2:41">
      <c r="B530" s="205">
        <v>528</v>
      </c>
      <c r="C530" s="659">
        <f t="shared" si="10"/>
        <v>0</v>
      </c>
      <c r="D530" s="1" t="s">
        <v>1203</v>
      </c>
      <c r="E530" s="259">
        <f>SUMIFS(SM_Material!$AE$1:$AE$10000,SM_Material!$D$1:$D$10000,Group!C530)</f>
        <v>0</v>
      </c>
      <c r="F530" s="259">
        <f>SUMIFS(SM_Process!$O$1:$O$10000,SM_Process!$C$1:$C$10000,Group!F$2,SM_Process!$B$1:$B$10000,Group!$C530)</f>
        <v>0</v>
      </c>
      <c r="G530" s="259">
        <f>SUMIFS(SM_Process!$O$1:$O$10000,SM_Process!$C$1:$C$10000,Group!G$2,SM_Process!$B$1:$B$10000,Group!$C530)</f>
        <v>0</v>
      </c>
      <c r="H530" s="259">
        <f>SUMIFS(SM_Process!$O$1:$O$10000,SM_Process!$C$1:$C$10000,Group!H$2,SM_Process!$B$1:$B$10000,Group!$C530)</f>
        <v>0</v>
      </c>
      <c r="I530" s="259">
        <f>SUMIFS(SM_Material!$W$1:$W$10000,SM_Material!$D$1:$D$10000,Group!C530)</f>
        <v>0</v>
      </c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M530" s="1">
        <f>BOM!D530</f>
        <v>0</v>
      </c>
      <c r="AN530" s="1">
        <f>BOM!C530</f>
        <v>0</v>
      </c>
      <c r="AO530" s="1">
        <f>BOM!B530</f>
        <v>0</v>
      </c>
    </row>
    <row r="531" spans="2:41">
      <c r="B531" s="205">
        <v>529</v>
      </c>
      <c r="C531" s="659">
        <f t="shared" si="10"/>
        <v>0</v>
      </c>
      <c r="D531" s="1" t="s">
        <v>1203</v>
      </c>
      <c r="E531" s="259">
        <f>SUMIFS(SM_Material!$AE$1:$AE$10000,SM_Material!$D$1:$D$10000,Group!C531)</f>
        <v>0</v>
      </c>
      <c r="F531" s="259">
        <f>SUMIFS(SM_Process!$O$1:$O$10000,SM_Process!$C$1:$C$10000,Group!F$2,SM_Process!$B$1:$B$10000,Group!$C531)</f>
        <v>0</v>
      </c>
      <c r="G531" s="259">
        <f>SUMIFS(SM_Process!$O$1:$O$10000,SM_Process!$C$1:$C$10000,Group!G$2,SM_Process!$B$1:$B$10000,Group!$C531)</f>
        <v>0</v>
      </c>
      <c r="H531" s="259">
        <f>SUMIFS(SM_Process!$O$1:$O$10000,SM_Process!$C$1:$C$10000,Group!H$2,SM_Process!$B$1:$B$10000,Group!$C531)</f>
        <v>0</v>
      </c>
      <c r="I531" s="259">
        <f>SUMIFS(SM_Material!$W$1:$W$10000,SM_Material!$D$1:$D$10000,Group!C531)</f>
        <v>0</v>
      </c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M531" s="1">
        <f>BOM!D531</f>
        <v>0</v>
      </c>
      <c r="AN531" s="1">
        <f>BOM!C531</f>
        <v>0</v>
      </c>
      <c r="AO531" s="1">
        <f>BOM!B531</f>
        <v>0</v>
      </c>
    </row>
    <row r="532" spans="2:41">
      <c r="B532" s="205">
        <v>530</v>
      </c>
      <c r="C532" s="659">
        <f t="shared" si="10"/>
        <v>0</v>
      </c>
      <c r="D532" s="1" t="s">
        <v>1203</v>
      </c>
      <c r="E532" s="259">
        <f>SUMIFS(SM_Material!$AE$1:$AE$10000,SM_Material!$D$1:$D$10000,Group!C532)</f>
        <v>0</v>
      </c>
      <c r="F532" s="259">
        <f>SUMIFS(SM_Process!$O$1:$O$10000,SM_Process!$C$1:$C$10000,Group!F$2,SM_Process!$B$1:$B$10000,Group!$C532)</f>
        <v>0</v>
      </c>
      <c r="G532" s="259">
        <f>SUMIFS(SM_Process!$O$1:$O$10000,SM_Process!$C$1:$C$10000,Group!G$2,SM_Process!$B$1:$B$10000,Group!$C532)</f>
        <v>0</v>
      </c>
      <c r="H532" s="259">
        <f>SUMIFS(SM_Process!$O$1:$O$10000,SM_Process!$C$1:$C$10000,Group!H$2,SM_Process!$B$1:$B$10000,Group!$C532)</f>
        <v>0</v>
      </c>
      <c r="I532" s="259">
        <f>SUMIFS(SM_Material!$W$1:$W$10000,SM_Material!$D$1:$D$10000,Group!C532)</f>
        <v>0</v>
      </c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M532" s="1">
        <f>BOM!D532</f>
        <v>0</v>
      </c>
      <c r="AN532" s="1">
        <f>BOM!C532</f>
        <v>0</v>
      </c>
      <c r="AO532" s="1">
        <f>BOM!B532</f>
        <v>0</v>
      </c>
    </row>
    <row r="533" spans="2:41">
      <c r="B533" s="205">
        <v>531</v>
      </c>
      <c r="C533" s="659">
        <f t="shared" si="10"/>
        <v>0</v>
      </c>
      <c r="D533" s="1" t="s">
        <v>1203</v>
      </c>
      <c r="E533" s="259">
        <f>SUMIFS(SM_Material!$AE$1:$AE$10000,SM_Material!$D$1:$D$10000,Group!C533)</f>
        <v>0</v>
      </c>
      <c r="F533" s="259">
        <f>SUMIFS(SM_Process!$O$1:$O$10000,SM_Process!$C$1:$C$10000,Group!F$2,SM_Process!$B$1:$B$10000,Group!$C533)</f>
        <v>0</v>
      </c>
      <c r="G533" s="259">
        <f>SUMIFS(SM_Process!$O$1:$O$10000,SM_Process!$C$1:$C$10000,Group!G$2,SM_Process!$B$1:$B$10000,Group!$C533)</f>
        <v>0</v>
      </c>
      <c r="H533" s="259">
        <f>SUMIFS(SM_Process!$O$1:$O$10000,SM_Process!$C$1:$C$10000,Group!H$2,SM_Process!$B$1:$B$10000,Group!$C533)</f>
        <v>0</v>
      </c>
      <c r="I533" s="259">
        <f>SUMIFS(SM_Material!$W$1:$W$10000,SM_Material!$D$1:$D$10000,Group!C533)</f>
        <v>0</v>
      </c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M533" s="1">
        <f>BOM!D533</f>
        <v>0</v>
      </c>
      <c r="AN533" s="1">
        <f>BOM!C533</f>
        <v>0</v>
      </c>
      <c r="AO533" s="1">
        <f>BOM!B533</f>
        <v>0</v>
      </c>
    </row>
    <row r="534" spans="2:41">
      <c r="B534" s="205">
        <v>532</v>
      </c>
      <c r="C534" s="659">
        <f t="shared" si="10"/>
        <v>0</v>
      </c>
      <c r="D534" s="1" t="s">
        <v>1203</v>
      </c>
      <c r="E534" s="259">
        <f>SUMIFS(SM_Material!$AE$1:$AE$10000,SM_Material!$D$1:$D$10000,Group!C534)</f>
        <v>0</v>
      </c>
      <c r="F534" s="259">
        <f>SUMIFS(SM_Process!$O$1:$O$10000,SM_Process!$C$1:$C$10000,Group!F$2,SM_Process!$B$1:$B$10000,Group!$C534)</f>
        <v>0</v>
      </c>
      <c r="G534" s="259">
        <f>SUMIFS(SM_Process!$O$1:$O$10000,SM_Process!$C$1:$C$10000,Group!G$2,SM_Process!$B$1:$B$10000,Group!$C534)</f>
        <v>0</v>
      </c>
      <c r="H534" s="259">
        <f>SUMIFS(SM_Process!$O$1:$O$10000,SM_Process!$C$1:$C$10000,Group!H$2,SM_Process!$B$1:$B$10000,Group!$C534)</f>
        <v>0</v>
      </c>
      <c r="I534" s="259">
        <f>SUMIFS(SM_Material!$W$1:$W$10000,SM_Material!$D$1:$D$10000,Group!C534)</f>
        <v>0</v>
      </c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M534" s="1">
        <f>BOM!D534</f>
        <v>0</v>
      </c>
      <c r="AN534" s="1">
        <f>BOM!C534</f>
        <v>0</v>
      </c>
      <c r="AO534" s="1">
        <f>BOM!B534</f>
        <v>0</v>
      </c>
    </row>
    <row r="535" spans="2:41">
      <c r="B535" s="205">
        <v>533</v>
      </c>
      <c r="C535" s="659">
        <f t="shared" si="10"/>
        <v>0</v>
      </c>
      <c r="D535" s="1" t="s">
        <v>1203</v>
      </c>
      <c r="E535" s="259">
        <f>SUMIFS(SM_Material!$AE$1:$AE$10000,SM_Material!$D$1:$D$10000,Group!C535)</f>
        <v>0</v>
      </c>
      <c r="F535" s="259">
        <f>SUMIFS(SM_Process!$O$1:$O$10000,SM_Process!$C$1:$C$10000,Group!F$2,SM_Process!$B$1:$B$10000,Group!$C535)</f>
        <v>0</v>
      </c>
      <c r="G535" s="259">
        <f>SUMIFS(SM_Process!$O$1:$O$10000,SM_Process!$C$1:$C$10000,Group!G$2,SM_Process!$B$1:$B$10000,Group!$C535)</f>
        <v>0</v>
      </c>
      <c r="H535" s="259">
        <f>SUMIFS(SM_Process!$O$1:$O$10000,SM_Process!$C$1:$C$10000,Group!H$2,SM_Process!$B$1:$B$10000,Group!$C535)</f>
        <v>0</v>
      </c>
      <c r="I535" s="259">
        <f>SUMIFS(SM_Material!$W$1:$W$10000,SM_Material!$D$1:$D$10000,Group!C535)</f>
        <v>0</v>
      </c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M535" s="1">
        <f>BOM!D535</f>
        <v>0</v>
      </c>
      <c r="AN535" s="1">
        <f>BOM!C535</f>
        <v>0</v>
      </c>
      <c r="AO535" s="1">
        <f>BOM!B535</f>
        <v>0</v>
      </c>
    </row>
    <row r="536" spans="2:41">
      <c r="B536" s="205">
        <v>534</v>
      </c>
      <c r="C536" s="659">
        <f t="shared" si="10"/>
        <v>0</v>
      </c>
      <c r="D536" s="1" t="s">
        <v>1203</v>
      </c>
      <c r="E536" s="259">
        <f>SUMIFS(SM_Material!$AE$1:$AE$10000,SM_Material!$D$1:$D$10000,Group!C536)</f>
        <v>0</v>
      </c>
      <c r="F536" s="259">
        <f>SUMIFS(SM_Process!$O$1:$O$10000,SM_Process!$C$1:$C$10000,Group!F$2,SM_Process!$B$1:$B$10000,Group!$C536)</f>
        <v>0</v>
      </c>
      <c r="G536" s="259">
        <f>SUMIFS(SM_Process!$O$1:$O$10000,SM_Process!$C$1:$C$10000,Group!G$2,SM_Process!$B$1:$B$10000,Group!$C536)</f>
        <v>0</v>
      </c>
      <c r="H536" s="259">
        <f>SUMIFS(SM_Process!$O$1:$O$10000,SM_Process!$C$1:$C$10000,Group!H$2,SM_Process!$B$1:$B$10000,Group!$C536)</f>
        <v>0</v>
      </c>
      <c r="I536" s="259">
        <f>SUMIFS(SM_Material!$W$1:$W$10000,SM_Material!$D$1:$D$10000,Group!C536)</f>
        <v>0</v>
      </c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M536" s="1">
        <f>BOM!D536</f>
        <v>0</v>
      </c>
      <c r="AN536" s="1">
        <f>BOM!C536</f>
        <v>0</v>
      </c>
      <c r="AO536" s="1">
        <f>BOM!B536</f>
        <v>0</v>
      </c>
    </row>
    <row r="537" spans="2:41">
      <c r="B537" s="205">
        <v>535</v>
      </c>
      <c r="C537" s="659">
        <f t="shared" si="10"/>
        <v>0</v>
      </c>
      <c r="D537" s="1" t="s">
        <v>1203</v>
      </c>
      <c r="E537" s="259">
        <f>SUMIFS(SM_Material!$AE$1:$AE$10000,SM_Material!$D$1:$D$10000,Group!C537)</f>
        <v>0</v>
      </c>
      <c r="F537" s="259">
        <f>SUMIFS(SM_Process!$O$1:$O$10000,SM_Process!$C$1:$C$10000,Group!F$2,SM_Process!$B$1:$B$10000,Group!$C537)</f>
        <v>0</v>
      </c>
      <c r="G537" s="259">
        <f>SUMIFS(SM_Process!$O$1:$O$10000,SM_Process!$C$1:$C$10000,Group!G$2,SM_Process!$B$1:$B$10000,Group!$C537)</f>
        <v>0</v>
      </c>
      <c r="H537" s="259">
        <f>SUMIFS(SM_Process!$O$1:$O$10000,SM_Process!$C$1:$C$10000,Group!H$2,SM_Process!$B$1:$B$10000,Group!$C537)</f>
        <v>0</v>
      </c>
      <c r="I537" s="259">
        <f>SUMIFS(SM_Material!$W$1:$W$10000,SM_Material!$D$1:$D$10000,Group!C537)</f>
        <v>0</v>
      </c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M537" s="1">
        <f>BOM!D537</f>
        <v>0</v>
      </c>
      <c r="AN537" s="1">
        <f>BOM!C537</f>
        <v>0</v>
      </c>
      <c r="AO537" s="1">
        <f>BOM!B537</f>
        <v>0</v>
      </c>
    </row>
    <row r="538" spans="2:41">
      <c r="B538" s="205">
        <v>536</v>
      </c>
      <c r="C538" s="659">
        <f t="shared" si="10"/>
        <v>0</v>
      </c>
      <c r="D538" s="1" t="s">
        <v>1203</v>
      </c>
      <c r="E538" s="259">
        <f>SUMIFS(SM_Material!$AE$1:$AE$10000,SM_Material!$D$1:$D$10000,Group!C538)</f>
        <v>0</v>
      </c>
      <c r="F538" s="259">
        <f>SUMIFS(SM_Process!$O$1:$O$10000,SM_Process!$C$1:$C$10000,Group!F$2,SM_Process!$B$1:$B$10000,Group!$C538)</f>
        <v>0</v>
      </c>
      <c r="G538" s="259">
        <f>SUMIFS(SM_Process!$O$1:$O$10000,SM_Process!$C$1:$C$10000,Group!G$2,SM_Process!$B$1:$B$10000,Group!$C538)</f>
        <v>0</v>
      </c>
      <c r="H538" s="259">
        <f>SUMIFS(SM_Process!$O$1:$O$10000,SM_Process!$C$1:$C$10000,Group!H$2,SM_Process!$B$1:$B$10000,Group!$C538)</f>
        <v>0</v>
      </c>
      <c r="I538" s="259">
        <f>SUMIFS(SM_Material!$W$1:$W$10000,SM_Material!$D$1:$D$10000,Group!C538)</f>
        <v>0</v>
      </c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M538" s="1">
        <f>BOM!D538</f>
        <v>0</v>
      </c>
      <c r="AN538" s="1">
        <f>BOM!C538</f>
        <v>0</v>
      </c>
      <c r="AO538" s="1">
        <f>BOM!B538</f>
        <v>0</v>
      </c>
    </row>
    <row r="539" spans="2:41">
      <c r="B539" s="205">
        <v>537</v>
      </c>
      <c r="C539" s="659">
        <f t="shared" si="10"/>
        <v>0</v>
      </c>
      <c r="D539" s="1" t="s">
        <v>1203</v>
      </c>
      <c r="E539" s="259">
        <f>SUMIFS(SM_Material!$AE$1:$AE$10000,SM_Material!$D$1:$D$10000,Group!C539)</f>
        <v>0</v>
      </c>
      <c r="F539" s="259">
        <f>SUMIFS(SM_Process!$O$1:$O$10000,SM_Process!$C$1:$C$10000,Group!F$2,SM_Process!$B$1:$B$10000,Group!$C539)</f>
        <v>0</v>
      </c>
      <c r="G539" s="259">
        <f>SUMIFS(SM_Process!$O$1:$O$10000,SM_Process!$C$1:$C$10000,Group!G$2,SM_Process!$B$1:$B$10000,Group!$C539)</f>
        <v>0</v>
      </c>
      <c r="H539" s="259">
        <f>SUMIFS(SM_Process!$O$1:$O$10000,SM_Process!$C$1:$C$10000,Group!H$2,SM_Process!$B$1:$B$10000,Group!$C539)</f>
        <v>0</v>
      </c>
      <c r="I539" s="259">
        <f>SUMIFS(SM_Material!$W$1:$W$10000,SM_Material!$D$1:$D$10000,Group!C539)</f>
        <v>0</v>
      </c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M539" s="1">
        <f>BOM!D539</f>
        <v>0</v>
      </c>
      <c r="AN539" s="1">
        <f>BOM!C539</f>
        <v>0</v>
      </c>
      <c r="AO539" s="1">
        <f>BOM!B539</f>
        <v>0</v>
      </c>
    </row>
    <row r="540" spans="2:41">
      <c r="B540" s="205">
        <v>538</v>
      </c>
      <c r="C540" s="659">
        <f t="shared" ref="C540:C603" si="11">K131</f>
        <v>0</v>
      </c>
      <c r="D540" s="1" t="s">
        <v>1203</v>
      </c>
      <c r="E540" s="259">
        <f>SUMIFS(SM_Material!$AE$1:$AE$10000,SM_Material!$D$1:$D$10000,Group!C540)</f>
        <v>0</v>
      </c>
      <c r="F540" s="259">
        <f>SUMIFS(SM_Process!$O$1:$O$10000,SM_Process!$C$1:$C$10000,Group!F$2,SM_Process!$B$1:$B$10000,Group!$C540)</f>
        <v>0</v>
      </c>
      <c r="G540" s="259">
        <f>SUMIFS(SM_Process!$O$1:$O$10000,SM_Process!$C$1:$C$10000,Group!G$2,SM_Process!$B$1:$B$10000,Group!$C540)</f>
        <v>0</v>
      </c>
      <c r="H540" s="259">
        <f>SUMIFS(SM_Process!$O$1:$O$10000,SM_Process!$C$1:$C$10000,Group!H$2,SM_Process!$B$1:$B$10000,Group!$C540)</f>
        <v>0</v>
      </c>
      <c r="I540" s="259">
        <f>SUMIFS(SM_Material!$W$1:$W$10000,SM_Material!$D$1:$D$10000,Group!C540)</f>
        <v>0</v>
      </c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M540" s="1">
        <f>BOM!D540</f>
        <v>0</v>
      </c>
      <c r="AN540" s="1">
        <f>BOM!C540</f>
        <v>0</v>
      </c>
      <c r="AO540" s="1">
        <f>BOM!B540</f>
        <v>0</v>
      </c>
    </row>
    <row r="541" spans="2:41">
      <c r="B541" s="205">
        <v>539</v>
      </c>
      <c r="C541" s="659">
        <f t="shared" si="11"/>
        <v>0</v>
      </c>
      <c r="D541" s="1" t="s">
        <v>1203</v>
      </c>
      <c r="E541" s="259">
        <f>SUMIFS(SM_Material!$AE$1:$AE$10000,SM_Material!$D$1:$D$10000,Group!C541)</f>
        <v>0</v>
      </c>
      <c r="F541" s="259">
        <f>SUMIFS(SM_Process!$O$1:$O$10000,SM_Process!$C$1:$C$10000,Group!F$2,SM_Process!$B$1:$B$10000,Group!$C541)</f>
        <v>0</v>
      </c>
      <c r="G541" s="259">
        <f>SUMIFS(SM_Process!$O$1:$O$10000,SM_Process!$C$1:$C$10000,Group!G$2,SM_Process!$B$1:$B$10000,Group!$C541)</f>
        <v>0</v>
      </c>
      <c r="H541" s="259">
        <f>SUMIFS(SM_Process!$O$1:$O$10000,SM_Process!$C$1:$C$10000,Group!H$2,SM_Process!$B$1:$B$10000,Group!$C541)</f>
        <v>0</v>
      </c>
      <c r="I541" s="259">
        <f>SUMIFS(SM_Material!$W$1:$W$10000,SM_Material!$D$1:$D$10000,Group!C541)</f>
        <v>0</v>
      </c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M541" s="1">
        <f>BOM!D541</f>
        <v>0</v>
      </c>
      <c r="AN541" s="1">
        <f>BOM!C541</f>
        <v>0</v>
      </c>
      <c r="AO541" s="1">
        <f>BOM!B541</f>
        <v>0</v>
      </c>
    </row>
    <row r="542" spans="2:41">
      <c r="B542" s="205">
        <v>540</v>
      </c>
      <c r="C542" s="659">
        <f t="shared" si="11"/>
        <v>0</v>
      </c>
      <c r="D542" s="1" t="s">
        <v>1203</v>
      </c>
      <c r="E542" s="259">
        <f>SUMIFS(SM_Material!$AE$1:$AE$10000,SM_Material!$D$1:$D$10000,Group!C542)</f>
        <v>0</v>
      </c>
      <c r="F542" s="259">
        <f>SUMIFS(SM_Process!$O$1:$O$10000,SM_Process!$C$1:$C$10000,Group!F$2,SM_Process!$B$1:$B$10000,Group!$C542)</f>
        <v>0</v>
      </c>
      <c r="G542" s="259">
        <f>SUMIFS(SM_Process!$O$1:$O$10000,SM_Process!$C$1:$C$10000,Group!G$2,SM_Process!$B$1:$B$10000,Group!$C542)</f>
        <v>0</v>
      </c>
      <c r="H542" s="259">
        <f>SUMIFS(SM_Process!$O$1:$O$10000,SM_Process!$C$1:$C$10000,Group!H$2,SM_Process!$B$1:$B$10000,Group!$C542)</f>
        <v>0</v>
      </c>
      <c r="I542" s="259">
        <f>SUMIFS(SM_Material!$W$1:$W$10000,SM_Material!$D$1:$D$10000,Group!C542)</f>
        <v>0</v>
      </c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M542" s="1">
        <f>BOM!D542</f>
        <v>0</v>
      </c>
      <c r="AN542" s="1">
        <f>BOM!C542</f>
        <v>0</v>
      </c>
      <c r="AO542" s="1">
        <f>BOM!B542</f>
        <v>0</v>
      </c>
    </row>
    <row r="543" spans="2:41">
      <c r="B543" s="205">
        <v>541</v>
      </c>
      <c r="C543" s="659">
        <f t="shared" si="11"/>
        <v>0</v>
      </c>
      <c r="D543" s="1" t="s">
        <v>1203</v>
      </c>
      <c r="E543" s="259">
        <f>SUMIFS(SM_Material!$AE$1:$AE$10000,SM_Material!$D$1:$D$10000,Group!C543)</f>
        <v>0</v>
      </c>
      <c r="F543" s="259">
        <f>SUMIFS(SM_Process!$O$1:$O$10000,SM_Process!$C$1:$C$10000,Group!F$2,SM_Process!$B$1:$B$10000,Group!$C543)</f>
        <v>0</v>
      </c>
      <c r="G543" s="259">
        <f>SUMIFS(SM_Process!$O$1:$O$10000,SM_Process!$C$1:$C$10000,Group!G$2,SM_Process!$B$1:$B$10000,Group!$C543)</f>
        <v>0</v>
      </c>
      <c r="H543" s="259">
        <f>SUMIFS(SM_Process!$O$1:$O$10000,SM_Process!$C$1:$C$10000,Group!H$2,SM_Process!$B$1:$B$10000,Group!$C543)</f>
        <v>0</v>
      </c>
      <c r="I543" s="259">
        <f>SUMIFS(SM_Material!$W$1:$W$10000,SM_Material!$D$1:$D$10000,Group!C543)</f>
        <v>0</v>
      </c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M543" s="1">
        <f>BOM!D543</f>
        <v>0</v>
      </c>
      <c r="AN543" s="1">
        <f>BOM!C543</f>
        <v>0</v>
      </c>
      <c r="AO543" s="1">
        <f>BOM!B543</f>
        <v>0</v>
      </c>
    </row>
    <row r="544" spans="2:41">
      <c r="B544" s="205">
        <v>542</v>
      </c>
      <c r="C544" s="659">
        <f t="shared" si="11"/>
        <v>0</v>
      </c>
      <c r="D544" s="1" t="s">
        <v>1203</v>
      </c>
      <c r="E544" s="259">
        <f>SUMIFS(SM_Material!$AE$1:$AE$10000,SM_Material!$D$1:$D$10000,Group!C544)</f>
        <v>0</v>
      </c>
      <c r="F544" s="259">
        <f>SUMIFS(SM_Process!$O$1:$O$10000,SM_Process!$C$1:$C$10000,Group!F$2,SM_Process!$B$1:$B$10000,Group!$C544)</f>
        <v>0</v>
      </c>
      <c r="G544" s="259">
        <f>SUMIFS(SM_Process!$O$1:$O$10000,SM_Process!$C$1:$C$10000,Group!G$2,SM_Process!$B$1:$B$10000,Group!$C544)</f>
        <v>0</v>
      </c>
      <c r="H544" s="259">
        <f>SUMIFS(SM_Process!$O$1:$O$10000,SM_Process!$C$1:$C$10000,Group!H$2,SM_Process!$B$1:$B$10000,Group!$C544)</f>
        <v>0</v>
      </c>
      <c r="I544" s="259">
        <f>SUMIFS(SM_Material!$W$1:$W$10000,SM_Material!$D$1:$D$10000,Group!C544)</f>
        <v>0</v>
      </c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M544" s="1">
        <f>BOM!D544</f>
        <v>0</v>
      </c>
      <c r="AN544" s="1">
        <f>BOM!C544</f>
        <v>0</v>
      </c>
      <c r="AO544" s="1">
        <f>BOM!B544</f>
        <v>0</v>
      </c>
    </row>
    <row r="545" spans="2:41">
      <c r="B545" s="205">
        <v>543</v>
      </c>
      <c r="C545" s="659">
        <f t="shared" si="11"/>
        <v>0</v>
      </c>
      <c r="D545" s="1" t="s">
        <v>1203</v>
      </c>
      <c r="E545" s="259">
        <f>SUMIFS(SM_Material!$AE$1:$AE$10000,SM_Material!$D$1:$D$10000,Group!C545)</f>
        <v>0</v>
      </c>
      <c r="F545" s="259">
        <f>SUMIFS(SM_Process!$O$1:$O$10000,SM_Process!$C$1:$C$10000,Group!F$2,SM_Process!$B$1:$B$10000,Group!$C545)</f>
        <v>0</v>
      </c>
      <c r="G545" s="259">
        <f>SUMIFS(SM_Process!$O$1:$O$10000,SM_Process!$C$1:$C$10000,Group!G$2,SM_Process!$B$1:$B$10000,Group!$C545)</f>
        <v>0</v>
      </c>
      <c r="H545" s="259">
        <f>SUMIFS(SM_Process!$O$1:$O$10000,SM_Process!$C$1:$C$10000,Group!H$2,SM_Process!$B$1:$B$10000,Group!$C545)</f>
        <v>0</v>
      </c>
      <c r="I545" s="259">
        <f>SUMIFS(SM_Material!$W$1:$W$10000,SM_Material!$D$1:$D$10000,Group!C545)</f>
        <v>0</v>
      </c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M545" s="1">
        <f>BOM!D545</f>
        <v>0</v>
      </c>
      <c r="AN545" s="1">
        <f>BOM!C545</f>
        <v>0</v>
      </c>
      <c r="AO545" s="1">
        <f>BOM!B545</f>
        <v>0</v>
      </c>
    </row>
    <row r="546" spans="2:41">
      <c r="B546" s="205">
        <v>544</v>
      </c>
      <c r="C546" s="659">
        <f t="shared" si="11"/>
        <v>0</v>
      </c>
      <c r="D546" s="1" t="s">
        <v>1203</v>
      </c>
      <c r="E546" s="259">
        <f>SUMIFS(SM_Material!$AE$1:$AE$10000,SM_Material!$D$1:$D$10000,Group!C546)</f>
        <v>0</v>
      </c>
      <c r="F546" s="259">
        <f>SUMIFS(SM_Process!$O$1:$O$10000,SM_Process!$C$1:$C$10000,Group!F$2,SM_Process!$B$1:$B$10000,Group!$C546)</f>
        <v>0</v>
      </c>
      <c r="G546" s="259">
        <f>SUMIFS(SM_Process!$O$1:$O$10000,SM_Process!$C$1:$C$10000,Group!G$2,SM_Process!$B$1:$B$10000,Group!$C546)</f>
        <v>0</v>
      </c>
      <c r="H546" s="259">
        <f>SUMIFS(SM_Process!$O$1:$O$10000,SM_Process!$C$1:$C$10000,Group!H$2,SM_Process!$B$1:$B$10000,Group!$C546)</f>
        <v>0</v>
      </c>
      <c r="I546" s="259">
        <f>SUMIFS(SM_Material!$W$1:$W$10000,SM_Material!$D$1:$D$10000,Group!C546)</f>
        <v>0</v>
      </c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M546" s="1">
        <f>BOM!D546</f>
        <v>0</v>
      </c>
      <c r="AN546" s="1">
        <f>BOM!C546</f>
        <v>0</v>
      </c>
      <c r="AO546" s="1">
        <f>BOM!B546</f>
        <v>0</v>
      </c>
    </row>
    <row r="547" spans="2:41">
      <c r="B547" s="205">
        <v>545</v>
      </c>
      <c r="C547" s="659">
        <f t="shared" si="11"/>
        <v>0</v>
      </c>
      <c r="D547" s="1" t="s">
        <v>1203</v>
      </c>
      <c r="E547" s="259">
        <f>SUMIFS(SM_Material!$AE$1:$AE$10000,SM_Material!$D$1:$D$10000,Group!C547)</f>
        <v>0</v>
      </c>
      <c r="F547" s="259">
        <f>SUMIFS(SM_Process!$O$1:$O$10000,SM_Process!$C$1:$C$10000,Group!F$2,SM_Process!$B$1:$B$10000,Group!$C547)</f>
        <v>0</v>
      </c>
      <c r="G547" s="259">
        <f>SUMIFS(SM_Process!$O$1:$O$10000,SM_Process!$C$1:$C$10000,Group!G$2,SM_Process!$B$1:$B$10000,Group!$C547)</f>
        <v>0</v>
      </c>
      <c r="H547" s="259">
        <f>SUMIFS(SM_Process!$O$1:$O$10000,SM_Process!$C$1:$C$10000,Group!H$2,SM_Process!$B$1:$B$10000,Group!$C547)</f>
        <v>0</v>
      </c>
      <c r="I547" s="259">
        <f>SUMIFS(SM_Material!$W$1:$W$10000,SM_Material!$D$1:$D$10000,Group!C547)</f>
        <v>0</v>
      </c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M547" s="1">
        <f>BOM!D547</f>
        <v>0</v>
      </c>
      <c r="AN547" s="1">
        <f>BOM!C547</f>
        <v>0</v>
      </c>
      <c r="AO547" s="1">
        <f>BOM!B547</f>
        <v>0</v>
      </c>
    </row>
    <row r="548" spans="2:41">
      <c r="B548" s="205">
        <v>546</v>
      </c>
      <c r="C548" s="659">
        <f t="shared" si="11"/>
        <v>0</v>
      </c>
      <c r="D548" s="1" t="s">
        <v>1203</v>
      </c>
      <c r="E548" s="259">
        <f>SUMIFS(SM_Material!$AE$1:$AE$10000,SM_Material!$D$1:$D$10000,Group!C548)</f>
        <v>0</v>
      </c>
      <c r="F548" s="259">
        <f>SUMIFS(SM_Process!$O$1:$O$10000,SM_Process!$C$1:$C$10000,Group!F$2,SM_Process!$B$1:$B$10000,Group!$C548)</f>
        <v>0</v>
      </c>
      <c r="G548" s="259">
        <f>SUMIFS(SM_Process!$O$1:$O$10000,SM_Process!$C$1:$C$10000,Group!G$2,SM_Process!$B$1:$B$10000,Group!$C548)</f>
        <v>0</v>
      </c>
      <c r="H548" s="259">
        <f>SUMIFS(SM_Process!$O$1:$O$10000,SM_Process!$C$1:$C$10000,Group!H$2,SM_Process!$B$1:$B$10000,Group!$C548)</f>
        <v>0</v>
      </c>
      <c r="I548" s="259">
        <f>SUMIFS(SM_Material!$W$1:$W$10000,SM_Material!$D$1:$D$10000,Group!C548)</f>
        <v>0</v>
      </c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M548" s="1">
        <f>BOM!D548</f>
        <v>0</v>
      </c>
      <c r="AN548" s="1">
        <f>BOM!C548</f>
        <v>0</v>
      </c>
      <c r="AO548" s="1">
        <f>BOM!B548</f>
        <v>0</v>
      </c>
    </row>
    <row r="549" spans="2:41">
      <c r="B549" s="205">
        <v>547</v>
      </c>
      <c r="C549" s="659">
        <f t="shared" si="11"/>
        <v>0</v>
      </c>
      <c r="D549" s="1" t="s">
        <v>1203</v>
      </c>
      <c r="E549" s="259">
        <f>SUMIFS(SM_Material!$AE$1:$AE$10000,SM_Material!$D$1:$D$10000,Group!C549)</f>
        <v>0</v>
      </c>
      <c r="F549" s="259">
        <f>SUMIFS(SM_Process!$O$1:$O$10000,SM_Process!$C$1:$C$10000,Group!F$2,SM_Process!$B$1:$B$10000,Group!$C549)</f>
        <v>0</v>
      </c>
      <c r="G549" s="259">
        <f>SUMIFS(SM_Process!$O$1:$O$10000,SM_Process!$C$1:$C$10000,Group!G$2,SM_Process!$B$1:$B$10000,Group!$C549)</f>
        <v>0</v>
      </c>
      <c r="H549" s="259">
        <f>SUMIFS(SM_Process!$O$1:$O$10000,SM_Process!$C$1:$C$10000,Group!H$2,SM_Process!$B$1:$B$10000,Group!$C549)</f>
        <v>0</v>
      </c>
      <c r="I549" s="259">
        <f>SUMIFS(SM_Material!$W$1:$W$10000,SM_Material!$D$1:$D$10000,Group!C549)</f>
        <v>0</v>
      </c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M549" s="1">
        <f>BOM!D549</f>
        <v>0</v>
      </c>
      <c r="AN549" s="1">
        <f>BOM!C549</f>
        <v>0</v>
      </c>
      <c r="AO549" s="1">
        <f>BOM!B549</f>
        <v>0</v>
      </c>
    </row>
    <row r="550" spans="2:41">
      <c r="B550" s="205">
        <v>548</v>
      </c>
      <c r="C550" s="659">
        <f t="shared" si="11"/>
        <v>0</v>
      </c>
      <c r="D550" s="1" t="s">
        <v>1203</v>
      </c>
      <c r="E550" s="259">
        <f>SUMIFS(SM_Material!$AE$1:$AE$10000,SM_Material!$D$1:$D$10000,Group!C550)</f>
        <v>0</v>
      </c>
      <c r="F550" s="259">
        <f>SUMIFS(SM_Process!$O$1:$O$10000,SM_Process!$C$1:$C$10000,Group!F$2,SM_Process!$B$1:$B$10000,Group!$C550)</f>
        <v>0</v>
      </c>
      <c r="G550" s="259">
        <f>SUMIFS(SM_Process!$O$1:$O$10000,SM_Process!$C$1:$C$10000,Group!G$2,SM_Process!$B$1:$B$10000,Group!$C550)</f>
        <v>0</v>
      </c>
      <c r="H550" s="259">
        <f>SUMIFS(SM_Process!$O$1:$O$10000,SM_Process!$C$1:$C$10000,Group!H$2,SM_Process!$B$1:$B$10000,Group!$C550)</f>
        <v>0</v>
      </c>
      <c r="I550" s="259">
        <f>SUMIFS(SM_Material!$W$1:$W$10000,SM_Material!$D$1:$D$10000,Group!C550)</f>
        <v>0</v>
      </c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M550" s="1">
        <f>BOM!D550</f>
        <v>0</v>
      </c>
      <c r="AN550" s="1">
        <f>BOM!C550</f>
        <v>0</v>
      </c>
      <c r="AO550" s="1">
        <f>BOM!B550</f>
        <v>0</v>
      </c>
    </row>
    <row r="551" spans="2:41">
      <c r="B551" s="205">
        <v>549</v>
      </c>
      <c r="C551" s="659">
        <f t="shared" si="11"/>
        <v>0</v>
      </c>
      <c r="D551" s="1" t="s">
        <v>1203</v>
      </c>
      <c r="E551" s="259">
        <f>SUMIFS(SM_Material!$AE$1:$AE$10000,SM_Material!$D$1:$D$10000,Group!C551)</f>
        <v>0</v>
      </c>
      <c r="F551" s="259">
        <f>SUMIFS(SM_Process!$O$1:$O$10000,SM_Process!$C$1:$C$10000,Group!F$2,SM_Process!$B$1:$B$10000,Group!$C551)</f>
        <v>0</v>
      </c>
      <c r="G551" s="259">
        <f>SUMIFS(SM_Process!$O$1:$O$10000,SM_Process!$C$1:$C$10000,Group!G$2,SM_Process!$B$1:$B$10000,Group!$C551)</f>
        <v>0</v>
      </c>
      <c r="H551" s="259">
        <f>SUMIFS(SM_Process!$O$1:$O$10000,SM_Process!$C$1:$C$10000,Group!H$2,SM_Process!$B$1:$B$10000,Group!$C551)</f>
        <v>0</v>
      </c>
      <c r="I551" s="259">
        <f>SUMIFS(SM_Material!$W$1:$W$10000,SM_Material!$D$1:$D$10000,Group!C551)</f>
        <v>0</v>
      </c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M551" s="1">
        <f>BOM!D551</f>
        <v>0</v>
      </c>
      <c r="AN551" s="1">
        <f>BOM!C551</f>
        <v>0</v>
      </c>
      <c r="AO551" s="1">
        <f>BOM!B551</f>
        <v>0</v>
      </c>
    </row>
    <row r="552" spans="2:41">
      <c r="B552" s="205">
        <v>550</v>
      </c>
      <c r="C552" s="659">
        <f t="shared" si="11"/>
        <v>0</v>
      </c>
      <c r="D552" s="1" t="s">
        <v>1203</v>
      </c>
      <c r="E552" s="259">
        <f>SUMIFS(SM_Material!$AE$1:$AE$10000,SM_Material!$D$1:$D$10000,Group!C552)</f>
        <v>0</v>
      </c>
      <c r="F552" s="259">
        <f>SUMIFS(SM_Process!$O$1:$O$10000,SM_Process!$C$1:$C$10000,Group!F$2,SM_Process!$B$1:$B$10000,Group!$C552)</f>
        <v>0</v>
      </c>
      <c r="G552" s="259">
        <f>SUMIFS(SM_Process!$O$1:$O$10000,SM_Process!$C$1:$C$10000,Group!G$2,SM_Process!$B$1:$B$10000,Group!$C552)</f>
        <v>0</v>
      </c>
      <c r="H552" s="259">
        <f>SUMIFS(SM_Process!$O$1:$O$10000,SM_Process!$C$1:$C$10000,Group!H$2,SM_Process!$B$1:$B$10000,Group!$C552)</f>
        <v>0</v>
      </c>
      <c r="I552" s="259">
        <f>SUMIFS(SM_Material!$W$1:$W$10000,SM_Material!$D$1:$D$10000,Group!C552)</f>
        <v>0</v>
      </c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M552" s="1">
        <f>BOM!D552</f>
        <v>0</v>
      </c>
      <c r="AN552" s="1">
        <f>BOM!C552</f>
        <v>0</v>
      </c>
      <c r="AO552" s="1">
        <f>BOM!B552</f>
        <v>0</v>
      </c>
    </row>
    <row r="553" spans="2:41">
      <c r="B553" s="205">
        <v>551</v>
      </c>
      <c r="C553" s="659">
        <f t="shared" si="11"/>
        <v>0</v>
      </c>
      <c r="D553" s="1" t="s">
        <v>1203</v>
      </c>
      <c r="E553" s="259">
        <f>SUMIFS(SM_Material!$AE$1:$AE$10000,SM_Material!$D$1:$D$10000,Group!C553)</f>
        <v>0</v>
      </c>
      <c r="F553" s="259">
        <f>SUMIFS(SM_Process!$O$1:$O$10000,SM_Process!$C$1:$C$10000,Group!F$2,SM_Process!$B$1:$B$10000,Group!$C553)</f>
        <v>0</v>
      </c>
      <c r="G553" s="259">
        <f>SUMIFS(SM_Process!$O$1:$O$10000,SM_Process!$C$1:$C$10000,Group!G$2,SM_Process!$B$1:$B$10000,Group!$C553)</f>
        <v>0</v>
      </c>
      <c r="H553" s="259">
        <f>SUMIFS(SM_Process!$O$1:$O$10000,SM_Process!$C$1:$C$10000,Group!H$2,SM_Process!$B$1:$B$10000,Group!$C553)</f>
        <v>0</v>
      </c>
      <c r="I553" s="259">
        <f>SUMIFS(SM_Material!$W$1:$W$10000,SM_Material!$D$1:$D$10000,Group!C553)</f>
        <v>0</v>
      </c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M553" s="1">
        <f>BOM!D553</f>
        <v>0</v>
      </c>
      <c r="AN553" s="1">
        <f>BOM!C553</f>
        <v>0</v>
      </c>
      <c r="AO553" s="1">
        <f>BOM!B553</f>
        <v>0</v>
      </c>
    </row>
    <row r="554" spans="2:41">
      <c r="B554" s="205">
        <v>552</v>
      </c>
      <c r="C554" s="659">
        <f t="shared" si="11"/>
        <v>0</v>
      </c>
      <c r="D554" s="1" t="s">
        <v>1203</v>
      </c>
      <c r="E554" s="259">
        <f>SUMIFS(SM_Material!$AE$1:$AE$10000,SM_Material!$D$1:$D$10000,Group!C554)</f>
        <v>0</v>
      </c>
      <c r="F554" s="259">
        <f>SUMIFS(SM_Process!$O$1:$O$10000,SM_Process!$C$1:$C$10000,Group!F$2,SM_Process!$B$1:$B$10000,Group!$C554)</f>
        <v>0</v>
      </c>
      <c r="G554" s="259">
        <f>SUMIFS(SM_Process!$O$1:$O$10000,SM_Process!$C$1:$C$10000,Group!G$2,SM_Process!$B$1:$B$10000,Group!$C554)</f>
        <v>0</v>
      </c>
      <c r="H554" s="259">
        <f>SUMIFS(SM_Process!$O$1:$O$10000,SM_Process!$C$1:$C$10000,Group!H$2,SM_Process!$B$1:$B$10000,Group!$C554)</f>
        <v>0</v>
      </c>
      <c r="I554" s="259">
        <f>SUMIFS(SM_Material!$W$1:$W$10000,SM_Material!$D$1:$D$10000,Group!C554)</f>
        <v>0</v>
      </c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M554" s="1">
        <f>BOM!D554</f>
        <v>0</v>
      </c>
      <c r="AN554" s="1">
        <f>BOM!C554</f>
        <v>0</v>
      </c>
      <c r="AO554" s="1">
        <f>BOM!B554</f>
        <v>0</v>
      </c>
    </row>
    <row r="555" spans="2:41">
      <c r="B555" s="205">
        <v>553</v>
      </c>
      <c r="C555" s="659">
        <f t="shared" si="11"/>
        <v>0</v>
      </c>
      <c r="D555" s="1" t="s">
        <v>1203</v>
      </c>
      <c r="E555" s="259">
        <f>SUMIFS(SM_Material!$AE$1:$AE$10000,SM_Material!$D$1:$D$10000,Group!C555)</f>
        <v>0</v>
      </c>
      <c r="F555" s="259">
        <f>SUMIFS(SM_Process!$O$1:$O$10000,SM_Process!$C$1:$C$10000,Group!F$2,SM_Process!$B$1:$B$10000,Group!$C555)</f>
        <v>0</v>
      </c>
      <c r="G555" s="259">
        <f>SUMIFS(SM_Process!$O$1:$O$10000,SM_Process!$C$1:$C$10000,Group!G$2,SM_Process!$B$1:$B$10000,Group!$C555)</f>
        <v>0</v>
      </c>
      <c r="H555" s="259">
        <f>SUMIFS(SM_Process!$O$1:$O$10000,SM_Process!$C$1:$C$10000,Group!H$2,SM_Process!$B$1:$B$10000,Group!$C555)</f>
        <v>0</v>
      </c>
      <c r="I555" s="259">
        <f>SUMIFS(SM_Material!$W$1:$W$10000,SM_Material!$D$1:$D$10000,Group!C555)</f>
        <v>0</v>
      </c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M555" s="1">
        <f>BOM!D555</f>
        <v>0</v>
      </c>
      <c r="AN555" s="1">
        <f>BOM!C555</f>
        <v>0</v>
      </c>
      <c r="AO555" s="1">
        <f>BOM!B555</f>
        <v>0</v>
      </c>
    </row>
    <row r="556" spans="2:41">
      <c r="B556" s="205">
        <v>554</v>
      </c>
      <c r="C556" s="659">
        <f t="shared" si="11"/>
        <v>0</v>
      </c>
      <c r="D556" s="1" t="s">
        <v>1203</v>
      </c>
      <c r="E556" s="259">
        <f>SUMIFS(SM_Material!$AE$1:$AE$10000,SM_Material!$D$1:$D$10000,Group!C556)</f>
        <v>0</v>
      </c>
      <c r="F556" s="259">
        <f>SUMIFS(SM_Process!$O$1:$O$10000,SM_Process!$C$1:$C$10000,Group!F$2,SM_Process!$B$1:$B$10000,Group!$C556)</f>
        <v>0</v>
      </c>
      <c r="G556" s="259">
        <f>SUMIFS(SM_Process!$O$1:$O$10000,SM_Process!$C$1:$C$10000,Group!G$2,SM_Process!$B$1:$B$10000,Group!$C556)</f>
        <v>0</v>
      </c>
      <c r="H556" s="259">
        <f>SUMIFS(SM_Process!$O$1:$O$10000,SM_Process!$C$1:$C$10000,Group!H$2,SM_Process!$B$1:$B$10000,Group!$C556)</f>
        <v>0</v>
      </c>
      <c r="I556" s="259">
        <f>SUMIFS(SM_Material!$W$1:$W$10000,SM_Material!$D$1:$D$10000,Group!C556)</f>
        <v>0</v>
      </c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M556" s="1">
        <f>BOM!D556</f>
        <v>0</v>
      </c>
      <c r="AN556" s="1">
        <f>BOM!C556</f>
        <v>0</v>
      </c>
      <c r="AO556" s="1">
        <f>BOM!B556</f>
        <v>0</v>
      </c>
    </row>
    <row r="557" spans="2:41">
      <c r="B557" s="205">
        <v>555</v>
      </c>
      <c r="C557" s="659">
        <f t="shared" si="11"/>
        <v>0</v>
      </c>
      <c r="D557" s="1" t="s">
        <v>1203</v>
      </c>
      <c r="E557" s="259">
        <f>SUMIFS(SM_Material!$AE$1:$AE$10000,SM_Material!$D$1:$D$10000,Group!C557)</f>
        <v>0</v>
      </c>
      <c r="F557" s="259">
        <f>SUMIFS(SM_Process!$O$1:$O$10000,SM_Process!$C$1:$C$10000,Group!F$2,SM_Process!$B$1:$B$10000,Group!$C557)</f>
        <v>0</v>
      </c>
      <c r="G557" s="259">
        <f>SUMIFS(SM_Process!$O$1:$O$10000,SM_Process!$C$1:$C$10000,Group!G$2,SM_Process!$B$1:$B$10000,Group!$C557)</f>
        <v>0</v>
      </c>
      <c r="H557" s="259">
        <f>SUMIFS(SM_Process!$O$1:$O$10000,SM_Process!$C$1:$C$10000,Group!H$2,SM_Process!$B$1:$B$10000,Group!$C557)</f>
        <v>0</v>
      </c>
      <c r="I557" s="259">
        <f>SUMIFS(SM_Material!$W$1:$W$10000,SM_Material!$D$1:$D$10000,Group!C557)</f>
        <v>0</v>
      </c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M557" s="1">
        <f>BOM!D557</f>
        <v>0</v>
      </c>
      <c r="AN557" s="1">
        <f>BOM!C557</f>
        <v>0</v>
      </c>
      <c r="AO557" s="1">
        <f>BOM!B557</f>
        <v>0</v>
      </c>
    </row>
    <row r="558" spans="2:41">
      <c r="B558" s="205">
        <v>556</v>
      </c>
      <c r="C558" s="659">
        <f t="shared" si="11"/>
        <v>0</v>
      </c>
      <c r="D558" s="1" t="s">
        <v>1203</v>
      </c>
      <c r="E558" s="259">
        <f>SUMIFS(SM_Material!$AE$1:$AE$10000,SM_Material!$D$1:$D$10000,Group!C558)</f>
        <v>0</v>
      </c>
      <c r="F558" s="259">
        <f>SUMIFS(SM_Process!$O$1:$O$10000,SM_Process!$C$1:$C$10000,Group!F$2,SM_Process!$B$1:$B$10000,Group!$C558)</f>
        <v>0</v>
      </c>
      <c r="G558" s="259">
        <f>SUMIFS(SM_Process!$O$1:$O$10000,SM_Process!$C$1:$C$10000,Group!G$2,SM_Process!$B$1:$B$10000,Group!$C558)</f>
        <v>0</v>
      </c>
      <c r="H558" s="259">
        <f>SUMIFS(SM_Process!$O$1:$O$10000,SM_Process!$C$1:$C$10000,Group!H$2,SM_Process!$B$1:$B$10000,Group!$C558)</f>
        <v>0</v>
      </c>
      <c r="I558" s="259">
        <f>SUMIFS(SM_Material!$W$1:$W$10000,SM_Material!$D$1:$D$10000,Group!C558)</f>
        <v>0</v>
      </c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M558" s="1">
        <f>BOM!D558</f>
        <v>0</v>
      </c>
      <c r="AN558" s="1">
        <f>BOM!C558</f>
        <v>0</v>
      </c>
      <c r="AO558" s="1">
        <f>BOM!B558</f>
        <v>0</v>
      </c>
    </row>
    <row r="559" spans="2:41">
      <c r="B559" s="205">
        <v>557</v>
      </c>
      <c r="C559" s="659">
        <f t="shared" si="11"/>
        <v>0</v>
      </c>
      <c r="D559" s="1" t="s">
        <v>1203</v>
      </c>
      <c r="E559" s="259">
        <f>SUMIFS(SM_Material!$AE$1:$AE$10000,SM_Material!$D$1:$D$10000,Group!C559)</f>
        <v>0</v>
      </c>
      <c r="F559" s="259">
        <f>SUMIFS(SM_Process!$O$1:$O$10000,SM_Process!$C$1:$C$10000,Group!F$2,SM_Process!$B$1:$B$10000,Group!$C559)</f>
        <v>0</v>
      </c>
      <c r="G559" s="259">
        <f>SUMIFS(SM_Process!$O$1:$O$10000,SM_Process!$C$1:$C$10000,Group!G$2,SM_Process!$B$1:$B$10000,Group!$C559)</f>
        <v>0</v>
      </c>
      <c r="H559" s="259">
        <f>SUMIFS(SM_Process!$O$1:$O$10000,SM_Process!$C$1:$C$10000,Group!H$2,SM_Process!$B$1:$B$10000,Group!$C559)</f>
        <v>0</v>
      </c>
      <c r="I559" s="259">
        <f>SUMIFS(SM_Material!$W$1:$W$10000,SM_Material!$D$1:$D$10000,Group!C559)</f>
        <v>0</v>
      </c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M559" s="1">
        <f>BOM!D559</f>
        <v>0</v>
      </c>
      <c r="AN559" s="1">
        <f>BOM!C559</f>
        <v>0</v>
      </c>
      <c r="AO559" s="1">
        <f>BOM!B559</f>
        <v>0</v>
      </c>
    </row>
    <row r="560" spans="2:41">
      <c r="B560" s="205">
        <v>558</v>
      </c>
      <c r="C560" s="659">
        <f t="shared" si="11"/>
        <v>0</v>
      </c>
      <c r="D560" s="1" t="s">
        <v>1203</v>
      </c>
      <c r="E560" s="259">
        <f>SUMIFS(SM_Material!$AE$1:$AE$10000,SM_Material!$D$1:$D$10000,Group!C560)</f>
        <v>0</v>
      </c>
      <c r="F560" s="259">
        <f>SUMIFS(SM_Process!$O$1:$O$10000,SM_Process!$C$1:$C$10000,Group!F$2,SM_Process!$B$1:$B$10000,Group!$C560)</f>
        <v>0</v>
      </c>
      <c r="G560" s="259">
        <f>SUMIFS(SM_Process!$O$1:$O$10000,SM_Process!$C$1:$C$10000,Group!G$2,SM_Process!$B$1:$B$10000,Group!$C560)</f>
        <v>0</v>
      </c>
      <c r="H560" s="259">
        <f>SUMIFS(SM_Process!$O$1:$O$10000,SM_Process!$C$1:$C$10000,Group!H$2,SM_Process!$B$1:$B$10000,Group!$C560)</f>
        <v>0</v>
      </c>
      <c r="I560" s="259">
        <f>SUMIFS(SM_Material!$W$1:$W$10000,SM_Material!$D$1:$D$10000,Group!C560)</f>
        <v>0</v>
      </c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M560" s="1">
        <f>BOM!D560</f>
        <v>0</v>
      </c>
      <c r="AN560" s="1">
        <f>BOM!C560</f>
        <v>0</v>
      </c>
      <c r="AO560" s="1">
        <f>BOM!B560</f>
        <v>0</v>
      </c>
    </row>
    <row r="561" spans="2:41">
      <c r="B561" s="205">
        <v>559</v>
      </c>
      <c r="C561" s="659">
        <f t="shared" si="11"/>
        <v>0</v>
      </c>
      <c r="D561" s="1" t="s">
        <v>1203</v>
      </c>
      <c r="E561" s="259">
        <f>SUMIFS(SM_Material!$AE$1:$AE$10000,SM_Material!$D$1:$D$10000,Group!C561)</f>
        <v>0</v>
      </c>
      <c r="F561" s="259">
        <f>SUMIFS(SM_Process!$O$1:$O$10000,SM_Process!$C$1:$C$10000,Group!F$2,SM_Process!$B$1:$B$10000,Group!$C561)</f>
        <v>0</v>
      </c>
      <c r="G561" s="259">
        <f>SUMIFS(SM_Process!$O$1:$O$10000,SM_Process!$C$1:$C$10000,Group!G$2,SM_Process!$B$1:$B$10000,Group!$C561)</f>
        <v>0</v>
      </c>
      <c r="H561" s="259">
        <f>SUMIFS(SM_Process!$O$1:$O$10000,SM_Process!$C$1:$C$10000,Group!H$2,SM_Process!$B$1:$B$10000,Group!$C561)</f>
        <v>0</v>
      </c>
      <c r="I561" s="259">
        <f>SUMIFS(SM_Material!$W$1:$W$10000,SM_Material!$D$1:$D$10000,Group!C561)</f>
        <v>0</v>
      </c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M561" s="1">
        <f>BOM!D561</f>
        <v>0</v>
      </c>
      <c r="AN561" s="1">
        <f>BOM!C561</f>
        <v>0</v>
      </c>
      <c r="AO561" s="1">
        <f>BOM!B561</f>
        <v>0</v>
      </c>
    </row>
    <row r="562" spans="2:41">
      <c r="B562" s="205">
        <v>560</v>
      </c>
      <c r="C562" s="659">
        <f t="shared" si="11"/>
        <v>0</v>
      </c>
      <c r="D562" s="1" t="s">
        <v>1203</v>
      </c>
      <c r="E562" s="259">
        <f>SUMIFS(SM_Material!$AE$1:$AE$10000,SM_Material!$D$1:$D$10000,Group!C562)</f>
        <v>0</v>
      </c>
      <c r="F562" s="259">
        <f>SUMIFS(SM_Process!$O$1:$O$10000,SM_Process!$C$1:$C$10000,Group!F$2,SM_Process!$B$1:$B$10000,Group!$C562)</f>
        <v>0</v>
      </c>
      <c r="G562" s="259">
        <f>SUMIFS(SM_Process!$O$1:$O$10000,SM_Process!$C$1:$C$10000,Group!G$2,SM_Process!$B$1:$B$10000,Group!$C562)</f>
        <v>0</v>
      </c>
      <c r="H562" s="259">
        <f>SUMIFS(SM_Process!$O$1:$O$10000,SM_Process!$C$1:$C$10000,Group!H$2,SM_Process!$B$1:$B$10000,Group!$C562)</f>
        <v>0</v>
      </c>
      <c r="I562" s="259">
        <f>SUMIFS(SM_Material!$W$1:$W$10000,SM_Material!$D$1:$D$10000,Group!C562)</f>
        <v>0</v>
      </c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M562" s="1">
        <f>BOM!D562</f>
        <v>0</v>
      </c>
      <c r="AN562" s="1">
        <f>BOM!C562</f>
        <v>0</v>
      </c>
      <c r="AO562" s="1">
        <f>BOM!B562</f>
        <v>0</v>
      </c>
    </row>
    <row r="563" spans="2:41">
      <c r="B563" s="205">
        <v>561</v>
      </c>
      <c r="C563" s="659">
        <f t="shared" si="11"/>
        <v>0</v>
      </c>
      <c r="D563" s="1" t="s">
        <v>1203</v>
      </c>
      <c r="E563" s="259">
        <f>SUMIFS(SM_Material!$AE$1:$AE$10000,SM_Material!$D$1:$D$10000,Group!C563)</f>
        <v>0</v>
      </c>
      <c r="F563" s="259">
        <f>SUMIFS(SM_Process!$O$1:$O$10000,SM_Process!$C$1:$C$10000,Group!F$2,SM_Process!$B$1:$B$10000,Group!$C563)</f>
        <v>0</v>
      </c>
      <c r="G563" s="259">
        <f>SUMIFS(SM_Process!$O$1:$O$10000,SM_Process!$C$1:$C$10000,Group!G$2,SM_Process!$B$1:$B$10000,Group!$C563)</f>
        <v>0</v>
      </c>
      <c r="H563" s="259">
        <f>SUMIFS(SM_Process!$O$1:$O$10000,SM_Process!$C$1:$C$10000,Group!H$2,SM_Process!$B$1:$B$10000,Group!$C563)</f>
        <v>0</v>
      </c>
      <c r="I563" s="259">
        <f>SUMIFS(SM_Material!$W$1:$W$10000,SM_Material!$D$1:$D$10000,Group!C563)</f>
        <v>0</v>
      </c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M563" s="1">
        <f>BOM!D563</f>
        <v>0</v>
      </c>
      <c r="AN563" s="1">
        <f>BOM!C563</f>
        <v>0</v>
      </c>
      <c r="AO563" s="1">
        <f>BOM!B563</f>
        <v>0</v>
      </c>
    </row>
    <row r="564" spans="2:41">
      <c r="B564" s="205">
        <v>562</v>
      </c>
      <c r="C564" s="659">
        <f t="shared" si="11"/>
        <v>0</v>
      </c>
      <c r="D564" s="1" t="s">
        <v>1203</v>
      </c>
      <c r="E564" s="259">
        <f>SUMIFS(SM_Material!$AE$1:$AE$10000,SM_Material!$D$1:$D$10000,Group!C564)</f>
        <v>0</v>
      </c>
      <c r="F564" s="259">
        <f>SUMIFS(SM_Process!$O$1:$O$10000,SM_Process!$C$1:$C$10000,Group!F$2,SM_Process!$B$1:$B$10000,Group!$C564)</f>
        <v>0</v>
      </c>
      <c r="G564" s="259">
        <f>SUMIFS(SM_Process!$O$1:$O$10000,SM_Process!$C$1:$C$10000,Group!G$2,SM_Process!$B$1:$B$10000,Group!$C564)</f>
        <v>0</v>
      </c>
      <c r="H564" s="259">
        <f>SUMIFS(SM_Process!$O$1:$O$10000,SM_Process!$C$1:$C$10000,Group!H$2,SM_Process!$B$1:$B$10000,Group!$C564)</f>
        <v>0</v>
      </c>
      <c r="I564" s="259">
        <f>SUMIFS(SM_Material!$W$1:$W$10000,SM_Material!$D$1:$D$10000,Group!C564)</f>
        <v>0</v>
      </c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M564" s="1">
        <f>BOM!D564</f>
        <v>0</v>
      </c>
      <c r="AN564" s="1">
        <f>BOM!C564</f>
        <v>0</v>
      </c>
      <c r="AO564" s="1">
        <f>BOM!B564</f>
        <v>0</v>
      </c>
    </row>
    <row r="565" spans="2:41">
      <c r="B565" s="205">
        <v>563</v>
      </c>
      <c r="C565" s="659">
        <f t="shared" si="11"/>
        <v>0</v>
      </c>
      <c r="D565" s="1" t="s">
        <v>1203</v>
      </c>
      <c r="E565" s="259">
        <f>SUMIFS(SM_Material!$AE$1:$AE$10000,SM_Material!$D$1:$D$10000,Group!C565)</f>
        <v>0</v>
      </c>
      <c r="F565" s="259">
        <f>SUMIFS(SM_Process!$O$1:$O$10000,SM_Process!$C$1:$C$10000,Group!F$2,SM_Process!$B$1:$B$10000,Group!$C565)</f>
        <v>0</v>
      </c>
      <c r="G565" s="259">
        <f>SUMIFS(SM_Process!$O$1:$O$10000,SM_Process!$C$1:$C$10000,Group!G$2,SM_Process!$B$1:$B$10000,Group!$C565)</f>
        <v>0</v>
      </c>
      <c r="H565" s="259">
        <f>SUMIFS(SM_Process!$O$1:$O$10000,SM_Process!$C$1:$C$10000,Group!H$2,SM_Process!$B$1:$B$10000,Group!$C565)</f>
        <v>0</v>
      </c>
      <c r="I565" s="259">
        <f>SUMIFS(SM_Material!$W$1:$W$10000,SM_Material!$D$1:$D$10000,Group!C565)</f>
        <v>0</v>
      </c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M565" s="1">
        <f>BOM!D565</f>
        <v>0</v>
      </c>
      <c r="AN565" s="1">
        <f>BOM!C565</f>
        <v>0</v>
      </c>
      <c r="AO565" s="1">
        <f>BOM!B565</f>
        <v>0</v>
      </c>
    </row>
    <row r="566" spans="2:41">
      <c r="B566" s="205">
        <v>564</v>
      </c>
      <c r="C566" s="659">
        <f t="shared" si="11"/>
        <v>0</v>
      </c>
      <c r="D566" s="1" t="s">
        <v>1203</v>
      </c>
      <c r="E566" s="259">
        <f>SUMIFS(SM_Material!$AE$1:$AE$10000,SM_Material!$D$1:$D$10000,Group!C566)</f>
        <v>0</v>
      </c>
      <c r="F566" s="259">
        <f>SUMIFS(SM_Process!$O$1:$O$10000,SM_Process!$C$1:$C$10000,Group!F$2,SM_Process!$B$1:$B$10000,Group!$C566)</f>
        <v>0</v>
      </c>
      <c r="G566" s="259">
        <f>SUMIFS(SM_Process!$O$1:$O$10000,SM_Process!$C$1:$C$10000,Group!G$2,SM_Process!$B$1:$B$10000,Group!$C566)</f>
        <v>0</v>
      </c>
      <c r="H566" s="259">
        <f>SUMIFS(SM_Process!$O$1:$O$10000,SM_Process!$C$1:$C$10000,Group!H$2,SM_Process!$B$1:$B$10000,Group!$C566)</f>
        <v>0</v>
      </c>
      <c r="I566" s="259">
        <f>SUMIFS(SM_Material!$W$1:$W$10000,SM_Material!$D$1:$D$10000,Group!C566)</f>
        <v>0</v>
      </c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M566" s="1">
        <f>BOM!D566</f>
        <v>0</v>
      </c>
      <c r="AN566" s="1">
        <f>BOM!C566</f>
        <v>0</v>
      </c>
      <c r="AO566" s="1">
        <f>BOM!B566</f>
        <v>0</v>
      </c>
    </row>
    <row r="567" spans="2:41">
      <c r="B567" s="205">
        <v>565</v>
      </c>
      <c r="C567" s="659">
        <f t="shared" si="11"/>
        <v>0</v>
      </c>
      <c r="D567" s="1" t="s">
        <v>1203</v>
      </c>
      <c r="E567" s="259">
        <f>SUMIFS(SM_Material!$AE$1:$AE$10000,SM_Material!$D$1:$D$10000,Group!C567)</f>
        <v>0</v>
      </c>
      <c r="F567" s="259">
        <f>SUMIFS(SM_Process!$O$1:$O$10000,SM_Process!$C$1:$C$10000,Group!F$2,SM_Process!$B$1:$B$10000,Group!$C567)</f>
        <v>0</v>
      </c>
      <c r="G567" s="259">
        <f>SUMIFS(SM_Process!$O$1:$O$10000,SM_Process!$C$1:$C$10000,Group!G$2,SM_Process!$B$1:$B$10000,Group!$C567)</f>
        <v>0</v>
      </c>
      <c r="H567" s="259">
        <f>SUMIFS(SM_Process!$O$1:$O$10000,SM_Process!$C$1:$C$10000,Group!H$2,SM_Process!$B$1:$B$10000,Group!$C567)</f>
        <v>0</v>
      </c>
      <c r="I567" s="259">
        <f>SUMIFS(SM_Material!$W$1:$W$10000,SM_Material!$D$1:$D$10000,Group!C567)</f>
        <v>0</v>
      </c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M567" s="1">
        <f>BOM!D567</f>
        <v>0</v>
      </c>
      <c r="AN567" s="1">
        <f>BOM!C567</f>
        <v>0</v>
      </c>
      <c r="AO567" s="1">
        <f>BOM!B567</f>
        <v>0</v>
      </c>
    </row>
    <row r="568" spans="2:41">
      <c r="B568" s="205">
        <v>566</v>
      </c>
      <c r="C568" s="659">
        <f t="shared" si="11"/>
        <v>0</v>
      </c>
      <c r="D568" s="1" t="s">
        <v>1203</v>
      </c>
      <c r="E568" s="259">
        <f>SUMIFS(SM_Material!$AE$1:$AE$10000,SM_Material!$D$1:$D$10000,Group!C568)</f>
        <v>0</v>
      </c>
      <c r="F568" s="259">
        <f>SUMIFS(SM_Process!$O$1:$O$10000,SM_Process!$C$1:$C$10000,Group!F$2,SM_Process!$B$1:$B$10000,Group!$C568)</f>
        <v>0</v>
      </c>
      <c r="G568" s="259">
        <f>SUMIFS(SM_Process!$O$1:$O$10000,SM_Process!$C$1:$C$10000,Group!G$2,SM_Process!$B$1:$B$10000,Group!$C568)</f>
        <v>0</v>
      </c>
      <c r="H568" s="259">
        <f>SUMIFS(SM_Process!$O$1:$O$10000,SM_Process!$C$1:$C$10000,Group!H$2,SM_Process!$B$1:$B$10000,Group!$C568)</f>
        <v>0</v>
      </c>
      <c r="I568" s="259">
        <f>SUMIFS(SM_Material!$W$1:$W$10000,SM_Material!$D$1:$D$10000,Group!C568)</f>
        <v>0</v>
      </c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M568" s="1">
        <f>BOM!D568</f>
        <v>0</v>
      </c>
      <c r="AN568" s="1">
        <f>BOM!C568</f>
        <v>0</v>
      </c>
      <c r="AO568" s="1">
        <f>BOM!B568</f>
        <v>0</v>
      </c>
    </row>
    <row r="569" spans="2:41">
      <c r="B569" s="205">
        <v>567</v>
      </c>
      <c r="C569" s="659">
        <f t="shared" si="11"/>
        <v>0</v>
      </c>
      <c r="D569" s="1" t="s">
        <v>1203</v>
      </c>
      <c r="E569" s="259">
        <f>SUMIFS(SM_Material!$AE$1:$AE$10000,SM_Material!$D$1:$D$10000,Group!C569)</f>
        <v>0</v>
      </c>
      <c r="F569" s="259">
        <f>SUMIFS(SM_Process!$O$1:$O$10000,SM_Process!$C$1:$C$10000,Group!F$2,SM_Process!$B$1:$B$10000,Group!$C569)</f>
        <v>0</v>
      </c>
      <c r="G569" s="259">
        <f>SUMIFS(SM_Process!$O$1:$O$10000,SM_Process!$C$1:$C$10000,Group!G$2,SM_Process!$B$1:$B$10000,Group!$C569)</f>
        <v>0</v>
      </c>
      <c r="H569" s="259">
        <f>SUMIFS(SM_Process!$O$1:$O$10000,SM_Process!$C$1:$C$10000,Group!H$2,SM_Process!$B$1:$B$10000,Group!$C569)</f>
        <v>0</v>
      </c>
      <c r="I569" s="259">
        <f>SUMIFS(SM_Material!$W$1:$W$10000,SM_Material!$D$1:$D$10000,Group!C569)</f>
        <v>0</v>
      </c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M569" s="1">
        <f>BOM!D569</f>
        <v>0</v>
      </c>
      <c r="AN569" s="1">
        <f>BOM!C569</f>
        <v>0</v>
      </c>
      <c r="AO569" s="1">
        <f>BOM!B569</f>
        <v>0</v>
      </c>
    </row>
    <row r="570" spans="2:41">
      <c r="B570" s="205">
        <v>568</v>
      </c>
      <c r="C570" s="659">
        <f t="shared" si="11"/>
        <v>0</v>
      </c>
      <c r="D570" s="1" t="s">
        <v>1203</v>
      </c>
      <c r="E570" s="259">
        <f>SUMIFS(SM_Material!$AE$1:$AE$10000,SM_Material!$D$1:$D$10000,Group!C570)</f>
        <v>0</v>
      </c>
      <c r="F570" s="259">
        <f>SUMIFS(SM_Process!$O$1:$O$10000,SM_Process!$C$1:$C$10000,Group!F$2,SM_Process!$B$1:$B$10000,Group!$C570)</f>
        <v>0</v>
      </c>
      <c r="G570" s="259">
        <f>SUMIFS(SM_Process!$O$1:$O$10000,SM_Process!$C$1:$C$10000,Group!G$2,SM_Process!$B$1:$B$10000,Group!$C570)</f>
        <v>0</v>
      </c>
      <c r="H570" s="259">
        <f>SUMIFS(SM_Process!$O$1:$O$10000,SM_Process!$C$1:$C$10000,Group!H$2,SM_Process!$B$1:$B$10000,Group!$C570)</f>
        <v>0</v>
      </c>
      <c r="I570" s="259">
        <f>SUMIFS(SM_Material!$W$1:$W$10000,SM_Material!$D$1:$D$10000,Group!C570)</f>
        <v>0</v>
      </c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M570" s="1">
        <f>BOM!D570</f>
        <v>0</v>
      </c>
      <c r="AN570" s="1">
        <f>BOM!C570</f>
        <v>0</v>
      </c>
      <c r="AO570" s="1">
        <f>BOM!B570</f>
        <v>0</v>
      </c>
    </row>
    <row r="571" spans="2:41">
      <c r="B571" s="205">
        <v>569</v>
      </c>
      <c r="C571" s="659">
        <f t="shared" si="11"/>
        <v>0</v>
      </c>
      <c r="D571" s="1" t="s">
        <v>1203</v>
      </c>
      <c r="E571" s="259">
        <f>SUMIFS(SM_Material!$AE$1:$AE$10000,SM_Material!$D$1:$D$10000,Group!C571)</f>
        <v>0</v>
      </c>
      <c r="F571" s="259">
        <f>SUMIFS(SM_Process!$O$1:$O$10000,SM_Process!$C$1:$C$10000,Group!F$2,SM_Process!$B$1:$B$10000,Group!$C571)</f>
        <v>0</v>
      </c>
      <c r="G571" s="259">
        <f>SUMIFS(SM_Process!$O$1:$O$10000,SM_Process!$C$1:$C$10000,Group!G$2,SM_Process!$B$1:$B$10000,Group!$C571)</f>
        <v>0</v>
      </c>
      <c r="H571" s="259">
        <f>SUMIFS(SM_Process!$O$1:$O$10000,SM_Process!$C$1:$C$10000,Group!H$2,SM_Process!$B$1:$B$10000,Group!$C571)</f>
        <v>0</v>
      </c>
      <c r="I571" s="259">
        <f>SUMIFS(SM_Material!$W$1:$W$10000,SM_Material!$D$1:$D$10000,Group!C571)</f>
        <v>0</v>
      </c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M571" s="1">
        <f>BOM!D571</f>
        <v>0</v>
      </c>
      <c r="AN571" s="1">
        <f>BOM!C571</f>
        <v>0</v>
      </c>
      <c r="AO571" s="1">
        <f>BOM!B571</f>
        <v>0</v>
      </c>
    </row>
    <row r="572" spans="2:41">
      <c r="B572" s="205">
        <v>570</v>
      </c>
      <c r="C572" s="659">
        <f t="shared" si="11"/>
        <v>0</v>
      </c>
      <c r="D572" s="1" t="s">
        <v>1203</v>
      </c>
      <c r="E572" s="259">
        <f>SUMIFS(SM_Material!$AE$1:$AE$10000,SM_Material!$D$1:$D$10000,Group!C572)</f>
        <v>0</v>
      </c>
      <c r="F572" s="259">
        <f>SUMIFS(SM_Process!$O$1:$O$10000,SM_Process!$C$1:$C$10000,Group!F$2,SM_Process!$B$1:$B$10000,Group!$C572)</f>
        <v>0</v>
      </c>
      <c r="G572" s="259">
        <f>SUMIFS(SM_Process!$O$1:$O$10000,SM_Process!$C$1:$C$10000,Group!G$2,SM_Process!$B$1:$B$10000,Group!$C572)</f>
        <v>0</v>
      </c>
      <c r="H572" s="259">
        <f>SUMIFS(SM_Process!$O$1:$O$10000,SM_Process!$C$1:$C$10000,Group!H$2,SM_Process!$B$1:$B$10000,Group!$C572)</f>
        <v>0</v>
      </c>
      <c r="I572" s="259">
        <f>SUMIFS(SM_Material!$W$1:$W$10000,SM_Material!$D$1:$D$10000,Group!C572)</f>
        <v>0</v>
      </c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M572" s="1">
        <f>BOM!D572</f>
        <v>0</v>
      </c>
      <c r="AN572" s="1">
        <f>BOM!C572</f>
        <v>0</v>
      </c>
      <c r="AO572" s="1">
        <f>BOM!B572</f>
        <v>0</v>
      </c>
    </row>
    <row r="573" spans="2:41">
      <c r="B573" s="205">
        <v>571</v>
      </c>
      <c r="C573" s="659">
        <f t="shared" si="11"/>
        <v>0</v>
      </c>
      <c r="D573" s="1" t="s">
        <v>1203</v>
      </c>
      <c r="E573" s="259">
        <f>SUMIFS(SM_Material!$AE$1:$AE$10000,SM_Material!$D$1:$D$10000,Group!C573)</f>
        <v>0</v>
      </c>
      <c r="F573" s="259">
        <f>SUMIFS(SM_Process!$O$1:$O$10000,SM_Process!$C$1:$C$10000,Group!F$2,SM_Process!$B$1:$B$10000,Group!$C573)</f>
        <v>0</v>
      </c>
      <c r="G573" s="259">
        <f>SUMIFS(SM_Process!$O$1:$O$10000,SM_Process!$C$1:$C$10000,Group!G$2,SM_Process!$B$1:$B$10000,Group!$C573)</f>
        <v>0</v>
      </c>
      <c r="H573" s="259">
        <f>SUMIFS(SM_Process!$O$1:$O$10000,SM_Process!$C$1:$C$10000,Group!H$2,SM_Process!$B$1:$B$10000,Group!$C573)</f>
        <v>0</v>
      </c>
      <c r="I573" s="259">
        <f>SUMIFS(SM_Material!$W$1:$W$10000,SM_Material!$D$1:$D$10000,Group!C573)</f>
        <v>0</v>
      </c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M573" s="1">
        <f>BOM!D573</f>
        <v>0</v>
      </c>
      <c r="AN573" s="1">
        <f>BOM!C573</f>
        <v>0</v>
      </c>
      <c r="AO573" s="1">
        <f>BOM!B573</f>
        <v>0</v>
      </c>
    </row>
    <row r="574" spans="2:41">
      <c r="B574" s="205">
        <v>572</v>
      </c>
      <c r="C574" s="659">
        <f t="shared" si="11"/>
        <v>0</v>
      </c>
      <c r="D574" s="1" t="s">
        <v>1203</v>
      </c>
      <c r="E574" s="259">
        <f>SUMIFS(SM_Material!$AE$1:$AE$10000,SM_Material!$D$1:$D$10000,Group!C574)</f>
        <v>0</v>
      </c>
      <c r="F574" s="259">
        <f>SUMIFS(SM_Process!$O$1:$O$10000,SM_Process!$C$1:$C$10000,Group!F$2,SM_Process!$B$1:$B$10000,Group!$C574)</f>
        <v>0</v>
      </c>
      <c r="G574" s="259">
        <f>SUMIFS(SM_Process!$O$1:$O$10000,SM_Process!$C$1:$C$10000,Group!G$2,SM_Process!$B$1:$B$10000,Group!$C574)</f>
        <v>0</v>
      </c>
      <c r="H574" s="259">
        <f>SUMIFS(SM_Process!$O$1:$O$10000,SM_Process!$C$1:$C$10000,Group!H$2,SM_Process!$B$1:$B$10000,Group!$C574)</f>
        <v>0</v>
      </c>
      <c r="I574" s="259">
        <f>SUMIFS(SM_Material!$W$1:$W$10000,SM_Material!$D$1:$D$10000,Group!C574)</f>
        <v>0</v>
      </c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M574" s="1">
        <f>BOM!D574</f>
        <v>0</v>
      </c>
      <c r="AN574" s="1">
        <f>BOM!C574</f>
        <v>0</v>
      </c>
      <c r="AO574" s="1">
        <f>BOM!B574</f>
        <v>0</v>
      </c>
    </row>
    <row r="575" spans="2:41">
      <c r="B575" s="205">
        <v>573</v>
      </c>
      <c r="C575" s="659">
        <f t="shared" si="11"/>
        <v>0</v>
      </c>
      <c r="D575" s="1" t="s">
        <v>1203</v>
      </c>
      <c r="E575" s="259">
        <f>SUMIFS(SM_Material!$AE$1:$AE$10000,SM_Material!$D$1:$D$10000,Group!C575)</f>
        <v>0</v>
      </c>
      <c r="F575" s="259">
        <f>SUMIFS(SM_Process!$O$1:$O$10000,SM_Process!$C$1:$C$10000,Group!F$2,SM_Process!$B$1:$B$10000,Group!$C575)</f>
        <v>0</v>
      </c>
      <c r="G575" s="259">
        <f>SUMIFS(SM_Process!$O$1:$O$10000,SM_Process!$C$1:$C$10000,Group!G$2,SM_Process!$B$1:$B$10000,Group!$C575)</f>
        <v>0</v>
      </c>
      <c r="H575" s="259">
        <f>SUMIFS(SM_Process!$O$1:$O$10000,SM_Process!$C$1:$C$10000,Group!H$2,SM_Process!$B$1:$B$10000,Group!$C575)</f>
        <v>0</v>
      </c>
      <c r="I575" s="259">
        <f>SUMIFS(SM_Material!$W$1:$W$10000,SM_Material!$D$1:$D$10000,Group!C575)</f>
        <v>0</v>
      </c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M575" s="1">
        <f>BOM!D575</f>
        <v>0</v>
      </c>
      <c r="AN575" s="1">
        <f>BOM!C575</f>
        <v>0</v>
      </c>
      <c r="AO575" s="1">
        <f>BOM!B575</f>
        <v>0</v>
      </c>
    </row>
    <row r="576" spans="2:41">
      <c r="B576" s="205">
        <v>574</v>
      </c>
      <c r="C576" s="659">
        <f t="shared" si="11"/>
        <v>0</v>
      </c>
      <c r="D576" s="1" t="s">
        <v>1203</v>
      </c>
      <c r="E576" s="259">
        <f>SUMIFS(SM_Material!$AE$1:$AE$10000,SM_Material!$D$1:$D$10000,Group!C576)</f>
        <v>0</v>
      </c>
      <c r="F576" s="259">
        <f>SUMIFS(SM_Process!$O$1:$O$10000,SM_Process!$C$1:$C$10000,Group!F$2,SM_Process!$B$1:$B$10000,Group!$C576)</f>
        <v>0</v>
      </c>
      <c r="G576" s="259">
        <f>SUMIFS(SM_Process!$O$1:$O$10000,SM_Process!$C$1:$C$10000,Group!G$2,SM_Process!$B$1:$B$10000,Group!$C576)</f>
        <v>0</v>
      </c>
      <c r="H576" s="259">
        <f>SUMIFS(SM_Process!$O$1:$O$10000,SM_Process!$C$1:$C$10000,Group!H$2,SM_Process!$B$1:$B$10000,Group!$C576)</f>
        <v>0</v>
      </c>
      <c r="I576" s="259">
        <f>SUMIFS(SM_Material!$W$1:$W$10000,SM_Material!$D$1:$D$10000,Group!C576)</f>
        <v>0</v>
      </c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M576" s="1">
        <f>BOM!D576</f>
        <v>0</v>
      </c>
      <c r="AN576" s="1">
        <f>BOM!C576</f>
        <v>0</v>
      </c>
      <c r="AO576" s="1">
        <f>BOM!B576</f>
        <v>0</v>
      </c>
    </row>
    <row r="577" spans="2:41">
      <c r="B577" s="205">
        <v>575</v>
      </c>
      <c r="C577" s="659">
        <f t="shared" si="11"/>
        <v>0</v>
      </c>
      <c r="D577" s="1" t="s">
        <v>1203</v>
      </c>
      <c r="E577" s="259">
        <f>SUMIFS(SM_Material!$AE$1:$AE$10000,SM_Material!$D$1:$D$10000,Group!C577)</f>
        <v>0</v>
      </c>
      <c r="F577" s="259">
        <f>SUMIFS(SM_Process!$O$1:$O$10000,SM_Process!$C$1:$C$10000,Group!F$2,SM_Process!$B$1:$B$10000,Group!$C577)</f>
        <v>0</v>
      </c>
      <c r="G577" s="259">
        <f>SUMIFS(SM_Process!$O$1:$O$10000,SM_Process!$C$1:$C$10000,Group!G$2,SM_Process!$B$1:$B$10000,Group!$C577)</f>
        <v>0</v>
      </c>
      <c r="H577" s="259">
        <f>SUMIFS(SM_Process!$O$1:$O$10000,SM_Process!$C$1:$C$10000,Group!H$2,SM_Process!$B$1:$B$10000,Group!$C577)</f>
        <v>0</v>
      </c>
      <c r="I577" s="259">
        <f>SUMIFS(SM_Material!$W$1:$W$10000,SM_Material!$D$1:$D$10000,Group!C577)</f>
        <v>0</v>
      </c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M577" s="1">
        <f>BOM!D577</f>
        <v>0</v>
      </c>
      <c r="AN577" s="1">
        <f>BOM!C577</f>
        <v>0</v>
      </c>
      <c r="AO577" s="1">
        <f>BOM!B577</f>
        <v>0</v>
      </c>
    </row>
    <row r="578" spans="2:41">
      <c r="B578" s="205">
        <v>576</v>
      </c>
      <c r="C578" s="659">
        <f t="shared" si="11"/>
        <v>0</v>
      </c>
      <c r="D578" s="1" t="s">
        <v>1203</v>
      </c>
      <c r="E578" s="259">
        <f>SUMIFS(SM_Material!$AE$1:$AE$10000,SM_Material!$D$1:$D$10000,Group!C578)</f>
        <v>0</v>
      </c>
      <c r="F578" s="259">
        <f>SUMIFS(SM_Process!$O$1:$O$10000,SM_Process!$C$1:$C$10000,Group!F$2,SM_Process!$B$1:$B$10000,Group!$C578)</f>
        <v>0</v>
      </c>
      <c r="G578" s="259">
        <f>SUMIFS(SM_Process!$O$1:$O$10000,SM_Process!$C$1:$C$10000,Group!G$2,SM_Process!$B$1:$B$10000,Group!$C578)</f>
        <v>0</v>
      </c>
      <c r="H578" s="259">
        <f>SUMIFS(SM_Process!$O$1:$O$10000,SM_Process!$C$1:$C$10000,Group!H$2,SM_Process!$B$1:$B$10000,Group!$C578)</f>
        <v>0</v>
      </c>
      <c r="I578" s="259">
        <f>SUMIFS(SM_Material!$W$1:$W$10000,SM_Material!$D$1:$D$10000,Group!C578)</f>
        <v>0</v>
      </c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M578" s="1">
        <f>BOM!D578</f>
        <v>0</v>
      </c>
      <c r="AN578" s="1">
        <f>BOM!C578</f>
        <v>0</v>
      </c>
      <c r="AO578" s="1">
        <f>BOM!B578</f>
        <v>0</v>
      </c>
    </row>
    <row r="579" spans="2:41">
      <c r="B579" s="205">
        <v>577</v>
      </c>
      <c r="C579" s="659">
        <f t="shared" si="11"/>
        <v>0</v>
      </c>
      <c r="D579" s="1" t="s">
        <v>1203</v>
      </c>
      <c r="E579" s="259">
        <f>SUMIFS(SM_Material!$AE$1:$AE$10000,SM_Material!$D$1:$D$10000,Group!C579)</f>
        <v>0</v>
      </c>
      <c r="F579" s="259">
        <f>SUMIFS(SM_Process!$O$1:$O$10000,SM_Process!$C$1:$C$10000,Group!F$2,SM_Process!$B$1:$B$10000,Group!$C579)</f>
        <v>0</v>
      </c>
      <c r="G579" s="259">
        <f>SUMIFS(SM_Process!$O$1:$O$10000,SM_Process!$C$1:$C$10000,Group!G$2,SM_Process!$B$1:$B$10000,Group!$C579)</f>
        <v>0</v>
      </c>
      <c r="H579" s="259">
        <f>SUMIFS(SM_Process!$O$1:$O$10000,SM_Process!$C$1:$C$10000,Group!H$2,SM_Process!$B$1:$B$10000,Group!$C579)</f>
        <v>0</v>
      </c>
      <c r="I579" s="259">
        <f>SUMIFS(SM_Material!$W$1:$W$10000,SM_Material!$D$1:$D$10000,Group!C579)</f>
        <v>0</v>
      </c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M579" s="1">
        <f>BOM!D579</f>
        <v>0</v>
      </c>
      <c r="AN579" s="1">
        <f>BOM!C579</f>
        <v>0</v>
      </c>
      <c r="AO579" s="1">
        <f>BOM!B579</f>
        <v>0</v>
      </c>
    </row>
    <row r="580" spans="2:41">
      <c r="B580" s="205">
        <v>578</v>
      </c>
      <c r="C580" s="659">
        <f t="shared" si="11"/>
        <v>0</v>
      </c>
      <c r="D580" s="1" t="s">
        <v>1203</v>
      </c>
      <c r="E580" s="259">
        <f>SUMIFS(SM_Material!$AE$1:$AE$10000,SM_Material!$D$1:$D$10000,Group!C580)</f>
        <v>0</v>
      </c>
      <c r="F580" s="259">
        <f>SUMIFS(SM_Process!$O$1:$O$10000,SM_Process!$C$1:$C$10000,Group!F$2,SM_Process!$B$1:$B$10000,Group!$C580)</f>
        <v>0</v>
      </c>
      <c r="G580" s="259">
        <f>SUMIFS(SM_Process!$O$1:$O$10000,SM_Process!$C$1:$C$10000,Group!G$2,SM_Process!$B$1:$B$10000,Group!$C580)</f>
        <v>0</v>
      </c>
      <c r="H580" s="259">
        <f>SUMIFS(SM_Process!$O$1:$O$10000,SM_Process!$C$1:$C$10000,Group!H$2,SM_Process!$B$1:$B$10000,Group!$C580)</f>
        <v>0</v>
      </c>
      <c r="I580" s="259">
        <f>SUMIFS(SM_Material!$W$1:$W$10000,SM_Material!$D$1:$D$10000,Group!C580)</f>
        <v>0</v>
      </c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M580" s="1">
        <f>BOM!D580</f>
        <v>0</v>
      </c>
      <c r="AN580" s="1">
        <f>BOM!C580</f>
        <v>0</v>
      </c>
      <c r="AO580" s="1">
        <f>BOM!B580</f>
        <v>0</v>
      </c>
    </row>
    <row r="581" spans="2:41">
      <c r="B581" s="205">
        <v>579</v>
      </c>
      <c r="C581" s="659">
        <f t="shared" si="11"/>
        <v>0</v>
      </c>
      <c r="D581" s="1" t="s">
        <v>1203</v>
      </c>
      <c r="E581" s="259">
        <f>SUMIFS(SM_Material!$AE$1:$AE$10000,SM_Material!$D$1:$D$10000,Group!C581)</f>
        <v>0</v>
      </c>
      <c r="F581" s="259">
        <f>SUMIFS(SM_Process!$O$1:$O$10000,SM_Process!$C$1:$C$10000,Group!F$2,SM_Process!$B$1:$B$10000,Group!$C581)</f>
        <v>0</v>
      </c>
      <c r="G581" s="259">
        <f>SUMIFS(SM_Process!$O$1:$O$10000,SM_Process!$C$1:$C$10000,Group!G$2,SM_Process!$B$1:$B$10000,Group!$C581)</f>
        <v>0</v>
      </c>
      <c r="H581" s="259">
        <f>SUMIFS(SM_Process!$O$1:$O$10000,SM_Process!$C$1:$C$10000,Group!H$2,SM_Process!$B$1:$B$10000,Group!$C581)</f>
        <v>0</v>
      </c>
      <c r="I581" s="259">
        <f>SUMIFS(SM_Material!$W$1:$W$10000,SM_Material!$D$1:$D$10000,Group!C581)</f>
        <v>0</v>
      </c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M581" s="1">
        <f>BOM!D581</f>
        <v>0</v>
      </c>
      <c r="AN581" s="1">
        <f>BOM!C581</f>
        <v>0</v>
      </c>
      <c r="AO581" s="1">
        <f>BOM!B581</f>
        <v>0</v>
      </c>
    </row>
    <row r="582" spans="2:41">
      <c r="B582" s="205">
        <v>580</v>
      </c>
      <c r="C582" s="659">
        <f t="shared" si="11"/>
        <v>0</v>
      </c>
      <c r="D582" s="1" t="s">
        <v>1203</v>
      </c>
      <c r="E582" s="259">
        <f>SUMIFS(SM_Material!$AE$1:$AE$10000,SM_Material!$D$1:$D$10000,Group!C582)</f>
        <v>0</v>
      </c>
      <c r="F582" s="259">
        <f>SUMIFS(SM_Process!$O$1:$O$10000,SM_Process!$C$1:$C$10000,Group!F$2,SM_Process!$B$1:$B$10000,Group!$C582)</f>
        <v>0</v>
      </c>
      <c r="G582" s="259">
        <f>SUMIFS(SM_Process!$O$1:$O$10000,SM_Process!$C$1:$C$10000,Group!G$2,SM_Process!$B$1:$B$10000,Group!$C582)</f>
        <v>0</v>
      </c>
      <c r="H582" s="259">
        <f>SUMIFS(SM_Process!$O$1:$O$10000,SM_Process!$C$1:$C$10000,Group!H$2,SM_Process!$B$1:$B$10000,Group!$C582)</f>
        <v>0</v>
      </c>
      <c r="I582" s="259">
        <f>SUMIFS(SM_Material!$W$1:$W$10000,SM_Material!$D$1:$D$10000,Group!C582)</f>
        <v>0</v>
      </c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M582" s="1">
        <f>BOM!D582</f>
        <v>0</v>
      </c>
      <c r="AN582" s="1">
        <f>BOM!C582</f>
        <v>0</v>
      </c>
      <c r="AO582" s="1">
        <f>BOM!B582</f>
        <v>0</v>
      </c>
    </row>
    <row r="583" spans="2:41">
      <c r="B583" s="205">
        <v>581</v>
      </c>
      <c r="C583" s="659">
        <f t="shared" si="11"/>
        <v>0</v>
      </c>
      <c r="D583" s="1" t="s">
        <v>1203</v>
      </c>
      <c r="E583" s="259">
        <f>SUMIFS(SM_Material!$AE$1:$AE$10000,SM_Material!$D$1:$D$10000,Group!C583)</f>
        <v>0</v>
      </c>
      <c r="F583" s="259">
        <f>SUMIFS(SM_Process!$O$1:$O$10000,SM_Process!$C$1:$C$10000,Group!F$2,SM_Process!$B$1:$B$10000,Group!$C583)</f>
        <v>0</v>
      </c>
      <c r="G583" s="259">
        <f>SUMIFS(SM_Process!$O$1:$O$10000,SM_Process!$C$1:$C$10000,Group!G$2,SM_Process!$B$1:$B$10000,Group!$C583)</f>
        <v>0</v>
      </c>
      <c r="H583" s="259">
        <f>SUMIFS(SM_Process!$O$1:$O$10000,SM_Process!$C$1:$C$10000,Group!H$2,SM_Process!$B$1:$B$10000,Group!$C583)</f>
        <v>0</v>
      </c>
      <c r="I583" s="259">
        <f>SUMIFS(SM_Material!$W$1:$W$10000,SM_Material!$D$1:$D$10000,Group!C583)</f>
        <v>0</v>
      </c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M583" s="1">
        <f>BOM!D583</f>
        <v>0</v>
      </c>
      <c r="AN583" s="1">
        <f>BOM!C583</f>
        <v>0</v>
      </c>
      <c r="AO583" s="1">
        <f>BOM!B583</f>
        <v>0</v>
      </c>
    </row>
    <row r="584" spans="2:41">
      <c r="B584" s="205">
        <v>582</v>
      </c>
      <c r="C584" s="659">
        <f t="shared" si="11"/>
        <v>0</v>
      </c>
      <c r="D584" s="1" t="s">
        <v>1203</v>
      </c>
      <c r="E584" s="259">
        <f>SUMIFS(SM_Material!$AE$1:$AE$10000,SM_Material!$D$1:$D$10000,Group!C584)</f>
        <v>0</v>
      </c>
      <c r="F584" s="259">
        <f>SUMIFS(SM_Process!$O$1:$O$10000,SM_Process!$C$1:$C$10000,Group!F$2,SM_Process!$B$1:$B$10000,Group!$C584)</f>
        <v>0</v>
      </c>
      <c r="G584" s="259">
        <f>SUMIFS(SM_Process!$O$1:$O$10000,SM_Process!$C$1:$C$10000,Group!G$2,SM_Process!$B$1:$B$10000,Group!$C584)</f>
        <v>0</v>
      </c>
      <c r="H584" s="259">
        <f>SUMIFS(SM_Process!$O$1:$O$10000,SM_Process!$C$1:$C$10000,Group!H$2,SM_Process!$B$1:$B$10000,Group!$C584)</f>
        <v>0</v>
      </c>
      <c r="I584" s="259">
        <f>SUMIFS(SM_Material!$W$1:$W$10000,SM_Material!$D$1:$D$10000,Group!C584)</f>
        <v>0</v>
      </c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M584" s="1">
        <f>BOM!D584</f>
        <v>0</v>
      </c>
      <c r="AN584" s="1">
        <f>BOM!C584</f>
        <v>0</v>
      </c>
      <c r="AO584" s="1">
        <f>BOM!B584</f>
        <v>0</v>
      </c>
    </row>
    <row r="585" spans="2:41">
      <c r="B585" s="205">
        <v>583</v>
      </c>
      <c r="C585" s="659">
        <f t="shared" si="11"/>
        <v>0</v>
      </c>
      <c r="D585" s="1" t="s">
        <v>1203</v>
      </c>
      <c r="E585" s="259">
        <f>SUMIFS(SM_Material!$AE$1:$AE$10000,SM_Material!$D$1:$D$10000,Group!C585)</f>
        <v>0</v>
      </c>
      <c r="F585" s="259">
        <f>SUMIFS(SM_Process!$O$1:$O$10000,SM_Process!$C$1:$C$10000,Group!F$2,SM_Process!$B$1:$B$10000,Group!$C585)</f>
        <v>0</v>
      </c>
      <c r="G585" s="259">
        <f>SUMIFS(SM_Process!$O$1:$O$10000,SM_Process!$C$1:$C$10000,Group!G$2,SM_Process!$B$1:$B$10000,Group!$C585)</f>
        <v>0</v>
      </c>
      <c r="H585" s="259">
        <f>SUMIFS(SM_Process!$O$1:$O$10000,SM_Process!$C$1:$C$10000,Group!H$2,SM_Process!$B$1:$B$10000,Group!$C585)</f>
        <v>0</v>
      </c>
      <c r="I585" s="259">
        <f>SUMIFS(SM_Material!$W$1:$W$10000,SM_Material!$D$1:$D$10000,Group!C585)</f>
        <v>0</v>
      </c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M585" s="1">
        <f>BOM!D585</f>
        <v>0</v>
      </c>
      <c r="AN585" s="1">
        <f>BOM!C585</f>
        <v>0</v>
      </c>
      <c r="AO585" s="1">
        <f>BOM!B585</f>
        <v>0</v>
      </c>
    </row>
    <row r="586" spans="2:41">
      <c r="B586" s="205">
        <v>584</v>
      </c>
      <c r="C586" s="659">
        <f t="shared" si="11"/>
        <v>0</v>
      </c>
      <c r="D586" s="1" t="s">
        <v>1203</v>
      </c>
      <c r="E586" s="259">
        <f>SUMIFS(SM_Material!$AE$1:$AE$10000,SM_Material!$D$1:$D$10000,Group!C586)</f>
        <v>0</v>
      </c>
      <c r="F586" s="259">
        <f>SUMIFS(SM_Process!$O$1:$O$10000,SM_Process!$C$1:$C$10000,Group!F$2,SM_Process!$B$1:$B$10000,Group!$C586)</f>
        <v>0</v>
      </c>
      <c r="G586" s="259">
        <f>SUMIFS(SM_Process!$O$1:$O$10000,SM_Process!$C$1:$C$10000,Group!G$2,SM_Process!$B$1:$B$10000,Group!$C586)</f>
        <v>0</v>
      </c>
      <c r="H586" s="259">
        <f>SUMIFS(SM_Process!$O$1:$O$10000,SM_Process!$C$1:$C$10000,Group!H$2,SM_Process!$B$1:$B$10000,Group!$C586)</f>
        <v>0</v>
      </c>
      <c r="I586" s="259">
        <f>SUMIFS(SM_Material!$W$1:$W$10000,SM_Material!$D$1:$D$10000,Group!C586)</f>
        <v>0</v>
      </c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M586" s="1">
        <f>BOM!D586</f>
        <v>0</v>
      </c>
      <c r="AN586" s="1">
        <f>BOM!C586</f>
        <v>0</v>
      </c>
      <c r="AO586" s="1">
        <f>BOM!B586</f>
        <v>0</v>
      </c>
    </row>
    <row r="587" spans="2:41">
      <c r="B587" s="205">
        <v>585</v>
      </c>
      <c r="C587" s="659">
        <f t="shared" si="11"/>
        <v>0</v>
      </c>
      <c r="D587" s="1" t="s">
        <v>1203</v>
      </c>
      <c r="E587" s="259">
        <f>SUMIFS(SM_Material!$AE$1:$AE$10000,SM_Material!$D$1:$D$10000,Group!C587)</f>
        <v>0</v>
      </c>
      <c r="F587" s="259">
        <f>SUMIFS(SM_Process!$O$1:$O$10000,SM_Process!$C$1:$C$10000,Group!F$2,SM_Process!$B$1:$B$10000,Group!$C587)</f>
        <v>0</v>
      </c>
      <c r="G587" s="259">
        <f>SUMIFS(SM_Process!$O$1:$O$10000,SM_Process!$C$1:$C$10000,Group!G$2,SM_Process!$B$1:$B$10000,Group!$C587)</f>
        <v>0</v>
      </c>
      <c r="H587" s="259">
        <f>SUMIFS(SM_Process!$O$1:$O$10000,SM_Process!$C$1:$C$10000,Group!H$2,SM_Process!$B$1:$B$10000,Group!$C587)</f>
        <v>0</v>
      </c>
      <c r="I587" s="259">
        <f>SUMIFS(SM_Material!$W$1:$W$10000,SM_Material!$D$1:$D$10000,Group!C587)</f>
        <v>0</v>
      </c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M587" s="1">
        <f>BOM!D587</f>
        <v>0</v>
      </c>
      <c r="AN587" s="1">
        <f>BOM!C587</f>
        <v>0</v>
      </c>
      <c r="AO587" s="1">
        <f>BOM!B587</f>
        <v>0</v>
      </c>
    </row>
    <row r="588" spans="2:41">
      <c r="B588" s="205">
        <v>586</v>
      </c>
      <c r="C588" s="659">
        <f t="shared" si="11"/>
        <v>0</v>
      </c>
      <c r="D588" s="1" t="s">
        <v>1203</v>
      </c>
      <c r="E588" s="259">
        <f>SUMIFS(SM_Material!$AE$1:$AE$10000,SM_Material!$D$1:$D$10000,Group!C588)</f>
        <v>0</v>
      </c>
      <c r="F588" s="259">
        <f>SUMIFS(SM_Process!$O$1:$O$10000,SM_Process!$C$1:$C$10000,Group!F$2,SM_Process!$B$1:$B$10000,Group!$C588)</f>
        <v>0</v>
      </c>
      <c r="G588" s="259">
        <f>SUMIFS(SM_Process!$O$1:$O$10000,SM_Process!$C$1:$C$10000,Group!G$2,SM_Process!$B$1:$B$10000,Group!$C588)</f>
        <v>0</v>
      </c>
      <c r="H588" s="259">
        <f>SUMIFS(SM_Process!$O$1:$O$10000,SM_Process!$C$1:$C$10000,Group!H$2,SM_Process!$B$1:$B$10000,Group!$C588)</f>
        <v>0</v>
      </c>
      <c r="I588" s="259">
        <f>SUMIFS(SM_Material!$W$1:$W$10000,SM_Material!$D$1:$D$10000,Group!C588)</f>
        <v>0</v>
      </c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M588" s="1">
        <f>BOM!D588</f>
        <v>0</v>
      </c>
      <c r="AN588" s="1">
        <f>BOM!C588</f>
        <v>0</v>
      </c>
      <c r="AO588" s="1">
        <f>BOM!B588</f>
        <v>0</v>
      </c>
    </row>
    <row r="589" spans="2:41">
      <c r="B589" s="205">
        <v>587</v>
      </c>
      <c r="C589" s="659">
        <f t="shared" si="11"/>
        <v>0</v>
      </c>
      <c r="D589" s="1" t="s">
        <v>1203</v>
      </c>
      <c r="E589" s="259">
        <f>SUMIFS(SM_Material!$AE$1:$AE$10000,SM_Material!$D$1:$D$10000,Group!C589)</f>
        <v>0</v>
      </c>
      <c r="F589" s="259">
        <f>SUMIFS(SM_Process!$O$1:$O$10000,SM_Process!$C$1:$C$10000,Group!F$2,SM_Process!$B$1:$B$10000,Group!$C589)</f>
        <v>0</v>
      </c>
      <c r="G589" s="259">
        <f>SUMIFS(SM_Process!$O$1:$O$10000,SM_Process!$C$1:$C$10000,Group!G$2,SM_Process!$B$1:$B$10000,Group!$C589)</f>
        <v>0</v>
      </c>
      <c r="H589" s="259">
        <f>SUMIFS(SM_Process!$O$1:$O$10000,SM_Process!$C$1:$C$10000,Group!H$2,SM_Process!$B$1:$B$10000,Group!$C589)</f>
        <v>0</v>
      </c>
      <c r="I589" s="259">
        <f>SUMIFS(SM_Material!$W$1:$W$10000,SM_Material!$D$1:$D$10000,Group!C589)</f>
        <v>0</v>
      </c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M589" s="1">
        <f>BOM!D589</f>
        <v>0</v>
      </c>
      <c r="AN589" s="1">
        <f>BOM!C589</f>
        <v>0</v>
      </c>
      <c r="AO589" s="1">
        <f>BOM!B589</f>
        <v>0</v>
      </c>
    </row>
    <row r="590" spans="2:41">
      <c r="B590" s="205">
        <v>588</v>
      </c>
      <c r="C590" s="659">
        <f t="shared" si="11"/>
        <v>0</v>
      </c>
      <c r="D590" s="1" t="s">
        <v>1203</v>
      </c>
      <c r="E590" s="259">
        <f>SUMIFS(SM_Material!$AE$1:$AE$10000,SM_Material!$D$1:$D$10000,Group!C590)</f>
        <v>0</v>
      </c>
      <c r="F590" s="259">
        <f>SUMIFS(SM_Process!$O$1:$O$10000,SM_Process!$C$1:$C$10000,Group!F$2,SM_Process!$B$1:$B$10000,Group!$C590)</f>
        <v>0</v>
      </c>
      <c r="G590" s="259">
        <f>SUMIFS(SM_Process!$O$1:$O$10000,SM_Process!$C$1:$C$10000,Group!G$2,SM_Process!$B$1:$B$10000,Group!$C590)</f>
        <v>0</v>
      </c>
      <c r="H590" s="259">
        <f>SUMIFS(SM_Process!$O$1:$O$10000,SM_Process!$C$1:$C$10000,Group!H$2,SM_Process!$B$1:$B$10000,Group!$C590)</f>
        <v>0</v>
      </c>
      <c r="I590" s="259">
        <f>SUMIFS(SM_Material!$W$1:$W$10000,SM_Material!$D$1:$D$10000,Group!C590)</f>
        <v>0</v>
      </c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M590" s="1">
        <f>BOM!D590</f>
        <v>0</v>
      </c>
      <c r="AN590" s="1">
        <f>BOM!C590</f>
        <v>0</v>
      </c>
      <c r="AO590" s="1">
        <f>BOM!B590</f>
        <v>0</v>
      </c>
    </row>
    <row r="591" spans="2:41">
      <c r="B591" s="205">
        <v>589</v>
      </c>
      <c r="C591" s="659">
        <f t="shared" si="11"/>
        <v>0</v>
      </c>
      <c r="D591" s="1" t="s">
        <v>1203</v>
      </c>
      <c r="E591" s="259">
        <f>SUMIFS(SM_Material!$AE$1:$AE$10000,SM_Material!$D$1:$D$10000,Group!C591)</f>
        <v>0</v>
      </c>
      <c r="F591" s="259">
        <f>SUMIFS(SM_Process!$O$1:$O$10000,SM_Process!$C$1:$C$10000,Group!F$2,SM_Process!$B$1:$B$10000,Group!$C591)</f>
        <v>0</v>
      </c>
      <c r="G591" s="259">
        <f>SUMIFS(SM_Process!$O$1:$O$10000,SM_Process!$C$1:$C$10000,Group!G$2,SM_Process!$B$1:$B$10000,Group!$C591)</f>
        <v>0</v>
      </c>
      <c r="H591" s="259">
        <f>SUMIFS(SM_Process!$O$1:$O$10000,SM_Process!$C$1:$C$10000,Group!H$2,SM_Process!$B$1:$B$10000,Group!$C591)</f>
        <v>0</v>
      </c>
      <c r="I591" s="259">
        <f>SUMIFS(SM_Material!$W$1:$W$10000,SM_Material!$D$1:$D$10000,Group!C591)</f>
        <v>0</v>
      </c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M591" s="1">
        <f>BOM!D591</f>
        <v>0</v>
      </c>
      <c r="AN591" s="1">
        <f>BOM!C591</f>
        <v>0</v>
      </c>
      <c r="AO591" s="1">
        <f>BOM!B591</f>
        <v>0</v>
      </c>
    </row>
    <row r="592" spans="2:41">
      <c r="B592" s="205">
        <v>590</v>
      </c>
      <c r="C592" s="659">
        <f t="shared" si="11"/>
        <v>0</v>
      </c>
      <c r="D592" s="1" t="s">
        <v>1203</v>
      </c>
      <c r="E592" s="259">
        <f>SUMIFS(SM_Material!$AE$1:$AE$10000,SM_Material!$D$1:$D$10000,Group!C592)</f>
        <v>0</v>
      </c>
      <c r="F592" s="259">
        <f>SUMIFS(SM_Process!$O$1:$O$10000,SM_Process!$C$1:$C$10000,Group!F$2,SM_Process!$B$1:$B$10000,Group!$C592)</f>
        <v>0</v>
      </c>
      <c r="G592" s="259">
        <f>SUMIFS(SM_Process!$O$1:$O$10000,SM_Process!$C$1:$C$10000,Group!G$2,SM_Process!$B$1:$B$10000,Group!$C592)</f>
        <v>0</v>
      </c>
      <c r="H592" s="259">
        <f>SUMIFS(SM_Process!$O$1:$O$10000,SM_Process!$C$1:$C$10000,Group!H$2,SM_Process!$B$1:$B$10000,Group!$C592)</f>
        <v>0</v>
      </c>
      <c r="I592" s="259">
        <f>SUMIFS(SM_Material!$W$1:$W$10000,SM_Material!$D$1:$D$10000,Group!C592)</f>
        <v>0</v>
      </c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M592" s="1">
        <f>BOM!D592</f>
        <v>0</v>
      </c>
      <c r="AN592" s="1">
        <f>BOM!C592</f>
        <v>0</v>
      </c>
      <c r="AO592" s="1">
        <f>BOM!B592</f>
        <v>0</v>
      </c>
    </row>
    <row r="593" spans="2:41">
      <c r="B593" s="205">
        <v>591</v>
      </c>
      <c r="C593" s="659">
        <f t="shared" si="11"/>
        <v>0</v>
      </c>
      <c r="D593" s="1" t="s">
        <v>1203</v>
      </c>
      <c r="E593" s="259">
        <f>SUMIFS(SM_Material!$AE$1:$AE$10000,SM_Material!$D$1:$D$10000,Group!C593)</f>
        <v>0</v>
      </c>
      <c r="F593" s="259">
        <f>SUMIFS(SM_Process!$O$1:$O$10000,SM_Process!$C$1:$C$10000,Group!F$2,SM_Process!$B$1:$B$10000,Group!$C593)</f>
        <v>0</v>
      </c>
      <c r="G593" s="259">
        <f>SUMIFS(SM_Process!$O$1:$O$10000,SM_Process!$C$1:$C$10000,Group!G$2,SM_Process!$B$1:$B$10000,Group!$C593)</f>
        <v>0</v>
      </c>
      <c r="H593" s="259">
        <f>SUMIFS(SM_Process!$O$1:$O$10000,SM_Process!$C$1:$C$10000,Group!H$2,SM_Process!$B$1:$B$10000,Group!$C593)</f>
        <v>0</v>
      </c>
      <c r="I593" s="259">
        <f>SUMIFS(SM_Material!$W$1:$W$10000,SM_Material!$D$1:$D$10000,Group!C593)</f>
        <v>0</v>
      </c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M593" s="1">
        <f>BOM!D593</f>
        <v>0</v>
      </c>
      <c r="AN593" s="1">
        <f>BOM!C593</f>
        <v>0</v>
      </c>
      <c r="AO593" s="1">
        <f>BOM!B593</f>
        <v>0</v>
      </c>
    </row>
    <row r="594" spans="2:41">
      <c r="B594" s="205">
        <v>592</v>
      </c>
      <c r="C594" s="659">
        <f t="shared" si="11"/>
        <v>0</v>
      </c>
      <c r="D594" s="1" t="s">
        <v>1203</v>
      </c>
      <c r="E594" s="259">
        <f>SUMIFS(SM_Material!$AE$1:$AE$10000,SM_Material!$D$1:$D$10000,Group!C594)</f>
        <v>0</v>
      </c>
      <c r="F594" s="259">
        <f>SUMIFS(SM_Process!$O$1:$O$10000,SM_Process!$C$1:$C$10000,Group!F$2,SM_Process!$B$1:$B$10000,Group!$C594)</f>
        <v>0</v>
      </c>
      <c r="G594" s="259">
        <f>SUMIFS(SM_Process!$O$1:$O$10000,SM_Process!$C$1:$C$10000,Group!G$2,SM_Process!$B$1:$B$10000,Group!$C594)</f>
        <v>0</v>
      </c>
      <c r="H594" s="259">
        <f>SUMIFS(SM_Process!$O$1:$O$10000,SM_Process!$C$1:$C$10000,Group!H$2,SM_Process!$B$1:$B$10000,Group!$C594)</f>
        <v>0</v>
      </c>
      <c r="I594" s="259">
        <f>SUMIFS(SM_Material!$W$1:$W$10000,SM_Material!$D$1:$D$10000,Group!C594)</f>
        <v>0</v>
      </c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M594" s="1">
        <f>BOM!D594</f>
        <v>0</v>
      </c>
      <c r="AN594" s="1">
        <f>BOM!C594</f>
        <v>0</v>
      </c>
      <c r="AO594" s="1">
        <f>BOM!B594</f>
        <v>0</v>
      </c>
    </row>
    <row r="595" spans="2:41">
      <c r="B595" s="205">
        <v>593</v>
      </c>
      <c r="C595" s="659">
        <f t="shared" si="11"/>
        <v>0</v>
      </c>
      <c r="D595" s="1" t="s">
        <v>1203</v>
      </c>
      <c r="E595" s="259">
        <f>SUMIFS(SM_Material!$AE$1:$AE$10000,SM_Material!$D$1:$D$10000,Group!C595)</f>
        <v>0</v>
      </c>
      <c r="F595" s="259">
        <f>SUMIFS(SM_Process!$O$1:$O$10000,SM_Process!$C$1:$C$10000,Group!F$2,SM_Process!$B$1:$B$10000,Group!$C595)</f>
        <v>0</v>
      </c>
      <c r="G595" s="259">
        <f>SUMIFS(SM_Process!$O$1:$O$10000,SM_Process!$C$1:$C$10000,Group!G$2,SM_Process!$B$1:$B$10000,Group!$C595)</f>
        <v>0</v>
      </c>
      <c r="H595" s="259">
        <f>SUMIFS(SM_Process!$O$1:$O$10000,SM_Process!$C$1:$C$10000,Group!H$2,SM_Process!$B$1:$B$10000,Group!$C595)</f>
        <v>0</v>
      </c>
      <c r="I595" s="259">
        <f>SUMIFS(SM_Material!$W$1:$W$10000,SM_Material!$D$1:$D$10000,Group!C595)</f>
        <v>0</v>
      </c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M595" s="1">
        <f>BOM!D595</f>
        <v>0</v>
      </c>
      <c r="AN595" s="1">
        <f>BOM!C595</f>
        <v>0</v>
      </c>
      <c r="AO595" s="1">
        <f>BOM!B595</f>
        <v>0</v>
      </c>
    </row>
    <row r="596" spans="2:41">
      <c r="B596" s="205">
        <v>594</v>
      </c>
      <c r="C596" s="659">
        <f t="shared" si="11"/>
        <v>0</v>
      </c>
      <c r="D596" s="1" t="s">
        <v>1203</v>
      </c>
      <c r="E596" s="259">
        <f>SUMIFS(SM_Material!$AE$1:$AE$10000,SM_Material!$D$1:$D$10000,Group!C596)</f>
        <v>0</v>
      </c>
      <c r="F596" s="259">
        <f>SUMIFS(SM_Process!$O$1:$O$10000,SM_Process!$C$1:$C$10000,Group!F$2,SM_Process!$B$1:$B$10000,Group!$C596)</f>
        <v>0</v>
      </c>
      <c r="G596" s="259">
        <f>SUMIFS(SM_Process!$O$1:$O$10000,SM_Process!$C$1:$C$10000,Group!G$2,SM_Process!$B$1:$B$10000,Group!$C596)</f>
        <v>0</v>
      </c>
      <c r="H596" s="259">
        <f>SUMIFS(SM_Process!$O$1:$O$10000,SM_Process!$C$1:$C$10000,Group!H$2,SM_Process!$B$1:$B$10000,Group!$C596)</f>
        <v>0</v>
      </c>
      <c r="I596" s="259">
        <f>SUMIFS(SM_Material!$W$1:$W$10000,SM_Material!$D$1:$D$10000,Group!C596)</f>
        <v>0</v>
      </c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M596" s="1">
        <f>BOM!D596</f>
        <v>0</v>
      </c>
      <c r="AN596" s="1">
        <f>BOM!C596</f>
        <v>0</v>
      </c>
      <c r="AO596" s="1">
        <f>BOM!B596</f>
        <v>0</v>
      </c>
    </row>
    <row r="597" spans="2:41">
      <c r="B597" s="205">
        <v>595</v>
      </c>
      <c r="C597" s="659">
        <f t="shared" si="11"/>
        <v>0</v>
      </c>
      <c r="D597" s="1" t="s">
        <v>1203</v>
      </c>
      <c r="E597" s="259">
        <f>SUMIFS(SM_Material!$AE$1:$AE$10000,SM_Material!$D$1:$D$10000,Group!C597)</f>
        <v>0</v>
      </c>
      <c r="F597" s="259">
        <f>SUMIFS(SM_Process!$O$1:$O$10000,SM_Process!$C$1:$C$10000,Group!F$2,SM_Process!$B$1:$B$10000,Group!$C597)</f>
        <v>0</v>
      </c>
      <c r="G597" s="259">
        <f>SUMIFS(SM_Process!$O$1:$O$10000,SM_Process!$C$1:$C$10000,Group!G$2,SM_Process!$B$1:$B$10000,Group!$C597)</f>
        <v>0</v>
      </c>
      <c r="H597" s="259">
        <f>SUMIFS(SM_Process!$O$1:$O$10000,SM_Process!$C$1:$C$10000,Group!H$2,SM_Process!$B$1:$B$10000,Group!$C597)</f>
        <v>0</v>
      </c>
      <c r="I597" s="259">
        <f>SUMIFS(SM_Material!$W$1:$W$10000,SM_Material!$D$1:$D$10000,Group!C597)</f>
        <v>0</v>
      </c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M597" s="1">
        <f>BOM!D597</f>
        <v>0</v>
      </c>
      <c r="AN597" s="1">
        <f>BOM!C597</f>
        <v>0</v>
      </c>
      <c r="AO597" s="1">
        <f>BOM!B597</f>
        <v>0</v>
      </c>
    </row>
    <row r="598" spans="2:41">
      <c r="B598" s="205">
        <v>596</v>
      </c>
      <c r="C598" s="659">
        <f t="shared" si="11"/>
        <v>0</v>
      </c>
      <c r="D598" s="1" t="s">
        <v>1203</v>
      </c>
      <c r="E598" s="259">
        <f>SUMIFS(SM_Material!$AE$1:$AE$10000,SM_Material!$D$1:$D$10000,Group!C598)</f>
        <v>0</v>
      </c>
      <c r="F598" s="259">
        <f>SUMIFS(SM_Process!$O$1:$O$10000,SM_Process!$C$1:$C$10000,Group!F$2,SM_Process!$B$1:$B$10000,Group!$C598)</f>
        <v>0</v>
      </c>
      <c r="G598" s="259">
        <f>SUMIFS(SM_Process!$O$1:$O$10000,SM_Process!$C$1:$C$10000,Group!G$2,SM_Process!$B$1:$B$10000,Group!$C598)</f>
        <v>0</v>
      </c>
      <c r="H598" s="259">
        <f>SUMIFS(SM_Process!$O$1:$O$10000,SM_Process!$C$1:$C$10000,Group!H$2,SM_Process!$B$1:$B$10000,Group!$C598)</f>
        <v>0</v>
      </c>
      <c r="I598" s="259">
        <f>SUMIFS(SM_Material!$W$1:$W$10000,SM_Material!$D$1:$D$10000,Group!C598)</f>
        <v>0</v>
      </c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M598" s="1">
        <f>BOM!D598</f>
        <v>0</v>
      </c>
      <c r="AN598" s="1">
        <f>BOM!C598</f>
        <v>0</v>
      </c>
      <c r="AO598" s="1">
        <f>BOM!B598</f>
        <v>0</v>
      </c>
    </row>
    <row r="599" spans="2:41">
      <c r="B599" s="205">
        <v>597</v>
      </c>
      <c r="C599" s="659">
        <f t="shared" si="11"/>
        <v>0</v>
      </c>
      <c r="D599" s="1" t="s">
        <v>1203</v>
      </c>
      <c r="E599" s="259">
        <f>SUMIFS(SM_Material!$AE$1:$AE$10000,SM_Material!$D$1:$D$10000,Group!C599)</f>
        <v>0</v>
      </c>
      <c r="F599" s="259">
        <f>SUMIFS(SM_Process!$O$1:$O$10000,SM_Process!$C$1:$C$10000,Group!F$2,SM_Process!$B$1:$B$10000,Group!$C599)</f>
        <v>0</v>
      </c>
      <c r="G599" s="259">
        <f>SUMIFS(SM_Process!$O$1:$O$10000,SM_Process!$C$1:$C$10000,Group!G$2,SM_Process!$B$1:$B$10000,Group!$C599)</f>
        <v>0</v>
      </c>
      <c r="H599" s="259">
        <f>SUMIFS(SM_Process!$O$1:$O$10000,SM_Process!$C$1:$C$10000,Group!H$2,SM_Process!$B$1:$B$10000,Group!$C599)</f>
        <v>0</v>
      </c>
      <c r="I599" s="259">
        <f>SUMIFS(SM_Material!$W$1:$W$10000,SM_Material!$D$1:$D$10000,Group!C599)</f>
        <v>0</v>
      </c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M599" s="1">
        <f>BOM!D599</f>
        <v>0</v>
      </c>
      <c r="AN599" s="1">
        <f>BOM!C599</f>
        <v>0</v>
      </c>
      <c r="AO599" s="1">
        <f>BOM!B599</f>
        <v>0</v>
      </c>
    </row>
    <row r="600" spans="2:41">
      <c r="B600" s="205">
        <v>598</v>
      </c>
      <c r="C600" s="659">
        <f t="shared" si="11"/>
        <v>0</v>
      </c>
      <c r="D600" s="1" t="s">
        <v>1203</v>
      </c>
      <c r="E600" s="259">
        <f>SUMIFS(SM_Material!$AE$1:$AE$10000,SM_Material!$D$1:$D$10000,Group!C600)</f>
        <v>0</v>
      </c>
      <c r="F600" s="259">
        <f>SUMIFS(SM_Process!$O$1:$O$10000,SM_Process!$C$1:$C$10000,Group!F$2,SM_Process!$B$1:$B$10000,Group!$C600)</f>
        <v>0</v>
      </c>
      <c r="G600" s="259">
        <f>SUMIFS(SM_Process!$O$1:$O$10000,SM_Process!$C$1:$C$10000,Group!G$2,SM_Process!$B$1:$B$10000,Group!$C600)</f>
        <v>0</v>
      </c>
      <c r="H600" s="259">
        <f>SUMIFS(SM_Process!$O$1:$O$10000,SM_Process!$C$1:$C$10000,Group!H$2,SM_Process!$B$1:$B$10000,Group!$C600)</f>
        <v>0</v>
      </c>
      <c r="I600" s="259">
        <f>SUMIFS(SM_Material!$W$1:$W$10000,SM_Material!$D$1:$D$10000,Group!C600)</f>
        <v>0</v>
      </c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M600" s="1">
        <f>BOM!D600</f>
        <v>0</v>
      </c>
      <c r="AN600" s="1">
        <f>BOM!C600</f>
        <v>0</v>
      </c>
      <c r="AO600" s="1">
        <f>BOM!B600</f>
        <v>0</v>
      </c>
    </row>
    <row r="601" spans="2:41">
      <c r="B601" s="205">
        <v>599</v>
      </c>
      <c r="C601" s="659">
        <f t="shared" si="11"/>
        <v>0</v>
      </c>
      <c r="D601" s="1" t="s">
        <v>1203</v>
      </c>
      <c r="E601" s="259">
        <f>SUMIFS(SM_Material!$AE$1:$AE$10000,SM_Material!$D$1:$D$10000,Group!C601)</f>
        <v>0</v>
      </c>
      <c r="F601" s="259">
        <f>SUMIFS(SM_Process!$O$1:$O$10000,SM_Process!$C$1:$C$10000,Group!F$2,SM_Process!$B$1:$B$10000,Group!$C601)</f>
        <v>0</v>
      </c>
      <c r="G601" s="259">
        <f>SUMIFS(SM_Process!$O$1:$O$10000,SM_Process!$C$1:$C$10000,Group!G$2,SM_Process!$B$1:$B$10000,Group!$C601)</f>
        <v>0</v>
      </c>
      <c r="H601" s="259">
        <f>SUMIFS(SM_Process!$O$1:$O$10000,SM_Process!$C$1:$C$10000,Group!H$2,SM_Process!$B$1:$B$10000,Group!$C601)</f>
        <v>0</v>
      </c>
      <c r="I601" s="259">
        <f>SUMIFS(SM_Material!$W$1:$W$10000,SM_Material!$D$1:$D$10000,Group!C601)</f>
        <v>0</v>
      </c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M601" s="1">
        <f>BOM!D601</f>
        <v>0</v>
      </c>
      <c r="AN601" s="1">
        <f>BOM!C601</f>
        <v>0</v>
      </c>
      <c r="AO601" s="1">
        <f>BOM!B601</f>
        <v>0</v>
      </c>
    </row>
    <row r="602" spans="2:41">
      <c r="B602" s="205">
        <v>600</v>
      </c>
      <c r="C602" s="659">
        <f t="shared" si="11"/>
        <v>0</v>
      </c>
      <c r="D602" s="1" t="s">
        <v>1203</v>
      </c>
      <c r="E602" s="259">
        <f>SUMIFS(SM_Material!$AE$1:$AE$10000,SM_Material!$D$1:$D$10000,Group!C602)</f>
        <v>0</v>
      </c>
      <c r="F602" s="259">
        <f>SUMIFS(SM_Process!$O$1:$O$10000,SM_Process!$C$1:$C$10000,Group!F$2,SM_Process!$B$1:$B$10000,Group!$C602)</f>
        <v>0</v>
      </c>
      <c r="G602" s="259">
        <f>SUMIFS(SM_Process!$O$1:$O$10000,SM_Process!$C$1:$C$10000,Group!G$2,SM_Process!$B$1:$B$10000,Group!$C602)</f>
        <v>0</v>
      </c>
      <c r="H602" s="259">
        <f>SUMIFS(SM_Process!$O$1:$O$10000,SM_Process!$C$1:$C$10000,Group!H$2,SM_Process!$B$1:$B$10000,Group!$C602)</f>
        <v>0</v>
      </c>
      <c r="I602" s="259">
        <f>SUMIFS(SM_Material!$W$1:$W$10000,SM_Material!$D$1:$D$10000,Group!C602)</f>
        <v>0</v>
      </c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M602" s="1">
        <f>BOM!D602</f>
        <v>0</v>
      </c>
      <c r="AN602" s="1">
        <f>BOM!C602</f>
        <v>0</v>
      </c>
      <c r="AO602" s="1">
        <f>BOM!B602</f>
        <v>0</v>
      </c>
    </row>
    <row r="603" spans="2:41">
      <c r="B603" s="205">
        <v>601</v>
      </c>
      <c r="C603" s="659">
        <f t="shared" si="11"/>
        <v>0</v>
      </c>
      <c r="D603" s="1" t="s">
        <v>1203</v>
      </c>
      <c r="E603" s="259">
        <f>SUMIFS(SM_Material!$AE$1:$AE$10000,SM_Material!$D$1:$D$10000,Group!C603)</f>
        <v>0</v>
      </c>
      <c r="F603" s="259">
        <f>SUMIFS(SM_Process!$O$1:$O$10000,SM_Process!$C$1:$C$10000,Group!F$2,SM_Process!$B$1:$B$10000,Group!$C603)</f>
        <v>0</v>
      </c>
      <c r="G603" s="259">
        <f>SUMIFS(SM_Process!$O$1:$O$10000,SM_Process!$C$1:$C$10000,Group!G$2,SM_Process!$B$1:$B$10000,Group!$C603)</f>
        <v>0</v>
      </c>
      <c r="H603" s="259">
        <f>SUMIFS(SM_Process!$O$1:$O$10000,SM_Process!$C$1:$C$10000,Group!H$2,SM_Process!$B$1:$B$10000,Group!$C603)</f>
        <v>0</v>
      </c>
      <c r="I603" s="259">
        <f>SUMIFS(SM_Material!$W$1:$W$10000,SM_Material!$D$1:$D$10000,Group!C603)</f>
        <v>0</v>
      </c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M603" s="1">
        <f>BOM!D603</f>
        <v>0</v>
      </c>
      <c r="AN603" s="1">
        <f>BOM!C603</f>
        <v>0</v>
      </c>
      <c r="AO603" s="1">
        <f>BOM!B603</f>
        <v>0</v>
      </c>
    </row>
    <row r="604" spans="2:41">
      <c r="B604" s="205">
        <v>602</v>
      </c>
      <c r="C604" s="659">
        <f t="shared" ref="C604:C633" si="12">K195</f>
        <v>0</v>
      </c>
      <c r="D604" s="1" t="s">
        <v>1203</v>
      </c>
      <c r="E604" s="259">
        <f>SUMIFS(SM_Material!$AE$1:$AE$10000,SM_Material!$D$1:$D$10000,Group!C604)</f>
        <v>0</v>
      </c>
      <c r="F604" s="259">
        <f>SUMIFS(SM_Process!$O$1:$O$10000,SM_Process!$C$1:$C$10000,Group!F$2,SM_Process!$B$1:$B$10000,Group!$C604)</f>
        <v>0</v>
      </c>
      <c r="G604" s="259">
        <f>SUMIFS(SM_Process!$O$1:$O$10000,SM_Process!$C$1:$C$10000,Group!G$2,SM_Process!$B$1:$B$10000,Group!$C604)</f>
        <v>0</v>
      </c>
      <c r="H604" s="259">
        <f>SUMIFS(SM_Process!$O$1:$O$10000,SM_Process!$C$1:$C$10000,Group!H$2,SM_Process!$B$1:$B$10000,Group!$C604)</f>
        <v>0</v>
      </c>
      <c r="I604" s="259">
        <f>SUMIFS(SM_Material!$W$1:$W$10000,SM_Material!$D$1:$D$10000,Group!C604)</f>
        <v>0</v>
      </c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M604" s="1">
        <f>BOM!D604</f>
        <v>0</v>
      </c>
      <c r="AN604" s="1">
        <f>BOM!C604</f>
        <v>0</v>
      </c>
      <c r="AO604" s="1">
        <f>BOM!B604</f>
        <v>0</v>
      </c>
    </row>
    <row r="605" spans="2:41">
      <c r="B605" s="205">
        <v>603</v>
      </c>
      <c r="C605" s="659">
        <f t="shared" si="12"/>
        <v>0</v>
      </c>
      <c r="D605" s="1" t="s">
        <v>1203</v>
      </c>
      <c r="E605" s="259">
        <f>SUMIFS(SM_Material!$AE$1:$AE$10000,SM_Material!$D$1:$D$10000,Group!C605)</f>
        <v>0</v>
      </c>
      <c r="F605" s="259">
        <f>SUMIFS(SM_Process!$O$1:$O$10000,SM_Process!$C$1:$C$10000,Group!F$2,SM_Process!$B$1:$B$10000,Group!$C605)</f>
        <v>0</v>
      </c>
      <c r="G605" s="259">
        <f>SUMIFS(SM_Process!$O$1:$O$10000,SM_Process!$C$1:$C$10000,Group!G$2,SM_Process!$B$1:$B$10000,Group!$C605)</f>
        <v>0</v>
      </c>
      <c r="H605" s="259">
        <f>SUMIFS(SM_Process!$O$1:$O$10000,SM_Process!$C$1:$C$10000,Group!H$2,SM_Process!$B$1:$B$10000,Group!$C605)</f>
        <v>0</v>
      </c>
      <c r="I605" s="259">
        <f>SUMIFS(SM_Material!$W$1:$W$10000,SM_Material!$D$1:$D$10000,Group!C605)</f>
        <v>0</v>
      </c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M605" s="1">
        <f>BOM!D605</f>
        <v>0</v>
      </c>
      <c r="AN605" s="1">
        <f>BOM!C605</f>
        <v>0</v>
      </c>
      <c r="AO605" s="1">
        <f>BOM!B605</f>
        <v>0</v>
      </c>
    </row>
    <row r="606" spans="2:41">
      <c r="B606" s="205">
        <v>604</v>
      </c>
      <c r="C606" s="659">
        <f t="shared" si="12"/>
        <v>0</v>
      </c>
      <c r="D606" s="1" t="s">
        <v>1203</v>
      </c>
      <c r="E606" s="259">
        <f>SUMIFS(SM_Material!$AE$1:$AE$10000,SM_Material!$D$1:$D$10000,Group!C606)</f>
        <v>0</v>
      </c>
      <c r="F606" s="259">
        <f>SUMIFS(SM_Process!$O$1:$O$10000,SM_Process!$C$1:$C$10000,Group!F$2,SM_Process!$B$1:$B$10000,Group!$C606)</f>
        <v>0</v>
      </c>
      <c r="G606" s="259">
        <f>SUMIFS(SM_Process!$O$1:$O$10000,SM_Process!$C$1:$C$10000,Group!G$2,SM_Process!$B$1:$B$10000,Group!$C606)</f>
        <v>0</v>
      </c>
      <c r="H606" s="259">
        <f>SUMIFS(SM_Process!$O$1:$O$10000,SM_Process!$C$1:$C$10000,Group!H$2,SM_Process!$B$1:$B$10000,Group!$C606)</f>
        <v>0</v>
      </c>
      <c r="I606" s="259">
        <f>SUMIFS(SM_Material!$W$1:$W$10000,SM_Material!$D$1:$D$10000,Group!C606)</f>
        <v>0</v>
      </c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M606" s="1">
        <f>BOM!D606</f>
        <v>0</v>
      </c>
      <c r="AN606" s="1">
        <f>BOM!C606</f>
        <v>0</v>
      </c>
      <c r="AO606" s="1">
        <f>BOM!B606</f>
        <v>0</v>
      </c>
    </row>
    <row r="607" spans="2:41">
      <c r="B607" s="205">
        <v>605</v>
      </c>
      <c r="C607" s="659">
        <f t="shared" si="12"/>
        <v>0</v>
      </c>
      <c r="D607" s="1" t="s">
        <v>1203</v>
      </c>
      <c r="E607" s="259">
        <f>SUMIFS(SM_Material!$AE$1:$AE$10000,SM_Material!$D$1:$D$10000,Group!C607)</f>
        <v>0</v>
      </c>
      <c r="F607" s="259">
        <f>SUMIFS(SM_Process!$O$1:$O$10000,SM_Process!$C$1:$C$10000,Group!F$2,SM_Process!$B$1:$B$10000,Group!$C607)</f>
        <v>0</v>
      </c>
      <c r="G607" s="259">
        <f>SUMIFS(SM_Process!$O$1:$O$10000,SM_Process!$C$1:$C$10000,Group!G$2,SM_Process!$B$1:$B$10000,Group!$C607)</f>
        <v>0</v>
      </c>
      <c r="H607" s="259">
        <f>SUMIFS(SM_Process!$O$1:$O$10000,SM_Process!$C$1:$C$10000,Group!H$2,SM_Process!$B$1:$B$10000,Group!$C607)</f>
        <v>0</v>
      </c>
      <c r="I607" s="259">
        <f>SUMIFS(SM_Material!$W$1:$W$10000,SM_Material!$D$1:$D$10000,Group!C607)</f>
        <v>0</v>
      </c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M607" s="1">
        <f>BOM!D607</f>
        <v>0</v>
      </c>
      <c r="AN607" s="1">
        <f>BOM!C607</f>
        <v>0</v>
      </c>
      <c r="AO607" s="1">
        <f>BOM!B607</f>
        <v>0</v>
      </c>
    </row>
    <row r="608" spans="2:41">
      <c r="B608" s="205">
        <v>606</v>
      </c>
      <c r="C608" s="659">
        <f t="shared" si="12"/>
        <v>0</v>
      </c>
      <c r="D608" s="1" t="s">
        <v>1203</v>
      </c>
      <c r="E608" s="259">
        <f>SUMIFS(SM_Material!$AE$1:$AE$10000,SM_Material!$D$1:$D$10000,Group!C608)</f>
        <v>0</v>
      </c>
      <c r="F608" s="259">
        <f>SUMIFS(SM_Process!$O$1:$O$10000,SM_Process!$C$1:$C$10000,Group!F$2,SM_Process!$B$1:$B$10000,Group!$C608)</f>
        <v>0</v>
      </c>
      <c r="G608" s="259">
        <f>SUMIFS(SM_Process!$O$1:$O$10000,SM_Process!$C$1:$C$10000,Group!G$2,SM_Process!$B$1:$B$10000,Group!$C608)</f>
        <v>0</v>
      </c>
      <c r="H608" s="259">
        <f>SUMIFS(SM_Process!$O$1:$O$10000,SM_Process!$C$1:$C$10000,Group!H$2,SM_Process!$B$1:$B$10000,Group!$C608)</f>
        <v>0</v>
      </c>
      <c r="I608" s="259">
        <f>SUMIFS(SM_Material!$W$1:$W$10000,SM_Material!$D$1:$D$10000,Group!C608)</f>
        <v>0</v>
      </c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M608" s="1">
        <f>BOM!D608</f>
        <v>0</v>
      </c>
      <c r="AN608" s="1">
        <f>BOM!C608</f>
        <v>0</v>
      </c>
      <c r="AO608" s="1">
        <f>BOM!B608</f>
        <v>0</v>
      </c>
    </row>
    <row r="609" spans="2:41">
      <c r="B609" s="205">
        <v>607</v>
      </c>
      <c r="C609" s="659">
        <f t="shared" si="12"/>
        <v>0</v>
      </c>
      <c r="D609" s="1" t="s">
        <v>1203</v>
      </c>
      <c r="E609" s="259">
        <f>SUMIFS(SM_Material!$AE$1:$AE$10000,SM_Material!$D$1:$D$10000,Group!C609)</f>
        <v>0</v>
      </c>
      <c r="F609" s="259">
        <f>SUMIFS(SM_Process!$O$1:$O$10000,SM_Process!$C$1:$C$10000,Group!F$2,SM_Process!$B$1:$B$10000,Group!$C609)</f>
        <v>0</v>
      </c>
      <c r="G609" s="259">
        <f>SUMIFS(SM_Process!$O$1:$O$10000,SM_Process!$C$1:$C$10000,Group!G$2,SM_Process!$B$1:$B$10000,Group!$C609)</f>
        <v>0</v>
      </c>
      <c r="H609" s="259">
        <f>SUMIFS(SM_Process!$O$1:$O$10000,SM_Process!$C$1:$C$10000,Group!H$2,SM_Process!$B$1:$B$10000,Group!$C609)</f>
        <v>0</v>
      </c>
      <c r="I609" s="259">
        <f>SUMIFS(SM_Material!$W$1:$W$10000,SM_Material!$D$1:$D$10000,Group!C609)</f>
        <v>0</v>
      </c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M609" s="1">
        <f>BOM!D609</f>
        <v>0</v>
      </c>
      <c r="AN609" s="1">
        <f>BOM!C609</f>
        <v>0</v>
      </c>
      <c r="AO609" s="1">
        <f>BOM!B609</f>
        <v>0</v>
      </c>
    </row>
    <row r="610" spans="2:41">
      <c r="B610" s="205">
        <v>608</v>
      </c>
      <c r="C610" s="659">
        <f t="shared" si="12"/>
        <v>0</v>
      </c>
      <c r="D610" s="1" t="s">
        <v>1203</v>
      </c>
      <c r="E610" s="259">
        <f>SUMIFS(SM_Material!$AE$1:$AE$10000,SM_Material!$D$1:$D$10000,Group!C610)</f>
        <v>0</v>
      </c>
      <c r="F610" s="259">
        <f>SUMIFS(SM_Process!$O$1:$O$10000,SM_Process!$C$1:$C$10000,Group!F$2,SM_Process!$B$1:$B$10000,Group!$C610)</f>
        <v>0</v>
      </c>
      <c r="G610" s="259">
        <f>SUMIFS(SM_Process!$O$1:$O$10000,SM_Process!$C$1:$C$10000,Group!G$2,SM_Process!$B$1:$B$10000,Group!$C610)</f>
        <v>0</v>
      </c>
      <c r="H610" s="259">
        <f>SUMIFS(SM_Process!$O$1:$O$10000,SM_Process!$C$1:$C$10000,Group!H$2,SM_Process!$B$1:$B$10000,Group!$C610)</f>
        <v>0</v>
      </c>
      <c r="I610" s="259">
        <f>SUMIFS(SM_Material!$W$1:$W$10000,SM_Material!$D$1:$D$10000,Group!C610)</f>
        <v>0</v>
      </c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M610" s="1">
        <f>BOM!D610</f>
        <v>0</v>
      </c>
      <c r="AN610" s="1">
        <f>BOM!C610</f>
        <v>0</v>
      </c>
      <c r="AO610" s="1">
        <f>BOM!B610</f>
        <v>0</v>
      </c>
    </row>
    <row r="611" spans="2:41">
      <c r="B611" s="205">
        <v>609</v>
      </c>
      <c r="C611" s="659">
        <f t="shared" si="12"/>
        <v>0</v>
      </c>
      <c r="D611" s="1" t="s">
        <v>1203</v>
      </c>
      <c r="E611" s="259">
        <f>SUMIFS(SM_Material!$AE$1:$AE$10000,SM_Material!$D$1:$D$10000,Group!C611)</f>
        <v>0</v>
      </c>
      <c r="F611" s="259">
        <f>SUMIFS(SM_Process!$O$1:$O$10000,SM_Process!$C$1:$C$10000,Group!F$2,SM_Process!$B$1:$B$10000,Group!$C611)</f>
        <v>0</v>
      </c>
      <c r="G611" s="259">
        <f>SUMIFS(SM_Process!$O$1:$O$10000,SM_Process!$C$1:$C$10000,Group!G$2,SM_Process!$B$1:$B$10000,Group!$C611)</f>
        <v>0</v>
      </c>
      <c r="H611" s="259">
        <f>SUMIFS(SM_Process!$O$1:$O$10000,SM_Process!$C$1:$C$10000,Group!H$2,SM_Process!$B$1:$B$10000,Group!$C611)</f>
        <v>0</v>
      </c>
      <c r="I611" s="259">
        <f>SUMIFS(SM_Material!$W$1:$W$10000,SM_Material!$D$1:$D$10000,Group!C611)</f>
        <v>0</v>
      </c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M611" s="1">
        <f>BOM!D611</f>
        <v>0</v>
      </c>
      <c r="AN611" s="1">
        <f>BOM!C611</f>
        <v>0</v>
      </c>
      <c r="AO611" s="1">
        <f>BOM!B611</f>
        <v>0</v>
      </c>
    </row>
    <row r="612" spans="2:41">
      <c r="B612" s="205">
        <v>610</v>
      </c>
      <c r="C612" s="659">
        <f t="shared" si="12"/>
        <v>0</v>
      </c>
      <c r="D612" s="1" t="s">
        <v>1203</v>
      </c>
      <c r="E612" s="259">
        <f>SUMIFS(SM_Material!$AE$1:$AE$10000,SM_Material!$D$1:$D$10000,Group!C612)</f>
        <v>0</v>
      </c>
      <c r="F612" s="259">
        <f>SUMIFS(SM_Process!$O$1:$O$10000,SM_Process!$C$1:$C$10000,Group!F$2,SM_Process!$B$1:$B$10000,Group!$C612)</f>
        <v>0</v>
      </c>
      <c r="G612" s="259">
        <f>SUMIFS(SM_Process!$O$1:$O$10000,SM_Process!$C$1:$C$10000,Group!G$2,SM_Process!$B$1:$B$10000,Group!$C612)</f>
        <v>0</v>
      </c>
      <c r="H612" s="259">
        <f>SUMIFS(SM_Process!$O$1:$O$10000,SM_Process!$C$1:$C$10000,Group!H$2,SM_Process!$B$1:$B$10000,Group!$C612)</f>
        <v>0</v>
      </c>
      <c r="I612" s="259">
        <f>SUMIFS(SM_Material!$W$1:$W$10000,SM_Material!$D$1:$D$10000,Group!C612)</f>
        <v>0</v>
      </c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M612" s="1">
        <f>BOM!D612</f>
        <v>0</v>
      </c>
      <c r="AN612" s="1">
        <f>BOM!C612</f>
        <v>0</v>
      </c>
      <c r="AO612" s="1">
        <f>BOM!B612</f>
        <v>0</v>
      </c>
    </row>
    <row r="613" spans="2:41">
      <c r="B613" s="205">
        <v>611</v>
      </c>
      <c r="C613" s="659">
        <f t="shared" si="12"/>
        <v>0</v>
      </c>
      <c r="D613" s="1" t="s">
        <v>1203</v>
      </c>
      <c r="E613" s="259">
        <f>SUMIFS(SM_Material!$AE$1:$AE$10000,SM_Material!$D$1:$D$10000,Group!C613)</f>
        <v>0</v>
      </c>
      <c r="F613" s="259">
        <f>SUMIFS(SM_Process!$O$1:$O$10000,SM_Process!$C$1:$C$10000,Group!F$2,SM_Process!$B$1:$B$10000,Group!$C613)</f>
        <v>0</v>
      </c>
      <c r="G613" s="259">
        <f>SUMIFS(SM_Process!$O$1:$O$10000,SM_Process!$C$1:$C$10000,Group!G$2,SM_Process!$B$1:$B$10000,Group!$C613)</f>
        <v>0</v>
      </c>
      <c r="H613" s="259">
        <f>SUMIFS(SM_Process!$O$1:$O$10000,SM_Process!$C$1:$C$10000,Group!H$2,SM_Process!$B$1:$B$10000,Group!$C613)</f>
        <v>0</v>
      </c>
      <c r="I613" s="259">
        <f>SUMIFS(SM_Material!$W$1:$W$10000,SM_Material!$D$1:$D$10000,Group!C613)</f>
        <v>0</v>
      </c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M613" s="1">
        <f>BOM!D613</f>
        <v>0</v>
      </c>
      <c r="AN613" s="1">
        <f>BOM!C613</f>
        <v>0</v>
      </c>
      <c r="AO613" s="1">
        <f>BOM!B613</f>
        <v>0</v>
      </c>
    </row>
    <row r="614" spans="2:41">
      <c r="B614" s="205">
        <v>612</v>
      </c>
      <c r="C614" s="659">
        <f t="shared" si="12"/>
        <v>0</v>
      </c>
      <c r="D614" s="1" t="s">
        <v>1203</v>
      </c>
      <c r="E614" s="259">
        <f>SUMIFS(SM_Material!$AE$1:$AE$10000,SM_Material!$D$1:$D$10000,Group!C614)</f>
        <v>0</v>
      </c>
      <c r="F614" s="259">
        <f>SUMIFS(SM_Process!$O$1:$O$10000,SM_Process!$C$1:$C$10000,Group!F$2,SM_Process!$B$1:$B$10000,Group!$C614)</f>
        <v>0</v>
      </c>
      <c r="G614" s="259">
        <f>SUMIFS(SM_Process!$O$1:$O$10000,SM_Process!$C$1:$C$10000,Group!G$2,SM_Process!$B$1:$B$10000,Group!$C614)</f>
        <v>0</v>
      </c>
      <c r="H614" s="259">
        <f>SUMIFS(SM_Process!$O$1:$O$10000,SM_Process!$C$1:$C$10000,Group!H$2,SM_Process!$B$1:$B$10000,Group!$C614)</f>
        <v>0</v>
      </c>
      <c r="I614" s="259">
        <f>SUMIFS(SM_Material!$W$1:$W$10000,SM_Material!$D$1:$D$10000,Group!C614)</f>
        <v>0</v>
      </c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M614" s="1">
        <f>BOM!D614</f>
        <v>0</v>
      </c>
      <c r="AN614" s="1">
        <f>BOM!C614</f>
        <v>0</v>
      </c>
      <c r="AO614" s="1">
        <f>BOM!B614</f>
        <v>0</v>
      </c>
    </row>
    <row r="615" spans="2:41">
      <c r="B615" s="205">
        <v>613</v>
      </c>
      <c r="C615" s="659">
        <f t="shared" si="12"/>
        <v>0</v>
      </c>
      <c r="D615" s="1" t="s">
        <v>1203</v>
      </c>
      <c r="E615" s="259">
        <f>SUMIFS(SM_Material!$AE$1:$AE$10000,SM_Material!$D$1:$D$10000,Group!C615)</f>
        <v>0</v>
      </c>
      <c r="F615" s="259">
        <f>SUMIFS(SM_Process!$O$1:$O$10000,SM_Process!$C$1:$C$10000,Group!F$2,SM_Process!$B$1:$B$10000,Group!$C615)</f>
        <v>0</v>
      </c>
      <c r="G615" s="259">
        <f>SUMIFS(SM_Process!$O$1:$O$10000,SM_Process!$C$1:$C$10000,Group!G$2,SM_Process!$B$1:$B$10000,Group!$C615)</f>
        <v>0</v>
      </c>
      <c r="H615" s="259">
        <f>SUMIFS(SM_Process!$O$1:$O$10000,SM_Process!$C$1:$C$10000,Group!H$2,SM_Process!$B$1:$B$10000,Group!$C615)</f>
        <v>0</v>
      </c>
      <c r="I615" s="259">
        <f>SUMIFS(SM_Material!$W$1:$W$10000,SM_Material!$D$1:$D$10000,Group!C615)</f>
        <v>0</v>
      </c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M615" s="1">
        <f>BOM!D615</f>
        <v>0</v>
      </c>
      <c r="AN615" s="1">
        <f>BOM!C615</f>
        <v>0</v>
      </c>
      <c r="AO615" s="1">
        <f>BOM!B615</f>
        <v>0</v>
      </c>
    </row>
    <row r="616" spans="2:41">
      <c r="B616" s="205">
        <v>614</v>
      </c>
      <c r="C616" s="659">
        <f t="shared" si="12"/>
        <v>0</v>
      </c>
      <c r="D616" s="1" t="s">
        <v>1203</v>
      </c>
      <c r="E616" s="259">
        <f>SUMIFS(SM_Material!$AE$1:$AE$10000,SM_Material!$D$1:$D$10000,Group!C616)</f>
        <v>0</v>
      </c>
      <c r="F616" s="259">
        <f>SUMIFS(SM_Process!$O$1:$O$10000,SM_Process!$C$1:$C$10000,Group!F$2,SM_Process!$B$1:$B$10000,Group!$C616)</f>
        <v>0</v>
      </c>
      <c r="G616" s="259">
        <f>SUMIFS(SM_Process!$O$1:$O$10000,SM_Process!$C$1:$C$10000,Group!G$2,SM_Process!$B$1:$B$10000,Group!$C616)</f>
        <v>0</v>
      </c>
      <c r="H616" s="259">
        <f>SUMIFS(SM_Process!$O$1:$O$10000,SM_Process!$C$1:$C$10000,Group!H$2,SM_Process!$B$1:$B$10000,Group!$C616)</f>
        <v>0</v>
      </c>
      <c r="I616" s="259">
        <f>SUMIFS(SM_Material!$W$1:$W$10000,SM_Material!$D$1:$D$10000,Group!C616)</f>
        <v>0</v>
      </c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M616" s="1">
        <f>BOM!D616</f>
        <v>0</v>
      </c>
      <c r="AN616" s="1">
        <f>BOM!C616</f>
        <v>0</v>
      </c>
      <c r="AO616" s="1">
        <f>BOM!B616</f>
        <v>0</v>
      </c>
    </row>
    <row r="617" spans="2:41">
      <c r="B617" s="205">
        <v>615</v>
      </c>
      <c r="C617" s="659">
        <f t="shared" si="12"/>
        <v>0</v>
      </c>
      <c r="D617" s="1" t="s">
        <v>1203</v>
      </c>
      <c r="E617" s="259">
        <f>SUMIFS(SM_Material!$AE$1:$AE$10000,SM_Material!$D$1:$D$10000,Group!C617)</f>
        <v>0</v>
      </c>
      <c r="F617" s="259">
        <f>SUMIFS(SM_Process!$O$1:$O$10000,SM_Process!$C$1:$C$10000,Group!F$2,SM_Process!$B$1:$B$10000,Group!$C617)</f>
        <v>0</v>
      </c>
      <c r="G617" s="259">
        <f>SUMIFS(SM_Process!$O$1:$O$10000,SM_Process!$C$1:$C$10000,Group!G$2,SM_Process!$B$1:$B$10000,Group!$C617)</f>
        <v>0</v>
      </c>
      <c r="H617" s="259">
        <f>SUMIFS(SM_Process!$O$1:$O$10000,SM_Process!$C$1:$C$10000,Group!H$2,SM_Process!$B$1:$B$10000,Group!$C617)</f>
        <v>0</v>
      </c>
      <c r="I617" s="259">
        <f>SUMIFS(SM_Material!$W$1:$W$10000,SM_Material!$D$1:$D$10000,Group!C617)</f>
        <v>0</v>
      </c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M617" s="1">
        <f>BOM!D617</f>
        <v>0</v>
      </c>
      <c r="AN617" s="1">
        <f>BOM!C617</f>
        <v>0</v>
      </c>
      <c r="AO617" s="1">
        <f>BOM!B617</f>
        <v>0</v>
      </c>
    </row>
    <row r="618" spans="2:41">
      <c r="B618" s="205">
        <v>616</v>
      </c>
      <c r="C618" s="659">
        <f t="shared" si="12"/>
        <v>0</v>
      </c>
      <c r="D618" s="1" t="s">
        <v>1203</v>
      </c>
      <c r="E618" s="259">
        <f>SUMIFS(SM_Material!$AE$1:$AE$10000,SM_Material!$D$1:$D$10000,Group!C618)</f>
        <v>0</v>
      </c>
      <c r="F618" s="259">
        <f>SUMIFS(SM_Process!$O$1:$O$10000,SM_Process!$C$1:$C$10000,Group!F$2,SM_Process!$B$1:$B$10000,Group!$C618)</f>
        <v>0</v>
      </c>
      <c r="G618" s="259">
        <f>SUMIFS(SM_Process!$O$1:$O$10000,SM_Process!$C$1:$C$10000,Group!G$2,SM_Process!$B$1:$B$10000,Group!$C618)</f>
        <v>0</v>
      </c>
      <c r="H618" s="259">
        <f>SUMIFS(SM_Process!$O$1:$O$10000,SM_Process!$C$1:$C$10000,Group!H$2,SM_Process!$B$1:$B$10000,Group!$C618)</f>
        <v>0</v>
      </c>
      <c r="I618" s="259">
        <f>SUMIFS(SM_Material!$W$1:$W$10000,SM_Material!$D$1:$D$10000,Group!C618)</f>
        <v>0</v>
      </c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M618" s="1">
        <f>BOM!D618</f>
        <v>0</v>
      </c>
      <c r="AN618" s="1">
        <f>BOM!C618</f>
        <v>0</v>
      </c>
      <c r="AO618" s="1">
        <f>BOM!B618</f>
        <v>0</v>
      </c>
    </row>
    <row r="619" spans="2:41">
      <c r="B619" s="205">
        <v>617</v>
      </c>
      <c r="C619" s="659">
        <f t="shared" si="12"/>
        <v>0</v>
      </c>
      <c r="D619" s="1" t="s">
        <v>1203</v>
      </c>
      <c r="E619" s="259">
        <f>SUMIFS(SM_Material!$AE$1:$AE$10000,SM_Material!$D$1:$D$10000,Group!C619)</f>
        <v>0</v>
      </c>
      <c r="F619" s="259">
        <f>SUMIFS(SM_Process!$O$1:$O$10000,SM_Process!$C$1:$C$10000,Group!F$2,SM_Process!$B$1:$B$10000,Group!$C619)</f>
        <v>0</v>
      </c>
      <c r="G619" s="259">
        <f>SUMIFS(SM_Process!$O$1:$O$10000,SM_Process!$C$1:$C$10000,Group!G$2,SM_Process!$B$1:$B$10000,Group!$C619)</f>
        <v>0</v>
      </c>
      <c r="H619" s="259">
        <f>SUMIFS(SM_Process!$O$1:$O$10000,SM_Process!$C$1:$C$10000,Group!H$2,SM_Process!$B$1:$B$10000,Group!$C619)</f>
        <v>0</v>
      </c>
      <c r="I619" s="259">
        <f>SUMIFS(SM_Material!$W$1:$W$10000,SM_Material!$D$1:$D$10000,Group!C619)</f>
        <v>0</v>
      </c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M619" s="1">
        <f>BOM!D619</f>
        <v>0</v>
      </c>
      <c r="AN619" s="1">
        <f>BOM!C619</f>
        <v>0</v>
      </c>
      <c r="AO619" s="1">
        <f>BOM!B619</f>
        <v>0</v>
      </c>
    </row>
    <row r="620" spans="2:41">
      <c r="B620" s="205">
        <v>618</v>
      </c>
      <c r="C620" s="659">
        <f t="shared" si="12"/>
        <v>0</v>
      </c>
      <c r="D620" s="1" t="s">
        <v>1203</v>
      </c>
      <c r="E620" s="259">
        <f>SUMIFS(SM_Material!$AE$1:$AE$10000,SM_Material!$D$1:$D$10000,Group!C620)</f>
        <v>0</v>
      </c>
      <c r="F620" s="259">
        <f>SUMIFS(SM_Process!$O$1:$O$10000,SM_Process!$C$1:$C$10000,Group!F$2,SM_Process!$B$1:$B$10000,Group!$C620)</f>
        <v>0</v>
      </c>
      <c r="G620" s="259">
        <f>SUMIFS(SM_Process!$O$1:$O$10000,SM_Process!$C$1:$C$10000,Group!G$2,SM_Process!$B$1:$B$10000,Group!$C620)</f>
        <v>0</v>
      </c>
      <c r="H620" s="259">
        <f>SUMIFS(SM_Process!$O$1:$O$10000,SM_Process!$C$1:$C$10000,Group!H$2,SM_Process!$B$1:$B$10000,Group!$C620)</f>
        <v>0</v>
      </c>
      <c r="I620" s="259">
        <f>SUMIFS(SM_Material!$W$1:$W$10000,SM_Material!$D$1:$D$10000,Group!C620)</f>
        <v>0</v>
      </c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M620" s="1">
        <f>BOM!D620</f>
        <v>0</v>
      </c>
      <c r="AN620" s="1">
        <f>BOM!C620</f>
        <v>0</v>
      </c>
      <c r="AO620" s="1">
        <f>BOM!B620</f>
        <v>0</v>
      </c>
    </row>
    <row r="621" spans="2:41">
      <c r="B621" s="205">
        <v>619</v>
      </c>
      <c r="C621" s="659">
        <f t="shared" si="12"/>
        <v>0</v>
      </c>
      <c r="D621" s="1" t="s">
        <v>1203</v>
      </c>
      <c r="E621" s="259">
        <f>SUMIFS(SM_Material!$AE$1:$AE$10000,SM_Material!$D$1:$D$10000,Group!C621)</f>
        <v>0</v>
      </c>
      <c r="F621" s="259">
        <f>SUMIFS(SM_Process!$O$1:$O$10000,SM_Process!$C$1:$C$10000,Group!F$2,SM_Process!$B$1:$B$10000,Group!$C621)</f>
        <v>0</v>
      </c>
      <c r="G621" s="259">
        <f>SUMIFS(SM_Process!$O$1:$O$10000,SM_Process!$C$1:$C$10000,Group!G$2,SM_Process!$B$1:$B$10000,Group!$C621)</f>
        <v>0</v>
      </c>
      <c r="H621" s="259">
        <f>SUMIFS(SM_Process!$O$1:$O$10000,SM_Process!$C$1:$C$10000,Group!H$2,SM_Process!$B$1:$B$10000,Group!$C621)</f>
        <v>0</v>
      </c>
      <c r="I621" s="259">
        <f>SUMIFS(SM_Material!$W$1:$W$10000,SM_Material!$D$1:$D$10000,Group!C621)</f>
        <v>0</v>
      </c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M621" s="1">
        <f>BOM!D621</f>
        <v>0</v>
      </c>
      <c r="AN621" s="1">
        <f>BOM!C621</f>
        <v>0</v>
      </c>
      <c r="AO621" s="1">
        <f>BOM!B621</f>
        <v>0</v>
      </c>
    </row>
    <row r="622" spans="2:41">
      <c r="B622" s="205">
        <v>620</v>
      </c>
      <c r="C622" s="659">
        <f t="shared" si="12"/>
        <v>0</v>
      </c>
      <c r="D622" s="1" t="s">
        <v>1203</v>
      </c>
      <c r="E622" s="259">
        <f>SUMIFS(SM_Material!$AE$1:$AE$10000,SM_Material!$D$1:$D$10000,Group!C622)</f>
        <v>0</v>
      </c>
      <c r="F622" s="259">
        <f>SUMIFS(SM_Process!$O$1:$O$10000,SM_Process!$C$1:$C$10000,Group!F$2,SM_Process!$B$1:$B$10000,Group!$C622)</f>
        <v>0</v>
      </c>
      <c r="G622" s="259">
        <f>SUMIFS(SM_Process!$O$1:$O$10000,SM_Process!$C$1:$C$10000,Group!G$2,SM_Process!$B$1:$B$10000,Group!$C622)</f>
        <v>0</v>
      </c>
      <c r="H622" s="259">
        <f>SUMIFS(SM_Process!$O$1:$O$10000,SM_Process!$C$1:$C$10000,Group!H$2,SM_Process!$B$1:$B$10000,Group!$C622)</f>
        <v>0</v>
      </c>
      <c r="I622" s="259">
        <f>SUMIFS(SM_Material!$W$1:$W$10000,SM_Material!$D$1:$D$10000,Group!C622)</f>
        <v>0</v>
      </c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M622" s="1">
        <f>BOM!D622</f>
        <v>0</v>
      </c>
      <c r="AN622" s="1">
        <f>BOM!C622</f>
        <v>0</v>
      </c>
      <c r="AO622" s="1">
        <f>BOM!B622</f>
        <v>0</v>
      </c>
    </row>
    <row r="623" spans="2:41">
      <c r="B623" s="205">
        <v>621</v>
      </c>
      <c r="C623" s="659">
        <f t="shared" si="12"/>
        <v>0</v>
      </c>
      <c r="D623" s="1" t="s">
        <v>1203</v>
      </c>
      <c r="E623" s="259">
        <f>SUMIFS(SM_Material!$AE$1:$AE$10000,SM_Material!$D$1:$D$10000,Group!C623)</f>
        <v>0</v>
      </c>
      <c r="F623" s="259">
        <f>SUMIFS(SM_Process!$O$1:$O$10000,SM_Process!$C$1:$C$10000,Group!F$2,SM_Process!$B$1:$B$10000,Group!$C623)</f>
        <v>0</v>
      </c>
      <c r="G623" s="259">
        <f>SUMIFS(SM_Process!$O$1:$O$10000,SM_Process!$C$1:$C$10000,Group!G$2,SM_Process!$B$1:$B$10000,Group!$C623)</f>
        <v>0</v>
      </c>
      <c r="H623" s="259">
        <f>SUMIFS(SM_Process!$O$1:$O$10000,SM_Process!$C$1:$C$10000,Group!H$2,SM_Process!$B$1:$B$10000,Group!$C623)</f>
        <v>0</v>
      </c>
      <c r="I623" s="259">
        <f>SUMIFS(SM_Material!$W$1:$W$10000,SM_Material!$D$1:$D$10000,Group!C623)</f>
        <v>0</v>
      </c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M623" s="1">
        <f>BOM!D623</f>
        <v>0</v>
      </c>
      <c r="AN623" s="1">
        <f>BOM!C623</f>
        <v>0</v>
      </c>
      <c r="AO623" s="1">
        <f>BOM!B623</f>
        <v>0</v>
      </c>
    </row>
    <row r="624" spans="2:41">
      <c r="B624" s="205">
        <v>622</v>
      </c>
      <c r="C624" s="659">
        <f t="shared" si="12"/>
        <v>0</v>
      </c>
      <c r="D624" s="1" t="s">
        <v>1203</v>
      </c>
      <c r="E624" s="259">
        <f>SUMIFS(SM_Material!$AE$1:$AE$10000,SM_Material!$D$1:$D$10000,Group!C624)</f>
        <v>0</v>
      </c>
      <c r="F624" s="259">
        <f>SUMIFS(SM_Process!$O$1:$O$10000,SM_Process!$C$1:$C$10000,Group!F$2,SM_Process!$B$1:$B$10000,Group!$C624)</f>
        <v>0</v>
      </c>
      <c r="G624" s="259">
        <f>SUMIFS(SM_Process!$O$1:$O$10000,SM_Process!$C$1:$C$10000,Group!G$2,SM_Process!$B$1:$B$10000,Group!$C624)</f>
        <v>0</v>
      </c>
      <c r="H624" s="259">
        <f>SUMIFS(SM_Process!$O$1:$O$10000,SM_Process!$C$1:$C$10000,Group!H$2,SM_Process!$B$1:$B$10000,Group!$C624)</f>
        <v>0</v>
      </c>
      <c r="I624" s="259">
        <f>SUMIFS(SM_Material!$W$1:$W$10000,SM_Material!$D$1:$D$10000,Group!C624)</f>
        <v>0</v>
      </c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M624" s="1">
        <f>BOM!D624</f>
        <v>0</v>
      </c>
      <c r="AN624" s="1">
        <f>BOM!C624</f>
        <v>0</v>
      </c>
      <c r="AO624" s="1">
        <f>BOM!B624</f>
        <v>0</v>
      </c>
    </row>
    <row r="625" spans="2:41">
      <c r="B625" s="205">
        <v>623</v>
      </c>
      <c r="C625" s="659">
        <f t="shared" si="12"/>
        <v>0</v>
      </c>
      <c r="D625" s="1" t="s">
        <v>1203</v>
      </c>
      <c r="E625" s="259">
        <f>SUMIFS(SM_Material!$AE$1:$AE$10000,SM_Material!$D$1:$D$10000,Group!C625)</f>
        <v>0</v>
      </c>
      <c r="F625" s="259">
        <f>SUMIFS(SM_Process!$O$1:$O$10000,SM_Process!$C$1:$C$10000,Group!F$2,SM_Process!$B$1:$B$10000,Group!$C625)</f>
        <v>0</v>
      </c>
      <c r="G625" s="259">
        <f>SUMIFS(SM_Process!$O$1:$O$10000,SM_Process!$C$1:$C$10000,Group!G$2,SM_Process!$B$1:$B$10000,Group!$C625)</f>
        <v>0</v>
      </c>
      <c r="H625" s="259">
        <f>SUMIFS(SM_Process!$O$1:$O$10000,SM_Process!$C$1:$C$10000,Group!H$2,SM_Process!$B$1:$B$10000,Group!$C625)</f>
        <v>0</v>
      </c>
      <c r="I625" s="259">
        <f>SUMIFS(SM_Material!$W$1:$W$10000,SM_Material!$D$1:$D$10000,Group!C625)</f>
        <v>0</v>
      </c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M625" s="1">
        <f>BOM!D625</f>
        <v>0</v>
      </c>
      <c r="AN625" s="1">
        <f>BOM!C625</f>
        <v>0</v>
      </c>
      <c r="AO625" s="1">
        <f>BOM!B625</f>
        <v>0</v>
      </c>
    </row>
    <row r="626" spans="2:41">
      <c r="B626" s="205">
        <v>624</v>
      </c>
      <c r="C626" s="659">
        <f t="shared" si="12"/>
        <v>0</v>
      </c>
      <c r="D626" s="1" t="s">
        <v>1203</v>
      </c>
      <c r="E626" s="259">
        <f>SUMIFS(SM_Material!$AE$1:$AE$10000,SM_Material!$D$1:$D$10000,Group!C626)</f>
        <v>0</v>
      </c>
      <c r="F626" s="259">
        <f>SUMIFS(SM_Process!$O$1:$O$10000,SM_Process!$C$1:$C$10000,Group!F$2,SM_Process!$B$1:$B$10000,Group!$C626)</f>
        <v>0</v>
      </c>
      <c r="G626" s="259">
        <f>SUMIFS(SM_Process!$O$1:$O$10000,SM_Process!$C$1:$C$10000,Group!G$2,SM_Process!$B$1:$B$10000,Group!$C626)</f>
        <v>0</v>
      </c>
      <c r="H626" s="259">
        <f>SUMIFS(SM_Process!$O$1:$O$10000,SM_Process!$C$1:$C$10000,Group!H$2,SM_Process!$B$1:$B$10000,Group!$C626)</f>
        <v>0</v>
      </c>
      <c r="I626" s="259">
        <f>SUMIFS(SM_Material!$W$1:$W$10000,SM_Material!$D$1:$D$10000,Group!C626)</f>
        <v>0</v>
      </c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M626" s="1">
        <f>BOM!D626</f>
        <v>0</v>
      </c>
      <c r="AN626" s="1">
        <f>BOM!C626</f>
        <v>0</v>
      </c>
      <c r="AO626" s="1">
        <f>BOM!B626</f>
        <v>0</v>
      </c>
    </row>
    <row r="627" spans="2:41">
      <c r="B627" s="205">
        <v>625</v>
      </c>
      <c r="C627" s="659">
        <f t="shared" si="12"/>
        <v>0</v>
      </c>
      <c r="D627" s="1" t="s">
        <v>1203</v>
      </c>
      <c r="E627" s="259">
        <f>SUMIFS(SM_Material!$AE$1:$AE$10000,SM_Material!$D$1:$D$10000,Group!C627)</f>
        <v>0</v>
      </c>
      <c r="F627" s="259">
        <f>SUMIFS(SM_Process!$O$1:$O$10000,SM_Process!$C$1:$C$10000,Group!F$2,SM_Process!$B$1:$B$10000,Group!$C627)</f>
        <v>0</v>
      </c>
      <c r="G627" s="259">
        <f>SUMIFS(SM_Process!$O$1:$O$10000,SM_Process!$C$1:$C$10000,Group!G$2,SM_Process!$B$1:$B$10000,Group!$C627)</f>
        <v>0</v>
      </c>
      <c r="H627" s="259">
        <f>SUMIFS(SM_Process!$O$1:$O$10000,SM_Process!$C$1:$C$10000,Group!H$2,SM_Process!$B$1:$B$10000,Group!$C627)</f>
        <v>0</v>
      </c>
      <c r="I627" s="259">
        <f>SUMIFS(SM_Material!$W$1:$W$10000,SM_Material!$D$1:$D$10000,Group!C627)</f>
        <v>0</v>
      </c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M627" s="1">
        <f>BOM!D627</f>
        <v>0</v>
      </c>
      <c r="AN627" s="1">
        <f>BOM!C627</f>
        <v>0</v>
      </c>
      <c r="AO627" s="1">
        <f>BOM!B627</f>
        <v>0</v>
      </c>
    </row>
    <row r="628" spans="2:41">
      <c r="B628" s="205">
        <v>626</v>
      </c>
      <c r="C628" s="659">
        <f t="shared" si="12"/>
        <v>0</v>
      </c>
      <c r="D628" s="1" t="s">
        <v>1203</v>
      </c>
      <c r="E628" s="259">
        <f>SUMIFS(SM_Material!$AE$1:$AE$10000,SM_Material!$D$1:$D$10000,Group!C628)</f>
        <v>0</v>
      </c>
      <c r="F628" s="259">
        <f>SUMIFS(SM_Process!$O$1:$O$10000,SM_Process!$C$1:$C$10000,Group!F$2,SM_Process!$B$1:$B$10000,Group!$C628)</f>
        <v>0</v>
      </c>
      <c r="G628" s="259">
        <f>SUMIFS(SM_Process!$O$1:$O$10000,SM_Process!$C$1:$C$10000,Group!G$2,SM_Process!$B$1:$B$10000,Group!$C628)</f>
        <v>0</v>
      </c>
      <c r="H628" s="259">
        <f>SUMIFS(SM_Process!$O$1:$O$10000,SM_Process!$C$1:$C$10000,Group!H$2,SM_Process!$B$1:$B$10000,Group!$C628)</f>
        <v>0</v>
      </c>
      <c r="I628" s="259">
        <f>SUMIFS(SM_Material!$W$1:$W$10000,SM_Material!$D$1:$D$10000,Group!C628)</f>
        <v>0</v>
      </c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M628" s="1">
        <f>BOM!D628</f>
        <v>0</v>
      </c>
      <c r="AN628" s="1">
        <f>BOM!C628</f>
        <v>0</v>
      </c>
      <c r="AO628" s="1">
        <f>BOM!B628</f>
        <v>0</v>
      </c>
    </row>
    <row r="629" spans="2:41">
      <c r="B629" s="205">
        <v>627</v>
      </c>
      <c r="C629" s="659">
        <f t="shared" si="12"/>
        <v>0</v>
      </c>
      <c r="D629" s="1" t="s">
        <v>1203</v>
      </c>
      <c r="E629" s="259">
        <f>SUMIFS(SM_Material!$AE$1:$AE$10000,SM_Material!$D$1:$D$10000,Group!C629)</f>
        <v>0</v>
      </c>
      <c r="F629" s="259">
        <f>SUMIFS(SM_Process!$O$1:$O$10000,SM_Process!$C$1:$C$10000,Group!F$2,SM_Process!$B$1:$B$10000,Group!$C629)</f>
        <v>0</v>
      </c>
      <c r="G629" s="259">
        <f>SUMIFS(SM_Process!$O$1:$O$10000,SM_Process!$C$1:$C$10000,Group!G$2,SM_Process!$B$1:$B$10000,Group!$C629)</f>
        <v>0</v>
      </c>
      <c r="H629" s="259">
        <f>SUMIFS(SM_Process!$O$1:$O$10000,SM_Process!$C$1:$C$10000,Group!H$2,SM_Process!$B$1:$B$10000,Group!$C629)</f>
        <v>0</v>
      </c>
      <c r="I629" s="259">
        <f>SUMIFS(SM_Material!$W$1:$W$10000,SM_Material!$D$1:$D$10000,Group!C629)</f>
        <v>0</v>
      </c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M629" s="1">
        <f>BOM!D629</f>
        <v>0</v>
      </c>
      <c r="AN629" s="1">
        <f>BOM!C629</f>
        <v>0</v>
      </c>
      <c r="AO629" s="1">
        <f>BOM!B629</f>
        <v>0</v>
      </c>
    </row>
    <row r="630" spans="2:41">
      <c r="B630" s="205">
        <v>628</v>
      </c>
      <c r="C630" s="659">
        <f t="shared" si="12"/>
        <v>0</v>
      </c>
      <c r="D630" s="1" t="s">
        <v>1203</v>
      </c>
      <c r="E630" s="259">
        <f>SUMIFS(SM_Material!$AE$1:$AE$10000,SM_Material!$D$1:$D$10000,Group!C630)</f>
        <v>0</v>
      </c>
      <c r="F630" s="259">
        <f>SUMIFS(SM_Process!$O$1:$O$10000,SM_Process!$C$1:$C$10000,Group!F$2,SM_Process!$B$1:$B$10000,Group!$C630)</f>
        <v>0</v>
      </c>
      <c r="G630" s="259">
        <f>SUMIFS(SM_Process!$O$1:$O$10000,SM_Process!$C$1:$C$10000,Group!G$2,SM_Process!$B$1:$B$10000,Group!$C630)</f>
        <v>0</v>
      </c>
      <c r="H630" s="259">
        <f>SUMIFS(SM_Process!$O$1:$O$10000,SM_Process!$C$1:$C$10000,Group!H$2,SM_Process!$B$1:$B$10000,Group!$C630)</f>
        <v>0</v>
      </c>
      <c r="I630" s="259">
        <f>SUMIFS(SM_Material!$W$1:$W$10000,SM_Material!$D$1:$D$10000,Group!C630)</f>
        <v>0</v>
      </c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M630" s="1">
        <f>BOM!D630</f>
        <v>0</v>
      </c>
      <c r="AN630" s="1">
        <f>BOM!C630</f>
        <v>0</v>
      </c>
      <c r="AO630" s="1">
        <f>BOM!B630</f>
        <v>0</v>
      </c>
    </row>
    <row r="631" spans="2:41">
      <c r="B631" s="205">
        <v>629</v>
      </c>
      <c r="C631" s="659">
        <f t="shared" si="12"/>
        <v>0</v>
      </c>
      <c r="D631" s="1" t="s">
        <v>1203</v>
      </c>
      <c r="E631" s="259">
        <f>SUMIFS(SM_Material!$AE$1:$AE$10000,SM_Material!$D$1:$D$10000,Group!C631)</f>
        <v>0</v>
      </c>
      <c r="F631" s="259">
        <f>SUMIFS(SM_Process!$O$1:$O$10000,SM_Process!$C$1:$C$10000,Group!F$2,SM_Process!$B$1:$B$10000,Group!$C631)</f>
        <v>0</v>
      </c>
      <c r="G631" s="259">
        <f>SUMIFS(SM_Process!$O$1:$O$10000,SM_Process!$C$1:$C$10000,Group!G$2,SM_Process!$B$1:$B$10000,Group!$C631)</f>
        <v>0</v>
      </c>
      <c r="H631" s="259">
        <f>SUMIFS(SM_Process!$O$1:$O$10000,SM_Process!$C$1:$C$10000,Group!H$2,SM_Process!$B$1:$B$10000,Group!$C631)</f>
        <v>0</v>
      </c>
      <c r="I631" s="259">
        <f>SUMIFS(SM_Material!$W$1:$W$10000,SM_Material!$D$1:$D$10000,Group!C631)</f>
        <v>0</v>
      </c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M631" s="1">
        <f>BOM!D631</f>
        <v>0</v>
      </c>
      <c r="AN631" s="1">
        <f>BOM!C631</f>
        <v>0</v>
      </c>
      <c r="AO631" s="1">
        <f>BOM!B631</f>
        <v>0</v>
      </c>
    </row>
    <row r="632" spans="2:41">
      <c r="B632" s="205">
        <v>630</v>
      </c>
      <c r="C632" s="659">
        <f t="shared" si="12"/>
        <v>0</v>
      </c>
      <c r="D632" s="1" t="s">
        <v>1203</v>
      </c>
      <c r="E632" s="259">
        <f>SUMIFS(SM_Material!$AE$1:$AE$10000,SM_Material!$D$1:$D$10000,Group!C632)</f>
        <v>0</v>
      </c>
      <c r="F632" s="259">
        <f>SUMIFS(SM_Process!$O$1:$O$10000,SM_Process!$C$1:$C$10000,Group!F$2,SM_Process!$B$1:$B$10000,Group!$C632)</f>
        <v>0</v>
      </c>
      <c r="G632" s="259">
        <f>SUMIFS(SM_Process!$O$1:$O$10000,SM_Process!$C$1:$C$10000,Group!G$2,SM_Process!$B$1:$B$10000,Group!$C632)</f>
        <v>0</v>
      </c>
      <c r="H632" s="259">
        <f>SUMIFS(SM_Process!$O$1:$O$10000,SM_Process!$C$1:$C$10000,Group!H$2,SM_Process!$B$1:$B$10000,Group!$C632)</f>
        <v>0</v>
      </c>
      <c r="I632" s="259">
        <f>SUMIFS(SM_Material!$W$1:$W$10000,SM_Material!$D$1:$D$10000,Group!C632)</f>
        <v>0</v>
      </c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M632" s="1">
        <f>BOM!D632</f>
        <v>0</v>
      </c>
      <c r="AN632" s="1">
        <f>BOM!C632</f>
        <v>0</v>
      </c>
      <c r="AO632" s="1">
        <f>BOM!B632</f>
        <v>0</v>
      </c>
    </row>
    <row r="633" spans="2:41">
      <c r="B633" s="205">
        <v>631</v>
      </c>
      <c r="C633" s="659">
        <f t="shared" si="12"/>
        <v>0</v>
      </c>
      <c r="D633" s="1" t="s">
        <v>1203</v>
      </c>
      <c r="E633" s="259">
        <f>SUMIFS(SM_Material!$AE$1:$AE$10000,SM_Material!$D$1:$D$10000,Group!C633)</f>
        <v>0</v>
      </c>
      <c r="F633" s="259">
        <f>SUMIFS(SM_Process!$O$1:$O$10000,SM_Process!$C$1:$C$10000,Group!F$2,SM_Process!$B$1:$B$10000,Group!$C633)</f>
        <v>0</v>
      </c>
      <c r="G633" s="259">
        <f>SUMIFS(SM_Process!$O$1:$O$10000,SM_Process!$C$1:$C$10000,Group!G$2,SM_Process!$B$1:$B$10000,Group!$C633)</f>
        <v>0</v>
      </c>
      <c r="H633" s="259">
        <f>SUMIFS(SM_Process!$O$1:$O$10000,SM_Process!$C$1:$C$10000,Group!H$2,SM_Process!$B$1:$B$10000,Group!$C633)</f>
        <v>0</v>
      </c>
      <c r="I633" s="259">
        <f>SUMIFS(SM_Material!$W$1:$W$10000,SM_Material!$D$1:$D$10000,Group!C633)</f>
        <v>0</v>
      </c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M633" s="1">
        <f>BOM!D633</f>
        <v>0</v>
      </c>
      <c r="AN633" s="1">
        <f>BOM!C633</f>
        <v>0</v>
      </c>
      <c r="AO633" s="1">
        <f>BOM!B633</f>
        <v>0</v>
      </c>
    </row>
  </sheetData>
  <conditionalFormatting sqref="D2:D633">
    <cfRule type="containsText" dxfId="37" priority="33" operator="containsText" text="Hoses">
      <formula>NOT(ISERROR(SEARCH("Hoses",D2)))</formula>
    </cfRule>
    <cfRule type="containsText" dxfId="36" priority="40" operator="containsText" text="Bar Machining">
      <formula>NOT(ISERROR(SEARCH("Bar Machining",D2)))</formula>
    </cfRule>
    <cfRule type="containsText" dxfId="35" priority="41" operator="containsText" text="Sheet Metal">
      <formula>NOT(ISERROR(SEARCH("Sheet Metal",D2)))</formula>
    </cfRule>
    <cfRule type="containsText" dxfId="34" priority="42" operator="containsText" text="Assembly">
      <formula>NOT(ISERROR(SEARCH("Assembly",D2)))</formula>
    </cfRule>
    <cfRule type="containsText" dxfId="33" priority="43" operator="containsText" text="Aluminium">
      <formula>NOT(ISERROR(SEARCH("Aluminium",D2)))</formula>
    </cfRule>
    <cfRule type="containsText" dxfId="32" priority="44" operator="containsText" text="Castings">
      <formula>NOT(ISERROR(SEARCH("Castings",D2)))</formula>
    </cfRule>
    <cfRule type="containsText" dxfId="31" priority="45" operator="containsText" text="Forging">
      <formula>NOT(ISERROR(SEARCH("Forging",D2)))</formula>
    </cfRule>
  </conditionalFormatting>
  <conditionalFormatting sqref="K1:AF1">
    <cfRule type="containsText" dxfId="30" priority="26" operator="containsText" text="Hoses">
      <formula>NOT(ISERROR(SEARCH("Hoses",K1)))</formula>
    </cfRule>
    <cfRule type="containsText" dxfId="29" priority="27" operator="containsText" text="Bar Machining">
      <formula>NOT(ISERROR(SEARCH("Bar Machining",K1)))</formula>
    </cfRule>
    <cfRule type="containsText" dxfId="28" priority="28" operator="containsText" text="Sheet Metal">
      <formula>NOT(ISERROR(SEARCH("Sheet Metal",K1)))</formula>
    </cfRule>
    <cfRule type="containsText" dxfId="27" priority="29" operator="containsText" text="Assembly">
      <formula>NOT(ISERROR(SEARCH("Assembly",K1)))</formula>
    </cfRule>
    <cfRule type="containsText" dxfId="26" priority="30" operator="containsText" text="Aluminium">
      <formula>NOT(ISERROR(SEARCH("Aluminium",K1)))</formula>
    </cfRule>
    <cfRule type="containsText" dxfId="25" priority="31" operator="containsText" text="Castings">
      <formula>NOT(ISERROR(SEARCH("Castings",K1)))</formula>
    </cfRule>
    <cfRule type="containsText" dxfId="24" priority="32" operator="containsText" text="Forging">
      <formula>NOT(ISERROR(SEARCH("Forging",K1)))</formula>
    </cfRule>
  </conditionalFormatting>
  <conditionalFormatting sqref="K1:AF1 D2:D633">
    <cfRule type="containsText" dxfId="23" priority="19" operator="containsText" text="Compression Moulding">
      <formula>NOT(ISERROR(SEARCH("Compression Moulding",D1)))</formula>
    </cfRule>
    <cfRule type="containsText" dxfId="22" priority="20" operator="containsText" text="Steering pipe">
      <formula>NOT(ISERROR(SEARCH("Steering pipe",D1)))</formula>
    </cfRule>
    <cfRule type="containsText" dxfId="21" priority="21" operator="containsText" text="Compressor Hose">
      <formula>NOT(ISERROR(SEARCH("Compressor Hose",D1)))</formula>
    </cfRule>
    <cfRule type="containsText" dxfId="20" priority="22" operator="containsText" text="Injection Moulding">
      <formula>NOT(ISERROR(SEARCH("Injection Moulding",D1)))</formula>
    </cfRule>
    <cfRule type="containsText" dxfId="19" priority="23" operator="containsText" text="Rear Axle">
      <formula>NOT(ISERROR(SEARCH("Rear Axle",D1)))</formula>
    </cfRule>
    <cfRule type="containsText" dxfId="18" priority="24" operator="containsText" text="Load Body">
      <formula>NOT(ISERROR(SEARCH("Load Body",D1)))</formula>
    </cfRule>
    <cfRule type="containsText" dxfId="17" priority="25" operator="containsText" text="Noise Shield">
      <formula>NOT(ISERROR(SEARCH("Noise Shield",D1)))</formula>
    </cfRule>
  </conditionalFormatting>
  <conditionalFormatting sqref="AE1 D2:D633">
    <cfRule type="containsText" dxfId="16" priority="18" operator="containsText" text="Exhaust Pipe">
      <formula>NOT(ISERROR(SEARCH("Exhaust Pipe",D1)))</formula>
    </cfRule>
  </conditionalFormatting>
  <conditionalFormatting sqref="C2">
    <cfRule type="containsText" dxfId="15" priority="10" operator="containsText" text="Hoses">
      <formula>NOT(ISERROR(SEARCH("Hoses",C2)))</formula>
    </cfRule>
    <cfRule type="containsText" dxfId="14" priority="11" operator="containsText" text="Bar Machining">
      <formula>NOT(ISERROR(SEARCH("Bar Machining",C2)))</formula>
    </cfRule>
    <cfRule type="containsText" dxfId="13" priority="12" operator="containsText" text="Sheet Metal">
      <formula>NOT(ISERROR(SEARCH("Sheet Metal",C2)))</formula>
    </cfRule>
    <cfRule type="containsText" dxfId="12" priority="13" operator="containsText" text="Assembly">
      <formula>NOT(ISERROR(SEARCH("Assembly",C2)))</formula>
    </cfRule>
    <cfRule type="containsText" dxfId="11" priority="14" operator="containsText" text="Aluminium">
      <formula>NOT(ISERROR(SEARCH("Aluminium",C2)))</formula>
    </cfRule>
    <cfRule type="containsText" dxfId="10" priority="15" operator="containsText" text="Castings">
      <formula>NOT(ISERROR(SEARCH("Castings",C2)))</formula>
    </cfRule>
    <cfRule type="containsText" dxfId="9" priority="16" operator="containsText" text="Forging">
      <formula>NOT(ISERROR(SEARCH("Forging",C2)))</formula>
    </cfRule>
  </conditionalFormatting>
  <conditionalFormatting sqref="C2">
    <cfRule type="containsText" dxfId="8" priority="3" operator="containsText" text="Compression Moulding">
      <formula>NOT(ISERROR(SEARCH("Compression Moulding",C2)))</formula>
    </cfRule>
    <cfRule type="containsText" dxfId="7" priority="4" operator="containsText" text="Steering pipe">
      <formula>NOT(ISERROR(SEARCH("Steering pipe",C2)))</formula>
    </cfRule>
    <cfRule type="containsText" dxfId="6" priority="5" operator="containsText" text="Compressor Hose">
      <formula>NOT(ISERROR(SEARCH("Compressor Hose",C2)))</formula>
    </cfRule>
    <cfRule type="containsText" dxfId="5" priority="6" operator="containsText" text="Injection Moulding">
      <formula>NOT(ISERROR(SEARCH("Injection Moulding",C2)))</formula>
    </cfRule>
    <cfRule type="containsText" dxfId="4" priority="7" operator="containsText" text="Rear Axle">
      <formula>NOT(ISERROR(SEARCH("Rear Axle",C2)))</formula>
    </cfRule>
    <cfRule type="containsText" dxfId="3" priority="8" operator="containsText" text="Load Body">
      <formula>NOT(ISERROR(SEARCH("Load Body",C2)))</formula>
    </cfRule>
    <cfRule type="containsText" dxfId="2" priority="9" operator="containsText" text="Noise Shield">
      <formula>NOT(ISERROR(SEARCH("Noise Shield",C2)))</formula>
    </cfRule>
  </conditionalFormatting>
  <conditionalFormatting sqref="C2">
    <cfRule type="containsText" dxfId="1" priority="2" operator="containsText" text="Exhaust Pipe">
      <formula>NOT(ISERROR(SEARCH("Exhaust Pipe",C2)))</formula>
    </cfRule>
  </conditionalFormatting>
  <conditionalFormatting sqref="C3:C633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8"/>
  <dimension ref="A1:BK185"/>
  <sheetViews>
    <sheetView zoomScale="40" zoomScaleNormal="40" workbookViewId="0">
      <selection activeCell="C23" sqref="C23"/>
    </sheetView>
  </sheetViews>
  <sheetFormatPr defaultRowHeight="15"/>
  <cols>
    <col min="1" max="1" width="5.85546875" bestFit="1" customWidth="1"/>
    <col min="2" max="2" width="14.7109375" customWidth="1"/>
    <col min="3" max="3" width="6.42578125" customWidth="1"/>
    <col min="4" max="4" width="17" bestFit="1" customWidth="1"/>
    <col min="5" max="5" width="27.85546875" bestFit="1" customWidth="1"/>
    <col min="6" max="6" width="15.85546875" customWidth="1"/>
    <col min="8" max="10" width="15.85546875" customWidth="1"/>
    <col min="11" max="12" width="10.85546875" customWidth="1"/>
    <col min="13" max="13" width="11.42578125" bestFit="1" customWidth="1"/>
    <col min="14" max="16" width="10.42578125" customWidth="1"/>
    <col min="17" max="19" width="11.28515625" customWidth="1"/>
  </cols>
  <sheetData>
    <row r="1" spans="1:63">
      <c r="A1" s="691">
        <v>1</v>
      </c>
      <c r="J1" t="s">
        <v>1208</v>
      </c>
      <c r="K1" s="8"/>
      <c r="N1" s="8"/>
      <c r="O1" s="8"/>
    </row>
    <row r="2" spans="1:63">
      <c r="J2" t="s">
        <v>1209</v>
      </c>
      <c r="Q2" s="9"/>
    </row>
    <row r="3" spans="1:63">
      <c r="J3" t="s">
        <v>1210</v>
      </c>
      <c r="L3" s="8"/>
      <c r="M3" s="8"/>
      <c r="N3" s="8"/>
      <c r="P3" s="8"/>
      <c r="U3" s="923"/>
      <c r="V3" s="923"/>
      <c r="W3" s="923"/>
      <c r="X3" s="923"/>
      <c r="Y3" s="923"/>
      <c r="Z3" s="923"/>
      <c r="AA3" s="923"/>
      <c r="AB3" s="923"/>
      <c r="AC3" s="923"/>
      <c r="AD3" s="923"/>
      <c r="AE3" s="923"/>
      <c r="AF3" s="923"/>
      <c r="AG3" s="923"/>
      <c r="AH3" s="923"/>
      <c r="AI3" s="923"/>
    </row>
    <row r="4" spans="1:63">
      <c r="J4" t="s">
        <v>1211</v>
      </c>
      <c r="R4" s="9"/>
    </row>
    <row r="5" spans="1:63">
      <c r="J5" t="s">
        <v>1212</v>
      </c>
      <c r="L5" s="8"/>
      <c r="M5" s="8"/>
      <c r="P5" s="8"/>
      <c r="U5" s="923"/>
      <c r="V5" s="923"/>
      <c r="W5" s="923"/>
      <c r="X5" s="923"/>
      <c r="Y5" s="923"/>
      <c r="Z5" s="923"/>
      <c r="AA5" s="923"/>
      <c r="AB5" s="923"/>
      <c r="AC5" s="923"/>
      <c r="AD5" s="923"/>
      <c r="AE5" s="923"/>
      <c r="AF5" s="923"/>
      <c r="AG5" s="923"/>
      <c r="AH5" s="923"/>
      <c r="AI5" s="923"/>
    </row>
    <row r="6" spans="1:63">
      <c r="J6" t="s">
        <v>1213</v>
      </c>
      <c r="S6" s="9"/>
      <c r="U6">
        <v>2</v>
      </c>
      <c r="V6">
        <v>3</v>
      </c>
      <c r="W6">
        <v>5</v>
      </c>
      <c r="X6">
        <v>6</v>
      </c>
      <c r="Y6">
        <v>8</v>
      </c>
      <c r="Z6">
        <v>9</v>
      </c>
      <c r="AA6">
        <v>11</v>
      </c>
      <c r="AB6">
        <v>12</v>
      </c>
      <c r="AC6">
        <v>14</v>
      </c>
      <c r="AD6">
        <v>15</v>
      </c>
      <c r="AE6">
        <v>17</v>
      </c>
      <c r="AF6">
        <v>18</v>
      </c>
      <c r="AG6">
        <v>20</v>
      </c>
      <c r="AH6">
        <v>21</v>
      </c>
      <c r="AP6">
        <v>2</v>
      </c>
      <c r="AQ6">
        <v>3</v>
      </c>
      <c r="AR6">
        <v>4</v>
      </c>
      <c r="AS6">
        <v>5</v>
      </c>
      <c r="AT6">
        <v>6</v>
      </c>
      <c r="AU6">
        <v>7</v>
      </c>
      <c r="AV6">
        <v>8</v>
      </c>
      <c r="AW6">
        <v>9</v>
      </c>
      <c r="AX6">
        <v>10</v>
      </c>
      <c r="AY6">
        <v>11</v>
      </c>
      <c r="AZ6">
        <v>12</v>
      </c>
      <c r="BA6">
        <v>13</v>
      </c>
      <c r="BB6">
        <v>14</v>
      </c>
      <c r="BC6">
        <v>15</v>
      </c>
      <c r="BD6">
        <v>16</v>
      </c>
      <c r="BE6">
        <v>17</v>
      </c>
      <c r="BF6">
        <v>18</v>
      </c>
      <c r="BG6">
        <v>19</v>
      </c>
      <c r="BH6">
        <v>20</v>
      </c>
      <c r="BI6">
        <v>21</v>
      </c>
      <c r="BJ6">
        <v>22</v>
      </c>
    </row>
    <row r="7" spans="1:63" s="7" customFormat="1" ht="60">
      <c r="A7" s="5" t="s">
        <v>28</v>
      </c>
      <c r="B7" s="5" t="s">
        <v>29</v>
      </c>
      <c r="C7" s="5" t="s">
        <v>30</v>
      </c>
      <c r="D7" s="5" t="s">
        <v>31</v>
      </c>
      <c r="E7" s="5" t="s">
        <v>33</v>
      </c>
      <c r="F7" s="5" t="s">
        <v>35</v>
      </c>
      <c r="G7" s="5" t="s">
        <v>36</v>
      </c>
      <c r="H7" s="5" t="s">
        <v>37</v>
      </c>
      <c r="I7" s="5"/>
      <c r="J7" s="5"/>
      <c r="K7" s="5" t="s">
        <v>1214</v>
      </c>
      <c r="L7" s="5" t="s">
        <v>1215</v>
      </c>
      <c r="M7" s="5" t="s">
        <v>1216</v>
      </c>
      <c r="N7" s="5" t="s">
        <v>1217</v>
      </c>
      <c r="O7" s="5" t="s">
        <v>40</v>
      </c>
      <c r="P7" s="5" t="s">
        <v>1218</v>
      </c>
      <c r="Q7" s="5" t="s">
        <v>1219</v>
      </c>
      <c r="R7" s="5" t="s">
        <v>1220</v>
      </c>
      <c r="S7" s="5" t="s">
        <v>1221</v>
      </c>
      <c r="U7" s="5" t="s">
        <v>49</v>
      </c>
      <c r="V7" s="5" t="s">
        <v>50</v>
      </c>
      <c r="W7" s="5" t="s">
        <v>52</v>
      </c>
      <c r="X7" s="5" t="s">
        <v>53</v>
      </c>
      <c r="Y7" s="5" t="s">
        <v>55</v>
      </c>
      <c r="Z7" s="5" t="s">
        <v>56</v>
      </c>
      <c r="AA7" s="5" t="s">
        <v>58</v>
      </c>
      <c r="AB7" s="5" t="s">
        <v>59</v>
      </c>
      <c r="AC7" s="5" t="s">
        <v>61</v>
      </c>
      <c r="AD7" s="5" t="s">
        <v>62</v>
      </c>
      <c r="AE7" s="5" t="s">
        <v>64</v>
      </c>
      <c r="AF7" s="5" t="s">
        <v>65</v>
      </c>
      <c r="AG7" s="5" t="s">
        <v>67</v>
      </c>
      <c r="AH7" s="5" t="s">
        <v>68</v>
      </c>
      <c r="AI7" s="5" t="s">
        <v>1222</v>
      </c>
      <c r="AL7" s="5" t="s">
        <v>1223</v>
      </c>
      <c r="AM7" s="5" t="s">
        <v>1224</v>
      </c>
      <c r="AN7" s="5" t="s">
        <v>694</v>
      </c>
      <c r="AO7" s="5" t="s">
        <v>1225</v>
      </c>
      <c r="AP7" s="5" t="s">
        <v>49</v>
      </c>
      <c r="AQ7" s="5" t="s">
        <v>50</v>
      </c>
      <c r="AR7" s="5" t="s">
        <v>51</v>
      </c>
      <c r="AS7" s="5" t="s">
        <v>52</v>
      </c>
      <c r="AT7" s="5" t="s">
        <v>53</v>
      </c>
      <c r="AU7" s="5" t="s">
        <v>54</v>
      </c>
      <c r="AV7" s="5" t="s">
        <v>55</v>
      </c>
      <c r="AW7" s="5" t="s">
        <v>56</v>
      </c>
      <c r="AX7" s="5" t="s">
        <v>57</v>
      </c>
      <c r="AY7" s="5" t="s">
        <v>58</v>
      </c>
      <c r="AZ7" s="5" t="s">
        <v>59</v>
      </c>
      <c r="BA7" s="5" t="s">
        <v>60</v>
      </c>
      <c r="BB7" s="5" t="s">
        <v>61</v>
      </c>
      <c r="BC7" s="5" t="s">
        <v>62</v>
      </c>
      <c r="BD7" s="5" t="s">
        <v>63</v>
      </c>
      <c r="BE7" s="5" t="s">
        <v>64</v>
      </c>
      <c r="BF7" s="5" t="s">
        <v>65</v>
      </c>
      <c r="BG7" s="5" t="s">
        <v>66</v>
      </c>
      <c r="BH7" s="5" t="s">
        <v>67</v>
      </c>
      <c r="BI7" s="5" t="s">
        <v>68</v>
      </c>
      <c r="BJ7" s="5" t="s">
        <v>69</v>
      </c>
      <c r="BK7" s="5" t="s">
        <v>42</v>
      </c>
    </row>
    <row r="8" spans="1:63">
      <c r="A8" s="1">
        <f>BOM!A3</f>
        <v>1</v>
      </c>
      <c r="B8" s="1" t="str">
        <f>BOM!B3</f>
        <v>MB512123</v>
      </c>
      <c r="C8" s="1">
        <f>BOM!C3</f>
        <v>1</v>
      </c>
      <c r="D8" s="1" t="str">
        <f>BOM!D3</f>
        <v>MB512123</v>
      </c>
      <c r="E8" s="1" t="str">
        <f>BOM!F3</f>
        <v>SA DASH BOARD TRIMS SA IP CARRIER WITH REINFORCEMENT</v>
      </c>
      <c r="F8" s="1" t="str">
        <f>IF(H8="CSC",BOM!H3,IF(J8="BOFOthers","Sheet Metal-B",""))</f>
        <v>Assembly</v>
      </c>
      <c r="G8" s="1" t="str">
        <f>BOM!I3</f>
        <v>Inhouse</v>
      </c>
      <c r="H8" s="1" t="str">
        <f>BOM!J3</f>
        <v>CSC</v>
      </c>
      <c r="I8" s="1" t="str">
        <f>IF(G8="Assy","",IF(H8="CSC","CSC","Others"))</f>
        <v>CSC</v>
      </c>
      <c r="J8" s="1" t="str">
        <f>CONCATENATE(G8,I8)</f>
        <v>InhouseCSC</v>
      </c>
      <c r="K8" s="3">
        <f>IF($J8="InhouseCSC",VLOOKUP($D8,Group!$C:$E,3,0),"")</f>
        <v>0</v>
      </c>
      <c r="L8" s="3" t="str">
        <f>IF(OR($J8="BOSFCSC",$J8="BOFCSC"),VLOOKUP($D8,Group!$C:$E,3,0),"")</f>
        <v/>
      </c>
      <c r="M8" s="3" t="str">
        <f>IF(OR($J8="BOSFCSC",$J8="BOFCSC"),VLOOKUP($D8,Group!$C:$F,4,0),"")</f>
        <v/>
      </c>
      <c r="N8" s="3">
        <f>IF(OR($J8="InhouseCSC",$J8="BOSFCSC"),VLOOKUP($D8,Group!$C:$G,5,0),"")</f>
        <v>29.085000000000001</v>
      </c>
      <c r="O8" s="3">
        <f>IF($J8="InhouseCSC",ROUND(VLOOKUP($D8,Group!$C:$H,6,0),5),"")</f>
        <v>0</v>
      </c>
      <c r="P8" s="3" t="str">
        <f>IF(OR($J8="BOSFCSC",$J8="BOFCSC"),VLOOKUP($D8,Group!$C:$H,6,0),"")</f>
        <v/>
      </c>
      <c r="Q8" s="1" t="str">
        <f>IF($J8="Inhouseothers",VLOOKUP($D8,Group!$C:$E,3,0),"")</f>
        <v/>
      </c>
      <c r="R8" s="1" t="str">
        <f>IF($J8="BOSFOthers",VLOOKUP($D8,Group!$C:$E,3,0),"")</f>
        <v/>
      </c>
      <c r="S8" s="3" t="str">
        <f>IF($J8="BOFOthers",VLOOKUP($D8,Group!$C:$E,3,0),"")</f>
        <v/>
      </c>
      <c r="U8" s="1" t="str">
        <f>IFERROR(Backend!$L8*VLOOKUP($F8,'OH,Profit &amp; Other Base'!$A:$V,Backend!U$6,0),"")</f>
        <v/>
      </c>
      <c r="V8" s="1" t="str">
        <f>IFERROR(Backend!$M8*VLOOKUP($F8,'OH,Profit &amp; Other Base'!$A:$V,Backend!V$6,0),"")</f>
        <v/>
      </c>
      <c r="W8" s="1" t="str">
        <f>IFERROR(Backend!$L8*VLOOKUP($F8,'OH,Profit &amp; Other Base'!$A:$V,Backend!W$6,0),"")</f>
        <v/>
      </c>
      <c r="X8" s="1" t="str">
        <f>IFERROR(Backend!$M8*VLOOKUP($F8,'OH,Profit &amp; Other Base'!$A:$V,Backend!X$6,0),"")</f>
        <v/>
      </c>
      <c r="Y8" s="1" t="str">
        <f>IFERROR(Backend!$L8*VLOOKUP($F8,'OH,Profit &amp; Other Base'!$A:$V,Backend!Y$6,0),"")</f>
        <v/>
      </c>
      <c r="Z8" s="1" t="str">
        <f>IFERROR(Backend!$M8*VLOOKUP($F8,'OH,Profit &amp; Other Base'!$A:$V,Backend!Z$6,0),"")</f>
        <v/>
      </c>
      <c r="AA8" s="1" t="str">
        <f>IFERROR(Backend!$L8*VLOOKUP($F8,'OH,Profit &amp; Other Base'!$A:$V,Backend!AA$6,0),"")</f>
        <v/>
      </c>
      <c r="AB8" s="1" t="str">
        <f>IFERROR(Backend!$M8*VLOOKUP($F8,'OH,Profit &amp; Other Base'!$A:$V,Backend!AB$6,0),"")</f>
        <v/>
      </c>
      <c r="AC8" s="1" t="str">
        <f>IFERROR(Backend!$L8*VLOOKUP($F8,'OH,Profit &amp; Other Base'!$A:$V,Backend!AC$6,0),"")</f>
        <v/>
      </c>
      <c r="AD8" s="1" t="str">
        <f>IFERROR(Backend!$M8*VLOOKUP($F8,'OH,Profit &amp; Other Base'!$A:$V,Backend!AD$6,0),"")</f>
        <v/>
      </c>
      <c r="AE8" s="1" t="str">
        <f>IFERROR(Backend!$L8*VLOOKUP($F8,'OH,Profit &amp; Other Base'!$A:$V,Backend!AE$6,0),"")</f>
        <v/>
      </c>
      <c r="AF8" s="1" t="str">
        <f>IFERROR(Backend!$M8*VLOOKUP($F8,'OH,Profit &amp; Other Base'!$A:$V,Backend!AF$6,0),"")</f>
        <v/>
      </c>
      <c r="AG8" s="1" t="str">
        <f>IFERROR(Backend!$L8*VLOOKUP($F8,'OH,Profit &amp; Other Base'!$A:$V,Backend!AG$6,0),"")</f>
        <v/>
      </c>
      <c r="AH8" s="1" t="str">
        <f>IFERROR(Backend!$M8*VLOOKUP($F8,'OH,Profit &amp; Other Base'!$A:$V,Backend!AH$6,0),"")</f>
        <v/>
      </c>
      <c r="AI8" s="3">
        <f>SUM(L8,M8,P8,U8:AH8)</f>
        <v>0</v>
      </c>
      <c r="AL8" s="1">
        <f>IF($J8="InhouseCSC",K8,IF($J8="BOSFCSC",AI8,""))</f>
        <v>0</v>
      </c>
      <c r="AM8" s="1" t="str">
        <f>IF(J8="BOFCSC",AI8,IF(J8="BOFOthers",S8,""))</f>
        <v/>
      </c>
      <c r="AN8" s="1">
        <f>IFERROR(ROUND(IF(OR(J8="InhouseCSC",J8="BOSFCSC"),AL8,IF(OR(J8="BOFCSC",J8="BOFOthers"),AM8,IF(J8="InhouseOthers",Q8,IF(J8="BOSFOthers",R8,"")))),5),"")</f>
        <v>0</v>
      </c>
      <c r="AO8" s="1">
        <f>IFERROR(ROUND(IF(OR($J8="InhouseCSC",$J8="BOSFCSC"),N8,""),5),"")</f>
        <v>29.085000000000001</v>
      </c>
      <c r="AP8" s="1">
        <f>IFERROR(ROUND(Backend!$AL8*VLOOKUP($F8,'OH,Profit &amp; Other Base'!$A:$V,Backend!AP$6,0),5),"")</f>
        <v>0</v>
      </c>
      <c r="AQ8" s="1">
        <f>IFERROR(ROUND(Backend!$AO8*VLOOKUP($F8,'OH,Profit &amp; Other Base'!$A:$V,Backend!AQ$6,0),5),"")</f>
        <v>0</v>
      </c>
      <c r="AR8" s="1" t="str">
        <f>IFERROR(ROUND(Backend!$AM8*VLOOKUP($F8,'OH,Profit &amp; Other Base'!$A:$V,Backend!AR$6,0),5),"")</f>
        <v/>
      </c>
      <c r="AS8" s="1">
        <f>IFERROR(ROUND(Backend!$AL8*VLOOKUP($F8,'OH,Profit &amp; Other Base'!$A:$V,Backend!AS$6,0),5),"")</f>
        <v>0</v>
      </c>
      <c r="AT8" s="1">
        <f>IFERROR(ROUND(Backend!$AO8*VLOOKUP($F8,'OH,Profit &amp; Other Base'!$A:$V,Backend!AT$6,0),5),"")</f>
        <v>0.29085</v>
      </c>
      <c r="AU8" s="1" t="str">
        <f>IFERROR(ROUND(Backend!$AM8*VLOOKUP($F8,'OH,Profit &amp; Other Base'!$A:$V,Backend!AU$6,0),5),"")</f>
        <v/>
      </c>
      <c r="AV8" s="1">
        <f>IFERROR(ROUND(Backend!$AL8*VLOOKUP($F8,'OH,Profit &amp; Other Base'!$A:$V,Backend!AV$6,0),5),"")</f>
        <v>0</v>
      </c>
      <c r="AW8" s="1">
        <f>IFERROR(ROUND(Backend!$AO8*VLOOKUP($F8,'OH,Profit &amp; Other Base'!$A:$V,Backend!AW$6,0),5),"")</f>
        <v>0</v>
      </c>
      <c r="AX8" s="1" t="str">
        <f>IFERROR(ROUND(Backend!$AM8*VLOOKUP($F8,'OH,Profit &amp; Other Base'!$A:$V,Backend!AX$6,0),5),"")</f>
        <v/>
      </c>
      <c r="AY8" s="1">
        <f>IFERROR(ROUND(Backend!$AL8*VLOOKUP($F8,'OH,Profit &amp; Other Base'!$A:$V,Backend!AY$6,0),5),"")</f>
        <v>0</v>
      </c>
      <c r="AZ8" s="1">
        <f>IFERROR(ROUND(Backend!$AO8*VLOOKUP($F8,'OH,Profit &amp; Other Base'!$A:$V,Backend!AZ$6,0),5),"")</f>
        <v>0.58169999999999999</v>
      </c>
      <c r="BA8" s="1" t="str">
        <f>IFERROR(ROUND(Backend!$AM8*VLOOKUP($F8,'OH,Profit &amp; Other Base'!$A:$V,Backend!BA$6,0),5),"")</f>
        <v/>
      </c>
      <c r="BB8" s="1">
        <f>IFERROR(ROUND(Backend!$AL8*VLOOKUP($F8,'OH,Profit &amp; Other Base'!$A:$V,Backend!BB$6,0),5),"")</f>
        <v>0</v>
      </c>
      <c r="BC8" s="1">
        <f>IFERROR(ROUND(Backend!$AO8*VLOOKUP($F8,'OH,Profit &amp; Other Base'!$A:$V,Backend!BC$6,0),5),"")</f>
        <v>0</v>
      </c>
      <c r="BD8" s="1" t="str">
        <f>IFERROR(ROUND(Backend!$AM8*VLOOKUP($F8,'OH,Profit &amp; Other Base'!$A:$V,Backend!BD$6,0),5),"")</f>
        <v/>
      </c>
      <c r="BE8" s="1">
        <f>IFERROR(ROUND(Backend!$AL8*VLOOKUP($F8,'OH,Profit &amp; Other Base'!$A:$V,Backend!BE$6,0),5),"")</f>
        <v>0</v>
      </c>
      <c r="BF8" s="1">
        <f>IFERROR(ROUND(Backend!$AO8*VLOOKUP($F8,'OH,Profit &amp; Other Base'!$A:$V,Backend!BF$6,0),5),"")</f>
        <v>3.4902000000000002</v>
      </c>
      <c r="BG8" s="1" t="str">
        <f>IFERROR(ROUND(Backend!$AM8*VLOOKUP($F8,'OH,Profit &amp; Other Base'!$A:$V,Backend!BG$6,0),5),"")</f>
        <v/>
      </c>
      <c r="BH8" s="1">
        <f>IFERROR(ROUND(Backend!$AL8*VLOOKUP($F8,'OH,Profit &amp; Other Base'!$A:$V,Backend!BH$6,0),5),"")</f>
        <v>0</v>
      </c>
      <c r="BI8" s="1">
        <f>IFERROR(ROUND(Backend!$AO8*VLOOKUP($F8,'OH,Profit &amp; Other Base'!$A:$V,Backend!BI$6,0),5),"")</f>
        <v>1.7451000000000001</v>
      </c>
      <c r="BJ8" s="1" t="str">
        <f>IFERROR(ROUND(Backend!$AM8*VLOOKUP($F8,'OH,Profit &amp; Other Base'!$A:$V,Backend!BJ$6,0),5),"")</f>
        <v/>
      </c>
      <c r="BK8" s="3">
        <f>SUM(AN8:BJ8,Backend!O8)</f>
        <v>35.19285</v>
      </c>
    </row>
    <row r="9" spans="1:63">
      <c r="A9" s="1">
        <f>BOM!A4</f>
        <v>2</v>
      </c>
      <c r="B9" s="1" t="str">
        <f>BOM!B4</f>
        <v>MB512123</v>
      </c>
      <c r="C9" s="1">
        <f>BOM!C4</f>
        <v>2</v>
      </c>
      <c r="D9" s="1" t="str">
        <f>BOM!D4</f>
        <v>FV516568</v>
      </c>
      <c r="E9" s="1" t="str">
        <f>BOM!F4</f>
        <v>REINFORCEMENT-INTERIOR TRIM -</v>
      </c>
      <c r="F9" s="1" t="str">
        <f>IF(H9="CSC",BOM!H4,IF(J9="BOFOthers","Sheet Metal-B",""))</f>
        <v>Injection Moulding</v>
      </c>
      <c r="G9" s="1" t="str">
        <f>BOM!I4</f>
        <v>Inhouse</v>
      </c>
      <c r="H9" s="1" t="str">
        <f>BOM!J4</f>
        <v>CSC</v>
      </c>
      <c r="I9" s="1" t="str">
        <f t="shared" ref="I9:I65" si="0">IF(G9="Assy","",IF(H9="CSC","CSC","Others"))</f>
        <v>CSC</v>
      </c>
      <c r="J9" s="1" t="str">
        <f t="shared" ref="J9:J65" si="1">CONCATENATE(G9,I9)</f>
        <v>InhouseCSC</v>
      </c>
      <c r="K9" s="3">
        <f>IF($J9="InhouseCSC",VLOOKUP($D9,Group!$C:$E,3,0),"")</f>
        <v>128.75</v>
      </c>
      <c r="L9" s="3" t="str">
        <f>IF(OR($J9="BOSFCSC",$J9="BOFCSC"),VLOOKUP($D9,Group!$C:$E,3,0),"")</f>
        <v/>
      </c>
      <c r="M9" s="3" t="str">
        <f>IF(OR($J9="BOSFCSC",$J9="BOFCSC"),VLOOKUP($D9,Group!$C:$F,4,0),"")</f>
        <v/>
      </c>
      <c r="N9" s="3">
        <f>IF(OR($J9="InhouseCSC",$J9="BOSFCSC"),VLOOKUP($D9,Group!$C:$G,5,0),"")</f>
        <v>45.248322547323198</v>
      </c>
      <c r="O9" s="3">
        <f>IF($J9="InhouseCSC",ROUND(VLOOKUP($D9,Group!$C:$H,6,0),5),"")</f>
        <v>0</v>
      </c>
      <c r="P9" s="3" t="str">
        <f>IF(OR($J9="BOSFCSC",$J9="BOFCSC"),VLOOKUP($D9,Group!$C:$H,6,0),"")</f>
        <v/>
      </c>
      <c r="Q9" s="1" t="str">
        <f>IF($J9="Inhouseothers",VLOOKUP($D9,Group!$C:$E,3,0),"")</f>
        <v/>
      </c>
      <c r="R9" s="1" t="str">
        <f>IF($J9="BOSFOthers",VLOOKUP($D9,Group!$C:$E,3,0),"")</f>
        <v/>
      </c>
      <c r="S9" s="3" t="str">
        <f>IF($J9="BOFOthers",VLOOKUP($D9,Group!$C:$E,3,0),"")</f>
        <v/>
      </c>
      <c r="U9" s="1" t="str">
        <f>IFERROR(Backend!$L9*VLOOKUP($F9,'OH,Profit &amp; Other Base'!$A:$V,Backend!U$6,0),"")</f>
        <v/>
      </c>
      <c r="V9" s="1" t="str">
        <f>IFERROR(Backend!$M9*VLOOKUP($F9,'OH,Profit &amp; Other Base'!$A:$V,Backend!V$6,0),"")</f>
        <v/>
      </c>
      <c r="W9" s="1" t="str">
        <f>IFERROR(Backend!$L9*VLOOKUP($F9,'OH,Profit &amp; Other Base'!$A:$V,Backend!W$6,0),"")</f>
        <v/>
      </c>
      <c r="X9" s="1" t="str">
        <f>IFERROR(Backend!$M9*VLOOKUP($F9,'OH,Profit &amp; Other Base'!$A:$V,Backend!X$6,0),"")</f>
        <v/>
      </c>
      <c r="Y9" s="1" t="str">
        <f>IFERROR(Backend!$L9*VLOOKUP($F9,'OH,Profit &amp; Other Base'!$A:$V,Backend!Y$6,0),"")</f>
        <v/>
      </c>
      <c r="Z9" s="1" t="str">
        <f>IFERROR(Backend!$M9*VLOOKUP($F9,'OH,Profit &amp; Other Base'!$A:$V,Backend!Z$6,0),"")</f>
        <v/>
      </c>
      <c r="AA9" s="1" t="str">
        <f>IFERROR(Backend!$L9*VLOOKUP($F9,'OH,Profit &amp; Other Base'!$A:$V,Backend!AA$6,0),"")</f>
        <v/>
      </c>
      <c r="AB9" s="1" t="str">
        <f>IFERROR(Backend!$M9*VLOOKUP($F9,'OH,Profit &amp; Other Base'!$A:$V,Backend!AB$6,0),"")</f>
        <v/>
      </c>
      <c r="AC9" s="1" t="str">
        <f>IFERROR(Backend!$L9*VLOOKUP($F9,'OH,Profit &amp; Other Base'!$A:$V,Backend!AC$6,0),"")</f>
        <v/>
      </c>
      <c r="AD9" s="1" t="str">
        <f>IFERROR(Backend!$M9*VLOOKUP($F9,'OH,Profit &amp; Other Base'!$A:$V,Backend!AD$6,0),"")</f>
        <v/>
      </c>
      <c r="AE9" s="1" t="str">
        <f>IFERROR(Backend!$L9*VLOOKUP($F9,'OH,Profit &amp; Other Base'!$A:$V,Backend!AE$6,0),"")</f>
        <v/>
      </c>
      <c r="AF9" s="1" t="str">
        <f>IFERROR(Backend!$M9*VLOOKUP($F9,'OH,Profit &amp; Other Base'!$A:$V,Backend!AF$6,0),"")</f>
        <v/>
      </c>
      <c r="AG9" s="1" t="str">
        <f>IFERROR(Backend!$L9*VLOOKUP($F9,'OH,Profit &amp; Other Base'!$A:$V,Backend!AG$6,0),"")</f>
        <v/>
      </c>
      <c r="AH9" s="1" t="str">
        <f>IFERROR(Backend!$M9*VLOOKUP($F9,'OH,Profit &amp; Other Base'!$A:$V,Backend!AH$6,0),"")</f>
        <v/>
      </c>
      <c r="AI9" s="3">
        <f t="shared" ref="AI9:AI65" si="2">SUM(L9,M9,P9,U9:AH9)</f>
        <v>0</v>
      </c>
      <c r="AL9" s="1">
        <f t="shared" ref="AL9:AL65" si="3">IF($J9="InhouseCSC",K9,IF($J9="BOSFCSC",AI9,""))</f>
        <v>128.75</v>
      </c>
      <c r="AM9" s="1" t="str">
        <f t="shared" ref="AM9:AM65" si="4">IF(J9="BOFCSC",AI9,IF(J9="BOFOthers",S9,""))</f>
        <v/>
      </c>
      <c r="AN9" s="1">
        <f t="shared" ref="AN9:AN65" si="5">IFERROR(ROUND(IF(OR(J9="InhouseCSC",J9="BOSFCSC"),AL9,IF(OR(J9="BOFCSC",J9="BOFOthers"),AM9,IF(J9="InhouseOthers",Q9,IF(J9="BOSFOthers",R9,"")))),5),"")</f>
        <v>128.75</v>
      </c>
      <c r="AO9" s="1">
        <f t="shared" ref="AO9:AO65" si="6">IFERROR(ROUND(IF(OR($J9="InhouseCSC",$J9="BOSFCSC"),N9,""),5),"")</f>
        <v>45.24832</v>
      </c>
      <c r="AP9" s="1">
        <f>IFERROR(ROUND(Backend!$AL9*VLOOKUP($F9,'OH,Profit &amp; Other Base'!$A:$V,Backend!AP$6,0),5),"")</f>
        <v>2.8968799999999999</v>
      </c>
      <c r="AQ9" s="1">
        <f>IFERROR(ROUND(Backend!$AO9*VLOOKUP($F9,'OH,Profit &amp; Other Base'!$A:$V,Backend!AQ$6,0),5),"")</f>
        <v>0</v>
      </c>
      <c r="AR9" s="1" t="str">
        <f>IFERROR(ROUND(Backend!$AM9*VLOOKUP($F9,'OH,Profit &amp; Other Base'!$A:$V,Backend!AR$6,0),5),"")</f>
        <v/>
      </c>
      <c r="AS9" s="1">
        <f>IFERROR(ROUND(Backend!$AL9*VLOOKUP($F9,'OH,Profit &amp; Other Base'!$A:$V,Backend!AS$6,0),5),"")</f>
        <v>3.8624999999999998</v>
      </c>
      <c r="AT9" s="1">
        <f>IFERROR(ROUND(Backend!$AO9*VLOOKUP($F9,'OH,Profit &amp; Other Base'!$A:$V,Backend!AT$6,0),5),"")</f>
        <v>1.35745</v>
      </c>
      <c r="AU9" s="1" t="str">
        <f>IFERROR(ROUND(Backend!$AM9*VLOOKUP($F9,'OH,Profit &amp; Other Base'!$A:$V,Backend!AU$6,0),5),"")</f>
        <v/>
      </c>
      <c r="AV9" s="1">
        <f>IFERROR(ROUND(Backend!$AL9*VLOOKUP($F9,'OH,Profit &amp; Other Base'!$A:$V,Backend!AV$6,0),5),"")</f>
        <v>0</v>
      </c>
      <c r="AW9" s="1">
        <f>IFERROR(ROUND(Backend!$AO9*VLOOKUP($F9,'OH,Profit &amp; Other Base'!$A:$V,Backend!AW$6,0),5),"")</f>
        <v>0</v>
      </c>
      <c r="AX9" s="1" t="str">
        <f>IFERROR(ROUND(Backend!$AM9*VLOOKUP($F9,'OH,Profit &amp; Other Base'!$A:$V,Backend!AX$6,0),5),"")</f>
        <v/>
      </c>
      <c r="AY9" s="1">
        <f>IFERROR(ROUND(Backend!$AL9*VLOOKUP($F9,'OH,Profit &amp; Other Base'!$A:$V,Backend!AY$6,0),5),"")</f>
        <v>0</v>
      </c>
      <c r="AZ9" s="1">
        <f>IFERROR(ROUND(Backend!$AO9*VLOOKUP($F9,'OH,Profit &amp; Other Base'!$A:$V,Backend!AZ$6,0),5),"")</f>
        <v>1.58369</v>
      </c>
      <c r="BA9" s="1" t="str">
        <f>IFERROR(ROUND(Backend!$AM9*VLOOKUP($F9,'OH,Profit &amp; Other Base'!$A:$V,Backend!BA$6,0),5),"")</f>
        <v/>
      </c>
      <c r="BB9" s="1">
        <f>IFERROR(ROUND(Backend!$AL9*VLOOKUP($F9,'OH,Profit &amp; Other Base'!$A:$V,Backend!BB$6,0),5),"")</f>
        <v>0</v>
      </c>
      <c r="BC9" s="1">
        <f>IFERROR(ROUND(Backend!$AO9*VLOOKUP($F9,'OH,Profit &amp; Other Base'!$A:$V,Backend!BC$6,0),5),"")</f>
        <v>0</v>
      </c>
      <c r="BD9" s="1" t="str">
        <f>IFERROR(ROUND(Backend!$AM9*VLOOKUP($F9,'OH,Profit &amp; Other Base'!$A:$V,Backend!BD$6,0),5),"")</f>
        <v/>
      </c>
      <c r="BE9" s="1">
        <f>IFERROR(ROUND(Backend!$AL9*VLOOKUP($F9,'OH,Profit &amp; Other Base'!$A:$V,Backend!BE$6,0),5),"")</f>
        <v>0</v>
      </c>
      <c r="BF9" s="1">
        <f>IFERROR(ROUND(Backend!$AO9*VLOOKUP($F9,'OH,Profit &amp; Other Base'!$A:$V,Backend!BF$6,0),5),"")</f>
        <v>3.1673800000000001</v>
      </c>
      <c r="BG9" s="1" t="str">
        <f>IFERROR(ROUND(Backend!$AM9*VLOOKUP($F9,'OH,Profit &amp; Other Base'!$A:$V,Backend!BG$6,0),5),"")</f>
        <v/>
      </c>
      <c r="BH9" s="1">
        <f>IFERROR(ROUND(Backend!$AL9*VLOOKUP($F9,'OH,Profit &amp; Other Base'!$A:$V,Backend!BH$6,0),5),"")</f>
        <v>11.5875</v>
      </c>
      <c r="BI9" s="1">
        <f>IFERROR(ROUND(Backend!$AO9*VLOOKUP($F9,'OH,Profit &amp; Other Base'!$A:$V,Backend!BI$6,0),5),"")</f>
        <v>4.0723500000000001</v>
      </c>
      <c r="BJ9" s="1" t="str">
        <f>IFERROR(ROUND(Backend!$AM9*VLOOKUP($F9,'OH,Profit &amp; Other Base'!$A:$V,Backend!BJ$6,0),5),"")</f>
        <v/>
      </c>
      <c r="BK9" s="3">
        <f>SUM(AN9:BJ9,Backend!O9)</f>
        <v>202.52607000000003</v>
      </c>
    </row>
    <row r="10" spans="1:63">
      <c r="A10" s="1">
        <f>BOM!A5</f>
        <v>3</v>
      </c>
      <c r="B10" s="1" t="str">
        <f>BOM!B5</f>
        <v>MB512123</v>
      </c>
      <c r="C10" s="1">
        <f>BOM!C5</f>
        <v>2</v>
      </c>
      <c r="D10" s="1" t="str">
        <f>BOM!D5</f>
        <v>FC450368</v>
      </c>
      <c r="E10" s="1" t="str">
        <f>BOM!F5</f>
        <v>COVER-INSTRUMENT PANEL IP Carrier</v>
      </c>
      <c r="F10" s="1" t="str">
        <f>IF(H10="CSC",BOM!H5,IF(J10="BOFOthers","Sheet Metal-B",""))</f>
        <v>Injection Moulding</v>
      </c>
      <c r="G10" s="1" t="str">
        <f>BOM!I5</f>
        <v>Inhouse</v>
      </c>
      <c r="H10" s="1" t="str">
        <f>BOM!J5</f>
        <v>CSC</v>
      </c>
      <c r="I10" s="1" t="str">
        <f t="shared" si="0"/>
        <v>CSC</v>
      </c>
      <c r="J10" s="1" t="str">
        <f t="shared" si="1"/>
        <v>InhouseCSC</v>
      </c>
      <c r="K10" s="3">
        <f>IF($J10="InhouseCSC",VLOOKUP($D10,Group!$C:$E,3,0),"")</f>
        <v>444.44444444444446</v>
      </c>
      <c r="L10" s="3" t="str">
        <f>IF(OR($J10="BOSFCSC",$J10="BOFCSC"),VLOOKUP($D10,Group!$C:$E,3,0),"")</f>
        <v/>
      </c>
      <c r="M10" s="3" t="str">
        <f>IF(OR($J10="BOSFCSC",$J10="BOFCSC"),VLOOKUP($D10,Group!$C:$F,4,0),"")</f>
        <v/>
      </c>
      <c r="N10" s="3">
        <f>IF(OR($J10="InhouseCSC",$J10="BOSFCSC"),VLOOKUP($D10,Group!$C:$G,5,0),"")</f>
        <v>92.142940509327588</v>
      </c>
      <c r="O10" s="3">
        <f>IF($J10="InhouseCSC",ROUND(VLOOKUP($D10,Group!$C:$H,6,0),5),"")</f>
        <v>0</v>
      </c>
      <c r="P10" s="3" t="str">
        <f>IF(OR($J10="BOSFCSC",$J10="BOFCSC"),VLOOKUP($D10,Group!$C:$H,6,0),"")</f>
        <v/>
      </c>
      <c r="Q10" s="1" t="str">
        <f>IF($J10="Inhouseothers",VLOOKUP($D10,Group!$C:$E,3,0),"")</f>
        <v/>
      </c>
      <c r="R10" s="1" t="str">
        <f>IF($J10="BOSFOthers",VLOOKUP($D10,Group!$C:$E,3,0),"")</f>
        <v/>
      </c>
      <c r="S10" s="3" t="str">
        <f>IF($J10="BOFOthers",VLOOKUP($D10,Group!$C:$E,3,0),"")</f>
        <v/>
      </c>
      <c r="U10" s="1" t="str">
        <f>IFERROR(Backend!$L10*VLOOKUP($F10,'OH,Profit &amp; Other Base'!$A:$V,Backend!U$6,0),"")</f>
        <v/>
      </c>
      <c r="V10" s="1" t="str">
        <f>IFERROR(Backend!$M10*VLOOKUP($F10,'OH,Profit &amp; Other Base'!$A:$V,Backend!V$6,0),"")</f>
        <v/>
      </c>
      <c r="W10" s="1" t="str">
        <f>IFERROR(Backend!$L10*VLOOKUP($F10,'OH,Profit &amp; Other Base'!$A:$V,Backend!W$6,0),"")</f>
        <v/>
      </c>
      <c r="X10" s="1" t="str">
        <f>IFERROR(Backend!$M10*VLOOKUP($F10,'OH,Profit &amp; Other Base'!$A:$V,Backend!X$6,0),"")</f>
        <v/>
      </c>
      <c r="Y10" s="1" t="str">
        <f>IFERROR(Backend!$L10*VLOOKUP($F10,'OH,Profit &amp; Other Base'!$A:$V,Backend!Y$6,0),"")</f>
        <v/>
      </c>
      <c r="Z10" s="1" t="str">
        <f>IFERROR(Backend!$M10*VLOOKUP($F10,'OH,Profit &amp; Other Base'!$A:$V,Backend!Z$6,0),"")</f>
        <v/>
      </c>
      <c r="AA10" s="1" t="str">
        <f>IFERROR(Backend!$L10*VLOOKUP($F10,'OH,Profit &amp; Other Base'!$A:$V,Backend!AA$6,0),"")</f>
        <v/>
      </c>
      <c r="AB10" s="1" t="str">
        <f>IFERROR(Backend!$M10*VLOOKUP($F10,'OH,Profit &amp; Other Base'!$A:$V,Backend!AB$6,0),"")</f>
        <v/>
      </c>
      <c r="AC10" s="1" t="str">
        <f>IFERROR(Backend!$L10*VLOOKUP($F10,'OH,Profit &amp; Other Base'!$A:$V,Backend!AC$6,0),"")</f>
        <v/>
      </c>
      <c r="AD10" s="1" t="str">
        <f>IFERROR(Backend!$M10*VLOOKUP($F10,'OH,Profit &amp; Other Base'!$A:$V,Backend!AD$6,0),"")</f>
        <v/>
      </c>
      <c r="AE10" s="1" t="str">
        <f>IFERROR(Backend!$L10*VLOOKUP($F10,'OH,Profit &amp; Other Base'!$A:$V,Backend!AE$6,0),"")</f>
        <v/>
      </c>
      <c r="AF10" s="1" t="str">
        <f>IFERROR(Backend!$M10*VLOOKUP($F10,'OH,Profit &amp; Other Base'!$A:$V,Backend!AF$6,0),"")</f>
        <v/>
      </c>
      <c r="AG10" s="1" t="str">
        <f>IFERROR(Backend!$L10*VLOOKUP($F10,'OH,Profit &amp; Other Base'!$A:$V,Backend!AG$6,0),"")</f>
        <v/>
      </c>
      <c r="AH10" s="1" t="str">
        <f>IFERROR(Backend!$M10*VLOOKUP($F10,'OH,Profit &amp; Other Base'!$A:$V,Backend!AH$6,0),"")</f>
        <v/>
      </c>
      <c r="AI10" s="3">
        <f t="shared" si="2"/>
        <v>0</v>
      </c>
      <c r="AL10" s="1">
        <f t="shared" si="3"/>
        <v>444.44444444444446</v>
      </c>
      <c r="AM10" s="1" t="str">
        <f t="shared" si="4"/>
        <v/>
      </c>
      <c r="AN10" s="1">
        <f t="shared" si="5"/>
        <v>444.44443999999999</v>
      </c>
      <c r="AO10" s="1">
        <f t="shared" si="6"/>
        <v>92.142939999999996</v>
      </c>
      <c r="AP10" s="1">
        <f>IFERROR(ROUND(Backend!$AL10*VLOOKUP($F10,'OH,Profit &amp; Other Base'!$A:$V,Backend!AP$6,0),5),"")</f>
        <v>10</v>
      </c>
      <c r="AQ10" s="1">
        <f>IFERROR(ROUND(Backend!$AO10*VLOOKUP($F10,'OH,Profit &amp; Other Base'!$A:$V,Backend!AQ$6,0),5),"")</f>
        <v>0</v>
      </c>
      <c r="AR10" s="1" t="str">
        <f>IFERROR(ROUND(Backend!$AM10*VLOOKUP($F10,'OH,Profit &amp; Other Base'!$A:$V,Backend!AR$6,0),5),"")</f>
        <v/>
      </c>
      <c r="AS10" s="1">
        <f>IFERROR(ROUND(Backend!$AL10*VLOOKUP($F10,'OH,Profit &amp; Other Base'!$A:$V,Backend!AS$6,0),5),"")</f>
        <v>13.33333</v>
      </c>
      <c r="AT10" s="1">
        <f>IFERROR(ROUND(Backend!$AO10*VLOOKUP($F10,'OH,Profit &amp; Other Base'!$A:$V,Backend!AT$6,0),5),"")</f>
        <v>2.7642899999999999</v>
      </c>
      <c r="AU10" s="1" t="str">
        <f>IFERROR(ROUND(Backend!$AM10*VLOOKUP($F10,'OH,Profit &amp; Other Base'!$A:$V,Backend!AU$6,0),5),"")</f>
        <v/>
      </c>
      <c r="AV10" s="1">
        <f>IFERROR(ROUND(Backend!$AL10*VLOOKUP($F10,'OH,Profit &amp; Other Base'!$A:$V,Backend!AV$6,0),5),"")</f>
        <v>0</v>
      </c>
      <c r="AW10" s="1">
        <f>IFERROR(ROUND(Backend!$AO10*VLOOKUP($F10,'OH,Profit &amp; Other Base'!$A:$V,Backend!AW$6,0),5),"")</f>
        <v>0</v>
      </c>
      <c r="AX10" s="1" t="str">
        <f>IFERROR(ROUND(Backend!$AM10*VLOOKUP($F10,'OH,Profit &amp; Other Base'!$A:$V,Backend!AX$6,0),5),"")</f>
        <v/>
      </c>
      <c r="AY10" s="1">
        <f>IFERROR(ROUND(Backend!$AL10*VLOOKUP($F10,'OH,Profit &amp; Other Base'!$A:$V,Backend!AY$6,0),5),"")</f>
        <v>0</v>
      </c>
      <c r="AZ10" s="1">
        <f>IFERROR(ROUND(Backend!$AO10*VLOOKUP($F10,'OH,Profit &amp; Other Base'!$A:$V,Backend!AZ$6,0),5),"")</f>
        <v>3.2250000000000001</v>
      </c>
      <c r="BA10" s="1" t="str">
        <f>IFERROR(ROUND(Backend!$AM10*VLOOKUP($F10,'OH,Profit &amp; Other Base'!$A:$V,Backend!BA$6,0),5),"")</f>
        <v/>
      </c>
      <c r="BB10" s="1">
        <f>IFERROR(ROUND(Backend!$AL10*VLOOKUP($F10,'OH,Profit &amp; Other Base'!$A:$V,Backend!BB$6,0),5),"")</f>
        <v>0</v>
      </c>
      <c r="BC10" s="1">
        <f>IFERROR(ROUND(Backend!$AO10*VLOOKUP($F10,'OH,Profit &amp; Other Base'!$A:$V,Backend!BC$6,0),5),"")</f>
        <v>0</v>
      </c>
      <c r="BD10" s="1" t="str">
        <f>IFERROR(ROUND(Backend!$AM10*VLOOKUP($F10,'OH,Profit &amp; Other Base'!$A:$V,Backend!BD$6,0),5),"")</f>
        <v/>
      </c>
      <c r="BE10" s="1">
        <f>IFERROR(ROUND(Backend!$AL10*VLOOKUP($F10,'OH,Profit &amp; Other Base'!$A:$V,Backend!BE$6,0),5),"")</f>
        <v>0</v>
      </c>
      <c r="BF10" s="1">
        <f>IFERROR(ROUND(Backend!$AO10*VLOOKUP($F10,'OH,Profit &amp; Other Base'!$A:$V,Backend!BF$6,0),5),"")</f>
        <v>6.4500099999999998</v>
      </c>
      <c r="BG10" s="1" t="str">
        <f>IFERROR(ROUND(Backend!$AM10*VLOOKUP($F10,'OH,Profit &amp; Other Base'!$A:$V,Backend!BG$6,0),5),"")</f>
        <v/>
      </c>
      <c r="BH10" s="1">
        <f>IFERROR(ROUND(Backend!$AL10*VLOOKUP($F10,'OH,Profit &amp; Other Base'!$A:$V,Backend!BH$6,0),5),"")</f>
        <v>40</v>
      </c>
      <c r="BI10" s="1">
        <f>IFERROR(ROUND(Backend!$AO10*VLOOKUP($F10,'OH,Profit &amp; Other Base'!$A:$V,Backend!BI$6,0),5),"")</f>
        <v>8.2928599999999992</v>
      </c>
      <c r="BJ10" s="1" t="str">
        <f>IFERROR(ROUND(Backend!$AM10*VLOOKUP($F10,'OH,Profit &amp; Other Base'!$A:$V,Backend!BJ$6,0),5),"")</f>
        <v/>
      </c>
      <c r="BK10" s="3">
        <f>SUM(AN10:BJ10,Backend!O10)</f>
        <v>620.65287000000001</v>
      </c>
    </row>
    <row r="11" spans="1:63">
      <c r="A11" s="1">
        <f>BOM!A6</f>
        <v>4</v>
      </c>
      <c r="B11" s="1" t="str">
        <f>BOM!B6</f>
        <v>MB512123</v>
      </c>
      <c r="C11" s="1">
        <f>BOM!C6</f>
        <v>2</v>
      </c>
      <c r="D11" s="1" t="str">
        <f>BOM!D6</f>
        <v>FE705510</v>
      </c>
      <c r="E11" s="1" t="str">
        <f>BOM!F6</f>
        <v>SCREW - PAN PHILIPS 4.2 X 1.4 CP X 13.0 LONG</v>
      </c>
      <c r="F11" s="1" t="str">
        <f>IF(H11="CSC",BOM!H6,IF(J11="BOFOthers","Sheet Metal-B",""))</f>
        <v>Sheet Metal-B</v>
      </c>
      <c r="G11" s="1" t="str">
        <f>BOM!I6</f>
        <v>BOF</v>
      </c>
      <c r="H11" s="1" t="str">
        <f>BOM!J6</f>
        <v>Standard</v>
      </c>
      <c r="I11" s="1" t="str">
        <f t="shared" si="0"/>
        <v>Others</v>
      </c>
      <c r="J11" s="1" t="str">
        <f t="shared" si="1"/>
        <v>BOFOthers</v>
      </c>
      <c r="K11" s="3" t="str">
        <f>IF($J11="InhouseCSC",VLOOKUP($D11,Group!$C:$E,3,0),"")</f>
        <v/>
      </c>
      <c r="L11" s="3" t="str">
        <f>IF(OR($J11="BOSFCSC",$J11="BOFCSC"),VLOOKUP($D11,Group!$C:$E,3,0),"")</f>
        <v/>
      </c>
      <c r="M11" s="3" t="str">
        <f>IF(OR($J11="BOSFCSC",$J11="BOFCSC"),VLOOKUP($D11,Group!$C:$F,4,0),"")</f>
        <v/>
      </c>
      <c r="N11" s="3" t="str">
        <f>IF(OR($J11="InhouseCSC",$J11="BOSFCSC"),VLOOKUP($D11,Group!$C:$G,5,0),"")</f>
        <v/>
      </c>
      <c r="O11" s="3" t="str">
        <f>IF($J11="InhouseCSC",ROUND(VLOOKUP($D11,Group!$C:$H,6,0),5),"")</f>
        <v/>
      </c>
      <c r="P11" s="3" t="str">
        <f>IF(OR($J11="BOSFCSC",$J11="BOFCSC"),VLOOKUP($D11,Group!$C:$H,6,0),"")</f>
        <v/>
      </c>
      <c r="Q11" s="1" t="str">
        <f>IF($J11="Inhouseothers",VLOOKUP($D11,Group!$C:$E,3,0),"")</f>
        <v/>
      </c>
      <c r="R11" s="1" t="str">
        <f>IF($J11="BOSFOthers",VLOOKUP($D11,Group!$C:$E,3,0),"")</f>
        <v/>
      </c>
      <c r="S11" s="3">
        <f>IF($J11="BOFOthers",VLOOKUP($D11,Group!$C:$E,3,0),"")</f>
        <v>0.71</v>
      </c>
      <c r="U11" s="1" t="str">
        <f>IFERROR(Backend!$L11*VLOOKUP($F11,'OH,Profit &amp; Other Base'!$A:$V,Backend!U$6,0),"")</f>
        <v/>
      </c>
      <c r="V11" s="1" t="str">
        <f>IFERROR(Backend!$M11*VLOOKUP($F11,'OH,Profit &amp; Other Base'!$A:$V,Backend!V$6,0),"")</f>
        <v/>
      </c>
      <c r="W11" s="1" t="str">
        <f>IFERROR(Backend!$L11*VLOOKUP($F11,'OH,Profit &amp; Other Base'!$A:$V,Backend!W$6,0),"")</f>
        <v/>
      </c>
      <c r="X11" s="1" t="str">
        <f>IFERROR(Backend!$M11*VLOOKUP($F11,'OH,Profit &amp; Other Base'!$A:$V,Backend!X$6,0),"")</f>
        <v/>
      </c>
      <c r="Y11" s="1" t="str">
        <f>IFERROR(Backend!$L11*VLOOKUP($F11,'OH,Profit &amp; Other Base'!$A:$V,Backend!Y$6,0),"")</f>
        <v/>
      </c>
      <c r="Z11" s="1" t="str">
        <f>IFERROR(Backend!$M11*VLOOKUP($F11,'OH,Profit &amp; Other Base'!$A:$V,Backend!Z$6,0),"")</f>
        <v/>
      </c>
      <c r="AA11" s="1" t="str">
        <f>IFERROR(Backend!$L11*VLOOKUP($F11,'OH,Profit &amp; Other Base'!$A:$V,Backend!AA$6,0),"")</f>
        <v/>
      </c>
      <c r="AB11" s="1" t="str">
        <f>IFERROR(Backend!$M11*VLOOKUP($F11,'OH,Profit &amp; Other Base'!$A:$V,Backend!AB$6,0),"")</f>
        <v/>
      </c>
      <c r="AC11" s="1" t="str">
        <f>IFERROR(Backend!$L11*VLOOKUP($F11,'OH,Profit &amp; Other Base'!$A:$V,Backend!AC$6,0),"")</f>
        <v/>
      </c>
      <c r="AD11" s="1" t="str">
        <f>IFERROR(Backend!$M11*VLOOKUP($F11,'OH,Profit &amp; Other Base'!$A:$V,Backend!AD$6,0),"")</f>
        <v/>
      </c>
      <c r="AE11" s="1" t="str">
        <f>IFERROR(Backend!$L11*VLOOKUP($F11,'OH,Profit &amp; Other Base'!$A:$V,Backend!AE$6,0),"")</f>
        <v/>
      </c>
      <c r="AF11" s="1" t="str">
        <f>IFERROR(Backend!$M11*VLOOKUP($F11,'OH,Profit &amp; Other Base'!$A:$V,Backend!AF$6,0),"")</f>
        <v/>
      </c>
      <c r="AG11" s="1" t="str">
        <f>IFERROR(Backend!$L11*VLOOKUP($F11,'OH,Profit &amp; Other Base'!$A:$V,Backend!AG$6,0),"")</f>
        <v/>
      </c>
      <c r="AH11" s="1" t="str">
        <f>IFERROR(Backend!$M11*VLOOKUP($F11,'OH,Profit &amp; Other Base'!$A:$V,Backend!AH$6,0),"")</f>
        <v/>
      </c>
      <c r="AI11" s="3">
        <f t="shared" si="2"/>
        <v>0</v>
      </c>
      <c r="AL11" s="1" t="str">
        <f t="shared" si="3"/>
        <v/>
      </c>
      <c r="AM11" s="1">
        <f t="shared" si="4"/>
        <v>0.71</v>
      </c>
      <c r="AN11" s="1">
        <f t="shared" si="5"/>
        <v>0.71</v>
      </c>
      <c r="AO11" s="1" t="str">
        <f t="shared" si="6"/>
        <v/>
      </c>
      <c r="AP11" s="1" t="str">
        <f>IFERROR(ROUND(Backend!$AL11*VLOOKUP($F11,'OH,Profit &amp; Other Base'!$A:$V,Backend!AP$6,0),5),"")</f>
        <v/>
      </c>
      <c r="AQ11" s="1" t="str">
        <f>IFERROR(ROUND(Backend!$AO11*VLOOKUP($F11,'OH,Profit &amp; Other Base'!$A:$V,Backend!AQ$6,0),5),"")</f>
        <v/>
      </c>
      <c r="AR11" s="1">
        <f>IFERROR(ROUND(Backend!$AM11*VLOOKUP($F11,'OH,Profit &amp; Other Base'!$A:$V,Backend!AR$6,0),5),"")</f>
        <v>1.065E-2</v>
      </c>
      <c r="AS11" s="1" t="str">
        <f>IFERROR(ROUND(Backend!$AL11*VLOOKUP($F11,'OH,Profit &amp; Other Base'!$A:$V,Backend!AS$6,0),5),"")</f>
        <v/>
      </c>
      <c r="AT11" s="1" t="str">
        <f>IFERROR(ROUND(Backend!$AO11*VLOOKUP($F11,'OH,Profit &amp; Other Base'!$A:$V,Backend!AT$6,0),5),"")</f>
        <v/>
      </c>
      <c r="AU11" s="1">
        <f>IFERROR(ROUND(Backend!$AM11*VLOOKUP($F11,'OH,Profit &amp; Other Base'!$A:$V,Backend!AU$6,0),5),"")</f>
        <v>3.5500000000000002E-3</v>
      </c>
      <c r="AV11" s="1" t="str">
        <f>IFERROR(ROUND(Backend!$AL11*VLOOKUP($F11,'OH,Profit &amp; Other Base'!$A:$V,Backend!AV$6,0),5),"")</f>
        <v/>
      </c>
      <c r="AW11" s="1" t="str">
        <f>IFERROR(ROUND(Backend!$AO11*VLOOKUP($F11,'OH,Profit &amp; Other Base'!$A:$V,Backend!AW$6,0),5),"")</f>
        <v/>
      </c>
      <c r="AX11" s="1">
        <f>IFERROR(ROUND(Backend!$AM11*VLOOKUP($F11,'OH,Profit &amp; Other Base'!$A:$V,Backend!AX$6,0),5),"")</f>
        <v>0</v>
      </c>
      <c r="AY11" s="1" t="str">
        <f>IFERROR(ROUND(Backend!$AL11*VLOOKUP($F11,'OH,Profit &amp; Other Base'!$A:$V,Backend!AY$6,0),5),"")</f>
        <v/>
      </c>
      <c r="AZ11" s="1" t="str">
        <f>IFERROR(ROUND(Backend!$AO11*VLOOKUP($F11,'OH,Profit &amp; Other Base'!$A:$V,Backend!AZ$6,0),5),"")</f>
        <v/>
      </c>
      <c r="BA11" s="1">
        <f>IFERROR(ROUND(Backend!$AM11*VLOOKUP($F11,'OH,Profit &amp; Other Base'!$A:$V,Backend!BA$6,0),5),"")</f>
        <v>0</v>
      </c>
      <c r="BB11" s="1" t="str">
        <f>IFERROR(ROUND(Backend!$AL11*VLOOKUP($F11,'OH,Profit &amp; Other Base'!$A:$V,Backend!BB$6,0),5),"")</f>
        <v/>
      </c>
      <c r="BC11" s="1" t="str">
        <f>IFERROR(ROUND(Backend!$AO11*VLOOKUP($F11,'OH,Profit &amp; Other Base'!$A:$V,Backend!BC$6,0),5),"")</f>
        <v/>
      </c>
      <c r="BD11" s="1">
        <f>IFERROR(ROUND(Backend!$AM11*VLOOKUP($F11,'OH,Profit &amp; Other Base'!$A:$V,Backend!BD$6,0),5),"")</f>
        <v>0</v>
      </c>
      <c r="BE11" s="1" t="str">
        <f>IFERROR(ROUND(Backend!$AL11*VLOOKUP($F11,'OH,Profit &amp; Other Base'!$A:$V,Backend!BE$6,0),5),"")</f>
        <v/>
      </c>
      <c r="BF11" s="1" t="str">
        <f>IFERROR(ROUND(Backend!$AO11*VLOOKUP($F11,'OH,Profit &amp; Other Base'!$A:$V,Backend!BF$6,0),5),"")</f>
        <v/>
      </c>
      <c r="BG11" s="1">
        <f>IFERROR(ROUND(Backend!$AM11*VLOOKUP($F11,'OH,Profit &amp; Other Base'!$A:$V,Backend!BG$6,0),5),"")</f>
        <v>0</v>
      </c>
      <c r="BH11" s="1" t="str">
        <f>IFERROR(ROUND(Backend!$AL11*VLOOKUP($F11,'OH,Profit &amp; Other Base'!$A:$V,Backend!BH$6,0),5),"")</f>
        <v/>
      </c>
      <c r="BI11" s="1" t="str">
        <f>IFERROR(ROUND(Backend!$AO11*VLOOKUP($F11,'OH,Profit &amp; Other Base'!$A:$V,Backend!BI$6,0),5),"")</f>
        <v/>
      </c>
      <c r="BJ11" s="1">
        <f>IFERROR(ROUND(Backend!$AM11*VLOOKUP($F11,'OH,Profit &amp; Other Base'!$A:$V,Backend!BJ$6,0),5),"")</f>
        <v>2.1299999999999999E-2</v>
      </c>
      <c r="BK11" s="3">
        <f>SUM(AN11:BJ11,Backend!O11)</f>
        <v>0.74550000000000005</v>
      </c>
    </row>
    <row r="12" spans="1:63">
      <c r="A12" s="1">
        <f>BOM!A7</f>
        <v>5</v>
      </c>
      <c r="B12" s="1" t="str">
        <f>BOM!B7</f>
        <v>MB512123</v>
      </c>
      <c r="C12" s="1">
        <f>BOM!C7</f>
        <v>2</v>
      </c>
      <c r="D12" s="1" t="str">
        <f>BOM!D7</f>
        <v>FT901100</v>
      </c>
      <c r="E12" s="1" t="str">
        <f>BOM!F7</f>
        <v>C CLIP M4.2 LENGTH 16MM</v>
      </c>
      <c r="F12" s="1" t="str">
        <f>IF(H12="CSC",BOM!H7,IF(J12="BOFOthers","Sheet Metal-B",""))</f>
        <v>Sheet Metal-B</v>
      </c>
      <c r="G12" s="1" t="str">
        <f>BOM!I7</f>
        <v>BOF</v>
      </c>
      <c r="H12" s="1" t="str">
        <f>BOM!J7</f>
        <v>Standard</v>
      </c>
      <c r="I12" s="1" t="str">
        <f t="shared" si="0"/>
        <v>Others</v>
      </c>
      <c r="J12" s="1" t="str">
        <f t="shared" si="1"/>
        <v>BOFOthers</v>
      </c>
      <c r="K12" s="3" t="str">
        <f>IF($J12="InhouseCSC",VLOOKUP($D12,Group!$C:$E,3,0),"")</f>
        <v/>
      </c>
      <c r="L12" s="3" t="str">
        <f>IF(OR($J12="BOSFCSC",$J12="BOFCSC"),VLOOKUP($D12,Group!$C:$E,3,0),"")</f>
        <v/>
      </c>
      <c r="M12" s="3" t="str">
        <f>IF(OR($J12="BOSFCSC",$J12="BOFCSC"),VLOOKUP($D12,Group!$C:$F,4,0),"")</f>
        <v/>
      </c>
      <c r="N12" s="3" t="str">
        <f>IF(OR($J12="InhouseCSC",$J12="BOSFCSC"),VLOOKUP($D12,Group!$C:$G,5,0),"")</f>
        <v/>
      </c>
      <c r="O12" s="3" t="str">
        <f>IF($J12="InhouseCSC",ROUND(VLOOKUP($D12,Group!$C:$H,6,0),5),"")</f>
        <v/>
      </c>
      <c r="P12" s="3" t="str">
        <f>IF(OR($J12="BOSFCSC",$J12="BOFCSC"),VLOOKUP($D12,Group!$C:$H,6,0),"")</f>
        <v/>
      </c>
      <c r="Q12" s="1" t="str">
        <f>IF($J12="Inhouseothers",VLOOKUP($D12,Group!$C:$E,3,0),"")</f>
        <v/>
      </c>
      <c r="R12" s="1" t="str">
        <f>IF($J12="BOSFOthers",VLOOKUP($D12,Group!$C:$E,3,0),"")</f>
        <v/>
      </c>
      <c r="S12" s="3">
        <f>IF($J12="BOFOthers",VLOOKUP($D12,Group!$C:$E,3,0),"")</f>
        <v>3.04</v>
      </c>
      <c r="U12" s="1" t="str">
        <f>IFERROR(Backend!$L12*VLOOKUP($F12,'OH,Profit &amp; Other Base'!$A:$V,Backend!U$6,0),"")</f>
        <v/>
      </c>
      <c r="V12" s="1" t="str">
        <f>IFERROR(Backend!$M12*VLOOKUP($F12,'OH,Profit &amp; Other Base'!$A:$V,Backend!V$6,0),"")</f>
        <v/>
      </c>
      <c r="W12" s="1" t="str">
        <f>IFERROR(Backend!$L12*VLOOKUP($F12,'OH,Profit &amp; Other Base'!$A:$V,Backend!W$6,0),"")</f>
        <v/>
      </c>
      <c r="X12" s="1" t="str">
        <f>IFERROR(Backend!$M12*VLOOKUP($F12,'OH,Profit &amp; Other Base'!$A:$V,Backend!X$6,0),"")</f>
        <v/>
      </c>
      <c r="Y12" s="1" t="str">
        <f>IFERROR(Backend!$L12*VLOOKUP($F12,'OH,Profit &amp; Other Base'!$A:$V,Backend!Y$6,0),"")</f>
        <v/>
      </c>
      <c r="Z12" s="1" t="str">
        <f>IFERROR(Backend!$M12*VLOOKUP($F12,'OH,Profit &amp; Other Base'!$A:$V,Backend!Z$6,0),"")</f>
        <v/>
      </c>
      <c r="AA12" s="1" t="str">
        <f>IFERROR(Backend!$L12*VLOOKUP($F12,'OH,Profit &amp; Other Base'!$A:$V,Backend!AA$6,0),"")</f>
        <v/>
      </c>
      <c r="AB12" s="1" t="str">
        <f>IFERROR(Backend!$M12*VLOOKUP($F12,'OH,Profit &amp; Other Base'!$A:$V,Backend!AB$6,0),"")</f>
        <v/>
      </c>
      <c r="AC12" s="1" t="str">
        <f>IFERROR(Backend!$L12*VLOOKUP($F12,'OH,Profit &amp; Other Base'!$A:$V,Backend!AC$6,0),"")</f>
        <v/>
      </c>
      <c r="AD12" s="1" t="str">
        <f>IFERROR(Backend!$M12*VLOOKUP($F12,'OH,Profit &amp; Other Base'!$A:$V,Backend!AD$6,0),"")</f>
        <v/>
      </c>
      <c r="AE12" s="1" t="str">
        <f>IFERROR(Backend!$L12*VLOOKUP($F12,'OH,Profit &amp; Other Base'!$A:$V,Backend!AE$6,0),"")</f>
        <v/>
      </c>
      <c r="AF12" s="1" t="str">
        <f>IFERROR(Backend!$M12*VLOOKUP($F12,'OH,Profit &amp; Other Base'!$A:$V,Backend!AF$6,0),"")</f>
        <v/>
      </c>
      <c r="AG12" s="1" t="str">
        <f>IFERROR(Backend!$L12*VLOOKUP($F12,'OH,Profit &amp; Other Base'!$A:$V,Backend!AG$6,0),"")</f>
        <v/>
      </c>
      <c r="AH12" s="1" t="str">
        <f>IFERROR(Backend!$M12*VLOOKUP($F12,'OH,Profit &amp; Other Base'!$A:$V,Backend!AH$6,0),"")</f>
        <v/>
      </c>
      <c r="AI12" s="3">
        <f t="shared" si="2"/>
        <v>0</v>
      </c>
      <c r="AL12" s="1" t="str">
        <f t="shared" si="3"/>
        <v/>
      </c>
      <c r="AM12" s="1">
        <f t="shared" si="4"/>
        <v>3.04</v>
      </c>
      <c r="AN12" s="1">
        <f t="shared" si="5"/>
        <v>3.04</v>
      </c>
      <c r="AO12" s="1" t="str">
        <f t="shared" si="6"/>
        <v/>
      </c>
      <c r="AP12" s="1" t="str">
        <f>IFERROR(ROUND(Backend!$AL12*VLOOKUP($F12,'OH,Profit &amp; Other Base'!$A:$V,Backend!AP$6,0),5),"")</f>
        <v/>
      </c>
      <c r="AQ12" s="1" t="str">
        <f>IFERROR(ROUND(Backend!$AO12*VLOOKUP($F12,'OH,Profit &amp; Other Base'!$A:$V,Backend!AQ$6,0),5),"")</f>
        <v/>
      </c>
      <c r="AR12" s="1">
        <f>IFERROR(ROUND(Backend!$AM12*VLOOKUP($F12,'OH,Profit &amp; Other Base'!$A:$V,Backend!AR$6,0),5),"")</f>
        <v>4.5600000000000002E-2</v>
      </c>
      <c r="AS12" s="1" t="str">
        <f>IFERROR(ROUND(Backend!$AL12*VLOOKUP($F12,'OH,Profit &amp; Other Base'!$A:$V,Backend!AS$6,0),5),"")</f>
        <v/>
      </c>
      <c r="AT12" s="1" t="str">
        <f>IFERROR(ROUND(Backend!$AO12*VLOOKUP($F12,'OH,Profit &amp; Other Base'!$A:$V,Backend!AT$6,0),5),"")</f>
        <v/>
      </c>
      <c r="AU12" s="1">
        <f>IFERROR(ROUND(Backend!$AM12*VLOOKUP($F12,'OH,Profit &amp; Other Base'!$A:$V,Backend!AU$6,0),5),"")</f>
        <v>1.52E-2</v>
      </c>
      <c r="AV12" s="1" t="str">
        <f>IFERROR(ROUND(Backend!$AL12*VLOOKUP($F12,'OH,Profit &amp; Other Base'!$A:$V,Backend!AV$6,0),5),"")</f>
        <v/>
      </c>
      <c r="AW12" s="1" t="str">
        <f>IFERROR(ROUND(Backend!$AO12*VLOOKUP($F12,'OH,Profit &amp; Other Base'!$A:$V,Backend!AW$6,0),5),"")</f>
        <v/>
      </c>
      <c r="AX12" s="1">
        <f>IFERROR(ROUND(Backend!$AM12*VLOOKUP($F12,'OH,Profit &amp; Other Base'!$A:$V,Backend!AX$6,0),5),"")</f>
        <v>0</v>
      </c>
      <c r="AY12" s="1" t="str">
        <f>IFERROR(ROUND(Backend!$AL12*VLOOKUP($F12,'OH,Profit &amp; Other Base'!$A:$V,Backend!AY$6,0),5),"")</f>
        <v/>
      </c>
      <c r="AZ12" s="1" t="str">
        <f>IFERROR(ROUND(Backend!$AO12*VLOOKUP($F12,'OH,Profit &amp; Other Base'!$A:$V,Backend!AZ$6,0),5),"")</f>
        <v/>
      </c>
      <c r="BA12" s="1">
        <f>IFERROR(ROUND(Backend!$AM12*VLOOKUP($F12,'OH,Profit &amp; Other Base'!$A:$V,Backend!BA$6,0),5),"")</f>
        <v>0</v>
      </c>
      <c r="BB12" s="1" t="str">
        <f>IFERROR(ROUND(Backend!$AL12*VLOOKUP($F12,'OH,Profit &amp; Other Base'!$A:$V,Backend!BB$6,0),5),"")</f>
        <v/>
      </c>
      <c r="BC12" s="1" t="str">
        <f>IFERROR(ROUND(Backend!$AO12*VLOOKUP($F12,'OH,Profit &amp; Other Base'!$A:$V,Backend!BC$6,0),5),"")</f>
        <v/>
      </c>
      <c r="BD12" s="1">
        <f>IFERROR(ROUND(Backend!$AM12*VLOOKUP($F12,'OH,Profit &amp; Other Base'!$A:$V,Backend!BD$6,0),5),"")</f>
        <v>0</v>
      </c>
      <c r="BE12" s="1" t="str">
        <f>IFERROR(ROUND(Backend!$AL12*VLOOKUP($F12,'OH,Profit &amp; Other Base'!$A:$V,Backend!BE$6,0),5),"")</f>
        <v/>
      </c>
      <c r="BF12" s="1" t="str">
        <f>IFERROR(ROUND(Backend!$AO12*VLOOKUP($F12,'OH,Profit &amp; Other Base'!$A:$V,Backend!BF$6,0),5),"")</f>
        <v/>
      </c>
      <c r="BG12" s="1">
        <f>IFERROR(ROUND(Backend!$AM12*VLOOKUP($F12,'OH,Profit &amp; Other Base'!$A:$V,Backend!BG$6,0),5),"")</f>
        <v>0</v>
      </c>
      <c r="BH12" s="1" t="str">
        <f>IFERROR(ROUND(Backend!$AL12*VLOOKUP($F12,'OH,Profit &amp; Other Base'!$A:$V,Backend!BH$6,0),5),"")</f>
        <v/>
      </c>
      <c r="BI12" s="1" t="str">
        <f>IFERROR(ROUND(Backend!$AO12*VLOOKUP($F12,'OH,Profit &amp; Other Base'!$A:$V,Backend!BI$6,0),5),"")</f>
        <v/>
      </c>
      <c r="BJ12" s="1">
        <f>IFERROR(ROUND(Backend!$AM12*VLOOKUP($F12,'OH,Profit &amp; Other Base'!$A:$V,Backend!BJ$6,0),5),"")</f>
        <v>9.1200000000000003E-2</v>
      </c>
      <c r="BK12" s="3">
        <f>SUM(AN12:BJ12,Backend!O12)</f>
        <v>3.1920000000000002</v>
      </c>
    </row>
    <row r="13" spans="1:63">
      <c r="A13" s="1">
        <f>BOM!A8</f>
        <v>6</v>
      </c>
      <c r="B13" s="1" t="str">
        <f>BOM!B8</f>
        <v>MB512123</v>
      </c>
      <c r="C13" s="1">
        <f>BOM!C8</f>
        <v>0</v>
      </c>
      <c r="D13" s="1">
        <f>BOM!D8</f>
        <v>0</v>
      </c>
      <c r="E13" s="1">
        <f>BOM!F8</f>
        <v>0</v>
      </c>
      <c r="F13" s="1" t="str">
        <f>IF(H13="CSC",BOM!H8,IF(J13="BOFOthers","Sheet Metal-B",""))</f>
        <v/>
      </c>
      <c r="G13" s="1">
        <f>BOM!I8</f>
        <v>0</v>
      </c>
      <c r="H13" s="1">
        <f>BOM!J8</f>
        <v>0</v>
      </c>
      <c r="I13" s="1" t="str">
        <f t="shared" si="0"/>
        <v>Others</v>
      </c>
      <c r="J13" s="1" t="str">
        <f t="shared" si="1"/>
        <v>0Others</v>
      </c>
      <c r="K13" s="3" t="str">
        <f>IF($J13="InhouseCSC",VLOOKUP($D13,Group!$C:$E,3,0),"")</f>
        <v/>
      </c>
      <c r="L13" s="3" t="str">
        <f>IF(OR($J13="BOSFCSC",$J13="BOFCSC"),VLOOKUP($D13,Group!$C:$E,3,0),"")</f>
        <v/>
      </c>
      <c r="M13" s="3" t="str">
        <f>IF(OR($J13="BOSFCSC",$J13="BOFCSC"),VLOOKUP($D13,Group!$C:$F,4,0),"")</f>
        <v/>
      </c>
      <c r="N13" s="3" t="str">
        <f>IF(OR($J13="InhouseCSC",$J13="BOSFCSC"),VLOOKUP($D13,Group!$C:$G,5,0),"")</f>
        <v/>
      </c>
      <c r="O13" s="3" t="str">
        <f>IF($J13="InhouseCSC",ROUND(VLOOKUP($D13,Group!$C:$H,6,0),5),"")</f>
        <v/>
      </c>
      <c r="P13" s="3" t="str">
        <f>IF(OR($J13="BOSFCSC",$J13="BOFCSC"),VLOOKUP($D13,Group!$C:$H,6,0),"")</f>
        <v/>
      </c>
      <c r="Q13" s="1" t="str">
        <f>IF($J13="Inhouseothers",VLOOKUP($D13,Group!$C:$E,3,0),"")</f>
        <v/>
      </c>
      <c r="R13" s="1" t="str">
        <f>IF($J13="BOSFOthers",VLOOKUP($D13,Group!$C:$E,3,0),"")</f>
        <v/>
      </c>
      <c r="S13" s="3" t="str">
        <f>IF($J13="BOFOthers",VLOOKUP($D13,Group!$C:$E,3,0),"")</f>
        <v/>
      </c>
      <c r="U13" s="1" t="str">
        <f>IFERROR(Backend!$L13*VLOOKUP($F13,'OH,Profit &amp; Other Base'!$A:$V,Backend!U$6,0),"")</f>
        <v/>
      </c>
      <c r="V13" s="1" t="str">
        <f>IFERROR(Backend!$M13*VLOOKUP($F13,'OH,Profit &amp; Other Base'!$A:$V,Backend!V$6,0),"")</f>
        <v/>
      </c>
      <c r="W13" s="1" t="str">
        <f>IFERROR(Backend!$L13*VLOOKUP($F13,'OH,Profit &amp; Other Base'!$A:$V,Backend!W$6,0),"")</f>
        <v/>
      </c>
      <c r="X13" s="1" t="str">
        <f>IFERROR(Backend!$M13*VLOOKUP($F13,'OH,Profit &amp; Other Base'!$A:$V,Backend!X$6,0),"")</f>
        <v/>
      </c>
      <c r="Y13" s="1" t="str">
        <f>IFERROR(Backend!$L13*VLOOKUP($F13,'OH,Profit &amp; Other Base'!$A:$V,Backend!Y$6,0),"")</f>
        <v/>
      </c>
      <c r="Z13" s="1" t="str">
        <f>IFERROR(Backend!$M13*VLOOKUP($F13,'OH,Profit &amp; Other Base'!$A:$V,Backend!Z$6,0),"")</f>
        <v/>
      </c>
      <c r="AA13" s="1" t="str">
        <f>IFERROR(Backend!$L13*VLOOKUP($F13,'OH,Profit &amp; Other Base'!$A:$V,Backend!AA$6,0),"")</f>
        <v/>
      </c>
      <c r="AB13" s="1" t="str">
        <f>IFERROR(Backend!$M13*VLOOKUP($F13,'OH,Profit &amp; Other Base'!$A:$V,Backend!AB$6,0),"")</f>
        <v/>
      </c>
      <c r="AC13" s="1" t="str">
        <f>IFERROR(Backend!$L13*VLOOKUP($F13,'OH,Profit &amp; Other Base'!$A:$V,Backend!AC$6,0),"")</f>
        <v/>
      </c>
      <c r="AD13" s="1" t="str">
        <f>IFERROR(Backend!$M13*VLOOKUP($F13,'OH,Profit &amp; Other Base'!$A:$V,Backend!AD$6,0),"")</f>
        <v/>
      </c>
      <c r="AE13" s="1" t="str">
        <f>IFERROR(Backend!$L13*VLOOKUP($F13,'OH,Profit &amp; Other Base'!$A:$V,Backend!AE$6,0),"")</f>
        <v/>
      </c>
      <c r="AF13" s="1" t="str">
        <f>IFERROR(Backend!$M13*VLOOKUP($F13,'OH,Profit &amp; Other Base'!$A:$V,Backend!AF$6,0),"")</f>
        <v/>
      </c>
      <c r="AG13" s="1" t="str">
        <f>IFERROR(Backend!$L13*VLOOKUP($F13,'OH,Profit &amp; Other Base'!$A:$V,Backend!AG$6,0),"")</f>
        <v/>
      </c>
      <c r="AH13" s="1" t="str">
        <f>IFERROR(Backend!$M13*VLOOKUP($F13,'OH,Profit &amp; Other Base'!$A:$V,Backend!AH$6,0),"")</f>
        <v/>
      </c>
      <c r="AI13" s="3">
        <f t="shared" si="2"/>
        <v>0</v>
      </c>
      <c r="AL13" s="1" t="str">
        <f t="shared" si="3"/>
        <v/>
      </c>
      <c r="AM13" s="1" t="str">
        <f t="shared" si="4"/>
        <v/>
      </c>
      <c r="AN13" s="1" t="str">
        <f t="shared" si="5"/>
        <v/>
      </c>
      <c r="AO13" s="1" t="str">
        <f t="shared" si="6"/>
        <v/>
      </c>
      <c r="AP13" s="1" t="str">
        <f>IFERROR(ROUND(Backend!$AL13*VLOOKUP($F13,'OH,Profit &amp; Other Base'!$A:$V,Backend!AP$6,0),5),"")</f>
        <v/>
      </c>
      <c r="AQ13" s="1" t="str">
        <f>IFERROR(ROUND(Backend!$AO13*VLOOKUP($F13,'OH,Profit &amp; Other Base'!$A:$V,Backend!AQ$6,0),5),"")</f>
        <v/>
      </c>
      <c r="AR13" s="1" t="str">
        <f>IFERROR(ROUND(Backend!$AM13*VLOOKUP($F13,'OH,Profit &amp; Other Base'!$A:$V,Backend!AR$6,0),5),"")</f>
        <v/>
      </c>
      <c r="AS13" s="1" t="str">
        <f>IFERROR(ROUND(Backend!$AL13*VLOOKUP($F13,'OH,Profit &amp; Other Base'!$A:$V,Backend!AS$6,0),5),"")</f>
        <v/>
      </c>
      <c r="AT13" s="1" t="str">
        <f>IFERROR(ROUND(Backend!$AO13*VLOOKUP($F13,'OH,Profit &amp; Other Base'!$A:$V,Backend!AT$6,0),5),"")</f>
        <v/>
      </c>
      <c r="AU13" s="1" t="str">
        <f>IFERROR(ROUND(Backend!$AM13*VLOOKUP($F13,'OH,Profit &amp; Other Base'!$A:$V,Backend!AU$6,0),5),"")</f>
        <v/>
      </c>
      <c r="AV13" s="1" t="str">
        <f>IFERROR(ROUND(Backend!$AL13*VLOOKUP($F13,'OH,Profit &amp; Other Base'!$A:$V,Backend!AV$6,0),5),"")</f>
        <v/>
      </c>
      <c r="AW13" s="1" t="str">
        <f>IFERROR(ROUND(Backend!$AO13*VLOOKUP($F13,'OH,Profit &amp; Other Base'!$A:$V,Backend!AW$6,0),5),"")</f>
        <v/>
      </c>
      <c r="AX13" s="1" t="str">
        <f>IFERROR(ROUND(Backend!$AM13*VLOOKUP($F13,'OH,Profit &amp; Other Base'!$A:$V,Backend!AX$6,0),5),"")</f>
        <v/>
      </c>
      <c r="AY13" s="1" t="str">
        <f>IFERROR(ROUND(Backend!$AL13*VLOOKUP($F13,'OH,Profit &amp; Other Base'!$A:$V,Backend!AY$6,0),5),"")</f>
        <v/>
      </c>
      <c r="AZ13" s="1" t="str">
        <f>IFERROR(ROUND(Backend!$AO13*VLOOKUP($F13,'OH,Profit &amp; Other Base'!$A:$V,Backend!AZ$6,0),5),"")</f>
        <v/>
      </c>
      <c r="BA13" s="1" t="str">
        <f>IFERROR(ROUND(Backend!$AM13*VLOOKUP($F13,'OH,Profit &amp; Other Base'!$A:$V,Backend!BA$6,0),5),"")</f>
        <v/>
      </c>
      <c r="BB13" s="1" t="str">
        <f>IFERROR(ROUND(Backend!$AL13*VLOOKUP($F13,'OH,Profit &amp; Other Base'!$A:$V,Backend!BB$6,0),5),"")</f>
        <v/>
      </c>
      <c r="BC13" s="1" t="str">
        <f>IFERROR(ROUND(Backend!$AO13*VLOOKUP($F13,'OH,Profit &amp; Other Base'!$A:$V,Backend!BC$6,0),5),"")</f>
        <v/>
      </c>
      <c r="BD13" s="1" t="str">
        <f>IFERROR(ROUND(Backend!$AM13*VLOOKUP($F13,'OH,Profit &amp; Other Base'!$A:$V,Backend!BD$6,0),5),"")</f>
        <v/>
      </c>
      <c r="BE13" s="1" t="str">
        <f>IFERROR(ROUND(Backend!$AL13*VLOOKUP($F13,'OH,Profit &amp; Other Base'!$A:$V,Backend!BE$6,0),5),"")</f>
        <v/>
      </c>
      <c r="BF13" s="1" t="str">
        <f>IFERROR(ROUND(Backend!$AO13*VLOOKUP($F13,'OH,Profit &amp; Other Base'!$A:$V,Backend!BF$6,0),5),"")</f>
        <v/>
      </c>
      <c r="BG13" s="1" t="str">
        <f>IFERROR(ROUND(Backend!$AM13*VLOOKUP($F13,'OH,Profit &amp; Other Base'!$A:$V,Backend!BG$6,0),5),"")</f>
        <v/>
      </c>
      <c r="BH13" s="1" t="str">
        <f>IFERROR(ROUND(Backend!$AL13*VLOOKUP($F13,'OH,Profit &amp; Other Base'!$A:$V,Backend!BH$6,0),5),"")</f>
        <v/>
      </c>
      <c r="BI13" s="1" t="str">
        <f>IFERROR(ROUND(Backend!$AO13*VLOOKUP($F13,'OH,Profit &amp; Other Base'!$A:$V,Backend!BI$6,0),5),"")</f>
        <v/>
      </c>
      <c r="BJ13" s="1" t="str">
        <f>IFERROR(ROUND(Backend!$AM13*VLOOKUP($F13,'OH,Profit &amp; Other Base'!$A:$V,Backend!BJ$6,0),5),"")</f>
        <v/>
      </c>
      <c r="BK13" s="3">
        <f>SUM(AN13:BJ13,Backend!O13)</f>
        <v>0</v>
      </c>
    </row>
    <row r="14" spans="1:63">
      <c r="A14" s="1">
        <f>BOM!A9</f>
        <v>7</v>
      </c>
      <c r="B14" s="1" t="str">
        <f>BOM!B9</f>
        <v>MB512123</v>
      </c>
      <c r="C14" s="1">
        <f>BOM!C9</f>
        <v>0</v>
      </c>
      <c r="D14" s="1">
        <f>BOM!D9</f>
        <v>0</v>
      </c>
      <c r="E14" s="1">
        <f>BOM!F9</f>
        <v>0</v>
      </c>
      <c r="F14" s="1" t="str">
        <f>IF(H14="CSC",BOM!H9,IF(J14="BOFOthers","Sheet Metal-B",""))</f>
        <v/>
      </c>
      <c r="G14" s="1">
        <f>BOM!I9</f>
        <v>0</v>
      </c>
      <c r="H14" s="1">
        <f>BOM!J9</f>
        <v>0</v>
      </c>
      <c r="I14" s="1" t="str">
        <f t="shared" si="0"/>
        <v>Others</v>
      </c>
      <c r="J14" s="1" t="str">
        <f t="shared" si="1"/>
        <v>0Others</v>
      </c>
      <c r="K14" s="3" t="str">
        <f>IF($J14="InhouseCSC",VLOOKUP($D14,Group!$C:$E,3,0),"")</f>
        <v/>
      </c>
      <c r="L14" s="3" t="str">
        <f>IF(OR($J14="BOSFCSC",$J14="BOFCSC"),VLOOKUP($D14,Group!$C:$E,3,0),"")</f>
        <v/>
      </c>
      <c r="M14" s="3" t="str">
        <f>IF(OR($J14="BOSFCSC",$J14="BOFCSC"),VLOOKUP($D14,Group!$C:$F,4,0),"")</f>
        <v/>
      </c>
      <c r="N14" s="3" t="str">
        <f>IF(OR($J14="InhouseCSC",$J14="BOSFCSC"),VLOOKUP($D14,Group!$C:$G,5,0),"")</f>
        <v/>
      </c>
      <c r="O14" s="3" t="str">
        <f>IF($J14="InhouseCSC",ROUND(VLOOKUP($D14,Group!$C:$H,6,0),5),"")</f>
        <v/>
      </c>
      <c r="P14" s="3" t="str">
        <f>IF(OR($J14="BOSFCSC",$J14="BOFCSC"),VLOOKUP($D14,Group!$C:$H,6,0),"")</f>
        <v/>
      </c>
      <c r="Q14" s="1" t="str">
        <f>IF($J14="Inhouseothers",VLOOKUP($D14,Group!$C:$E,3,0),"")</f>
        <v/>
      </c>
      <c r="R14" s="1" t="str">
        <f>IF($J14="BOSFOthers",VLOOKUP($D14,Group!$C:$E,3,0),"")</f>
        <v/>
      </c>
      <c r="S14" s="3" t="str">
        <f>IF($J14="BOFOthers",VLOOKUP($D14,Group!$C:$E,3,0),"")</f>
        <v/>
      </c>
      <c r="U14" s="1" t="str">
        <f>IFERROR(Backend!$L14*VLOOKUP($F14,'OH,Profit &amp; Other Base'!$A:$V,Backend!U$6,0),"")</f>
        <v/>
      </c>
      <c r="V14" s="1" t="str">
        <f>IFERROR(Backend!$M14*VLOOKUP($F14,'OH,Profit &amp; Other Base'!$A:$V,Backend!V$6,0),"")</f>
        <v/>
      </c>
      <c r="W14" s="1" t="str">
        <f>IFERROR(Backend!$L14*VLOOKUP($F14,'OH,Profit &amp; Other Base'!$A:$V,Backend!W$6,0),"")</f>
        <v/>
      </c>
      <c r="X14" s="1" t="str">
        <f>IFERROR(Backend!$M14*VLOOKUP($F14,'OH,Profit &amp; Other Base'!$A:$V,Backend!X$6,0),"")</f>
        <v/>
      </c>
      <c r="Y14" s="1" t="str">
        <f>IFERROR(Backend!$L14*VLOOKUP($F14,'OH,Profit &amp; Other Base'!$A:$V,Backend!Y$6,0),"")</f>
        <v/>
      </c>
      <c r="Z14" s="1" t="str">
        <f>IFERROR(Backend!$M14*VLOOKUP($F14,'OH,Profit &amp; Other Base'!$A:$V,Backend!Z$6,0),"")</f>
        <v/>
      </c>
      <c r="AA14" s="1" t="str">
        <f>IFERROR(Backend!$L14*VLOOKUP($F14,'OH,Profit &amp; Other Base'!$A:$V,Backend!AA$6,0),"")</f>
        <v/>
      </c>
      <c r="AB14" s="1" t="str">
        <f>IFERROR(Backend!$M14*VLOOKUP($F14,'OH,Profit &amp; Other Base'!$A:$V,Backend!AB$6,0),"")</f>
        <v/>
      </c>
      <c r="AC14" s="1" t="str">
        <f>IFERROR(Backend!$L14*VLOOKUP($F14,'OH,Profit &amp; Other Base'!$A:$V,Backend!AC$6,0),"")</f>
        <v/>
      </c>
      <c r="AD14" s="1" t="str">
        <f>IFERROR(Backend!$M14*VLOOKUP($F14,'OH,Profit &amp; Other Base'!$A:$V,Backend!AD$6,0),"")</f>
        <v/>
      </c>
      <c r="AE14" s="1" t="str">
        <f>IFERROR(Backend!$L14*VLOOKUP($F14,'OH,Profit &amp; Other Base'!$A:$V,Backend!AE$6,0),"")</f>
        <v/>
      </c>
      <c r="AF14" s="1" t="str">
        <f>IFERROR(Backend!$M14*VLOOKUP($F14,'OH,Profit &amp; Other Base'!$A:$V,Backend!AF$6,0),"")</f>
        <v/>
      </c>
      <c r="AG14" s="1" t="str">
        <f>IFERROR(Backend!$L14*VLOOKUP($F14,'OH,Profit &amp; Other Base'!$A:$V,Backend!AG$6,0),"")</f>
        <v/>
      </c>
      <c r="AH14" s="1" t="str">
        <f>IFERROR(Backend!$M14*VLOOKUP($F14,'OH,Profit &amp; Other Base'!$A:$V,Backend!AH$6,0),"")</f>
        <v/>
      </c>
      <c r="AI14" s="3">
        <f t="shared" si="2"/>
        <v>0</v>
      </c>
      <c r="AL14" s="1" t="str">
        <f t="shared" si="3"/>
        <v/>
      </c>
      <c r="AM14" s="1" t="str">
        <f t="shared" si="4"/>
        <v/>
      </c>
      <c r="AN14" s="1" t="str">
        <f t="shared" si="5"/>
        <v/>
      </c>
      <c r="AO14" s="1" t="str">
        <f t="shared" si="6"/>
        <v/>
      </c>
      <c r="AP14" s="1" t="str">
        <f>IFERROR(ROUND(Backend!$AL14*VLOOKUP($F14,'OH,Profit &amp; Other Base'!$A:$V,Backend!AP$6,0),5),"")</f>
        <v/>
      </c>
      <c r="AQ14" s="1" t="str">
        <f>IFERROR(ROUND(Backend!$AO14*VLOOKUP($F14,'OH,Profit &amp; Other Base'!$A:$V,Backend!AQ$6,0),5),"")</f>
        <v/>
      </c>
      <c r="AR14" s="1" t="str">
        <f>IFERROR(ROUND(Backend!$AM14*VLOOKUP($F14,'OH,Profit &amp; Other Base'!$A:$V,Backend!AR$6,0),5),"")</f>
        <v/>
      </c>
      <c r="AS14" s="1" t="str">
        <f>IFERROR(ROUND(Backend!$AL14*VLOOKUP($F14,'OH,Profit &amp; Other Base'!$A:$V,Backend!AS$6,0),5),"")</f>
        <v/>
      </c>
      <c r="AT14" s="1" t="str">
        <f>IFERROR(ROUND(Backend!$AO14*VLOOKUP($F14,'OH,Profit &amp; Other Base'!$A:$V,Backend!AT$6,0),5),"")</f>
        <v/>
      </c>
      <c r="AU14" s="1" t="str">
        <f>IFERROR(ROUND(Backend!$AM14*VLOOKUP($F14,'OH,Profit &amp; Other Base'!$A:$V,Backend!AU$6,0),5),"")</f>
        <v/>
      </c>
      <c r="AV14" s="1" t="str">
        <f>IFERROR(ROUND(Backend!$AL14*VLOOKUP($F14,'OH,Profit &amp; Other Base'!$A:$V,Backend!AV$6,0),5),"")</f>
        <v/>
      </c>
      <c r="AW14" s="1" t="str">
        <f>IFERROR(ROUND(Backend!$AO14*VLOOKUP($F14,'OH,Profit &amp; Other Base'!$A:$V,Backend!AW$6,0),5),"")</f>
        <v/>
      </c>
      <c r="AX14" s="1" t="str">
        <f>IFERROR(ROUND(Backend!$AM14*VLOOKUP($F14,'OH,Profit &amp; Other Base'!$A:$V,Backend!AX$6,0),5),"")</f>
        <v/>
      </c>
      <c r="AY14" s="1" t="str">
        <f>IFERROR(ROUND(Backend!$AL14*VLOOKUP($F14,'OH,Profit &amp; Other Base'!$A:$V,Backend!AY$6,0),5),"")</f>
        <v/>
      </c>
      <c r="AZ14" s="1" t="str">
        <f>IFERROR(ROUND(Backend!$AO14*VLOOKUP($F14,'OH,Profit &amp; Other Base'!$A:$V,Backend!AZ$6,0),5),"")</f>
        <v/>
      </c>
      <c r="BA14" s="1" t="str">
        <f>IFERROR(ROUND(Backend!$AM14*VLOOKUP($F14,'OH,Profit &amp; Other Base'!$A:$V,Backend!BA$6,0),5),"")</f>
        <v/>
      </c>
      <c r="BB14" s="1" t="str">
        <f>IFERROR(ROUND(Backend!$AL14*VLOOKUP($F14,'OH,Profit &amp; Other Base'!$A:$V,Backend!BB$6,0),5),"")</f>
        <v/>
      </c>
      <c r="BC14" s="1" t="str">
        <f>IFERROR(ROUND(Backend!$AO14*VLOOKUP($F14,'OH,Profit &amp; Other Base'!$A:$V,Backend!BC$6,0),5),"")</f>
        <v/>
      </c>
      <c r="BD14" s="1" t="str">
        <f>IFERROR(ROUND(Backend!$AM14*VLOOKUP($F14,'OH,Profit &amp; Other Base'!$A:$V,Backend!BD$6,0),5),"")</f>
        <v/>
      </c>
      <c r="BE14" s="1" t="str">
        <f>IFERROR(ROUND(Backend!$AL14*VLOOKUP($F14,'OH,Profit &amp; Other Base'!$A:$V,Backend!BE$6,0),5),"")</f>
        <v/>
      </c>
      <c r="BF14" s="1" t="str">
        <f>IFERROR(ROUND(Backend!$AO14*VLOOKUP($F14,'OH,Profit &amp; Other Base'!$A:$V,Backend!BF$6,0),5),"")</f>
        <v/>
      </c>
      <c r="BG14" s="1" t="str">
        <f>IFERROR(ROUND(Backend!$AM14*VLOOKUP($F14,'OH,Profit &amp; Other Base'!$A:$V,Backend!BG$6,0),5),"")</f>
        <v/>
      </c>
      <c r="BH14" s="1" t="str">
        <f>IFERROR(ROUND(Backend!$AL14*VLOOKUP($F14,'OH,Profit &amp; Other Base'!$A:$V,Backend!BH$6,0),5),"")</f>
        <v/>
      </c>
      <c r="BI14" s="1" t="str">
        <f>IFERROR(ROUND(Backend!$AO14*VLOOKUP($F14,'OH,Profit &amp; Other Base'!$A:$V,Backend!BI$6,0),5),"")</f>
        <v/>
      </c>
      <c r="BJ14" s="1" t="str">
        <f>IFERROR(ROUND(Backend!$AM14*VLOOKUP($F14,'OH,Profit &amp; Other Base'!$A:$V,Backend!BJ$6,0),5),"")</f>
        <v/>
      </c>
      <c r="BK14" s="3">
        <f>SUM(AN14:BJ14,Backend!O14)</f>
        <v>0</v>
      </c>
    </row>
    <row r="15" spans="1:63">
      <c r="A15" s="1">
        <f>BOM!A10</f>
        <v>8</v>
      </c>
      <c r="B15" s="1" t="str">
        <f>BOM!B10</f>
        <v>MB512123</v>
      </c>
      <c r="C15" s="1">
        <f>BOM!C10</f>
        <v>0</v>
      </c>
      <c r="D15" s="1">
        <f>BOM!D10</f>
        <v>0</v>
      </c>
      <c r="E15" s="1">
        <f>BOM!F10</f>
        <v>0</v>
      </c>
      <c r="F15" s="1" t="str">
        <f>IF(H15="CSC",BOM!H10,IF(J15="BOFOthers","Sheet Metal-B",""))</f>
        <v/>
      </c>
      <c r="G15" s="1">
        <f>BOM!I10</f>
        <v>0</v>
      </c>
      <c r="H15" s="1">
        <f>BOM!J10</f>
        <v>0</v>
      </c>
      <c r="I15" s="1" t="str">
        <f t="shared" si="0"/>
        <v>Others</v>
      </c>
      <c r="J15" s="1" t="str">
        <f t="shared" si="1"/>
        <v>0Others</v>
      </c>
      <c r="K15" s="3" t="str">
        <f>IF($J15="InhouseCSC",VLOOKUP($D15,Group!$C:$E,3,0),"")</f>
        <v/>
      </c>
      <c r="L15" s="3" t="str">
        <f>IF(OR($J15="BOSFCSC",$J15="BOFCSC"),VLOOKUP($D15,Group!$C:$E,3,0),"")</f>
        <v/>
      </c>
      <c r="M15" s="3" t="str">
        <f>IF(OR($J15="BOSFCSC",$J15="BOFCSC"),VLOOKUP($D15,Group!$C:$F,4,0),"")</f>
        <v/>
      </c>
      <c r="N15" s="3" t="str">
        <f>IF(OR($J15="InhouseCSC",$J15="BOSFCSC"),VLOOKUP($D15,Group!$C:$G,5,0),"")</f>
        <v/>
      </c>
      <c r="O15" s="3" t="str">
        <f>IF($J15="InhouseCSC",ROUND(VLOOKUP($D15,Group!$C:$H,6,0),5),"")</f>
        <v/>
      </c>
      <c r="P15" s="3" t="str">
        <f>IF(OR($J15="BOSFCSC",$J15="BOFCSC"),VLOOKUP($D15,Group!$C:$H,6,0),"")</f>
        <v/>
      </c>
      <c r="Q15" s="1" t="str">
        <f>IF($J15="Inhouseothers",VLOOKUP($D15,Group!$C:$E,3,0),"")</f>
        <v/>
      </c>
      <c r="R15" s="1" t="str">
        <f>IF($J15="BOSFOthers",VLOOKUP($D15,Group!$C:$E,3,0),"")</f>
        <v/>
      </c>
      <c r="S15" s="3" t="str">
        <f>IF($J15="BOFOthers",VLOOKUP($D15,Group!$C:$E,3,0),"")</f>
        <v/>
      </c>
      <c r="U15" s="1" t="str">
        <f>IFERROR(Backend!$L15*VLOOKUP($F15,'OH,Profit &amp; Other Base'!$A:$V,Backend!U$6,0),"")</f>
        <v/>
      </c>
      <c r="V15" s="1" t="str">
        <f>IFERROR(Backend!$M15*VLOOKUP($F15,'OH,Profit &amp; Other Base'!$A:$V,Backend!V$6,0),"")</f>
        <v/>
      </c>
      <c r="W15" s="1" t="str">
        <f>IFERROR(Backend!$L15*VLOOKUP($F15,'OH,Profit &amp; Other Base'!$A:$V,Backend!W$6,0),"")</f>
        <v/>
      </c>
      <c r="X15" s="1" t="str">
        <f>IFERROR(Backend!$M15*VLOOKUP($F15,'OH,Profit &amp; Other Base'!$A:$V,Backend!X$6,0),"")</f>
        <v/>
      </c>
      <c r="Y15" s="1" t="str">
        <f>IFERROR(Backend!$L15*VLOOKUP($F15,'OH,Profit &amp; Other Base'!$A:$V,Backend!Y$6,0),"")</f>
        <v/>
      </c>
      <c r="Z15" s="1" t="str">
        <f>IFERROR(Backend!$M15*VLOOKUP($F15,'OH,Profit &amp; Other Base'!$A:$V,Backend!Z$6,0),"")</f>
        <v/>
      </c>
      <c r="AA15" s="1" t="str">
        <f>IFERROR(Backend!$L15*VLOOKUP($F15,'OH,Profit &amp; Other Base'!$A:$V,Backend!AA$6,0),"")</f>
        <v/>
      </c>
      <c r="AB15" s="1" t="str">
        <f>IFERROR(Backend!$M15*VLOOKUP($F15,'OH,Profit &amp; Other Base'!$A:$V,Backend!AB$6,0),"")</f>
        <v/>
      </c>
      <c r="AC15" s="1" t="str">
        <f>IFERROR(Backend!$L15*VLOOKUP($F15,'OH,Profit &amp; Other Base'!$A:$V,Backend!AC$6,0),"")</f>
        <v/>
      </c>
      <c r="AD15" s="1" t="str">
        <f>IFERROR(Backend!$M15*VLOOKUP($F15,'OH,Profit &amp; Other Base'!$A:$V,Backend!AD$6,0),"")</f>
        <v/>
      </c>
      <c r="AE15" s="1" t="str">
        <f>IFERROR(Backend!$L15*VLOOKUP($F15,'OH,Profit &amp; Other Base'!$A:$V,Backend!AE$6,0),"")</f>
        <v/>
      </c>
      <c r="AF15" s="1" t="str">
        <f>IFERROR(Backend!$M15*VLOOKUP($F15,'OH,Profit &amp; Other Base'!$A:$V,Backend!AF$6,0),"")</f>
        <v/>
      </c>
      <c r="AG15" s="1" t="str">
        <f>IFERROR(Backend!$L15*VLOOKUP($F15,'OH,Profit &amp; Other Base'!$A:$V,Backend!AG$6,0),"")</f>
        <v/>
      </c>
      <c r="AH15" s="1" t="str">
        <f>IFERROR(Backend!$M15*VLOOKUP($F15,'OH,Profit &amp; Other Base'!$A:$V,Backend!AH$6,0),"")</f>
        <v/>
      </c>
      <c r="AI15" s="3">
        <f t="shared" si="2"/>
        <v>0</v>
      </c>
      <c r="AL15" s="1" t="str">
        <f t="shared" si="3"/>
        <v/>
      </c>
      <c r="AM15" s="1" t="str">
        <f t="shared" si="4"/>
        <v/>
      </c>
      <c r="AN15" s="1" t="str">
        <f t="shared" si="5"/>
        <v/>
      </c>
      <c r="AO15" s="1" t="str">
        <f t="shared" si="6"/>
        <v/>
      </c>
      <c r="AP15" s="1" t="str">
        <f>IFERROR(ROUND(Backend!$AL15*VLOOKUP($F15,'OH,Profit &amp; Other Base'!$A:$V,Backend!AP$6,0),5),"")</f>
        <v/>
      </c>
      <c r="AQ15" s="1" t="str">
        <f>IFERROR(ROUND(Backend!$AO15*VLOOKUP($F15,'OH,Profit &amp; Other Base'!$A:$V,Backend!AQ$6,0),5),"")</f>
        <v/>
      </c>
      <c r="AR15" s="1" t="str">
        <f>IFERROR(ROUND(Backend!$AM15*VLOOKUP($F15,'OH,Profit &amp; Other Base'!$A:$V,Backend!AR$6,0),5),"")</f>
        <v/>
      </c>
      <c r="AS15" s="1" t="str">
        <f>IFERROR(ROUND(Backend!$AL15*VLOOKUP($F15,'OH,Profit &amp; Other Base'!$A:$V,Backend!AS$6,0),5),"")</f>
        <v/>
      </c>
      <c r="AT15" s="1" t="str">
        <f>IFERROR(ROUND(Backend!$AO15*VLOOKUP($F15,'OH,Profit &amp; Other Base'!$A:$V,Backend!AT$6,0),5),"")</f>
        <v/>
      </c>
      <c r="AU15" s="1" t="str">
        <f>IFERROR(ROUND(Backend!$AM15*VLOOKUP($F15,'OH,Profit &amp; Other Base'!$A:$V,Backend!AU$6,0),5),"")</f>
        <v/>
      </c>
      <c r="AV15" s="1" t="str">
        <f>IFERROR(ROUND(Backend!$AL15*VLOOKUP($F15,'OH,Profit &amp; Other Base'!$A:$V,Backend!AV$6,0),5),"")</f>
        <v/>
      </c>
      <c r="AW15" s="1" t="str">
        <f>IFERROR(ROUND(Backend!$AO15*VLOOKUP($F15,'OH,Profit &amp; Other Base'!$A:$V,Backend!AW$6,0),5),"")</f>
        <v/>
      </c>
      <c r="AX15" s="1" t="str">
        <f>IFERROR(ROUND(Backend!$AM15*VLOOKUP($F15,'OH,Profit &amp; Other Base'!$A:$V,Backend!AX$6,0),5),"")</f>
        <v/>
      </c>
      <c r="AY15" s="1" t="str">
        <f>IFERROR(ROUND(Backend!$AL15*VLOOKUP($F15,'OH,Profit &amp; Other Base'!$A:$V,Backend!AY$6,0),5),"")</f>
        <v/>
      </c>
      <c r="AZ15" s="1" t="str">
        <f>IFERROR(ROUND(Backend!$AO15*VLOOKUP($F15,'OH,Profit &amp; Other Base'!$A:$V,Backend!AZ$6,0),5),"")</f>
        <v/>
      </c>
      <c r="BA15" s="1" t="str">
        <f>IFERROR(ROUND(Backend!$AM15*VLOOKUP($F15,'OH,Profit &amp; Other Base'!$A:$V,Backend!BA$6,0),5),"")</f>
        <v/>
      </c>
      <c r="BB15" s="1" t="str">
        <f>IFERROR(ROUND(Backend!$AL15*VLOOKUP($F15,'OH,Profit &amp; Other Base'!$A:$V,Backend!BB$6,0),5),"")</f>
        <v/>
      </c>
      <c r="BC15" s="1" t="str">
        <f>IFERROR(ROUND(Backend!$AO15*VLOOKUP($F15,'OH,Profit &amp; Other Base'!$A:$V,Backend!BC$6,0),5),"")</f>
        <v/>
      </c>
      <c r="BD15" s="1" t="str">
        <f>IFERROR(ROUND(Backend!$AM15*VLOOKUP($F15,'OH,Profit &amp; Other Base'!$A:$V,Backend!BD$6,0),5),"")</f>
        <v/>
      </c>
      <c r="BE15" s="1" t="str">
        <f>IFERROR(ROUND(Backend!$AL15*VLOOKUP($F15,'OH,Profit &amp; Other Base'!$A:$V,Backend!BE$6,0),5),"")</f>
        <v/>
      </c>
      <c r="BF15" s="1" t="str">
        <f>IFERROR(ROUND(Backend!$AO15*VLOOKUP($F15,'OH,Profit &amp; Other Base'!$A:$V,Backend!BF$6,0),5),"")</f>
        <v/>
      </c>
      <c r="BG15" s="1" t="str">
        <f>IFERROR(ROUND(Backend!$AM15*VLOOKUP($F15,'OH,Profit &amp; Other Base'!$A:$V,Backend!BG$6,0),5),"")</f>
        <v/>
      </c>
      <c r="BH15" s="1" t="str">
        <f>IFERROR(ROUND(Backend!$AL15*VLOOKUP($F15,'OH,Profit &amp; Other Base'!$A:$V,Backend!BH$6,0),5),"")</f>
        <v/>
      </c>
      <c r="BI15" s="1" t="str">
        <f>IFERROR(ROUND(Backend!$AO15*VLOOKUP($F15,'OH,Profit &amp; Other Base'!$A:$V,Backend!BI$6,0),5),"")</f>
        <v/>
      </c>
      <c r="BJ15" s="1" t="str">
        <f>IFERROR(ROUND(Backend!$AM15*VLOOKUP($F15,'OH,Profit &amp; Other Base'!$A:$V,Backend!BJ$6,0),5),"")</f>
        <v/>
      </c>
      <c r="BK15" s="3">
        <f>SUM(AN15:BJ15,Backend!O15)</f>
        <v>0</v>
      </c>
    </row>
    <row r="16" spans="1:63">
      <c r="A16" s="1">
        <f>BOM!A11</f>
        <v>9</v>
      </c>
      <c r="B16" s="1" t="str">
        <f>BOM!B11</f>
        <v>MB512123</v>
      </c>
      <c r="C16" s="1">
        <f>BOM!C11</f>
        <v>0</v>
      </c>
      <c r="D16" s="1">
        <f>BOM!D11</f>
        <v>0</v>
      </c>
      <c r="E16" s="1">
        <f>BOM!F11</f>
        <v>0</v>
      </c>
      <c r="F16" s="1" t="str">
        <f>IF(H16="CSC",BOM!H11,IF(J16="BOFOthers","Sheet Metal-B",""))</f>
        <v/>
      </c>
      <c r="G16" s="1">
        <f>BOM!I11</f>
        <v>0</v>
      </c>
      <c r="H16" s="1">
        <f>BOM!J11</f>
        <v>0</v>
      </c>
      <c r="I16" s="1" t="str">
        <f t="shared" si="0"/>
        <v>Others</v>
      </c>
      <c r="J16" s="1" t="str">
        <f t="shared" si="1"/>
        <v>0Others</v>
      </c>
      <c r="K16" s="3" t="str">
        <f>IF($J16="InhouseCSC",VLOOKUP($D16,Group!$C:$E,3,0),"")</f>
        <v/>
      </c>
      <c r="L16" s="3" t="str">
        <f>IF(OR($J16="BOSFCSC",$J16="BOFCSC"),VLOOKUP($D16,Group!$C:$E,3,0),"")</f>
        <v/>
      </c>
      <c r="M16" s="3" t="str">
        <f>IF(OR($J16="BOSFCSC",$J16="BOFCSC"),VLOOKUP($D16,Group!$C:$F,4,0),"")</f>
        <v/>
      </c>
      <c r="N16" s="3" t="str">
        <f>IF(OR($J16="InhouseCSC",$J16="BOSFCSC"),VLOOKUP($D16,Group!$C:$G,5,0),"")</f>
        <v/>
      </c>
      <c r="O16" s="3" t="str">
        <f>IF($J16="InhouseCSC",ROUND(VLOOKUP($D16,Group!$C:$H,6,0),5),"")</f>
        <v/>
      </c>
      <c r="P16" s="3" t="str">
        <f>IF(OR($J16="BOSFCSC",$J16="BOFCSC"),VLOOKUP($D16,Group!$C:$H,6,0),"")</f>
        <v/>
      </c>
      <c r="Q16" s="1" t="str">
        <f>IF($J16="Inhouseothers",VLOOKUP($D16,Group!$C:$E,3,0),"")</f>
        <v/>
      </c>
      <c r="R16" s="1" t="str">
        <f>IF($J16="BOSFOthers",VLOOKUP($D16,Group!$C:$E,3,0),"")</f>
        <v/>
      </c>
      <c r="S16" s="3" t="str">
        <f>IF($J16="BOFOthers",VLOOKUP($D16,Group!$C:$E,3,0),"")</f>
        <v/>
      </c>
      <c r="U16" s="1" t="str">
        <f>IFERROR(Backend!$L16*VLOOKUP($F16,'OH,Profit &amp; Other Base'!$A:$V,Backend!U$6,0),"")</f>
        <v/>
      </c>
      <c r="V16" s="1" t="str">
        <f>IFERROR(Backend!$M16*VLOOKUP($F16,'OH,Profit &amp; Other Base'!$A:$V,Backend!V$6,0),"")</f>
        <v/>
      </c>
      <c r="W16" s="1" t="str">
        <f>IFERROR(Backend!$L16*VLOOKUP($F16,'OH,Profit &amp; Other Base'!$A:$V,Backend!W$6,0),"")</f>
        <v/>
      </c>
      <c r="X16" s="1" t="str">
        <f>IFERROR(Backend!$M16*VLOOKUP($F16,'OH,Profit &amp; Other Base'!$A:$V,Backend!X$6,0),"")</f>
        <v/>
      </c>
      <c r="Y16" s="1" t="str">
        <f>IFERROR(Backend!$L16*VLOOKUP($F16,'OH,Profit &amp; Other Base'!$A:$V,Backend!Y$6,0),"")</f>
        <v/>
      </c>
      <c r="Z16" s="1" t="str">
        <f>IFERROR(Backend!$M16*VLOOKUP($F16,'OH,Profit &amp; Other Base'!$A:$V,Backend!Z$6,0),"")</f>
        <v/>
      </c>
      <c r="AA16" s="1" t="str">
        <f>IFERROR(Backend!$L16*VLOOKUP($F16,'OH,Profit &amp; Other Base'!$A:$V,Backend!AA$6,0),"")</f>
        <v/>
      </c>
      <c r="AB16" s="1" t="str">
        <f>IFERROR(Backend!$M16*VLOOKUP($F16,'OH,Profit &amp; Other Base'!$A:$V,Backend!AB$6,0),"")</f>
        <v/>
      </c>
      <c r="AC16" s="1" t="str">
        <f>IFERROR(Backend!$L16*VLOOKUP($F16,'OH,Profit &amp; Other Base'!$A:$V,Backend!AC$6,0),"")</f>
        <v/>
      </c>
      <c r="AD16" s="1" t="str">
        <f>IFERROR(Backend!$M16*VLOOKUP($F16,'OH,Profit &amp; Other Base'!$A:$V,Backend!AD$6,0),"")</f>
        <v/>
      </c>
      <c r="AE16" s="1" t="str">
        <f>IFERROR(Backend!$L16*VLOOKUP($F16,'OH,Profit &amp; Other Base'!$A:$V,Backend!AE$6,0),"")</f>
        <v/>
      </c>
      <c r="AF16" s="1" t="str">
        <f>IFERROR(Backend!$M16*VLOOKUP($F16,'OH,Profit &amp; Other Base'!$A:$V,Backend!AF$6,0),"")</f>
        <v/>
      </c>
      <c r="AG16" s="1" t="str">
        <f>IFERROR(Backend!$L16*VLOOKUP($F16,'OH,Profit &amp; Other Base'!$A:$V,Backend!AG$6,0),"")</f>
        <v/>
      </c>
      <c r="AH16" s="1" t="str">
        <f>IFERROR(Backend!$M16*VLOOKUP($F16,'OH,Profit &amp; Other Base'!$A:$V,Backend!AH$6,0),"")</f>
        <v/>
      </c>
      <c r="AI16" s="3">
        <f t="shared" si="2"/>
        <v>0</v>
      </c>
      <c r="AL16" s="1" t="str">
        <f t="shared" si="3"/>
        <v/>
      </c>
      <c r="AM16" s="1" t="str">
        <f t="shared" si="4"/>
        <v/>
      </c>
      <c r="AN16" s="1" t="str">
        <f t="shared" si="5"/>
        <v/>
      </c>
      <c r="AO16" s="1" t="str">
        <f t="shared" si="6"/>
        <v/>
      </c>
      <c r="AP16" s="1" t="str">
        <f>IFERROR(ROUND(Backend!$AL16*VLOOKUP($F16,'OH,Profit &amp; Other Base'!$A:$V,Backend!AP$6,0),5),"")</f>
        <v/>
      </c>
      <c r="AQ16" s="1" t="str">
        <f>IFERROR(ROUND(Backend!$AO16*VLOOKUP($F16,'OH,Profit &amp; Other Base'!$A:$V,Backend!AQ$6,0),5),"")</f>
        <v/>
      </c>
      <c r="AR16" s="1" t="str">
        <f>IFERROR(ROUND(Backend!$AM16*VLOOKUP($F16,'OH,Profit &amp; Other Base'!$A:$V,Backend!AR$6,0),5),"")</f>
        <v/>
      </c>
      <c r="AS16" s="1" t="str">
        <f>IFERROR(ROUND(Backend!$AL16*VLOOKUP($F16,'OH,Profit &amp; Other Base'!$A:$V,Backend!AS$6,0),5),"")</f>
        <v/>
      </c>
      <c r="AT16" s="1" t="str">
        <f>IFERROR(ROUND(Backend!$AO16*VLOOKUP($F16,'OH,Profit &amp; Other Base'!$A:$V,Backend!AT$6,0),5),"")</f>
        <v/>
      </c>
      <c r="AU16" s="1" t="str">
        <f>IFERROR(ROUND(Backend!$AM16*VLOOKUP($F16,'OH,Profit &amp; Other Base'!$A:$V,Backend!AU$6,0),5),"")</f>
        <v/>
      </c>
      <c r="AV16" s="1" t="str">
        <f>IFERROR(ROUND(Backend!$AL16*VLOOKUP($F16,'OH,Profit &amp; Other Base'!$A:$V,Backend!AV$6,0),5),"")</f>
        <v/>
      </c>
      <c r="AW16" s="1" t="str">
        <f>IFERROR(ROUND(Backend!$AO16*VLOOKUP($F16,'OH,Profit &amp; Other Base'!$A:$V,Backend!AW$6,0),5),"")</f>
        <v/>
      </c>
      <c r="AX16" s="1" t="str">
        <f>IFERROR(ROUND(Backend!$AM16*VLOOKUP($F16,'OH,Profit &amp; Other Base'!$A:$V,Backend!AX$6,0),5),"")</f>
        <v/>
      </c>
      <c r="AY16" s="1" t="str">
        <f>IFERROR(ROUND(Backend!$AL16*VLOOKUP($F16,'OH,Profit &amp; Other Base'!$A:$V,Backend!AY$6,0),5),"")</f>
        <v/>
      </c>
      <c r="AZ16" s="1" t="str">
        <f>IFERROR(ROUND(Backend!$AO16*VLOOKUP($F16,'OH,Profit &amp; Other Base'!$A:$V,Backend!AZ$6,0),5),"")</f>
        <v/>
      </c>
      <c r="BA16" s="1" t="str">
        <f>IFERROR(ROUND(Backend!$AM16*VLOOKUP($F16,'OH,Profit &amp; Other Base'!$A:$V,Backend!BA$6,0),5),"")</f>
        <v/>
      </c>
      <c r="BB16" s="1" t="str">
        <f>IFERROR(ROUND(Backend!$AL16*VLOOKUP($F16,'OH,Profit &amp; Other Base'!$A:$V,Backend!BB$6,0),5),"")</f>
        <v/>
      </c>
      <c r="BC16" s="1" t="str">
        <f>IFERROR(ROUND(Backend!$AO16*VLOOKUP($F16,'OH,Profit &amp; Other Base'!$A:$V,Backend!BC$6,0),5),"")</f>
        <v/>
      </c>
      <c r="BD16" s="1" t="str">
        <f>IFERROR(ROUND(Backend!$AM16*VLOOKUP($F16,'OH,Profit &amp; Other Base'!$A:$V,Backend!BD$6,0),5),"")</f>
        <v/>
      </c>
      <c r="BE16" s="1" t="str">
        <f>IFERROR(ROUND(Backend!$AL16*VLOOKUP($F16,'OH,Profit &amp; Other Base'!$A:$V,Backend!BE$6,0),5),"")</f>
        <v/>
      </c>
      <c r="BF16" s="1" t="str">
        <f>IFERROR(ROUND(Backend!$AO16*VLOOKUP($F16,'OH,Profit &amp; Other Base'!$A:$V,Backend!BF$6,0),5),"")</f>
        <v/>
      </c>
      <c r="BG16" s="1" t="str">
        <f>IFERROR(ROUND(Backend!$AM16*VLOOKUP($F16,'OH,Profit &amp; Other Base'!$A:$V,Backend!BG$6,0),5),"")</f>
        <v/>
      </c>
      <c r="BH16" s="1" t="str">
        <f>IFERROR(ROUND(Backend!$AL16*VLOOKUP($F16,'OH,Profit &amp; Other Base'!$A:$V,Backend!BH$6,0),5),"")</f>
        <v/>
      </c>
      <c r="BI16" s="1" t="str">
        <f>IFERROR(ROUND(Backend!$AO16*VLOOKUP($F16,'OH,Profit &amp; Other Base'!$A:$V,Backend!BI$6,0),5),"")</f>
        <v/>
      </c>
      <c r="BJ16" s="1" t="str">
        <f>IFERROR(ROUND(Backend!$AM16*VLOOKUP($F16,'OH,Profit &amp; Other Base'!$A:$V,Backend!BJ$6,0),5),"")</f>
        <v/>
      </c>
      <c r="BK16" s="3">
        <f>SUM(AN16:BJ16,Backend!O16)</f>
        <v>0</v>
      </c>
    </row>
    <row r="17" spans="1:63">
      <c r="A17" s="1">
        <f>BOM!A12</f>
        <v>10</v>
      </c>
      <c r="B17" s="1" t="str">
        <f>BOM!B12</f>
        <v>MB512123</v>
      </c>
      <c r="C17" s="1">
        <f>BOM!C12</f>
        <v>0</v>
      </c>
      <c r="D17" s="1">
        <f>BOM!D12</f>
        <v>0</v>
      </c>
      <c r="E17" s="1">
        <f>BOM!F12</f>
        <v>0</v>
      </c>
      <c r="F17" s="1" t="str">
        <f>IF(H17="CSC",BOM!H12,IF(J17="BOFOthers","Sheet Metal-B",""))</f>
        <v/>
      </c>
      <c r="G17" s="1">
        <f>BOM!I12</f>
        <v>0</v>
      </c>
      <c r="H17" s="1">
        <f>BOM!J12</f>
        <v>0</v>
      </c>
      <c r="I17" s="1" t="str">
        <f t="shared" si="0"/>
        <v>Others</v>
      </c>
      <c r="J17" s="1" t="str">
        <f t="shared" si="1"/>
        <v>0Others</v>
      </c>
      <c r="K17" s="3" t="str">
        <f>IF($J17="InhouseCSC",VLOOKUP($D17,Group!$C:$E,3,0),"")</f>
        <v/>
      </c>
      <c r="L17" s="3" t="str">
        <f>IF(OR($J17="BOSFCSC",$J17="BOFCSC"),VLOOKUP($D17,Group!$C:$E,3,0),"")</f>
        <v/>
      </c>
      <c r="M17" s="3" t="str">
        <f>IF(OR($J17="BOSFCSC",$J17="BOFCSC"),VLOOKUP($D17,Group!$C:$F,4,0),"")</f>
        <v/>
      </c>
      <c r="N17" s="3" t="str">
        <f>IF(OR($J17="InhouseCSC",$J17="BOSFCSC"),VLOOKUP($D17,Group!$C:$G,5,0),"")</f>
        <v/>
      </c>
      <c r="O17" s="3" t="str">
        <f>IF($J17="InhouseCSC",ROUND(VLOOKUP($D17,Group!$C:$H,6,0),5),"")</f>
        <v/>
      </c>
      <c r="P17" s="3" t="str">
        <f>IF(OR($J17="BOSFCSC",$J17="BOFCSC"),VLOOKUP($D17,Group!$C:$H,6,0),"")</f>
        <v/>
      </c>
      <c r="Q17" s="1" t="str">
        <f>IF($J17="Inhouseothers",VLOOKUP($D17,Group!$C:$E,3,0),"")</f>
        <v/>
      </c>
      <c r="R17" s="1" t="str">
        <f>IF($J17="BOSFOthers",VLOOKUP($D17,Group!$C:$E,3,0),"")</f>
        <v/>
      </c>
      <c r="S17" s="3" t="str">
        <f>IF($J17="BOFOthers",VLOOKUP($D17,Group!$C:$E,3,0),"")</f>
        <v/>
      </c>
      <c r="U17" s="1" t="str">
        <f>IFERROR(Backend!$L17*VLOOKUP($F17,'OH,Profit &amp; Other Base'!$A:$V,Backend!U$6,0),"")</f>
        <v/>
      </c>
      <c r="V17" s="1" t="str">
        <f>IFERROR(Backend!$M17*VLOOKUP($F17,'OH,Profit &amp; Other Base'!$A:$V,Backend!V$6,0),"")</f>
        <v/>
      </c>
      <c r="W17" s="1" t="str">
        <f>IFERROR(Backend!$L17*VLOOKUP($F17,'OH,Profit &amp; Other Base'!$A:$V,Backend!W$6,0),"")</f>
        <v/>
      </c>
      <c r="X17" s="1" t="str">
        <f>IFERROR(Backend!$M17*VLOOKUP($F17,'OH,Profit &amp; Other Base'!$A:$V,Backend!X$6,0),"")</f>
        <v/>
      </c>
      <c r="Y17" s="1" t="str">
        <f>IFERROR(Backend!$L17*VLOOKUP($F17,'OH,Profit &amp; Other Base'!$A:$V,Backend!Y$6,0),"")</f>
        <v/>
      </c>
      <c r="Z17" s="1" t="str">
        <f>IFERROR(Backend!$M17*VLOOKUP($F17,'OH,Profit &amp; Other Base'!$A:$V,Backend!Z$6,0),"")</f>
        <v/>
      </c>
      <c r="AA17" s="1" t="str">
        <f>IFERROR(Backend!$L17*VLOOKUP($F17,'OH,Profit &amp; Other Base'!$A:$V,Backend!AA$6,0),"")</f>
        <v/>
      </c>
      <c r="AB17" s="1" t="str">
        <f>IFERROR(Backend!$M17*VLOOKUP($F17,'OH,Profit &amp; Other Base'!$A:$V,Backend!AB$6,0),"")</f>
        <v/>
      </c>
      <c r="AC17" s="1" t="str">
        <f>IFERROR(Backend!$L17*VLOOKUP($F17,'OH,Profit &amp; Other Base'!$A:$V,Backend!AC$6,0),"")</f>
        <v/>
      </c>
      <c r="AD17" s="1" t="str">
        <f>IFERROR(Backend!$M17*VLOOKUP($F17,'OH,Profit &amp; Other Base'!$A:$V,Backend!AD$6,0),"")</f>
        <v/>
      </c>
      <c r="AE17" s="1" t="str">
        <f>IFERROR(Backend!$L17*VLOOKUP($F17,'OH,Profit &amp; Other Base'!$A:$V,Backend!AE$6,0),"")</f>
        <v/>
      </c>
      <c r="AF17" s="1" t="str">
        <f>IFERROR(Backend!$M17*VLOOKUP($F17,'OH,Profit &amp; Other Base'!$A:$V,Backend!AF$6,0),"")</f>
        <v/>
      </c>
      <c r="AG17" s="1" t="str">
        <f>IFERROR(Backend!$L17*VLOOKUP($F17,'OH,Profit &amp; Other Base'!$A:$V,Backend!AG$6,0),"")</f>
        <v/>
      </c>
      <c r="AH17" s="1" t="str">
        <f>IFERROR(Backend!$M17*VLOOKUP($F17,'OH,Profit &amp; Other Base'!$A:$V,Backend!AH$6,0),"")</f>
        <v/>
      </c>
      <c r="AI17" s="3">
        <f t="shared" si="2"/>
        <v>0</v>
      </c>
      <c r="AL17" s="1" t="str">
        <f t="shared" si="3"/>
        <v/>
      </c>
      <c r="AM17" s="1" t="str">
        <f t="shared" si="4"/>
        <v/>
      </c>
      <c r="AN17" s="1" t="str">
        <f t="shared" si="5"/>
        <v/>
      </c>
      <c r="AO17" s="1" t="str">
        <f t="shared" si="6"/>
        <v/>
      </c>
      <c r="AP17" s="1" t="str">
        <f>IFERROR(ROUND(Backend!$AL17*VLOOKUP($F17,'OH,Profit &amp; Other Base'!$A:$V,Backend!AP$6,0),5),"")</f>
        <v/>
      </c>
      <c r="AQ17" s="1" t="str">
        <f>IFERROR(ROUND(Backend!$AO17*VLOOKUP($F17,'OH,Profit &amp; Other Base'!$A:$V,Backend!AQ$6,0),5),"")</f>
        <v/>
      </c>
      <c r="AR17" s="1" t="str">
        <f>IFERROR(ROUND(Backend!$AM17*VLOOKUP($F17,'OH,Profit &amp; Other Base'!$A:$V,Backend!AR$6,0),5),"")</f>
        <v/>
      </c>
      <c r="AS17" s="1" t="str">
        <f>IFERROR(ROUND(Backend!$AL17*VLOOKUP($F17,'OH,Profit &amp; Other Base'!$A:$V,Backend!AS$6,0),5),"")</f>
        <v/>
      </c>
      <c r="AT17" s="1" t="str">
        <f>IFERROR(ROUND(Backend!$AO17*VLOOKUP($F17,'OH,Profit &amp; Other Base'!$A:$V,Backend!AT$6,0),5),"")</f>
        <v/>
      </c>
      <c r="AU17" s="1" t="str">
        <f>IFERROR(ROUND(Backend!$AM17*VLOOKUP($F17,'OH,Profit &amp; Other Base'!$A:$V,Backend!AU$6,0),5),"")</f>
        <v/>
      </c>
      <c r="AV17" s="1" t="str">
        <f>IFERROR(ROUND(Backend!$AL17*VLOOKUP($F17,'OH,Profit &amp; Other Base'!$A:$V,Backend!AV$6,0),5),"")</f>
        <v/>
      </c>
      <c r="AW17" s="1" t="str">
        <f>IFERROR(ROUND(Backend!$AO17*VLOOKUP($F17,'OH,Profit &amp; Other Base'!$A:$V,Backend!AW$6,0),5),"")</f>
        <v/>
      </c>
      <c r="AX17" s="1" t="str">
        <f>IFERROR(ROUND(Backend!$AM17*VLOOKUP($F17,'OH,Profit &amp; Other Base'!$A:$V,Backend!AX$6,0),5),"")</f>
        <v/>
      </c>
      <c r="AY17" s="1" t="str">
        <f>IFERROR(ROUND(Backend!$AL17*VLOOKUP($F17,'OH,Profit &amp; Other Base'!$A:$V,Backend!AY$6,0),5),"")</f>
        <v/>
      </c>
      <c r="AZ17" s="1" t="str">
        <f>IFERROR(ROUND(Backend!$AO17*VLOOKUP($F17,'OH,Profit &amp; Other Base'!$A:$V,Backend!AZ$6,0),5),"")</f>
        <v/>
      </c>
      <c r="BA17" s="1" t="str">
        <f>IFERROR(ROUND(Backend!$AM17*VLOOKUP($F17,'OH,Profit &amp; Other Base'!$A:$V,Backend!BA$6,0),5),"")</f>
        <v/>
      </c>
      <c r="BB17" s="1" t="str">
        <f>IFERROR(ROUND(Backend!$AL17*VLOOKUP($F17,'OH,Profit &amp; Other Base'!$A:$V,Backend!BB$6,0),5),"")</f>
        <v/>
      </c>
      <c r="BC17" s="1" t="str">
        <f>IFERROR(ROUND(Backend!$AO17*VLOOKUP($F17,'OH,Profit &amp; Other Base'!$A:$V,Backend!BC$6,0),5),"")</f>
        <v/>
      </c>
      <c r="BD17" s="1" t="str">
        <f>IFERROR(ROUND(Backend!$AM17*VLOOKUP($F17,'OH,Profit &amp; Other Base'!$A:$V,Backend!BD$6,0),5),"")</f>
        <v/>
      </c>
      <c r="BE17" s="1" t="str">
        <f>IFERROR(ROUND(Backend!$AL17*VLOOKUP($F17,'OH,Profit &amp; Other Base'!$A:$V,Backend!BE$6,0),5),"")</f>
        <v/>
      </c>
      <c r="BF17" s="1" t="str">
        <f>IFERROR(ROUND(Backend!$AO17*VLOOKUP($F17,'OH,Profit &amp; Other Base'!$A:$V,Backend!BF$6,0),5),"")</f>
        <v/>
      </c>
      <c r="BG17" s="1" t="str">
        <f>IFERROR(ROUND(Backend!$AM17*VLOOKUP($F17,'OH,Profit &amp; Other Base'!$A:$V,Backend!BG$6,0),5),"")</f>
        <v/>
      </c>
      <c r="BH17" s="1" t="str">
        <f>IFERROR(ROUND(Backend!$AL17*VLOOKUP($F17,'OH,Profit &amp; Other Base'!$A:$V,Backend!BH$6,0),5),"")</f>
        <v/>
      </c>
      <c r="BI17" s="1" t="str">
        <f>IFERROR(ROUND(Backend!$AO17*VLOOKUP($F17,'OH,Profit &amp; Other Base'!$A:$V,Backend!BI$6,0),5),"")</f>
        <v/>
      </c>
      <c r="BJ17" s="1" t="str">
        <f>IFERROR(ROUND(Backend!$AM17*VLOOKUP($F17,'OH,Profit &amp; Other Base'!$A:$V,Backend!BJ$6,0),5),"")</f>
        <v/>
      </c>
      <c r="BK17" s="3">
        <f>SUM(AN17:BJ17,Backend!O17)</f>
        <v>0</v>
      </c>
    </row>
    <row r="18" spans="1:63">
      <c r="A18" s="1">
        <f>BOM!A13</f>
        <v>11</v>
      </c>
      <c r="B18" s="1" t="str">
        <f>BOM!B13</f>
        <v>MB512123</v>
      </c>
      <c r="C18" s="1">
        <f>BOM!C13</f>
        <v>0</v>
      </c>
      <c r="D18" s="1">
        <f>BOM!D13</f>
        <v>0</v>
      </c>
      <c r="E18" s="1">
        <f>BOM!F13</f>
        <v>0</v>
      </c>
      <c r="F18" s="1" t="str">
        <f>IF(H18="CSC",BOM!H13,IF(J18="BOFOthers","Sheet Metal-B",""))</f>
        <v/>
      </c>
      <c r="G18" s="1">
        <f>BOM!I13</f>
        <v>0</v>
      </c>
      <c r="H18" s="1">
        <f>BOM!J13</f>
        <v>0</v>
      </c>
      <c r="I18" s="1" t="str">
        <f t="shared" si="0"/>
        <v>Others</v>
      </c>
      <c r="J18" s="1" t="str">
        <f t="shared" si="1"/>
        <v>0Others</v>
      </c>
      <c r="K18" s="3" t="str">
        <f>IF($J18="InhouseCSC",VLOOKUP($D18,Group!$C:$E,3,0),"")</f>
        <v/>
      </c>
      <c r="L18" s="3" t="str">
        <f>IF(OR($J18="BOSFCSC",$J18="BOFCSC"),VLOOKUP($D18,Group!$C:$E,3,0),"")</f>
        <v/>
      </c>
      <c r="M18" s="3" t="str">
        <f>IF(OR($J18="BOSFCSC",$J18="BOFCSC"),VLOOKUP($D18,Group!$C:$F,4,0),"")</f>
        <v/>
      </c>
      <c r="N18" s="3" t="str">
        <f>IF(OR($J18="InhouseCSC",$J18="BOSFCSC"),VLOOKUP($D18,Group!$C:$G,5,0),"")</f>
        <v/>
      </c>
      <c r="O18" s="3" t="str">
        <f>IF($J18="InhouseCSC",ROUND(VLOOKUP($D18,Group!$C:$H,6,0),5),"")</f>
        <v/>
      </c>
      <c r="P18" s="3" t="str">
        <f>IF(OR($J18="BOSFCSC",$J18="BOFCSC"),VLOOKUP($D18,Group!$C:$H,6,0),"")</f>
        <v/>
      </c>
      <c r="Q18" s="1" t="str">
        <f>IF($J18="Inhouseothers",VLOOKUP($D18,Group!$C:$E,3,0),"")</f>
        <v/>
      </c>
      <c r="R18" s="1" t="str">
        <f>IF($J18="BOSFOthers",VLOOKUP($D18,Group!$C:$E,3,0),"")</f>
        <v/>
      </c>
      <c r="S18" s="3" t="str">
        <f>IF($J18="BOFOthers",VLOOKUP($D18,Group!$C:$E,3,0),"")</f>
        <v/>
      </c>
      <c r="U18" s="1" t="str">
        <f>IFERROR(Backend!$L18*VLOOKUP($F18,'OH,Profit &amp; Other Base'!$A:$V,Backend!U$6,0),"")</f>
        <v/>
      </c>
      <c r="V18" s="1" t="str">
        <f>IFERROR(Backend!$M18*VLOOKUP($F18,'OH,Profit &amp; Other Base'!$A:$V,Backend!V$6,0),"")</f>
        <v/>
      </c>
      <c r="W18" s="1" t="str">
        <f>IFERROR(Backend!$L18*VLOOKUP($F18,'OH,Profit &amp; Other Base'!$A:$V,Backend!W$6,0),"")</f>
        <v/>
      </c>
      <c r="X18" s="1" t="str">
        <f>IFERROR(Backend!$M18*VLOOKUP($F18,'OH,Profit &amp; Other Base'!$A:$V,Backend!X$6,0),"")</f>
        <v/>
      </c>
      <c r="Y18" s="1" t="str">
        <f>IFERROR(Backend!$L18*VLOOKUP($F18,'OH,Profit &amp; Other Base'!$A:$V,Backend!Y$6,0),"")</f>
        <v/>
      </c>
      <c r="Z18" s="1" t="str">
        <f>IFERROR(Backend!$M18*VLOOKUP($F18,'OH,Profit &amp; Other Base'!$A:$V,Backend!Z$6,0),"")</f>
        <v/>
      </c>
      <c r="AA18" s="1" t="str">
        <f>IFERROR(Backend!$L18*VLOOKUP($F18,'OH,Profit &amp; Other Base'!$A:$V,Backend!AA$6,0),"")</f>
        <v/>
      </c>
      <c r="AB18" s="1" t="str">
        <f>IFERROR(Backend!$M18*VLOOKUP($F18,'OH,Profit &amp; Other Base'!$A:$V,Backend!AB$6,0),"")</f>
        <v/>
      </c>
      <c r="AC18" s="1" t="str">
        <f>IFERROR(Backend!$L18*VLOOKUP($F18,'OH,Profit &amp; Other Base'!$A:$V,Backend!AC$6,0),"")</f>
        <v/>
      </c>
      <c r="AD18" s="1" t="str">
        <f>IFERROR(Backend!$M18*VLOOKUP($F18,'OH,Profit &amp; Other Base'!$A:$V,Backend!AD$6,0),"")</f>
        <v/>
      </c>
      <c r="AE18" s="1" t="str">
        <f>IFERROR(Backend!$L18*VLOOKUP($F18,'OH,Profit &amp; Other Base'!$A:$V,Backend!AE$6,0),"")</f>
        <v/>
      </c>
      <c r="AF18" s="1" t="str">
        <f>IFERROR(Backend!$M18*VLOOKUP($F18,'OH,Profit &amp; Other Base'!$A:$V,Backend!AF$6,0),"")</f>
        <v/>
      </c>
      <c r="AG18" s="1" t="str">
        <f>IFERROR(Backend!$L18*VLOOKUP($F18,'OH,Profit &amp; Other Base'!$A:$V,Backend!AG$6,0),"")</f>
        <v/>
      </c>
      <c r="AH18" s="1" t="str">
        <f>IFERROR(Backend!$M18*VLOOKUP($F18,'OH,Profit &amp; Other Base'!$A:$V,Backend!AH$6,0),"")</f>
        <v/>
      </c>
      <c r="AI18" s="3">
        <f t="shared" si="2"/>
        <v>0</v>
      </c>
      <c r="AL18" s="1" t="str">
        <f t="shared" si="3"/>
        <v/>
      </c>
      <c r="AM18" s="1" t="str">
        <f t="shared" si="4"/>
        <v/>
      </c>
      <c r="AN18" s="1" t="str">
        <f t="shared" si="5"/>
        <v/>
      </c>
      <c r="AO18" s="1" t="str">
        <f t="shared" si="6"/>
        <v/>
      </c>
      <c r="AP18" s="1" t="str">
        <f>IFERROR(ROUND(Backend!$AL18*VLOOKUP($F18,'OH,Profit &amp; Other Base'!$A:$V,Backend!AP$6,0),5),"")</f>
        <v/>
      </c>
      <c r="AQ18" s="1" t="str">
        <f>IFERROR(ROUND(Backend!$AO18*VLOOKUP($F18,'OH,Profit &amp; Other Base'!$A:$V,Backend!AQ$6,0),5),"")</f>
        <v/>
      </c>
      <c r="AR18" s="1" t="str">
        <f>IFERROR(ROUND(Backend!$AM18*VLOOKUP($F18,'OH,Profit &amp; Other Base'!$A:$V,Backend!AR$6,0),5),"")</f>
        <v/>
      </c>
      <c r="AS18" s="1" t="str">
        <f>IFERROR(ROUND(Backend!$AL18*VLOOKUP($F18,'OH,Profit &amp; Other Base'!$A:$V,Backend!AS$6,0),5),"")</f>
        <v/>
      </c>
      <c r="AT18" s="1" t="str">
        <f>IFERROR(ROUND(Backend!$AO18*VLOOKUP($F18,'OH,Profit &amp; Other Base'!$A:$V,Backend!AT$6,0),5),"")</f>
        <v/>
      </c>
      <c r="AU18" s="1" t="str">
        <f>IFERROR(ROUND(Backend!$AM18*VLOOKUP($F18,'OH,Profit &amp; Other Base'!$A:$V,Backend!AU$6,0),5),"")</f>
        <v/>
      </c>
      <c r="AV18" s="1" t="str">
        <f>IFERROR(ROUND(Backend!$AL18*VLOOKUP($F18,'OH,Profit &amp; Other Base'!$A:$V,Backend!AV$6,0),5),"")</f>
        <v/>
      </c>
      <c r="AW18" s="1" t="str">
        <f>IFERROR(ROUND(Backend!$AO18*VLOOKUP($F18,'OH,Profit &amp; Other Base'!$A:$V,Backend!AW$6,0),5),"")</f>
        <v/>
      </c>
      <c r="AX18" s="1" t="str">
        <f>IFERROR(ROUND(Backend!$AM18*VLOOKUP($F18,'OH,Profit &amp; Other Base'!$A:$V,Backend!AX$6,0),5),"")</f>
        <v/>
      </c>
      <c r="AY18" s="1" t="str">
        <f>IFERROR(ROUND(Backend!$AL18*VLOOKUP($F18,'OH,Profit &amp; Other Base'!$A:$V,Backend!AY$6,0),5),"")</f>
        <v/>
      </c>
      <c r="AZ18" s="1" t="str">
        <f>IFERROR(ROUND(Backend!$AO18*VLOOKUP($F18,'OH,Profit &amp; Other Base'!$A:$V,Backend!AZ$6,0),5),"")</f>
        <v/>
      </c>
      <c r="BA18" s="1" t="str">
        <f>IFERROR(ROUND(Backend!$AM18*VLOOKUP($F18,'OH,Profit &amp; Other Base'!$A:$V,Backend!BA$6,0),5),"")</f>
        <v/>
      </c>
      <c r="BB18" s="1" t="str">
        <f>IFERROR(ROUND(Backend!$AL18*VLOOKUP($F18,'OH,Profit &amp; Other Base'!$A:$V,Backend!BB$6,0),5),"")</f>
        <v/>
      </c>
      <c r="BC18" s="1" t="str">
        <f>IFERROR(ROUND(Backend!$AO18*VLOOKUP($F18,'OH,Profit &amp; Other Base'!$A:$V,Backend!BC$6,0),5),"")</f>
        <v/>
      </c>
      <c r="BD18" s="1" t="str">
        <f>IFERROR(ROUND(Backend!$AM18*VLOOKUP($F18,'OH,Profit &amp; Other Base'!$A:$V,Backend!BD$6,0),5),"")</f>
        <v/>
      </c>
      <c r="BE18" s="1" t="str">
        <f>IFERROR(ROUND(Backend!$AL18*VLOOKUP($F18,'OH,Profit &amp; Other Base'!$A:$V,Backend!BE$6,0),5),"")</f>
        <v/>
      </c>
      <c r="BF18" s="1" t="str">
        <f>IFERROR(ROUND(Backend!$AO18*VLOOKUP($F18,'OH,Profit &amp; Other Base'!$A:$V,Backend!BF$6,0),5),"")</f>
        <v/>
      </c>
      <c r="BG18" s="1" t="str">
        <f>IFERROR(ROUND(Backend!$AM18*VLOOKUP($F18,'OH,Profit &amp; Other Base'!$A:$V,Backend!BG$6,0),5),"")</f>
        <v/>
      </c>
      <c r="BH18" s="1" t="str">
        <f>IFERROR(ROUND(Backend!$AL18*VLOOKUP($F18,'OH,Profit &amp; Other Base'!$A:$V,Backend!BH$6,0),5),"")</f>
        <v/>
      </c>
      <c r="BI18" s="1" t="str">
        <f>IFERROR(ROUND(Backend!$AO18*VLOOKUP($F18,'OH,Profit &amp; Other Base'!$A:$V,Backend!BI$6,0),5),"")</f>
        <v/>
      </c>
      <c r="BJ18" s="1" t="str">
        <f>IFERROR(ROUND(Backend!$AM18*VLOOKUP($F18,'OH,Profit &amp; Other Base'!$A:$V,Backend!BJ$6,0),5),"")</f>
        <v/>
      </c>
      <c r="BK18" s="3">
        <f>SUM(AN18:BJ18,Backend!O18)</f>
        <v>0</v>
      </c>
    </row>
    <row r="19" spans="1:63">
      <c r="A19" s="1">
        <f>BOM!A14</f>
        <v>12</v>
      </c>
      <c r="B19" s="1" t="str">
        <f>BOM!B14</f>
        <v>MB512123</v>
      </c>
      <c r="C19" s="1">
        <f>BOM!C14</f>
        <v>0</v>
      </c>
      <c r="D19" s="1">
        <f>BOM!D14</f>
        <v>0</v>
      </c>
      <c r="E19" s="1">
        <f>BOM!F14</f>
        <v>0</v>
      </c>
      <c r="F19" s="1" t="str">
        <f>IF(H19="CSC",BOM!H14,IF(J19="BOFOthers","Sheet Metal-B",""))</f>
        <v/>
      </c>
      <c r="G19" s="1">
        <f>BOM!I14</f>
        <v>0</v>
      </c>
      <c r="H19" s="1">
        <f>BOM!J14</f>
        <v>0</v>
      </c>
      <c r="I19" s="1" t="str">
        <f t="shared" si="0"/>
        <v>Others</v>
      </c>
      <c r="J19" s="1" t="str">
        <f t="shared" si="1"/>
        <v>0Others</v>
      </c>
      <c r="K19" s="3" t="str">
        <f>IF($J19="InhouseCSC",VLOOKUP($D19,Group!$C:$E,3,0),"")</f>
        <v/>
      </c>
      <c r="L19" s="3" t="str">
        <f>IF(OR($J19="BOSFCSC",$J19="BOFCSC"),VLOOKUP($D19,Group!$C:$E,3,0),"")</f>
        <v/>
      </c>
      <c r="M19" s="3" t="str">
        <f>IF(OR($J19="BOSFCSC",$J19="BOFCSC"),VLOOKUP($D19,Group!$C:$F,4,0),"")</f>
        <v/>
      </c>
      <c r="N19" s="3" t="str">
        <f>IF(OR($J19="InhouseCSC",$J19="BOSFCSC"),VLOOKUP($D19,Group!$C:$G,5,0),"")</f>
        <v/>
      </c>
      <c r="O19" s="3" t="str">
        <f>IF($J19="InhouseCSC",ROUND(VLOOKUP($D19,Group!$C:$H,6,0),5),"")</f>
        <v/>
      </c>
      <c r="P19" s="3" t="str">
        <f>IF(OR($J19="BOSFCSC",$J19="BOFCSC"),VLOOKUP($D19,Group!$C:$H,6,0),"")</f>
        <v/>
      </c>
      <c r="Q19" s="1" t="str">
        <f>IF($J19="Inhouseothers",VLOOKUP($D19,Group!$C:$E,3,0),"")</f>
        <v/>
      </c>
      <c r="R19" s="1" t="str">
        <f>IF($J19="BOSFOthers",VLOOKUP($D19,Group!$C:$E,3,0),"")</f>
        <v/>
      </c>
      <c r="S19" s="3" t="str">
        <f>IF($J19="BOFOthers",VLOOKUP($D19,Group!$C:$E,3,0),"")</f>
        <v/>
      </c>
      <c r="U19" s="1" t="str">
        <f>IFERROR(Backend!$L19*VLOOKUP($F19,'OH,Profit &amp; Other Base'!$A:$V,Backend!U$6,0),"")</f>
        <v/>
      </c>
      <c r="V19" s="1" t="str">
        <f>IFERROR(Backend!$M19*VLOOKUP($F19,'OH,Profit &amp; Other Base'!$A:$V,Backend!V$6,0),"")</f>
        <v/>
      </c>
      <c r="W19" s="1" t="str">
        <f>IFERROR(Backend!$L19*VLOOKUP($F19,'OH,Profit &amp; Other Base'!$A:$V,Backend!W$6,0),"")</f>
        <v/>
      </c>
      <c r="X19" s="1" t="str">
        <f>IFERROR(Backend!$M19*VLOOKUP($F19,'OH,Profit &amp; Other Base'!$A:$V,Backend!X$6,0),"")</f>
        <v/>
      </c>
      <c r="Y19" s="1" t="str">
        <f>IFERROR(Backend!$L19*VLOOKUP($F19,'OH,Profit &amp; Other Base'!$A:$V,Backend!Y$6,0),"")</f>
        <v/>
      </c>
      <c r="Z19" s="1" t="str">
        <f>IFERROR(Backend!$M19*VLOOKUP($F19,'OH,Profit &amp; Other Base'!$A:$V,Backend!Z$6,0),"")</f>
        <v/>
      </c>
      <c r="AA19" s="1" t="str">
        <f>IFERROR(Backend!$L19*VLOOKUP($F19,'OH,Profit &amp; Other Base'!$A:$V,Backend!AA$6,0),"")</f>
        <v/>
      </c>
      <c r="AB19" s="1" t="str">
        <f>IFERROR(Backend!$M19*VLOOKUP($F19,'OH,Profit &amp; Other Base'!$A:$V,Backend!AB$6,0),"")</f>
        <v/>
      </c>
      <c r="AC19" s="1" t="str">
        <f>IFERROR(Backend!$L19*VLOOKUP($F19,'OH,Profit &amp; Other Base'!$A:$V,Backend!AC$6,0),"")</f>
        <v/>
      </c>
      <c r="AD19" s="1" t="str">
        <f>IFERROR(Backend!$M19*VLOOKUP($F19,'OH,Profit &amp; Other Base'!$A:$V,Backend!AD$6,0),"")</f>
        <v/>
      </c>
      <c r="AE19" s="1" t="str">
        <f>IFERROR(Backend!$L19*VLOOKUP($F19,'OH,Profit &amp; Other Base'!$A:$V,Backend!AE$6,0),"")</f>
        <v/>
      </c>
      <c r="AF19" s="1" t="str">
        <f>IFERROR(Backend!$M19*VLOOKUP($F19,'OH,Profit &amp; Other Base'!$A:$V,Backend!AF$6,0),"")</f>
        <v/>
      </c>
      <c r="AG19" s="1" t="str">
        <f>IFERROR(Backend!$L19*VLOOKUP($F19,'OH,Profit &amp; Other Base'!$A:$V,Backend!AG$6,0),"")</f>
        <v/>
      </c>
      <c r="AH19" s="1" t="str">
        <f>IFERROR(Backend!$M19*VLOOKUP($F19,'OH,Profit &amp; Other Base'!$A:$V,Backend!AH$6,0),"")</f>
        <v/>
      </c>
      <c r="AI19" s="3">
        <f t="shared" si="2"/>
        <v>0</v>
      </c>
      <c r="AL19" s="1" t="str">
        <f t="shared" si="3"/>
        <v/>
      </c>
      <c r="AM19" s="1" t="str">
        <f t="shared" si="4"/>
        <v/>
      </c>
      <c r="AN19" s="1" t="str">
        <f t="shared" si="5"/>
        <v/>
      </c>
      <c r="AO19" s="1" t="str">
        <f t="shared" si="6"/>
        <v/>
      </c>
      <c r="AP19" s="1" t="str">
        <f>IFERROR(ROUND(Backend!$AL19*VLOOKUP($F19,'OH,Profit &amp; Other Base'!$A:$V,Backend!AP$6,0),5),"")</f>
        <v/>
      </c>
      <c r="AQ19" s="1" t="str">
        <f>IFERROR(ROUND(Backend!$AO19*VLOOKUP($F19,'OH,Profit &amp; Other Base'!$A:$V,Backend!AQ$6,0),5),"")</f>
        <v/>
      </c>
      <c r="AR19" s="1" t="str">
        <f>IFERROR(ROUND(Backend!$AM19*VLOOKUP($F19,'OH,Profit &amp; Other Base'!$A:$V,Backend!AR$6,0),5),"")</f>
        <v/>
      </c>
      <c r="AS19" s="1" t="str">
        <f>IFERROR(ROUND(Backend!$AL19*VLOOKUP($F19,'OH,Profit &amp; Other Base'!$A:$V,Backend!AS$6,0),5),"")</f>
        <v/>
      </c>
      <c r="AT19" s="1" t="str">
        <f>IFERROR(ROUND(Backend!$AO19*VLOOKUP($F19,'OH,Profit &amp; Other Base'!$A:$V,Backend!AT$6,0),5),"")</f>
        <v/>
      </c>
      <c r="AU19" s="1" t="str">
        <f>IFERROR(ROUND(Backend!$AM19*VLOOKUP($F19,'OH,Profit &amp; Other Base'!$A:$V,Backend!AU$6,0),5),"")</f>
        <v/>
      </c>
      <c r="AV19" s="1" t="str">
        <f>IFERROR(ROUND(Backend!$AL19*VLOOKUP($F19,'OH,Profit &amp; Other Base'!$A:$V,Backend!AV$6,0),5),"")</f>
        <v/>
      </c>
      <c r="AW19" s="1" t="str">
        <f>IFERROR(ROUND(Backend!$AO19*VLOOKUP($F19,'OH,Profit &amp; Other Base'!$A:$V,Backend!AW$6,0),5),"")</f>
        <v/>
      </c>
      <c r="AX19" s="1" t="str">
        <f>IFERROR(ROUND(Backend!$AM19*VLOOKUP($F19,'OH,Profit &amp; Other Base'!$A:$V,Backend!AX$6,0),5),"")</f>
        <v/>
      </c>
      <c r="AY19" s="1" t="str">
        <f>IFERROR(ROUND(Backend!$AL19*VLOOKUP($F19,'OH,Profit &amp; Other Base'!$A:$V,Backend!AY$6,0),5),"")</f>
        <v/>
      </c>
      <c r="AZ19" s="1" t="str">
        <f>IFERROR(ROUND(Backend!$AO19*VLOOKUP($F19,'OH,Profit &amp; Other Base'!$A:$V,Backend!AZ$6,0),5),"")</f>
        <v/>
      </c>
      <c r="BA19" s="1" t="str">
        <f>IFERROR(ROUND(Backend!$AM19*VLOOKUP($F19,'OH,Profit &amp; Other Base'!$A:$V,Backend!BA$6,0),5),"")</f>
        <v/>
      </c>
      <c r="BB19" s="1" t="str">
        <f>IFERROR(ROUND(Backend!$AL19*VLOOKUP($F19,'OH,Profit &amp; Other Base'!$A:$V,Backend!BB$6,0),5),"")</f>
        <v/>
      </c>
      <c r="BC19" s="1" t="str">
        <f>IFERROR(ROUND(Backend!$AO19*VLOOKUP($F19,'OH,Profit &amp; Other Base'!$A:$V,Backend!BC$6,0),5),"")</f>
        <v/>
      </c>
      <c r="BD19" s="1" t="str">
        <f>IFERROR(ROUND(Backend!$AM19*VLOOKUP($F19,'OH,Profit &amp; Other Base'!$A:$V,Backend!BD$6,0),5),"")</f>
        <v/>
      </c>
      <c r="BE19" s="1" t="str">
        <f>IFERROR(ROUND(Backend!$AL19*VLOOKUP($F19,'OH,Profit &amp; Other Base'!$A:$V,Backend!BE$6,0),5),"")</f>
        <v/>
      </c>
      <c r="BF19" s="1" t="str">
        <f>IFERROR(ROUND(Backend!$AO19*VLOOKUP($F19,'OH,Profit &amp; Other Base'!$A:$V,Backend!BF$6,0),5),"")</f>
        <v/>
      </c>
      <c r="BG19" s="1" t="str">
        <f>IFERROR(ROUND(Backend!$AM19*VLOOKUP($F19,'OH,Profit &amp; Other Base'!$A:$V,Backend!BG$6,0),5),"")</f>
        <v/>
      </c>
      <c r="BH19" s="1" t="str">
        <f>IFERROR(ROUND(Backend!$AL19*VLOOKUP($F19,'OH,Profit &amp; Other Base'!$A:$V,Backend!BH$6,0),5),"")</f>
        <v/>
      </c>
      <c r="BI19" s="1" t="str">
        <f>IFERROR(ROUND(Backend!$AO19*VLOOKUP($F19,'OH,Profit &amp; Other Base'!$A:$V,Backend!BI$6,0),5),"")</f>
        <v/>
      </c>
      <c r="BJ19" s="1" t="str">
        <f>IFERROR(ROUND(Backend!$AM19*VLOOKUP($F19,'OH,Profit &amp; Other Base'!$A:$V,Backend!BJ$6,0),5),"")</f>
        <v/>
      </c>
      <c r="BK19" s="3">
        <f>SUM(AN19:BJ19,Backend!O19)</f>
        <v>0</v>
      </c>
    </row>
    <row r="20" spans="1:63">
      <c r="A20" s="1">
        <f>BOM!A15</f>
        <v>13</v>
      </c>
      <c r="B20" s="1" t="str">
        <f>BOM!B15</f>
        <v>MB512123</v>
      </c>
      <c r="C20" s="1">
        <f>BOM!C15</f>
        <v>0</v>
      </c>
      <c r="D20" s="1">
        <f>BOM!D15</f>
        <v>0</v>
      </c>
      <c r="E20" s="1">
        <f>BOM!F15</f>
        <v>0</v>
      </c>
      <c r="F20" s="1" t="str">
        <f>IF(H20="CSC",BOM!H15,IF(J20="BOFOthers","Sheet Metal-B",""))</f>
        <v/>
      </c>
      <c r="G20" s="1">
        <f>BOM!I15</f>
        <v>0</v>
      </c>
      <c r="H20" s="1">
        <f>BOM!J15</f>
        <v>0</v>
      </c>
      <c r="I20" s="1" t="str">
        <f t="shared" si="0"/>
        <v>Others</v>
      </c>
      <c r="J20" s="1" t="str">
        <f t="shared" si="1"/>
        <v>0Others</v>
      </c>
      <c r="K20" s="3" t="str">
        <f>IF($J20="InhouseCSC",VLOOKUP($D20,Group!$C:$E,3,0),"")</f>
        <v/>
      </c>
      <c r="L20" s="3" t="str">
        <f>IF(OR($J20="BOSFCSC",$J20="BOFCSC"),VLOOKUP($D20,Group!$C:$E,3,0),"")</f>
        <v/>
      </c>
      <c r="M20" s="3" t="str">
        <f>IF(OR($J20="BOSFCSC",$J20="BOFCSC"),VLOOKUP($D20,Group!$C:$F,4,0),"")</f>
        <v/>
      </c>
      <c r="N20" s="3" t="str">
        <f>IF(OR($J20="InhouseCSC",$J20="BOSFCSC"),VLOOKUP($D20,Group!$C:$G,5,0),"")</f>
        <v/>
      </c>
      <c r="O20" s="3" t="str">
        <f>IF($J20="InhouseCSC",ROUND(VLOOKUP($D20,Group!$C:$H,6,0),5),"")</f>
        <v/>
      </c>
      <c r="P20" s="3" t="str">
        <f>IF(OR($J20="BOSFCSC",$J20="BOFCSC"),VLOOKUP($D20,Group!$C:$H,6,0),"")</f>
        <v/>
      </c>
      <c r="Q20" s="1" t="str">
        <f>IF($J20="Inhouseothers",VLOOKUP($D20,Group!$C:$E,3,0),"")</f>
        <v/>
      </c>
      <c r="R20" s="1" t="str">
        <f>IF($J20="BOSFOthers",VLOOKUP($D20,Group!$C:$E,3,0),"")</f>
        <v/>
      </c>
      <c r="S20" s="3" t="str">
        <f>IF($J20="BOFOthers",VLOOKUP($D20,Group!$C:$E,3,0),"")</f>
        <v/>
      </c>
      <c r="U20" s="1" t="str">
        <f>IFERROR(Backend!$L20*VLOOKUP($F20,'OH,Profit &amp; Other Base'!$A:$V,Backend!U$6,0),"")</f>
        <v/>
      </c>
      <c r="V20" s="1" t="str">
        <f>IFERROR(Backend!$M20*VLOOKUP($F20,'OH,Profit &amp; Other Base'!$A:$V,Backend!V$6,0),"")</f>
        <v/>
      </c>
      <c r="W20" s="1" t="str">
        <f>IFERROR(Backend!$L20*VLOOKUP($F20,'OH,Profit &amp; Other Base'!$A:$V,Backend!W$6,0),"")</f>
        <v/>
      </c>
      <c r="X20" s="1" t="str">
        <f>IFERROR(Backend!$M20*VLOOKUP($F20,'OH,Profit &amp; Other Base'!$A:$V,Backend!X$6,0),"")</f>
        <v/>
      </c>
      <c r="Y20" s="1" t="str">
        <f>IFERROR(Backend!$L20*VLOOKUP($F20,'OH,Profit &amp; Other Base'!$A:$V,Backend!Y$6,0),"")</f>
        <v/>
      </c>
      <c r="Z20" s="1" t="str">
        <f>IFERROR(Backend!$M20*VLOOKUP($F20,'OH,Profit &amp; Other Base'!$A:$V,Backend!Z$6,0),"")</f>
        <v/>
      </c>
      <c r="AA20" s="1" t="str">
        <f>IFERROR(Backend!$L20*VLOOKUP($F20,'OH,Profit &amp; Other Base'!$A:$V,Backend!AA$6,0),"")</f>
        <v/>
      </c>
      <c r="AB20" s="1" t="str">
        <f>IFERROR(Backend!$M20*VLOOKUP($F20,'OH,Profit &amp; Other Base'!$A:$V,Backend!AB$6,0),"")</f>
        <v/>
      </c>
      <c r="AC20" s="1" t="str">
        <f>IFERROR(Backend!$L20*VLOOKUP($F20,'OH,Profit &amp; Other Base'!$A:$V,Backend!AC$6,0),"")</f>
        <v/>
      </c>
      <c r="AD20" s="1" t="str">
        <f>IFERROR(Backend!$M20*VLOOKUP($F20,'OH,Profit &amp; Other Base'!$A:$V,Backend!AD$6,0),"")</f>
        <v/>
      </c>
      <c r="AE20" s="1" t="str">
        <f>IFERROR(Backend!$L20*VLOOKUP($F20,'OH,Profit &amp; Other Base'!$A:$V,Backend!AE$6,0),"")</f>
        <v/>
      </c>
      <c r="AF20" s="1" t="str">
        <f>IFERROR(Backend!$M20*VLOOKUP($F20,'OH,Profit &amp; Other Base'!$A:$V,Backend!AF$6,0),"")</f>
        <v/>
      </c>
      <c r="AG20" s="1" t="str">
        <f>IFERROR(Backend!$L20*VLOOKUP($F20,'OH,Profit &amp; Other Base'!$A:$V,Backend!AG$6,0),"")</f>
        <v/>
      </c>
      <c r="AH20" s="1" t="str">
        <f>IFERROR(Backend!$M20*VLOOKUP($F20,'OH,Profit &amp; Other Base'!$A:$V,Backend!AH$6,0),"")</f>
        <v/>
      </c>
      <c r="AI20" s="3">
        <f t="shared" si="2"/>
        <v>0</v>
      </c>
      <c r="AL20" s="1" t="str">
        <f t="shared" si="3"/>
        <v/>
      </c>
      <c r="AM20" s="1" t="str">
        <f t="shared" si="4"/>
        <v/>
      </c>
      <c r="AN20" s="1" t="str">
        <f t="shared" si="5"/>
        <v/>
      </c>
      <c r="AO20" s="1" t="str">
        <f t="shared" si="6"/>
        <v/>
      </c>
      <c r="AP20" s="1" t="str">
        <f>IFERROR(ROUND(Backend!$AL20*VLOOKUP($F20,'OH,Profit &amp; Other Base'!$A:$V,Backend!AP$6,0),5),"")</f>
        <v/>
      </c>
      <c r="AQ20" s="1" t="str">
        <f>IFERROR(ROUND(Backend!$AO20*VLOOKUP($F20,'OH,Profit &amp; Other Base'!$A:$V,Backend!AQ$6,0),5),"")</f>
        <v/>
      </c>
      <c r="AR20" s="1" t="str">
        <f>IFERROR(ROUND(Backend!$AM20*VLOOKUP($F20,'OH,Profit &amp; Other Base'!$A:$V,Backend!AR$6,0),5),"")</f>
        <v/>
      </c>
      <c r="AS20" s="1" t="str">
        <f>IFERROR(ROUND(Backend!$AL20*VLOOKUP($F20,'OH,Profit &amp; Other Base'!$A:$V,Backend!AS$6,0),5),"")</f>
        <v/>
      </c>
      <c r="AT20" s="1" t="str">
        <f>IFERROR(ROUND(Backend!$AO20*VLOOKUP($F20,'OH,Profit &amp; Other Base'!$A:$V,Backend!AT$6,0),5),"")</f>
        <v/>
      </c>
      <c r="AU20" s="1" t="str">
        <f>IFERROR(ROUND(Backend!$AM20*VLOOKUP($F20,'OH,Profit &amp; Other Base'!$A:$V,Backend!AU$6,0),5),"")</f>
        <v/>
      </c>
      <c r="AV20" s="1" t="str">
        <f>IFERROR(ROUND(Backend!$AL20*VLOOKUP($F20,'OH,Profit &amp; Other Base'!$A:$V,Backend!AV$6,0),5),"")</f>
        <v/>
      </c>
      <c r="AW20" s="1" t="str">
        <f>IFERROR(ROUND(Backend!$AO20*VLOOKUP($F20,'OH,Profit &amp; Other Base'!$A:$V,Backend!AW$6,0),5),"")</f>
        <v/>
      </c>
      <c r="AX20" s="1" t="str">
        <f>IFERROR(ROUND(Backend!$AM20*VLOOKUP($F20,'OH,Profit &amp; Other Base'!$A:$V,Backend!AX$6,0),5),"")</f>
        <v/>
      </c>
      <c r="AY20" s="1" t="str">
        <f>IFERROR(ROUND(Backend!$AL20*VLOOKUP($F20,'OH,Profit &amp; Other Base'!$A:$V,Backend!AY$6,0),5),"")</f>
        <v/>
      </c>
      <c r="AZ20" s="1" t="str">
        <f>IFERROR(ROUND(Backend!$AO20*VLOOKUP($F20,'OH,Profit &amp; Other Base'!$A:$V,Backend!AZ$6,0),5),"")</f>
        <v/>
      </c>
      <c r="BA20" s="1" t="str">
        <f>IFERROR(ROUND(Backend!$AM20*VLOOKUP($F20,'OH,Profit &amp; Other Base'!$A:$V,Backend!BA$6,0),5),"")</f>
        <v/>
      </c>
      <c r="BB20" s="1" t="str">
        <f>IFERROR(ROUND(Backend!$AL20*VLOOKUP($F20,'OH,Profit &amp; Other Base'!$A:$V,Backend!BB$6,0),5),"")</f>
        <v/>
      </c>
      <c r="BC20" s="1" t="str">
        <f>IFERROR(ROUND(Backend!$AO20*VLOOKUP($F20,'OH,Profit &amp; Other Base'!$A:$V,Backend!BC$6,0),5),"")</f>
        <v/>
      </c>
      <c r="BD20" s="1" t="str">
        <f>IFERROR(ROUND(Backend!$AM20*VLOOKUP($F20,'OH,Profit &amp; Other Base'!$A:$V,Backend!BD$6,0),5),"")</f>
        <v/>
      </c>
      <c r="BE20" s="1" t="str">
        <f>IFERROR(ROUND(Backend!$AL20*VLOOKUP($F20,'OH,Profit &amp; Other Base'!$A:$V,Backend!BE$6,0),5),"")</f>
        <v/>
      </c>
      <c r="BF20" s="1" t="str">
        <f>IFERROR(ROUND(Backend!$AO20*VLOOKUP($F20,'OH,Profit &amp; Other Base'!$A:$V,Backend!BF$6,0),5),"")</f>
        <v/>
      </c>
      <c r="BG20" s="1" t="str">
        <f>IFERROR(ROUND(Backend!$AM20*VLOOKUP($F20,'OH,Profit &amp; Other Base'!$A:$V,Backend!BG$6,0),5),"")</f>
        <v/>
      </c>
      <c r="BH20" s="1" t="str">
        <f>IFERROR(ROUND(Backend!$AL20*VLOOKUP($F20,'OH,Profit &amp; Other Base'!$A:$V,Backend!BH$6,0),5),"")</f>
        <v/>
      </c>
      <c r="BI20" s="1" t="str">
        <f>IFERROR(ROUND(Backend!$AO20*VLOOKUP($F20,'OH,Profit &amp; Other Base'!$A:$V,Backend!BI$6,0),5),"")</f>
        <v/>
      </c>
      <c r="BJ20" s="1" t="str">
        <f>IFERROR(ROUND(Backend!$AM20*VLOOKUP($F20,'OH,Profit &amp; Other Base'!$A:$V,Backend!BJ$6,0),5),"")</f>
        <v/>
      </c>
      <c r="BK20" s="3">
        <f>SUM(AN20:BJ20,Backend!O20)</f>
        <v>0</v>
      </c>
    </row>
    <row r="21" spans="1:63">
      <c r="A21" s="1">
        <f>BOM!A16</f>
        <v>14</v>
      </c>
      <c r="B21" s="1" t="str">
        <f>BOM!B16</f>
        <v>MB512123</v>
      </c>
      <c r="C21" s="1">
        <f>BOM!C16</f>
        <v>0</v>
      </c>
      <c r="D21" s="1">
        <f>BOM!D16</f>
        <v>0</v>
      </c>
      <c r="E21" s="1">
        <f>BOM!F16</f>
        <v>0</v>
      </c>
      <c r="F21" s="1" t="str">
        <f>IF(H21="CSC",BOM!H16,IF(J21="BOFOthers","Sheet Metal-B",""))</f>
        <v/>
      </c>
      <c r="G21" s="1">
        <f>BOM!I16</f>
        <v>0</v>
      </c>
      <c r="H21" s="1">
        <f>BOM!J16</f>
        <v>0</v>
      </c>
      <c r="I21" s="1" t="str">
        <f t="shared" si="0"/>
        <v>Others</v>
      </c>
      <c r="J21" s="1" t="str">
        <f t="shared" si="1"/>
        <v>0Others</v>
      </c>
      <c r="K21" s="3" t="str">
        <f>IF($J21="InhouseCSC",VLOOKUP($D21,Group!$C:$E,3,0),"")</f>
        <v/>
      </c>
      <c r="L21" s="3" t="str">
        <f>IF(OR($J21="BOSFCSC",$J21="BOFCSC"),VLOOKUP($D21,Group!$C:$E,3,0),"")</f>
        <v/>
      </c>
      <c r="M21" s="3" t="str">
        <f>IF(OR($J21="BOSFCSC",$J21="BOFCSC"),VLOOKUP($D21,Group!$C:$F,4,0),"")</f>
        <v/>
      </c>
      <c r="N21" s="3" t="str">
        <f>IF(OR($J21="InhouseCSC",$J21="BOSFCSC"),VLOOKUP($D21,Group!$C:$G,5,0),"")</f>
        <v/>
      </c>
      <c r="O21" s="3" t="str">
        <f>IF($J21="InhouseCSC",ROUND(VLOOKUP($D21,Group!$C:$H,6,0),5),"")</f>
        <v/>
      </c>
      <c r="P21" s="3" t="str">
        <f>IF(OR($J21="BOSFCSC",$J21="BOFCSC"),VLOOKUP($D21,Group!$C:$H,6,0),"")</f>
        <v/>
      </c>
      <c r="Q21" s="1" t="str">
        <f>IF($J21="Inhouseothers",VLOOKUP($D21,Group!$C:$E,3,0),"")</f>
        <v/>
      </c>
      <c r="R21" s="1" t="str">
        <f>IF($J21="BOSFOthers",VLOOKUP($D21,Group!$C:$E,3,0),"")</f>
        <v/>
      </c>
      <c r="S21" s="3" t="str">
        <f>IF($J21="BOFOthers",VLOOKUP($D21,Group!$C:$E,3,0),"")</f>
        <v/>
      </c>
      <c r="U21" s="1" t="str">
        <f>IFERROR(Backend!$L21*VLOOKUP($F21,'OH,Profit &amp; Other Base'!$A:$V,Backend!U$6,0),"")</f>
        <v/>
      </c>
      <c r="V21" s="1" t="str">
        <f>IFERROR(Backend!$M21*VLOOKUP($F21,'OH,Profit &amp; Other Base'!$A:$V,Backend!V$6,0),"")</f>
        <v/>
      </c>
      <c r="W21" s="1" t="str">
        <f>IFERROR(Backend!$L21*VLOOKUP($F21,'OH,Profit &amp; Other Base'!$A:$V,Backend!W$6,0),"")</f>
        <v/>
      </c>
      <c r="X21" s="1" t="str">
        <f>IFERROR(Backend!$M21*VLOOKUP($F21,'OH,Profit &amp; Other Base'!$A:$V,Backend!X$6,0),"")</f>
        <v/>
      </c>
      <c r="Y21" s="1" t="str">
        <f>IFERROR(Backend!$L21*VLOOKUP($F21,'OH,Profit &amp; Other Base'!$A:$V,Backend!Y$6,0),"")</f>
        <v/>
      </c>
      <c r="Z21" s="1" t="str">
        <f>IFERROR(Backend!$M21*VLOOKUP($F21,'OH,Profit &amp; Other Base'!$A:$V,Backend!Z$6,0),"")</f>
        <v/>
      </c>
      <c r="AA21" s="1" t="str">
        <f>IFERROR(Backend!$L21*VLOOKUP($F21,'OH,Profit &amp; Other Base'!$A:$V,Backend!AA$6,0),"")</f>
        <v/>
      </c>
      <c r="AB21" s="1" t="str">
        <f>IFERROR(Backend!$M21*VLOOKUP($F21,'OH,Profit &amp; Other Base'!$A:$V,Backend!AB$6,0),"")</f>
        <v/>
      </c>
      <c r="AC21" s="1" t="str">
        <f>IFERROR(Backend!$L21*VLOOKUP($F21,'OH,Profit &amp; Other Base'!$A:$V,Backend!AC$6,0),"")</f>
        <v/>
      </c>
      <c r="AD21" s="1" t="str">
        <f>IFERROR(Backend!$M21*VLOOKUP($F21,'OH,Profit &amp; Other Base'!$A:$V,Backend!AD$6,0),"")</f>
        <v/>
      </c>
      <c r="AE21" s="1" t="str">
        <f>IFERROR(Backend!$L21*VLOOKUP($F21,'OH,Profit &amp; Other Base'!$A:$V,Backend!AE$6,0),"")</f>
        <v/>
      </c>
      <c r="AF21" s="1" t="str">
        <f>IFERROR(Backend!$M21*VLOOKUP($F21,'OH,Profit &amp; Other Base'!$A:$V,Backend!AF$6,0),"")</f>
        <v/>
      </c>
      <c r="AG21" s="1" t="str">
        <f>IFERROR(Backend!$L21*VLOOKUP($F21,'OH,Profit &amp; Other Base'!$A:$V,Backend!AG$6,0),"")</f>
        <v/>
      </c>
      <c r="AH21" s="1" t="str">
        <f>IFERROR(Backend!$M21*VLOOKUP($F21,'OH,Profit &amp; Other Base'!$A:$V,Backend!AH$6,0),"")</f>
        <v/>
      </c>
      <c r="AI21" s="3">
        <f t="shared" si="2"/>
        <v>0</v>
      </c>
      <c r="AL21" s="1" t="str">
        <f t="shared" si="3"/>
        <v/>
      </c>
      <c r="AM21" s="1" t="str">
        <f t="shared" si="4"/>
        <v/>
      </c>
      <c r="AN21" s="1" t="str">
        <f t="shared" si="5"/>
        <v/>
      </c>
      <c r="AO21" s="1" t="str">
        <f t="shared" si="6"/>
        <v/>
      </c>
      <c r="AP21" s="1" t="str">
        <f>IFERROR(ROUND(Backend!$AL21*VLOOKUP($F21,'OH,Profit &amp; Other Base'!$A:$V,Backend!AP$6,0),5),"")</f>
        <v/>
      </c>
      <c r="AQ21" s="1" t="str">
        <f>IFERROR(ROUND(Backend!$AO21*VLOOKUP($F21,'OH,Profit &amp; Other Base'!$A:$V,Backend!AQ$6,0),5),"")</f>
        <v/>
      </c>
      <c r="AR21" s="1" t="str">
        <f>IFERROR(ROUND(Backend!$AM21*VLOOKUP($F21,'OH,Profit &amp; Other Base'!$A:$V,Backend!AR$6,0),5),"")</f>
        <v/>
      </c>
      <c r="AS21" s="1" t="str">
        <f>IFERROR(ROUND(Backend!$AL21*VLOOKUP($F21,'OH,Profit &amp; Other Base'!$A:$V,Backend!AS$6,0),5),"")</f>
        <v/>
      </c>
      <c r="AT21" s="1" t="str">
        <f>IFERROR(ROUND(Backend!$AO21*VLOOKUP($F21,'OH,Profit &amp; Other Base'!$A:$V,Backend!AT$6,0),5),"")</f>
        <v/>
      </c>
      <c r="AU21" s="1" t="str">
        <f>IFERROR(ROUND(Backend!$AM21*VLOOKUP($F21,'OH,Profit &amp; Other Base'!$A:$V,Backend!AU$6,0),5),"")</f>
        <v/>
      </c>
      <c r="AV21" s="1" t="str">
        <f>IFERROR(ROUND(Backend!$AL21*VLOOKUP($F21,'OH,Profit &amp; Other Base'!$A:$V,Backend!AV$6,0),5),"")</f>
        <v/>
      </c>
      <c r="AW21" s="1" t="str">
        <f>IFERROR(ROUND(Backend!$AO21*VLOOKUP($F21,'OH,Profit &amp; Other Base'!$A:$V,Backend!AW$6,0),5),"")</f>
        <v/>
      </c>
      <c r="AX21" s="1" t="str">
        <f>IFERROR(ROUND(Backend!$AM21*VLOOKUP($F21,'OH,Profit &amp; Other Base'!$A:$V,Backend!AX$6,0),5),"")</f>
        <v/>
      </c>
      <c r="AY21" s="1" t="str">
        <f>IFERROR(ROUND(Backend!$AL21*VLOOKUP($F21,'OH,Profit &amp; Other Base'!$A:$V,Backend!AY$6,0),5),"")</f>
        <v/>
      </c>
      <c r="AZ21" s="1" t="str">
        <f>IFERROR(ROUND(Backend!$AO21*VLOOKUP($F21,'OH,Profit &amp; Other Base'!$A:$V,Backend!AZ$6,0),5),"")</f>
        <v/>
      </c>
      <c r="BA21" s="1" t="str">
        <f>IFERROR(ROUND(Backend!$AM21*VLOOKUP($F21,'OH,Profit &amp; Other Base'!$A:$V,Backend!BA$6,0),5),"")</f>
        <v/>
      </c>
      <c r="BB21" s="1" t="str">
        <f>IFERROR(ROUND(Backend!$AL21*VLOOKUP($F21,'OH,Profit &amp; Other Base'!$A:$V,Backend!BB$6,0),5),"")</f>
        <v/>
      </c>
      <c r="BC21" s="1" t="str">
        <f>IFERROR(ROUND(Backend!$AO21*VLOOKUP($F21,'OH,Profit &amp; Other Base'!$A:$V,Backend!BC$6,0),5),"")</f>
        <v/>
      </c>
      <c r="BD21" s="1" t="str">
        <f>IFERROR(ROUND(Backend!$AM21*VLOOKUP($F21,'OH,Profit &amp; Other Base'!$A:$V,Backend!BD$6,0),5),"")</f>
        <v/>
      </c>
      <c r="BE21" s="1" t="str">
        <f>IFERROR(ROUND(Backend!$AL21*VLOOKUP($F21,'OH,Profit &amp; Other Base'!$A:$V,Backend!BE$6,0),5),"")</f>
        <v/>
      </c>
      <c r="BF21" s="1" t="str">
        <f>IFERROR(ROUND(Backend!$AO21*VLOOKUP($F21,'OH,Profit &amp; Other Base'!$A:$V,Backend!BF$6,0),5),"")</f>
        <v/>
      </c>
      <c r="BG21" s="1" t="str">
        <f>IFERROR(ROUND(Backend!$AM21*VLOOKUP($F21,'OH,Profit &amp; Other Base'!$A:$V,Backend!BG$6,0),5),"")</f>
        <v/>
      </c>
      <c r="BH21" s="1" t="str">
        <f>IFERROR(ROUND(Backend!$AL21*VLOOKUP($F21,'OH,Profit &amp; Other Base'!$A:$V,Backend!BH$6,0),5),"")</f>
        <v/>
      </c>
      <c r="BI21" s="1" t="str">
        <f>IFERROR(ROUND(Backend!$AO21*VLOOKUP($F21,'OH,Profit &amp; Other Base'!$A:$V,Backend!BI$6,0),5),"")</f>
        <v/>
      </c>
      <c r="BJ21" s="1" t="str">
        <f>IFERROR(ROUND(Backend!$AM21*VLOOKUP($F21,'OH,Profit &amp; Other Base'!$A:$V,Backend!BJ$6,0),5),"")</f>
        <v/>
      </c>
      <c r="BK21" s="3">
        <f>SUM(AN21:BJ21,Backend!O21)</f>
        <v>0</v>
      </c>
    </row>
    <row r="22" spans="1:63">
      <c r="A22" s="1">
        <f>BOM!A17</f>
        <v>15</v>
      </c>
      <c r="B22" s="1" t="str">
        <f>BOM!B17</f>
        <v>MB512123</v>
      </c>
      <c r="C22" s="1">
        <f>BOM!C17</f>
        <v>0</v>
      </c>
      <c r="D22" s="1">
        <f>BOM!D17</f>
        <v>0</v>
      </c>
      <c r="E22" s="1">
        <f>BOM!F17</f>
        <v>0</v>
      </c>
      <c r="F22" s="1" t="str">
        <f>IF(H22="CSC",BOM!H17,IF(J22="BOFOthers","Sheet Metal-B",""))</f>
        <v/>
      </c>
      <c r="G22" s="1">
        <f>BOM!I17</f>
        <v>0</v>
      </c>
      <c r="H22" s="1">
        <f>BOM!J17</f>
        <v>0</v>
      </c>
      <c r="I22" s="1" t="str">
        <f t="shared" si="0"/>
        <v>Others</v>
      </c>
      <c r="J22" s="1" t="str">
        <f t="shared" si="1"/>
        <v>0Others</v>
      </c>
      <c r="K22" s="3" t="str">
        <f>IF($J22="InhouseCSC",VLOOKUP($D22,Group!$C:$E,3,0),"")</f>
        <v/>
      </c>
      <c r="L22" s="3" t="str">
        <f>IF(OR($J22="BOSFCSC",$J22="BOFCSC"),VLOOKUP($D22,Group!$C:$E,3,0),"")</f>
        <v/>
      </c>
      <c r="M22" s="3" t="str">
        <f>IF(OR($J22="BOSFCSC",$J22="BOFCSC"),VLOOKUP($D22,Group!$C:$F,4,0),"")</f>
        <v/>
      </c>
      <c r="N22" s="3" t="str">
        <f>IF(OR($J22="InhouseCSC",$J22="BOSFCSC"),VLOOKUP($D22,Group!$C:$G,5,0),"")</f>
        <v/>
      </c>
      <c r="O22" s="3" t="str">
        <f>IF($J22="InhouseCSC",ROUND(VLOOKUP($D22,Group!$C:$H,6,0),5),"")</f>
        <v/>
      </c>
      <c r="P22" s="3" t="str">
        <f>IF(OR($J22="BOSFCSC",$J22="BOFCSC"),VLOOKUP($D22,Group!$C:$H,6,0),"")</f>
        <v/>
      </c>
      <c r="Q22" s="1" t="str">
        <f>IF($J22="Inhouseothers",VLOOKUP($D22,Group!$C:$E,3,0),"")</f>
        <v/>
      </c>
      <c r="R22" s="1" t="str">
        <f>IF($J22="BOSFOthers",VLOOKUP($D22,Group!$C:$E,3,0),"")</f>
        <v/>
      </c>
      <c r="S22" s="3" t="str">
        <f>IF($J22="BOFOthers",VLOOKUP($D22,Group!$C:$E,3,0),"")</f>
        <v/>
      </c>
      <c r="U22" s="1" t="str">
        <f>IFERROR(Backend!$L22*VLOOKUP($F22,'OH,Profit &amp; Other Base'!$A:$V,Backend!U$6,0),"")</f>
        <v/>
      </c>
      <c r="V22" s="1" t="str">
        <f>IFERROR(Backend!$M22*VLOOKUP($F22,'OH,Profit &amp; Other Base'!$A:$V,Backend!V$6,0),"")</f>
        <v/>
      </c>
      <c r="W22" s="1" t="str">
        <f>IFERROR(Backend!$L22*VLOOKUP($F22,'OH,Profit &amp; Other Base'!$A:$V,Backend!W$6,0),"")</f>
        <v/>
      </c>
      <c r="X22" s="1" t="str">
        <f>IFERROR(Backend!$M22*VLOOKUP($F22,'OH,Profit &amp; Other Base'!$A:$V,Backend!X$6,0),"")</f>
        <v/>
      </c>
      <c r="Y22" s="1" t="str">
        <f>IFERROR(Backend!$L22*VLOOKUP($F22,'OH,Profit &amp; Other Base'!$A:$V,Backend!Y$6,0),"")</f>
        <v/>
      </c>
      <c r="Z22" s="1" t="str">
        <f>IFERROR(Backend!$M22*VLOOKUP($F22,'OH,Profit &amp; Other Base'!$A:$V,Backend!Z$6,0),"")</f>
        <v/>
      </c>
      <c r="AA22" s="1" t="str">
        <f>IFERROR(Backend!$L22*VLOOKUP($F22,'OH,Profit &amp; Other Base'!$A:$V,Backend!AA$6,0),"")</f>
        <v/>
      </c>
      <c r="AB22" s="1" t="str">
        <f>IFERROR(Backend!$M22*VLOOKUP($F22,'OH,Profit &amp; Other Base'!$A:$V,Backend!AB$6,0),"")</f>
        <v/>
      </c>
      <c r="AC22" s="1" t="str">
        <f>IFERROR(Backend!$L22*VLOOKUP($F22,'OH,Profit &amp; Other Base'!$A:$V,Backend!AC$6,0),"")</f>
        <v/>
      </c>
      <c r="AD22" s="1" t="str">
        <f>IFERROR(Backend!$M22*VLOOKUP($F22,'OH,Profit &amp; Other Base'!$A:$V,Backend!AD$6,0),"")</f>
        <v/>
      </c>
      <c r="AE22" s="1" t="str">
        <f>IFERROR(Backend!$L22*VLOOKUP($F22,'OH,Profit &amp; Other Base'!$A:$V,Backend!AE$6,0),"")</f>
        <v/>
      </c>
      <c r="AF22" s="1" t="str">
        <f>IFERROR(Backend!$M22*VLOOKUP($F22,'OH,Profit &amp; Other Base'!$A:$V,Backend!AF$6,0),"")</f>
        <v/>
      </c>
      <c r="AG22" s="1" t="str">
        <f>IFERROR(Backend!$L22*VLOOKUP($F22,'OH,Profit &amp; Other Base'!$A:$V,Backend!AG$6,0),"")</f>
        <v/>
      </c>
      <c r="AH22" s="1" t="str">
        <f>IFERROR(Backend!$M22*VLOOKUP($F22,'OH,Profit &amp; Other Base'!$A:$V,Backend!AH$6,0),"")</f>
        <v/>
      </c>
      <c r="AI22" s="3">
        <f t="shared" si="2"/>
        <v>0</v>
      </c>
      <c r="AL22" s="1" t="str">
        <f t="shared" si="3"/>
        <v/>
      </c>
      <c r="AM22" s="1" t="str">
        <f t="shared" si="4"/>
        <v/>
      </c>
      <c r="AN22" s="1" t="str">
        <f t="shared" si="5"/>
        <v/>
      </c>
      <c r="AO22" s="1" t="str">
        <f t="shared" si="6"/>
        <v/>
      </c>
      <c r="AP22" s="1" t="str">
        <f>IFERROR(ROUND(Backend!$AL22*VLOOKUP($F22,'OH,Profit &amp; Other Base'!$A:$V,Backend!AP$6,0),5),"")</f>
        <v/>
      </c>
      <c r="AQ22" s="1" t="str">
        <f>IFERROR(ROUND(Backend!$AO22*VLOOKUP($F22,'OH,Profit &amp; Other Base'!$A:$V,Backend!AQ$6,0),5),"")</f>
        <v/>
      </c>
      <c r="AR22" s="1" t="str">
        <f>IFERROR(ROUND(Backend!$AM22*VLOOKUP($F22,'OH,Profit &amp; Other Base'!$A:$V,Backend!AR$6,0),5),"")</f>
        <v/>
      </c>
      <c r="AS22" s="1" t="str">
        <f>IFERROR(ROUND(Backend!$AL22*VLOOKUP($F22,'OH,Profit &amp; Other Base'!$A:$V,Backend!AS$6,0),5),"")</f>
        <v/>
      </c>
      <c r="AT22" s="1" t="str">
        <f>IFERROR(ROUND(Backend!$AO22*VLOOKUP($F22,'OH,Profit &amp; Other Base'!$A:$V,Backend!AT$6,0),5),"")</f>
        <v/>
      </c>
      <c r="AU22" s="1" t="str">
        <f>IFERROR(ROUND(Backend!$AM22*VLOOKUP($F22,'OH,Profit &amp; Other Base'!$A:$V,Backend!AU$6,0),5),"")</f>
        <v/>
      </c>
      <c r="AV22" s="1" t="str">
        <f>IFERROR(ROUND(Backend!$AL22*VLOOKUP($F22,'OH,Profit &amp; Other Base'!$A:$V,Backend!AV$6,0),5),"")</f>
        <v/>
      </c>
      <c r="AW22" s="1" t="str">
        <f>IFERROR(ROUND(Backend!$AO22*VLOOKUP($F22,'OH,Profit &amp; Other Base'!$A:$V,Backend!AW$6,0),5),"")</f>
        <v/>
      </c>
      <c r="AX22" s="1" t="str">
        <f>IFERROR(ROUND(Backend!$AM22*VLOOKUP($F22,'OH,Profit &amp; Other Base'!$A:$V,Backend!AX$6,0),5),"")</f>
        <v/>
      </c>
      <c r="AY22" s="1" t="str">
        <f>IFERROR(ROUND(Backend!$AL22*VLOOKUP($F22,'OH,Profit &amp; Other Base'!$A:$V,Backend!AY$6,0),5),"")</f>
        <v/>
      </c>
      <c r="AZ22" s="1" t="str">
        <f>IFERROR(ROUND(Backend!$AO22*VLOOKUP($F22,'OH,Profit &amp; Other Base'!$A:$V,Backend!AZ$6,0),5),"")</f>
        <v/>
      </c>
      <c r="BA22" s="1" t="str">
        <f>IFERROR(ROUND(Backend!$AM22*VLOOKUP($F22,'OH,Profit &amp; Other Base'!$A:$V,Backend!BA$6,0),5),"")</f>
        <v/>
      </c>
      <c r="BB22" s="1" t="str">
        <f>IFERROR(ROUND(Backend!$AL22*VLOOKUP($F22,'OH,Profit &amp; Other Base'!$A:$V,Backend!BB$6,0),5),"")</f>
        <v/>
      </c>
      <c r="BC22" s="1" t="str">
        <f>IFERROR(ROUND(Backend!$AO22*VLOOKUP($F22,'OH,Profit &amp; Other Base'!$A:$V,Backend!BC$6,0),5),"")</f>
        <v/>
      </c>
      <c r="BD22" s="1" t="str">
        <f>IFERROR(ROUND(Backend!$AM22*VLOOKUP($F22,'OH,Profit &amp; Other Base'!$A:$V,Backend!BD$6,0),5),"")</f>
        <v/>
      </c>
      <c r="BE22" s="1" t="str">
        <f>IFERROR(ROUND(Backend!$AL22*VLOOKUP($F22,'OH,Profit &amp; Other Base'!$A:$V,Backend!BE$6,0),5),"")</f>
        <v/>
      </c>
      <c r="BF22" s="1" t="str">
        <f>IFERROR(ROUND(Backend!$AO22*VLOOKUP($F22,'OH,Profit &amp; Other Base'!$A:$V,Backend!BF$6,0),5),"")</f>
        <v/>
      </c>
      <c r="BG22" s="1" t="str">
        <f>IFERROR(ROUND(Backend!$AM22*VLOOKUP($F22,'OH,Profit &amp; Other Base'!$A:$V,Backend!BG$6,0),5),"")</f>
        <v/>
      </c>
      <c r="BH22" s="1" t="str">
        <f>IFERROR(ROUND(Backend!$AL22*VLOOKUP($F22,'OH,Profit &amp; Other Base'!$A:$V,Backend!BH$6,0),5),"")</f>
        <v/>
      </c>
      <c r="BI22" s="1" t="str">
        <f>IFERROR(ROUND(Backend!$AO22*VLOOKUP($F22,'OH,Profit &amp; Other Base'!$A:$V,Backend!BI$6,0),5),"")</f>
        <v/>
      </c>
      <c r="BJ22" s="1" t="str">
        <f>IFERROR(ROUND(Backend!$AM22*VLOOKUP($F22,'OH,Profit &amp; Other Base'!$A:$V,Backend!BJ$6,0),5),"")</f>
        <v/>
      </c>
      <c r="BK22" s="3">
        <f>SUM(AN22:BJ22,Backend!O22)</f>
        <v>0</v>
      </c>
    </row>
    <row r="23" spans="1:63">
      <c r="A23" s="1">
        <f>BOM!A18</f>
        <v>16</v>
      </c>
      <c r="B23" s="1" t="str">
        <f>BOM!B18</f>
        <v>MB512123</v>
      </c>
      <c r="C23" s="1">
        <f>BOM!C18</f>
        <v>0</v>
      </c>
      <c r="D23" s="1">
        <f>BOM!D18</f>
        <v>0</v>
      </c>
      <c r="E23" s="1">
        <f>BOM!F18</f>
        <v>0</v>
      </c>
      <c r="F23" s="1" t="str">
        <f>IF(H23="CSC",BOM!H18,IF(J23="BOFOthers","Sheet Metal-B",""))</f>
        <v/>
      </c>
      <c r="G23" s="1">
        <f>BOM!I18</f>
        <v>0</v>
      </c>
      <c r="H23" s="1">
        <f>BOM!J18</f>
        <v>0</v>
      </c>
      <c r="I23" s="1" t="str">
        <f t="shared" si="0"/>
        <v>Others</v>
      </c>
      <c r="J23" s="1" t="str">
        <f t="shared" si="1"/>
        <v>0Others</v>
      </c>
      <c r="K23" s="3" t="str">
        <f>IF($J23="InhouseCSC",VLOOKUP($D23,Group!$C:$E,3,0),"")</f>
        <v/>
      </c>
      <c r="L23" s="3" t="str">
        <f>IF(OR($J23="BOSFCSC",$J23="BOFCSC"),VLOOKUP($D23,Group!$C:$E,3,0),"")</f>
        <v/>
      </c>
      <c r="M23" s="3" t="str">
        <f>IF(OR($J23="BOSFCSC",$J23="BOFCSC"),VLOOKUP($D23,Group!$C:$F,4,0),"")</f>
        <v/>
      </c>
      <c r="N23" s="3" t="str">
        <f>IF(OR($J23="InhouseCSC",$J23="BOSFCSC"),VLOOKUP($D23,Group!$C:$G,5,0),"")</f>
        <v/>
      </c>
      <c r="O23" s="3" t="str">
        <f>IF($J23="InhouseCSC",ROUND(VLOOKUP($D23,Group!$C:$H,6,0),5),"")</f>
        <v/>
      </c>
      <c r="P23" s="3" t="str">
        <f>IF(OR($J23="BOSFCSC",$J23="BOFCSC"),VLOOKUP($D23,Group!$C:$H,6,0),"")</f>
        <v/>
      </c>
      <c r="Q23" s="1" t="str">
        <f>IF($J23="Inhouseothers",VLOOKUP($D23,Group!$C:$E,3,0),"")</f>
        <v/>
      </c>
      <c r="R23" s="1" t="str">
        <f>IF($J23="BOSFOthers",VLOOKUP($D23,Group!$C:$E,3,0),"")</f>
        <v/>
      </c>
      <c r="S23" s="3" t="str">
        <f>IF($J23="BOFOthers",VLOOKUP($D23,Group!$C:$E,3,0),"")</f>
        <v/>
      </c>
      <c r="U23" s="1" t="str">
        <f>IFERROR(Backend!$L23*VLOOKUP($F23,'OH,Profit &amp; Other Base'!$A:$V,Backend!U$6,0),"")</f>
        <v/>
      </c>
      <c r="V23" s="1" t="str">
        <f>IFERROR(Backend!$M23*VLOOKUP($F23,'OH,Profit &amp; Other Base'!$A:$V,Backend!V$6,0),"")</f>
        <v/>
      </c>
      <c r="W23" s="1" t="str">
        <f>IFERROR(Backend!$L23*VLOOKUP($F23,'OH,Profit &amp; Other Base'!$A:$V,Backend!W$6,0),"")</f>
        <v/>
      </c>
      <c r="X23" s="1" t="str">
        <f>IFERROR(Backend!$M23*VLOOKUP($F23,'OH,Profit &amp; Other Base'!$A:$V,Backend!X$6,0),"")</f>
        <v/>
      </c>
      <c r="Y23" s="1" t="str">
        <f>IFERROR(Backend!$L23*VLOOKUP($F23,'OH,Profit &amp; Other Base'!$A:$V,Backend!Y$6,0),"")</f>
        <v/>
      </c>
      <c r="Z23" s="1" t="str">
        <f>IFERROR(Backend!$M23*VLOOKUP($F23,'OH,Profit &amp; Other Base'!$A:$V,Backend!Z$6,0),"")</f>
        <v/>
      </c>
      <c r="AA23" s="1" t="str">
        <f>IFERROR(Backend!$L23*VLOOKUP($F23,'OH,Profit &amp; Other Base'!$A:$V,Backend!AA$6,0),"")</f>
        <v/>
      </c>
      <c r="AB23" s="1" t="str">
        <f>IFERROR(Backend!$M23*VLOOKUP($F23,'OH,Profit &amp; Other Base'!$A:$V,Backend!AB$6,0),"")</f>
        <v/>
      </c>
      <c r="AC23" s="1" t="str">
        <f>IFERROR(Backend!$L23*VLOOKUP($F23,'OH,Profit &amp; Other Base'!$A:$V,Backend!AC$6,0),"")</f>
        <v/>
      </c>
      <c r="AD23" s="1" t="str">
        <f>IFERROR(Backend!$M23*VLOOKUP($F23,'OH,Profit &amp; Other Base'!$A:$V,Backend!AD$6,0),"")</f>
        <v/>
      </c>
      <c r="AE23" s="1" t="str">
        <f>IFERROR(Backend!$L23*VLOOKUP($F23,'OH,Profit &amp; Other Base'!$A:$V,Backend!AE$6,0),"")</f>
        <v/>
      </c>
      <c r="AF23" s="1" t="str">
        <f>IFERROR(Backend!$M23*VLOOKUP($F23,'OH,Profit &amp; Other Base'!$A:$V,Backend!AF$6,0),"")</f>
        <v/>
      </c>
      <c r="AG23" s="1" t="str">
        <f>IFERROR(Backend!$L23*VLOOKUP($F23,'OH,Profit &amp; Other Base'!$A:$V,Backend!AG$6,0),"")</f>
        <v/>
      </c>
      <c r="AH23" s="1" t="str">
        <f>IFERROR(Backend!$M23*VLOOKUP($F23,'OH,Profit &amp; Other Base'!$A:$V,Backend!AH$6,0),"")</f>
        <v/>
      </c>
      <c r="AI23" s="3">
        <f t="shared" si="2"/>
        <v>0</v>
      </c>
      <c r="AL23" s="1" t="str">
        <f t="shared" si="3"/>
        <v/>
      </c>
      <c r="AM23" s="1" t="str">
        <f t="shared" si="4"/>
        <v/>
      </c>
      <c r="AN23" s="1" t="str">
        <f t="shared" si="5"/>
        <v/>
      </c>
      <c r="AO23" s="1" t="str">
        <f t="shared" si="6"/>
        <v/>
      </c>
      <c r="AP23" s="1" t="str">
        <f>IFERROR(ROUND(Backend!$AL23*VLOOKUP($F23,'OH,Profit &amp; Other Base'!$A:$V,Backend!AP$6,0),5),"")</f>
        <v/>
      </c>
      <c r="AQ23" s="1" t="str">
        <f>IFERROR(ROUND(Backend!$AO23*VLOOKUP($F23,'OH,Profit &amp; Other Base'!$A:$V,Backend!AQ$6,0),5),"")</f>
        <v/>
      </c>
      <c r="AR23" s="1" t="str">
        <f>IFERROR(ROUND(Backend!$AM23*VLOOKUP($F23,'OH,Profit &amp; Other Base'!$A:$V,Backend!AR$6,0),5),"")</f>
        <v/>
      </c>
      <c r="AS23" s="1" t="str">
        <f>IFERROR(ROUND(Backend!$AL23*VLOOKUP($F23,'OH,Profit &amp; Other Base'!$A:$V,Backend!AS$6,0),5),"")</f>
        <v/>
      </c>
      <c r="AT23" s="1" t="str">
        <f>IFERROR(ROUND(Backend!$AO23*VLOOKUP($F23,'OH,Profit &amp; Other Base'!$A:$V,Backend!AT$6,0),5),"")</f>
        <v/>
      </c>
      <c r="AU23" s="1" t="str">
        <f>IFERROR(ROUND(Backend!$AM23*VLOOKUP($F23,'OH,Profit &amp; Other Base'!$A:$V,Backend!AU$6,0),5),"")</f>
        <v/>
      </c>
      <c r="AV23" s="1" t="str">
        <f>IFERROR(ROUND(Backend!$AL23*VLOOKUP($F23,'OH,Profit &amp; Other Base'!$A:$V,Backend!AV$6,0),5),"")</f>
        <v/>
      </c>
      <c r="AW23" s="1" t="str">
        <f>IFERROR(ROUND(Backend!$AO23*VLOOKUP($F23,'OH,Profit &amp; Other Base'!$A:$V,Backend!AW$6,0),5),"")</f>
        <v/>
      </c>
      <c r="AX23" s="1" t="str">
        <f>IFERROR(ROUND(Backend!$AM23*VLOOKUP($F23,'OH,Profit &amp; Other Base'!$A:$V,Backend!AX$6,0),5),"")</f>
        <v/>
      </c>
      <c r="AY23" s="1" t="str">
        <f>IFERROR(ROUND(Backend!$AL23*VLOOKUP($F23,'OH,Profit &amp; Other Base'!$A:$V,Backend!AY$6,0),5),"")</f>
        <v/>
      </c>
      <c r="AZ23" s="1" t="str">
        <f>IFERROR(ROUND(Backend!$AO23*VLOOKUP($F23,'OH,Profit &amp; Other Base'!$A:$V,Backend!AZ$6,0),5),"")</f>
        <v/>
      </c>
      <c r="BA23" s="1" t="str">
        <f>IFERROR(ROUND(Backend!$AM23*VLOOKUP($F23,'OH,Profit &amp; Other Base'!$A:$V,Backend!BA$6,0),5),"")</f>
        <v/>
      </c>
      <c r="BB23" s="1" t="str">
        <f>IFERROR(ROUND(Backend!$AL23*VLOOKUP($F23,'OH,Profit &amp; Other Base'!$A:$V,Backend!BB$6,0),5),"")</f>
        <v/>
      </c>
      <c r="BC23" s="1" t="str">
        <f>IFERROR(ROUND(Backend!$AO23*VLOOKUP($F23,'OH,Profit &amp; Other Base'!$A:$V,Backend!BC$6,0),5),"")</f>
        <v/>
      </c>
      <c r="BD23" s="1" t="str">
        <f>IFERROR(ROUND(Backend!$AM23*VLOOKUP($F23,'OH,Profit &amp; Other Base'!$A:$V,Backend!BD$6,0),5),"")</f>
        <v/>
      </c>
      <c r="BE23" s="1" t="str">
        <f>IFERROR(ROUND(Backend!$AL23*VLOOKUP($F23,'OH,Profit &amp; Other Base'!$A:$V,Backend!BE$6,0),5),"")</f>
        <v/>
      </c>
      <c r="BF23" s="1" t="str">
        <f>IFERROR(ROUND(Backend!$AO23*VLOOKUP($F23,'OH,Profit &amp; Other Base'!$A:$V,Backend!BF$6,0),5),"")</f>
        <v/>
      </c>
      <c r="BG23" s="1" t="str">
        <f>IFERROR(ROUND(Backend!$AM23*VLOOKUP($F23,'OH,Profit &amp; Other Base'!$A:$V,Backend!BG$6,0),5),"")</f>
        <v/>
      </c>
      <c r="BH23" s="1" t="str">
        <f>IFERROR(ROUND(Backend!$AL23*VLOOKUP($F23,'OH,Profit &amp; Other Base'!$A:$V,Backend!BH$6,0),5),"")</f>
        <v/>
      </c>
      <c r="BI23" s="1" t="str">
        <f>IFERROR(ROUND(Backend!$AO23*VLOOKUP($F23,'OH,Profit &amp; Other Base'!$A:$V,Backend!BI$6,0),5),"")</f>
        <v/>
      </c>
      <c r="BJ23" s="1" t="str">
        <f>IFERROR(ROUND(Backend!$AM23*VLOOKUP($F23,'OH,Profit &amp; Other Base'!$A:$V,Backend!BJ$6,0),5),"")</f>
        <v/>
      </c>
      <c r="BK23" s="3">
        <f>SUM(AN23:BJ23,Backend!O23)</f>
        <v>0</v>
      </c>
    </row>
    <row r="24" spans="1:63">
      <c r="A24" s="1">
        <f>BOM!A19</f>
        <v>17</v>
      </c>
      <c r="B24" s="1" t="str">
        <f>BOM!B19</f>
        <v>MB512123</v>
      </c>
      <c r="C24" s="1">
        <f>BOM!C19</f>
        <v>0</v>
      </c>
      <c r="D24" s="1">
        <f>BOM!D19</f>
        <v>0</v>
      </c>
      <c r="E24" s="1">
        <f>BOM!F19</f>
        <v>0</v>
      </c>
      <c r="F24" s="1" t="str">
        <f>IF(H24="CSC",BOM!H19,IF(J24="BOFOthers","Sheet Metal-B",""))</f>
        <v/>
      </c>
      <c r="G24" s="1">
        <f>BOM!I19</f>
        <v>0</v>
      </c>
      <c r="H24" s="1">
        <f>BOM!J19</f>
        <v>0</v>
      </c>
      <c r="I24" s="1" t="str">
        <f t="shared" si="0"/>
        <v>Others</v>
      </c>
      <c r="J24" s="1" t="str">
        <f t="shared" si="1"/>
        <v>0Others</v>
      </c>
      <c r="K24" s="3" t="str">
        <f>IF($J24="InhouseCSC",VLOOKUP($D24,Group!$C:$E,3,0),"")</f>
        <v/>
      </c>
      <c r="L24" s="3" t="str">
        <f>IF(OR($J24="BOSFCSC",$J24="BOFCSC"),VLOOKUP($D24,Group!$C:$E,3,0),"")</f>
        <v/>
      </c>
      <c r="M24" s="3" t="str">
        <f>IF(OR($J24="BOSFCSC",$J24="BOFCSC"),VLOOKUP($D24,Group!$C:$F,4,0),"")</f>
        <v/>
      </c>
      <c r="N24" s="3" t="str">
        <f>IF(OR($J24="InhouseCSC",$J24="BOSFCSC"),VLOOKUP($D24,Group!$C:$G,5,0),"")</f>
        <v/>
      </c>
      <c r="O24" s="3" t="str">
        <f>IF($J24="InhouseCSC",ROUND(VLOOKUP($D24,Group!$C:$H,6,0),5),"")</f>
        <v/>
      </c>
      <c r="P24" s="3" t="str">
        <f>IF(OR($J24="BOSFCSC",$J24="BOFCSC"),VLOOKUP($D24,Group!$C:$H,6,0),"")</f>
        <v/>
      </c>
      <c r="Q24" s="1" t="str">
        <f>IF($J24="Inhouseothers",VLOOKUP($D24,Group!$C:$E,3,0),"")</f>
        <v/>
      </c>
      <c r="R24" s="1" t="str">
        <f>IF($J24="BOSFOthers",VLOOKUP($D24,Group!$C:$E,3,0),"")</f>
        <v/>
      </c>
      <c r="S24" s="3" t="str">
        <f>IF($J24="BOFOthers",VLOOKUP($D24,Group!$C:$E,3,0),"")</f>
        <v/>
      </c>
      <c r="U24" s="1" t="str">
        <f>IFERROR(Backend!$L24*VLOOKUP($F24,'OH,Profit &amp; Other Base'!$A:$V,Backend!U$6,0),"")</f>
        <v/>
      </c>
      <c r="V24" s="1" t="str">
        <f>IFERROR(Backend!$M24*VLOOKUP($F24,'OH,Profit &amp; Other Base'!$A:$V,Backend!V$6,0),"")</f>
        <v/>
      </c>
      <c r="W24" s="1" t="str">
        <f>IFERROR(Backend!$L24*VLOOKUP($F24,'OH,Profit &amp; Other Base'!$A:$V,Backend!W$6,0),"")</f>
        <v/>
      </c>
      <c r="X24" s="1" t="str">
        <f>IFERROR(Backend!$M24*VLOOKUP($F24,'OH,Profit &amp; Other Base'!$A:$V,Backend!X$6,0),"")</f>
        <v/>
      </c>
      <c r="Y24" s="1" t="str">
        <f>IFERROR(Backend!$L24*VLOOKUP($F24,'OH,Profit &amp; Other Base'!$A:$V,Backend!Y$6,0),"")</f>
        <v/>
      </c>
      <c r="Z24" s="1" t="str">
        <f>IFERROR(Backend!$M24*VLOOKUP($F24,'OH,Profit &amp; Other Base'!$A:$V,Backend!Z$6,0),"")</f>
        <v/>
      </c>
      <c r="AA24" s="1" t="str">
        <f>IFERROR(Backend!$L24*VLOOKUP($F24,'OH,Profit &amp; Other Base'!$A:$V,Backend!AA$6,0),"")</f>
        <v/>
      </c>
      <c r="AB24" s="1" t="str">
        <f>IFERROR(Backend!$M24*VLOOKUP($F24,'OH,Profit &amp; Other Base'!$A:$V,Backend!AB$6,0),"")</f>
        <v/>
      </c>
      <c r="AC24" s="1" t="str">
        <f>IFERROR(Backend!$L24*VLOOKUP($F24,'OH,Profit &amp; Other Base'!$A:$V,Backend!AC$6,0),"")</f>
        <v/>
      </c>
      <c r="AD24" s="1" t="str">
        <f>IFERROR(Backend!$M24*VLOOKUP($F24,'OH,Profit &amp; Other Base'!$A:$V,Backend!AD$6,0),"")</f>
        <v/>
      </c>
      <c r="AE24" s="1" t="str">
        <f>IFERROR(Backend!$L24*VLOOKUP($F24,'OH,Profit &amp; Other Base'!$A:$V,Backend!AE$6,0),"")</f>
        <v/>
      </c>
      <c r="AF24" s="1" t="str">
        <f>IFERROR(Backend!$M24*VLOOKUP($F24,'OH,Profit &amp; Other Base'!$A:$V,Backend!AF$6,0),"")</f>
        <v/>
      </c>
      <c r="AG24" s="1" t="str">
        <f>IFERROR(Backend!$L24*VLOOKUP($F24,'OH,Profit &amp; Other Base'!$A:$V,Backend!AG$6,0),"")</f>
        <v/>
      </c>
      <c r="AH24" s="1" t="str">
        <f>IFERROR(Backend!$M24*VLOOKUP($F24,'OH,Profit &amp; Other Base'!$A:$V,Backend!AH$6,0),"")</f>
        <v/>
      </c>
      <c r="AI24" s="3">
        <f t="shared" si="2"/>
        <v>0</v>
      </c>
      <c r="AL24" s="1" t="str">
        <f t="shared" si="3"/>
        <v/>
      </c>
      <c r="AM24" s="1" t="str">
        <f t="shared" si="4"/>
        <v/>
      </c>
      <c r="AN24" s="1" t="str">
        <f t="shared" si="5"/>
        <v/>
      </c>
      <c r="AO24" s="1" t="str">
        <f t="shared" si="6"/>
        <v/>
      </c>
      <c r="AP24" s="1" t="str">
        <f>IFERROR(ROUND(Backend!$AL24*VLOOKUP($F24,'OH,Profit &amp; Other Base'!$A:$V,Backend!AP$6,0),5),"")</f>
        <v/>
      </c>
      <c r="AQ24" s="1" t="str">
        <f>IFERROR(ROUND(Backend!$AO24*VLOOKUP($F24,'OH,Profit &amp; Other Base'!$A:$V,Backend!AQ$6,0),5),"")</f>
        <v/>
      </c>
      <c r="AR24" s="1" t="str">
        <f>IFERROR(ROUND(Backend!$AM24*VLOOKUP($F24,'OH,Profit &amp; Other Base'!$A:$V,Backend!AR$6,0),5),"")</f>
        <v/>
      </c>
      <c r="AS24" s="1" t="str">
        <f>IFERROR(ROUND(Backend!$AL24*VLOOKUP($F24,'OH,Profit &amp; Other Base'!$A:$V,Backend!AS$6,0),5),"")</f>
        <v/>
      </c>
      <c r="AT24" s="1" t="str">
        <f>IFERROR(ROUND(Backend!$AO24*VLOOKUP($F24,'OH,Profit &amp; Other Base'!$A:$V,Backend!AT$6,0),5),"")</f>
        <v/>
      </c>
      <c r="AU24" s="1" t="str">
        <f>IFERROR(ROUND(Backend!$AM24*VLOOKUP($F24,'OH,Profit &amp; Other Base'!$A:$V,Backend!AU$6,0),5),"")</f>
        <v/>
      </c>
      <c r="AV24" s="1" t="str">
        <f>IFERROR(ROUND(Backend!$AL24*VLOOKUP($F24,'OH,Profit &amp; Other Base'!$A:$V,Backend!AV$6,0),5),"")</f>
        <v/>
      </c>
      <c r="AW24" s="1" t="str">
        <f>IFERROR(ROUND(Backend!$AO24*VLOOKUP($F24,'OH,Profit &amp; Other Base'!$A:$V,Backend!AW$6,0),5),"")</f>
        <v/>
      </c>
      <c r="AX24" s="1" t="str">
        <f>IFERROR(ROUND(Backend!$AM24*VLOOKUP($F24,'OH,Profit &amp; Other Base'!$A:$V,Backend!AX$6,0),5),"")</f>
        <v/>
      </c>
      <c r="AY24" s="1" t="str">
        <f>IFERROR(ROUND(Backend!$AL24*VLOOKUP($F24,'OH,Profit &amp; Other Base'!$A:$V,Backend!AY$6,0),5),"")</f>
        <v/>
      </c>
      <c r="AZ24" s="1" t="str">
        <f>IFERROR(ROUND(Backend!$AO24*VLOOKUP($F24,'OH,Profit &amp; Other Base'!$A:$V,Backend!AZ$6,0),5),"")</f>
        <v/>
      </c>
      <c r="BA24" s="1" t="str">
        <f>IFERROR(ROUND(Backend!$AM24*VLOOKUP($F24,'OH,Profit &amp; Other Base'!$A:$V,Backend!BA$6,0),5),"")</f>
        <v/>
      </c>
      <c r="BB24" s="1" t="str">
        <f>IFERROR(ROUND(Backend!$AL24*VLOOKUP($F24,'OH,Profit &amp; Other Base'!$A:$V,Backend!BB$6,0),5),"")</f>
        <v/>
      </c>
      <c r="BC24" s="1" t="str">
        <f>IFERROR(ROUND(Backend!$AO24*VLOOKUP($F24,'OH,Profit &amp; Other Base'!$A:$V,Backend!BC$6,0),5),"")</f>
        <v/>
      </c>
      <c r="BD24" s="1" t="str">
        <f>IFERROR(ROUND(Backend!$AM24*VLOOKUP($F24,'OH,Profit &amp; Other Base'!$A:$V,Backend!BD$6,0),5),"")</f>
        <v/>
      </c>
      <c r="BE24" s="1" t="str">
        <f>IFERROR(ROUND(Backend!$AL24*VLOOKUP($F24,'OH,Profit &amp; Other Base'!$A:$V,Backend!BE$6,0),5),"")</f>
        <v/>
      </c>
      <c r="BF24" s="1" t="str">
        <f>IFERROR(ROUND(Backend!$AO24*VLOOKUP($F24,'OH,Profit &amp; Other Base'!$A:$V,Backend!BF$6,0),5),"")</f>
        <v/>
      </c>
      <c r="BG24" s="1" t="str">
        <f>IFERROR(ROUND(Backend!$AM24*VLOOKUP($F24,'OH,Profit &amp; Other Base'!$A:$V,Backend!BG$6,0),5),"")</f>
        <v/>
      </c>
      <c r="BH24" s="1" t="str">
        <f>IFERROR(ROUND(Backend!$AL24*VLOOKUP($F24,'OH,Profit &amp; Other Base'!$A:$V,Backend!BH$6,0),5),"")</f>
        <v/>
      </c>
      <c r="BI24" s="1" t="str">
        <f>IFERROR(ROUND(Backend!$AO24*VLOOKUP($F24,'OH,Profit &amp; Other Base'!$A:$V,Backend!BI$6,0),5),"")</f>
        <v/>
      </c>
      <c r="BJ24" s="1" t="str">
        <f>IFERROR(ROUND(Backend!$AM24*VLOOKUP($F24,'OH,Profit &amp; Other Base'!$A:$V,Backend!BJ$6,0),5),"")</f>
        <v/>
      </c>
      <c r="BK24" s="3">
        <f>SUM(AN24:BJ24,Backend!O24)</f>
        <v>0</v>
      </c>
    </row>
    <row r="25" spans="1:63">
      <c r="A25" s="1">
        <f>BOM!A20</f>
        <v>18</v>
      </c>
      <c r="B25" s="1" t="str">
        <f>BOM!B20</f>
        <v>MB512123</v>
      </c>
      <c r="C25" s="1">
        <f>BOM!C20</f>
        <v>0</v>
      </c>
      <c r="D25" s="1">
        <f>BOM!D20</f>
        <v>0</v>
      </c>
      <c r="E25" s="1">
        <f>BOM!F20</f>
        <v>0</v>
      </c>
      <c r="F25" s="1" t="str">
        <f>IF(H25="CSC",BOM!H20,IF(J25="BOFOthers","Sheet Metal-B",""))</f>
        <v/>
      </c>
      <c r="G25" s="1">
        <f>BOM!I20</f>
        <v>0</v>
      </c>
      <c r="H25" s="1">
        <f>BOM!J20</f>
        <v>0</v>
      </c>
      <c r="I25" s="1" t="str">
        <f t="shared" si="0"/>
        <v>Others</v>
      </c>
      <c r="J25" s="1" t="str">
        <f t="shared" si="1"/>
        <v>0Others</v>
      </c>
      <c r="K25" s="3" t="str">
        <f>IF($J25="InhouseCSC",VLOOKUP($D25,Group!$C:$E,3,0),"")</f>
        <v/>
      </c>
      <c r="L25" s="3" t="str">
        <f>IF(OR($J25="BOSFCSC",$J25="BOFCSC"),VLOOKUP($D25,Group!$C:$E,3,0),"")</f>
        <v/>
      </c>
      <c r="M25" s="3" t="str">
        <f>IF(OR($J25="BOSFCSC",$J25="BOFCSC"),VLOOKUP($D25,Group!$C:$F,4,0),"")</f>
        <v/>
      </c>
      <c r="N25" s="3" t="str">
        <f>IF(OR($J25="InhouseCSC",$J25="BOSFCSC"),VLOOKUP($D25,Group!$C:$G,5,0),"")</f>
        <v/>
      </c>
      <c r="O25" s="3" t="str">
        <f>IF($J25="InhouseCSC",ROUND(VLOOKUP($D25,Group!$C:$H,6,0),5),"")</f>
        <v/>
      </c>
      <c r="P25" s="3" t="str">
        <f>IF(OR($J25="BOSFCSC",$J25="BOFCSC"),VLOOKUP($D25,Group!$C:$H,6,0),"")</f>
        <v/>
      </c>
      <c r="Q25" s="1" t="str">
        <f>IF($J25="Inhouseothers",VLOOKUP($D25,Group!$C:$E,3,0),"")</f>
        <v/>
      </c>
      <c r="R25" s="1" t="str">
        <f>IF($J25="BOSFOthers",VLOOKUP($D25,Group!$C:$E,3,0),"")</f>
        <v/>
      </c>
      <c r="S25" s="3" t="str">
        <f>IF($J25="BOFOthers",VLOOKUP($D25,Group!$C:$E,3,0),"")</f>
        <v/>
      </c>
      <c r="U25" s="1" t="str">
        <f>IFERROR(Backend!$L25*VLOOKUP($F25,'OH,Profit &amp; Other Base'!$A:$V,Backend!U$6,0),"")</f>
        <v/>
      </c>
      <c r="V25" s="1" t="str">
        <f>IFERROR(Backend!$M25*VLOOKUP($F25,'OH,Profit &amp; Other Base'!$A:$V,Backend!V$6,0),"")</f>
        <v/>
      </c>
      <c r="W25" s="1" t="str">
        <f>IFERROR(Backend!$L25*VLOOKUP($F25,'OH,Profit &amp; Other Base'!$A:$V,Backend!W$6,0),"")</f>
        <v/>
      </c>
      <c r="X25" s="1" t="str">
        <f>IFERROR(Backend!$M25*VLOOKUP($F25,'OH,Profit &amp; Other Base'!$A:$V,Backend!X$6,0),"")</f>
        <v/>
      </c>
      <c r="Y25" s="1" t="str">
        <f>IFERROR(Backend!$L25*VLOOKUP($F25,'OH,Profit &amp; Other Base'!$A:$V,Backend!Y$6,0),"")</f>
        <v/>
      </c>
      <c r="Z25" s="1" t="str">
        <f>IFERROR(Backend!$M25*VLOOKUP($F25,'OH,Profit &amp; Other Base'!$A:$V,Backend!Z$6,0),"")</f>
        <v/>
      </c>
      <c r="AA25" s="1" t="str">
        <f>IFERROR(Backend!$L25*VLOOKUP($F25,'OH,Profit &amp; Other Base'!$A:$V,Backend!AA$6,0),"")</f>
        <v/>
      </c>
      <c r="AB25" s="1" t="str">
        <f>IFERROR(Backend!$M25*VLOOKUP($F25,'OH,Profit &amp; Other Base'!$A:$V,Backend!AB$6,0),"")</f>
        <v/>
      </c>
      <c r="AC25" s="1" t="str">
        <f>IFERROR(Backend!$L25*VLOOKUP($F25,'OH,Profit &amp; Other Base'!$A:$V,Backend!AC$6,0),"")</f>
        <v/>
      </c>
      <c r="AD25" s="1" t="str">
        <f>IFERROR(Backend!$M25*VLOOKUP($F25,'OH,Profit &amp; Other Base'!$A:$V,Backend!AD$6,0),"")</f>
        <v/>
      </c>
      <c r="AE25" s="1" t="str">
        <f>IFERROR(Backend!$L25*VLOOKUP($F25,'OH,Profit &amp; Other Base'!$A:$V,Backend!AE$6,0),"")</f>
        <v/>
      </c>
      <c r="AF25" s="1" t="str">
        <f>IFERROR(Backend!$M25*VLOOKUP($F25,'OH,Profit &amp; Other Base'!$A:$V,Backend!AF$6,0),"")</f>
        <v/>
      </c>
      <c r="AG25" s="1" t="str">
        <f>IFERROR(Backend!$L25*VLOOKUP($F25,'OH,Profit &amp; Other Base'!$A:$V,Backend!AG$6,0),"")</f>
        <v/>
      </c>
      <c r="AH25" s="1" t="str">
        <f>IFERROR(Backend!$M25*VLOOKUP($F25,'OH,Profit &amp; Other Base'!$A:$V,Backend!AH$6,0),"")</f>
        <v/>
      </c>
      <c r="AI25" s="3">
        <f t="shared" si="2"/>
        <v>0</v>
      </c>
      <c r="AL25" s="1" t="str">
        <f t="shared" si="3"/>
        <v/>
      </c>
      <c r="AM25" s="1" t="str">
        <f t="shared" si="4"/>
        <v/>
      </c>
      <c r="AN25" s="1" t="str">
        <f t="shared" si="5"/>
        <v/>
      </c>
      <c r="AO25" s="1" t="str">
        <f t="shared" si="6"/>
        <v/>
      </c>
      <c r="AP25" s="1" t="str">
        <f>IFERROR(ROUND(Backend!$AL25*VLOOKUP($F25,'OH,Profit &amp; Other Base'!$A:$V,Backend!AP$6,0),5),"")</f>
        <v/>
      </c>
      <c r="AQ25" s="1" t="str">
        <f>IFERROR(ROUND(Backend!$AO25*VLOOKUP($F25,'OH,Profit &amp; Other Base'!$A:$V,Backend!AQ$6,0),5),"")</f>
        <v/>
      </c>
      <c r="AR25" s="1" t="str">
        <f>IFERROR(ROUND(Backend!$AM25*VLOOKUP($F25,'OH,Profit &amp; Other Base'!$A:$V,Backend!AR$6,0),5),"")</f>
        <v/>
      </c>
      <c r="AS25" s="1" t="str">
        <f>IFERROR(ROUND(Backend!$AL25*VLOOKUP($F25,'OH,Profit &amp; Other Base'!$A:$V,Backend!AS$6,0),5),"")</f>
        <v/>
      </c>
      <c r="AT25" s="1" t="str">
        <f>IFERROR(ROUND(Backend!$AO25*VLOOKUP($F25,'OH,Profit &amp; Other Base'!$A:$V,Backend!AT$6,0),5),"")</f>
        <v/>
      </c>
      <c r="AU25" s="1" t="str">
        <f>IFERROR(ROUND(Backend!$AM25*VLOOKUP($F25,'OH,Profit &amp; Other Base'!$A:$V,Backend!AU$6,0),5),"")</f>
        <v/>
      </c>
      <c r="AV25" s="1" t="str">
        <f>IFERROR(ROUND(Backend!$AL25*VLOOKUP($F25,'OH,Profit &amp; Other Base'!$A:$V,Backend!AV$6,0),5),"")</f>
        <v/>
      </c>
      <c r="AW25" s="1" t="str">
        <f>IFERROR(ROUND(Backend!$AO25*VLOOKUP($F25,'OH,Profit &amp; Other Base'!$A:$V,Backend!AW$6,0),5),"")</f>
        <v/>
      </c>
      <c r="AX25" s="1" t="str">
        <f>IFERROR(ROUND(Backend!$AM25*VLOOKUP($F25,'OH,Profit &amp; Other Base'!$A:$V,Backend!AX$6,0),5),"")</f>
        <v/>
      </c>
      <c r="AY25" s="1" t="str">
        <f>IFERROR(ROUND(Backend!$AL25*VLOOKUP($F25,'OH,Profit &amp; Other Base'!$A:$V,Backend!AY$6,0),5),"")</f>
        <v/>
      </c>
      <c r="AZ25" s="1" t="str">
        <f>IFERROR(ROUND(Backend!$AO25*VLOOKUP($F25,'OH,Profit &amp; Other Base'!$A:$V,Backend!AZ$6,0),5),"")</f>
        <v/>
      </c>
      <c r="BA25" s="1" t="str">
        <f>IFERROR(ROUND(Backend!$AM25*VLOOKUP($F25,'OH,Profit &amp; Other Base'!$A:$V,Backend!BA$6,0),5),"")</f>
        <v/>
      </c>
      <c r="BB25" s="1" t="str">
        <f>IFERROR(ROUND(Backend!$AL25*VLOOKUP($F25,'OH,Profit &amp; Other Base'!$A:$V,Backend!BB$6,0),5),"")</f>
        <v/>
      </c>
      <c r="BC25" s="1" t="str">
        <f>IFERROR(ROUND(Backend!$AO25*VLOOKUP($F25,'OH,Profit &amp; Other Base'!$A:$V,Backend!BC$6,0),5),"")</f>
        <v/>
      </c>
      <c r="BD25" s="1" t="str">
        <f>IFERROR(ROUND(Backend!$AM25*VLOOKUP($F25,'OH,Profit &amp; Other Base'!$A:$V,Backend!BD$6,0),5),"")</f>
        <v/>
      </c>
      <c r="BE25" s="1" t="str">
        <f>IFERROR(ROUND(Backend!$AL25*VLOOKUP($F25,'OH,Profit &amp; Other Base'!$A:$V,Backend!BE$6,0),5),"")</f>
        <v/>
      </c>
      <c r="BF25" s="1" t="str">
        <f>IFERROR(ROUND(Backend!$AO25*VLOOKUP($F25,'OH,Profit &amp; Other Base'!$A:$V,Backend!BF$6,0),5),"")</f>
        <v/>
      </c>
      <c r="BG25" s="1" t="str">
        <f>IFERROR(ROUND(Backend!$AM25*VLOOKUP($F25,'OH,Profit &amp; Other Base'!$A:$V,Backend!BG$6,0),5),"")</f>
        <v/>
      </c>
      <c r="BH25" s="1" t="str">
        <f>IFERROR(ROUND(Backend!$AL25*VLOOKUP($F25,'OH,Profit &amp; Other Base'!$A:$V,Backend!BH$6,0),5),"")</f>
        <v/>
      </c>
      <c r="BI25" s="1" t="str">
        <f>IFERROR(ROUND(Backend!$AO25*VLOOKUP($F25,'OH,Profit &amp; Other Base'!$A:$V,Backend!BI$6,0),5),"")</f>
        <v/>
      </c>
      <c r="BJ25" s="1" t="str">
        <f>IFERROR(ROUND(Backend!$AM25*VLOOKUP($F25,'OH,Profit &amp; Other Base'!$A:$V,Backend!BJ$6,0),5),"")</f>
        <v/>
      </c>
      <c r="BK25" s="3">
        <f>SUM(AN25:BJ25,Backend!O25)</f>
        <v>0</v>
      </c>
    </row>
    <row r="26" spans="1:63">
      <c r="A26" s="1">
        <f>BOM!A21</f>
        <v>19</v>
      </c>
      <c r="B26" s="1" t="str">
        <f>BOM!B21</f>
        <v>MB512123</v>
      </c>
      <c r="C26" s="1">
        <f>BOM!C21</f>
        <v>0</v>
      </c>
      <c r="D26" s="1">
        <f>BOM!D21</f>
        <v>0</v>
      </c>
      <c r="E26" s="1">
        <f>BOM!F21</f>
        <v>0</v>
      </c>
      <c r="F26" s="1" t="str">
        <f>IF(H26="CSC",BOM!H21,IF(J26="BOFOthers","Sheet Metal-B",""))</f>
        <v/>
      </c>
      <c r="G26" s="1">
        <f>BOM!I21</f>
        <v>0</v>
      </c>
      <c r="H26" s="1">
        <f>BOM!J21</f>
        <v>0</v>
      </c>
      <c r="I26" s="1" t="str">
        <f t="shared" si="0"/>
        <v>Others</v>
      </c>
      <c r="J26" s="1" t="str">
        <f t="shared" si="1"/>
        <v>0Others</v>
      </c>
      <c r="K26" s="3" t="str">
        <f>IF($J26="InhouseCSC",VLOOKUP($D26,Group!$C:$E,3,0),"")</f>
        <v/>
      </c>
      <c r="L26" s="3" t="str">
        <f>IF(OR($J26="BOSFCSC",$J26="BOFCSC"),VLOOKUP($D26,Group!$C:$E,3,0),"")</f>
        <v/>
      </c>
      <c r="M26" s="3" t="str">
        <f>IF(OR($J26="BOSFCSC",$J26="BOFCSC"),VLOOKUP($D26,Group!$C:$F,4,0),"")</f>
        <v/>
      </c>
      <c r="N26" s="3" t="str">
        <f>IF(OR($J26="InhouseCSC",$J26="BOSFCSC"),VLOOKUP($D26,Group!$C:$G,5,0),"")</f>
        <v/>
      </c>
      <c r="O26" s="3" t="str">
        <f>IF($J26="InhouseCSC",ROUND(VLOOKUP($D26,Group!$C:$H,6,0),5),"")</f>
        <v/>
      </c>
      <c r="P26" s="3" t="str">
        <f>IF(OR($J26="BOSFCSC",$J26="BOFCSC"),VLOOKUP($D26,Group!$C:$H,6,0),"")</f>
        <v/>
      </c>
      <c r="Q26" s="1" t="str">
        <f>IF($J26="Inhouseothers",VLOOKUP($D26,Group!$C:$E,3,0),"")</f>
        <v/>
      </c>
      <c r="R26" s="1" t="str">
        <f>IF($J26="BOSFOthers",VLOOKUP($D26,Group!$C:$E,3,0),"")</f>
        <v/>
      </c>
      <c r="S26" s="3" t="str">
        <f>IF($J26="BOFOthers",VLOOKUP($D26,Group!$C:$E,3,0),"")</f>
        <v/>
      </c>
      <c r="U26" s="1" t="str">
        <f>IFERROR(Backend!$L26*VLOOKUP($F26,'OH,Profit &amp; Other Base'!$A:$V,Backend!U$6,0),"")</f>
        <v/>
      </c>
      <c r="V26" s="1" t="str">
        <f>IFERROR(Backend!$M26*VLOOKUP($F26,'OH,Profit &amp; Other Base'!$A:$V,Backend!V$6,0),"")</f>
        <v/>
      </c>
      <c r="W26" s="1" t="str">
        <f>IFERROR(Backend!$L26*VLOOKUP($F26,'OH,Profit &amp; Other Base'!$A:$V,Backend!W$6,0),"")</f>
        <v/>
      </c>
      <c r="X26" s="1" t="str">
        <f>IFERROR(Backend!$M26*VLOOKUP($F26,'OH,Profit &amp; Other Base'!$A:$V,Backend!X$6,0),"")</f>
        <v/>
      </c>
      <c r="Y26" s="1" t="str">
        <f>IFERROR(Backend!$L26*VLOOKUP($F26,'OH,Profit &amp; Other Base'!$A:$V,Backend!Y$6,0),"")</f>
        <v/>
      </c>
      <c r="Z26" s="1" t="str">
        <f>IFERROR(Backend!$M26*VLOOKUP($F26,'OH,Profit &amp; Other Base'!$A:$V,Backend!Z$6,0),"")</f>
        <v/>
      </c>
      <c r="AA26" s="1" t="str">
        <f>IFERROR(Backend!$L26*VLOOKUP($F26,'OH,Profit &amp; Other Base'!$A:$V,Backend!AA$6,0),"")</f>
        <v/>
      </c>
      <c r="AB26" s="1" t="str">
        <f>IFERROR(Backend!$M26*VLOOKUP($F26,'OH,Profit &amp; Other Base'!$A:$V,Backend!AB$6,0),"")</f>
        <v/>
      </c>
      <c r="AC26" s="1" t="str">
        <f>IFERROR(Backend!$L26*VLOOKUP($F26,'OH,Profit &amp; Other Base'!$A:$V,Backend!AC$6,0),"")</f>
        <v/>
      </c>
      <c r="AD26" s="1" t="str">
        <f>IFERROR(Backend!$M26*VLOOKUP($F26,'OH,Profit &amp; Other Base'!$A:$V,Backend!AD$6,0),"")</f>
        <v/>
      </c>
      <c r="AE26" s="1" t="str">
        <f>IFERROR(Backend!$L26*VLOOKUP($F26,'OH,Profit &amp; Other Base'!$A:$V,Backend!AE$6,0),"")</f>
        <v/>
      </c>
      <c r="AF26" s="1" t="str">
        <f>IFERROR(Backend!$M26*VLOOKUP($F26,'OH,Profit &amp; Other Base'!$A:$V,Backend!AF$6,0),"")</f>
        <v/>
      </c>
      <c r="AG26" s="1" t="str">
        <f>IFERROR(Backend!$L26*VLOOKUP($F26,'OH,Profit &amp; Other Base'!$A:$V,Backend!AG$6,0),"")</f>
        <v/>
      </c>
      <c r="AH26" s="1" t="str">
        <f>IFERROR(Backend!$M26*VLOOKUP($F26,'OH,Profit &amp; Other Base'!$A:$V,Backend!AH$6,0),"")</f>
        <v/>
      </c>
      <c r="AI26" s="3">
        <f t="shared" si="2"/>
        <v>0</v>
      </c>
      <c r="AL26" s="1" t="str">
        <f t="shared" si="3"/>
        <v/>
      </c>
      <c r="AM26" s="1" t="str">
        <f t="shared" si="4"/>
        <v/>
      </c>
      <c r="AN26" s="1" t="str">
        <f t="shared" si="5"/>
        <v/>
      </c>
      <c r="AO26" s="1" t="str">
        <f t="shared" si="6"/>
        <v/>
      </c>
      <c r="AP26" s="1" t="str">
        <f>IFERROR(ROUND(Backend!$AL26*VLOOKUP($F26,'OH,Profit &amp; Other Base'!$A:$V,Backend!AP$6,0),5),"")</f>
        <v/>
      </c>
      <c r="AQ26" s="1" t="str">
        <f>IFERROR(ROUND(Backend!$AO26*VLOOKUP($F26,'OH,Profit &amp; Other Base'!$A:$V,Backend!AQ$6,0),5),"")</f>
        <v/>
      </c>
      <c r="AR26" s="1" t="str">
        <f>IFERROR(ROUND(Backend!$AM26*VLOOKUP($F26,'OH,Profit &amp; Other Base'!$A:$V,Backend!AR$6,0),5),"")</f>
        <v/>
      </c>
      <c r="AS26" s="1" t="str">
        <f>IFERROR(ROUND(Backend!$AL26*VLOOKUP($F26,'OH,Profit &amp; Other Base'!$A:$V,Backend!AS$6,0),5),"")</f>
        <v/>
      </c>
      <c r="AT26" s="1" t="str">
        <f>IFERROR(ROUND(Backend!$AO26*VLOOKUP($F26,'OH,Profit &amp; Other Base'!$A:$V,Backend!AT$6,0),5),"")</f>
        <v/>
      </c>
      <c r="AU26" s="1" t="str">
        <f>IFERROR(ROUND(Backend!$AM26*VLOOKUP($F26,'OH,Profit &amp; Other Base'!$A:$V,Backend!AU$6,0),5),"")</f>
        <v/>
      </c>
      <c r="AV26" s="1" t="str">
        <f>IFERROR(ROUND(Backend!$AL26*VLOOKUP($F26,'OH,Profit &amp; Other Base'!$A:$V,Backend!AV$6,0),5),"")</f>
        <v/>
      </c>
      <c r="AW26" s="1" t="str">
        <f>IFERROR(ROUND(Backend!$AO26*VLOOKUP($F26,'OH,Profit &amp; Other Base'!$A:$V,Backend!AW$6,0),5),"")</f>
        <v/>
      </c>
      <c r="AX26" s="1" t="str">
        <f>IFERROR(ROUND(Backend!$AM26*VLOOKUP($F26,'OH,Profit &amp; Other Base'!$A:$V,Backend!AX$6,0),5),"")</f>
        <v/>
      </c>
      <c r="AY26" s="1" t="str">
        <f>IFERROR(ROUND(Backend!$AL26*VLOOKUP($F26,'OH,Profit &amp; Other Base'!$A:$V,Backend!AY$6,0),5),"")</f>
        <v/>
      </c>
      <c r="AZ26" s="1" t="str">
        <f>IFERROR(ROUND(Backend!$AO26*VLOOKUP($F26,'OH,Profit &amp; Other Base'!$A:$V,Backend!AZ$6,0),5),"")</f>
        <v/>
      </c>
      <c r="BA26" s="1" t="str">
        <f>IFERROR(ROUND(Backend!$AM26*VLOOKUP($F26,'OH,Profit &amp; Other Base'!$A:$V,Backend!BA$6,0),5),"")</f>
        <v/>
      </c>
      <c r="BB26" s="1" t="str">
        <f>IFERROR(ROUND(Backend!$AL26*VLOOKUP($F26,'OH,Profit &amp; Other Base'!$A:$V,Backend!BB$6,0),5),"")</f>
        <v/>
      </c>
      <c r="BC26" s="1" t="str">
        <f>IFERROR(ROUND(Backend!$AO26*VLOOKUP($F26,'OH,Profit &amp; Other Base'!$A:$V,Backend!BC$6,0),5),"")</f>
        <v/>
      </c>
      <c r="BD26" s="1" t="str">
        <f>IFERROR(ROUND(Backend!$AM26*VLOOKUP($F26,'OH,Profit &amp; Other Base'!$A:$V,Backend!BD$6,0),5),"")</f>
        <v/>
      </c>
      <c r="BE26" s="1" t="str">
        <f>IFERROR(ROUND(Backend!$AL26*VLOOKUP($F26,'OH,Profit &amp; Other Base'!$A:$V,Backend!BE$6,0),5),"")</f>
        <v/>
      </c>
      <c r="BF26" s="1" t="str">
        <f>IFERROR(ROUND(Backend!$AO26*VLOOKUP($F26,'OH,Profit &amp; Other Base'!$A:$V,Backend!BF$6,0),5),"")</f>
        <v/>
      </c>
      <c r="BG26" s="1" t="str">
        <f>IFERROR(ROUND(Backend!$AM26*VLOOKUP($F26,'OH,Profit &amp; Other Base'!$A:$V,Backend!BG$6,0),5),"")</f>
        <v/>
      </c>
      <c r="BH26" s="1" t="str">
        <f>IFERROR(ROUND(Backend!$AL26*VLOOKUP($F26,'OH,Profit &amp; Other Base'!$A:$V,Backend!BH$6,0),5),"")</f>
        <v/>
      </c>
      <c r="BI26" s="1" t="str">
        <f>IFERROR(ROUND(Backend!$AO26*VLOOKUP($F26,'OH,Profit &amp; Other Base'!$A:$V,Backend!BI$6,0),5),"")</f>
        <v/>
      </c>
      <c r="BJ26" s="1" t="str">
        <f>IFERROR(ROUND(Backend!$AM26*VLOOKUP($F26,'OH,Profit &amp; Other Base'!$A:$V,Backend!BJ$6,0),5),"")</f>
        <v/>
      </c>
      <c r="BK26" s="3">
        <f>SUM(AN26:BJ26,Backend!O26)</f>
        <v>0</v>
      </c>
    </row>
    <row r="27" spans="1:63">
      <c r="A27" s="1">
        <f>BOM!A22</f>
        <v>20</v>
      </c>
      <c r="B27" s="1" t="str">
        <f>BOM!B22</f>
        <v>MB512123</v>
      </c>
      <c r="C27" s="1">
        <f>BOM!C22</f>
        <v>0</v>
      </c>
      <c r="D27" s="1">
        <f>BOM!D22</f>
        <v>0</v>
      </c>
      <c r="E27" s="1">
        <f>BOM!F22</f>
        <v>0</v>
      </c>
      <c r="F27" s="1" t="str">
        <f>IF(H27="CSC",BOM!H22,IF(J27="BOFOthers","Sheet Metal-B",""))</f>
        <v/>
      </c>
      <c r="G27" s="1">
        <f>BOM!I22</f>
        <v>0</v>
      </c>
      <c r="H27" s="1">
        <f>BOM!J22</f>
        <v>0</v>
      </c>
      <c r="I27" s="1" t="str">
        <f t="shared" si="0"/>
        <v>Others</v>
      </c>
      <c r="J27" s="1" t="str">
        <f t="shared" si="1"/>
        <v>0Others</v>
      </c>
      <c r="K27" s="3" t="str">
        <f>IF($J27="InhouseCSC",VLOOKUP($D27,Group!$C:$E,3,0),"")</f>
        <v/>
      </c>
      <c r="L27" s="3" t="str">
        <f>IF(OR($J27="BOSFCSC",$J27="BOFCSC"),VLOOKUP($D27,Group!$C:$E,3,0),"")</f>
        <v/>
      </c>
      <c r="M27" s="3" t="str">
        <f>IF(OR($J27="BOSFCSC",$J27="BOFCSC"),VLOOKUP($D27,Group!$C:$F,4,0),"")</f>
        <v/>
      </c>
      <c r="N27" s="3" t="str">
        <f>IF(OR($J27="InhouseCSC",$J27="BOSFCSC"),VLOOKUP($D27,Group!$C:$G,5,0),"")</f>
        <v/>
      </c>
      <c r="O27" s="3" t="str">
        <f>IF($J27="InhouseCSC",ROUND(VLOOKUP($D27,Group!$C:$H,6,0),5),"")</f>
        <v/>
      </c>
      <c r="P27" s="3" t="str">
        <f>IF(OR($J27="BOSFCSC",$J27="BOFCSC"),VLOOKUP($D27,Group!$C:$H,6,0),"")</f>
        <v/>
      </c>
      <c r="Q27" s="1" t="str">
        <f>IF($J27="Inhouseothers",VLOOKUP($D27,Group!$C:$E,3,0),"")</f>
        <v/>
      </c>
      <c r="R27" s="1" t="str">
        <f>IF($J27="BOSFOthers",VLOOKUP($D27,Group!$C:$E,3,0),"")</f>
        <v/>
      </c>
      <c r="S27" s="3" t="str">
        <f>IF($J27="BOFOthers",VLOOKUP($D27,Group!$C:$E,3,0),"")</f>
        <v/>
      </c>
      <c r="U27" s="1" t="str">
        <f>IFERROR(Backend!$L27*VLOOKUP($F27,'OH,Profit &amp; Other Base'!$A:$V,Backend!U$6,0),"")</f>
        <v/>
      </c>
      <c r="V27" s="1" t="str">
        <f>IFERROR(Backend!$M27*VLOOKUP($F27,'OH,Profit &amp; Other Base'!$A:$V,Backend!V$6,0),"")</f>
        <v/>
      </c>
      <c r="W27" s="1" t="str">
        <f>IFERROR(Backend!$L27*VLOOKUP($F27,'OH,Profit &amp; Other Base'!$A:$V,Backend!W$6,0),"")</f>
        <v/>
      </c>
      <c r="X27" s="1" t="str">
        <f>IFERROR(Backend!$M27*VLOOKUP($F27,'OH,Profit &amp; Other Base'!$A:$V,Backend!X$6,0),"")</f>
        <v/>
      </c>
      <c r="Y27" s="1" t="str">
        <f>IFERROR(Backend!$L27*VLOOKUP($F27,'OH,Profit &amp; Other Base'!$A:$V,Backend!Y$6,0),"")</f>
        <v/>
      </c>
      <c r="Z27" s="1" t="str">
        <f>IFERROR(Backend!$M27*VLOOKUP($F27,'OH,Profit &amp; Other Base'!$A:$V,Backend!Z$6,0),"")</f>
        <v/>
      </c>
      <c r="AA27" s="1" t="str">
        <f>IFERROR(Backend!$L27*VLOOKUP($F27,'OH,Profit &amp; Other Base'!$A:$V,Backend!AA$6,0),"")</f>
        <v/>
      </c>
      <c r="AB27" s="1" t="str">
        <f>IFERROR(Backend!$M27*VLOOKUP($F27,'OH,Profit &amp; Other Base'!$A:$V,Backend!AB$6,0),"")</f>
        <v/>
      </c>
      <c r="AC27" s="1" t="str">
        <f>IFERROR(Backend!$L27*VLOOKUP($F27,'OH,Profit &amp; Other Base'!$A:$V,Backend!AC$6,0),"")</f>
        <v/>
      </c>
      <c r="AD27" s="1" t="str">
        <f>IFERROR(Backend!$M27*VLOOKUP($F27,'OH,Profit &amp; Other Base'!$A:$V,Backend!AD$6,0),"")</f>
        <v/>
      </c>
      <c r="AE27" s="1" t="str">
        <f>IFERROR(Backend!$L27*VLOOKUP($F27,'OH,Profit &amp; Other Base'!$A:$V,Backend!AE$6,0),"")</f>
        <v/>
      </c>
      <c r="AF27" s="1" t="str">
        <f>IFERROR(Backend!$M27*VLOOKUP($F27,'OH,Profit &amp; Other Base'!$A:$V,Backend!AF$6,0),"")</f>
        <v/>
      </c>
      <c r="AG27" s="1" t="str">
        <f>IFERROR(Backend!$L27*VLOOKUP($F27,'OH,Profit &amp; Other Base'!$A:$V,Backend!AG$6,0),"")</f>
        <v/>
      </c>
      <c r="AH27" s="1" t="str">
        <f>IFERROR(Backend!$M27*VLOOKUP($F27,'OH,Profit &amp; Other Base'!$A:$V,Backend!AH$6,0),"")</f>
        <v/>
      </c>
      <c r="AI27" s="3">
        <f t="shared" si="2"/>
        <v>0</v>
      </c>
      <c r="AL27" s="1" t="str">
        <f t="shared" si="3"/>
        <v/>
      </c>
      <c r="AM27" s="1" t="str">
        <f t="shared" si="4"/>
        <v/>
      </c>
      <c r="AN27" s="1" t="str">
        <f t="shared" si="5"/>
        <v/>
      </c>
      <c r="AO27" s="1" t="str">
        <f t="shared" si="6"/>
        <v/>
      </c>
      <c r="AP27" s="1" t="str">
        <f>IFERROR(ROUND(Backend!$AL27*VLOOKUP($F27,'OH,Profit &amp; Other Base'!$A:$V,Backend!AP$6,0),5),"")</f>
        <v/>
      </c>
      <c r="AQ27" s="1" t="str">
        <f>IFERROR(ROUND(Backend!$AO27*VLOOKUP($F27,'OH,Profit &amp; Other Base'!$A:$V,Backend!AQ$6,0),5),"")</f>
        <v/>
      </c>
      <c r="AR27" s="1" t="str">
        <f>IFERROR(ROUND(Backend!$AM27*VLOOKUP($F27,'OH,Profit &amp; Other Base'!$A:$V,Backend!AR$6,0),5),"")</f>
        <v/>
      </c>
      <c r="AS27" s="1" t="str">
        <f>IFERROR(ROUND(Backend!$AL27*VLOOKUP($F27,'OH,Profit &amp; Other Base'!$A:$V,Backend!AS$6,0),5),"")</f>
        <v/>
      </c>
      <c r="AT27" s="1" t="str">
        <f>IFERROR(ROUND(Backend!$AO27*VLOOKUP($F27,'OH,Profit &amp; Other Base'!$A:$V,Backend!AT$6,0),5),"")</f>
        <v/>
      </c>
      <c r="AU27" s="1" t="str">
        <f>IFERROR(ROUND(Backend!$AM27*VLOOKUP($F27,'OH,Profit &amp; Other Base'!$A:$V,Backend!AU$6,0),5),"")</f>
        <v/>
      </c>
      <c r="AV27" s="1" t="str">
        <f>IFERROR(ROUND(Backend!$AL27*VLOOKUP($F27,'OH,Profit &amp; Other Base'!$A:$V,Backend!AV$6,0),5),"")</f>
        <v/>
      </c>
      <c r="AW27" s="1" t="str">
        <f>IFERROR(ROUND(Backend!$AO27*VLOOKUP($F27,'OH,Profit &amp; Other Base'!$A:$V,Backend!AW$6,0),5),"")</f>
        <v/>
      </c>
      <c r="AX27" s="1" t="str">
        <f>IFERROR(ROUND(Backend!$AM27*VLOOKUP($F27,'OH,Profit &amp; Other Base'!$A:$V,Backend!AX$6,0),5),"")</f>
        <v/>
      </c>
      <c r="AY27" s="1" t="str">
        <f>IFERROR(ROUND(Backend!$AL27*VLOOKUP($F27,'OH,Profit &amp; Other Base'!$A:$V,Backend!AY$6,0),5),"")</f>
        <v/>
      </c>
      <c r="AZ27" s="1" t="str">
        <f>IFERROR(ROUND(Backend!$AO27*VLOOKUP($F27,'OH,Profit &amp; Other Base'!$A:$V,Backend!AZ$6,0),5),"")</f>
        <v/>
      </c>
      <c r="BA27" s="1" t="str">
        <f>IFERROR(ROUND(Backend!$AM27*VLOOKUP($F27,'OH,Profit &amp; Other Base'!$A:$V,Backend!BA$6,0),5),"")</f>
        <v/>
      </c>
      <c r="BB27" s="1" t="str">
        <f>IFERROR(ROUND(Backend!$AL27*VLOOKUP($F27,'OH,Profit &amp; Other Base'!$A:$V,Backend!BB$6,0),5),"")</f>
        <v/>
      </c>
      <c r="BC27" s="1" t="str">
        <f>IFERROR(ROUND(Backend!$AO27*VLOOKUP($F27,'OH,Profit &amp; Other Base'!$A:$V,Backend!BC$6,0),5),"")</f>
        <v/>
      </c>
      <c r="BD27" s="1" t="str">
        <f>IFERROR(ROUND(Backend!$AM27*VLOOKUP($F27,'OH,Profit &amp; Other Base'!$A:$V,Backend!BD$6,0),5),"")</f>
        <v/>
      </c>
      <c r="BE27" s="1" t="str">
        <f>IFERROR(ROUND(Backend!$AL27*VLOOKUP($F27,'OH,Profit &amp; Other Base'!$A:$V,Backend!BE$6,0),5),"")</f>
        <v/>
      </c>
      <c r="BF27" s="1" t="str">
        <f>IFERROR(ROUND(Backend!$AO27*VLOOKUP($F27,'OH,Profit &amp; Other Base'!$A:$V,Backend!BF$6,0),5),"")</f>
        <v/>
      </c>
      <c r="BG27" s="1" t="str">
        <f>IFERROR(ROUND(Backend!$AM27*VLOOKUP($F27,'OH,Profit &amp; Other Base'!$A:$V,Backend!BG$6,0),5),"")</f>
        <v/>
      </c>
      <c r="BH27" s="1" t="str">
        <f>IFERROR(ROUND(Backend!$AL27*VLOOKUP($F27,'OH,Profit &amp; Other Base'!$A:$V,Backend!BH$6,0),5),"")</f>
        <v/>
      </c>
      <c r="BI27" s="1" t="str">
        <f>IFERROR(ROUND(Backend!$AO27*VLOOKUP($F27,'OH,Profit &amp; Other Base'!$A:$V,Backend!BI$6,0),5),"")</f>
        <v/>
      </c>
      <c r="BJ27" s="1" t="str">
        <f>IFERROR(ROUND(Backend!$AM27*VLOOKUP($F27,'OH,Profit &amp; Other Base'!$A:$V,Backend!BJ$6,0),5),"")</f>
        <v/>
      </c>
      <c r="BK27" s="3">
        <f>SUM(AN27:BJ27,Backend!O27)</f>
        <v>0</v>
      </c>
    </row>
    <row r="28" spans="1:63">
      <c r="A28" s="1">
        <f>BOM!A23</f>
        <v>21</v>
      </c>
      <c r="B28" s="1" t="str">
        <f>BOM!B23</f>
        <v>MB512123</v>
      </c>
      <c r="C28" s="1">
        <f>BOM!C23</f>
        <v>0</v>
      </c>
      <c r="D28" s="1">
        <f>BOM!D23</f>
        <v>0</v>
      </c>
      <c r="E28" s="1">
        <f>BOM!F23</f>
        <v>0</v>
      </c>
      <c r="F28" s="1" t="str">
        <f>IF(H28="CSC",BOM!H23,IF(J28="BOFOthers","Sheet Metal-B",""))</f>
        <v/>
      </c>
      <c r="G28" s="1">
        <f>BOM!I23</f>
        <v>0</v>
      </c>
      <c r="H28" s="1">
        <f>BOM!J23</f>
        <v>0</v>
      </c>
      <c r="I28" s="1" t="str">
        <f t="shared" si="0"/>
        <v>Others</v>
      </c>
      <c r="J28" s="1" t="str">
        <f t="shared" si="1"/>
        <v>0Others</v>
      </c>
      <c r="K28" s="3" t="str">
        <f>IF($J28="InhouseCSC",VLOOKUP($D28,Group!$C:$E,3,0),"")</f>
        <v/>
      </c>
      <c r="L28" s="3" t="str">
        <f>IF(OR($J28="BOSFCSC",$J28="BOFCSC"),VLOOKUP($D28,Group!$C:$E,3,0),"")</f>
        <v/>
      </c>
      <c r="M28" s="3" t="str">
        <f>IF(OR($J28="BOSFCSC",$J28="BOFCSC"),VLOOKUP($D28,Group!$C:$F,4,0),"")</f>
        <v/>
      </c>
      <c r="N28" s="3" t="str">
        <f>IF(OR($J28="InhouseCSC",$J28="BOSFCSC"),VLOOKUP($D28,Group!$C:$G,5,0),"")</f>
        <v/>
      </c>
      <c r="O28" s="3" t="str">
        <f>IF($J28="InhouseCSC",ROUND(VLOOKUP($D28,Group!$C:$H,6,0),5),"")</f>
        <v/>
      </c>
      <c r="P28" s="3" t="str">
        <f>IF(OR($J28="BOSFCSC",$J28="BOFCSC"),VLOOKUP($D28,Group!$C:$H,6,0),"")</f>
        <v/>
      </c>
      <c r="Q28" s="1" t="str">
        <f>IF($J28="Inhouseothers",VLOOKUP($D28,Group!$C:$E,3,0),"")</f>
        <v/>
      </c>
      <c r="R28" s="1" t="str">
        <f>IF($J28="BOSFOthers",VLOOKUP($D28,Group!$C:$E,3,0),"")</f>
        <v/>
      </c>
      <c r="S28" s="3" t="str">
        <f>IF($J28="BOFOthers",VLOOKUP($D28,Group!$C:$E,3,0),"")</f>
        <v/>
      </c>
      <c r="U28" s="1" t="str">
        <f>IFERROR(Backend!$L28*VLOOKUP($F28,'OH,Profit &amp; Other Base'!$A:$V,Backend!U$6,0),"")</f>
        <v/>
      </c>
      <c r="V28" s="1" t="str">
        <f>IFERROR(Backend!$M28*VLOOKUP($F28,'OH,Profit &amp; Other Base'!$A:$V,Backend!V$6,0),"")</f>
        <v/>
      </c>
      <c r="W28" s="1" t="str">
        <f>IFERROR(Backend!$L28*VLOOKUP($F28,'OH,Profit &amp; Other Base'!$A:$V,Backend!W$6,0),"")</f>
        <v/>
      </c>
      <c r="X28" s="1" t="str">
        <f>IFERROR(Backend!$M28*VLOOKUP($F28,'OH,Profit &amp; Other Base'!$A:$V,Backend!X$6,0),"")</f>
        <v/>
      </c>
      <c r="Y28" s="1" t="str">
        <f>IFERROR(Backend!$L28*VLOOKUP($F28,'OH,Profit &amp; Other Base'!$A:$V,Backend!Y$6,0),"")</f>
        <v/>
      </c>
      <c r="Z28" s="1" t="str">
        <f>IFERROR(Backend!$M28*VLOOKUP($F28,'OH,Profit &amp; Other Base'!$A:$V,Backend!Z$6,0),"")</f>
        <v/>
      </c>
      <c r="AA28" s="1" t="str">
        <f>IFERROR(Backend!$L28*VLOOKUP($F28,'OH,Profit &amp; Other Base'!$A:$V,Backend!AA$6,0),"")</f>
        <v/>
      </c>
      <c r="AB28" s="1" t="str">
        <f>IFERROR(Backend!$M28*VLOOKUP($F28,'OH,Profit &amp; Other Base'!$A:$V,Backend!AB$6,0),"")</f>
        <v/>
      </c>
      <c r="AC28" s="1" t="str">
        <f>IFERROR(Backend!$L28*VLOOKUP($F28,'OH,Profit &amp; Other Base'!$A:$V,Backend!AC$6,0),"")</f>
        <v/>
      </c>
      <c r="AD28" s="1" t="str">
        <f>IFERROR(Backend!$M28*VLOOKUP($F28,'OH,Profit &amp; Other Base'!$A:$V,Backend!AD$6,0),"")</f>
        <v/>
      </c>
      <c r="AE28" s="1" t="str">
        <f>IFERROR(Backend!$L28*VLOOKUP($F28,'OH,Profit &amp; Other Base'!$A:$V,Backend!AE$6,0),"")</f>
        <v/>
      </c>
      <c r="AF28" s="1" t="str">
        <f>IFERROR(Backend!$M28*VLOOKUP($F28,'OH,Profit &amp; Other Base'!$A:$V,Backend!AF$6,0),"")</f>
        <v/>
      </c>
      <c r="AG28" s="1" t="str">
        <f>IFERROR(Backend!$L28*VLOOKUP($F28,'OH,Profit &amp; Other Base'!$A:$V,Backend!AG$6,0),"")</f>
        <v/>
      </c>
      <c r="AH28" s="1" t="str">
        <f>IFERROR(Backend!$M28*VLOOKUP($F28,'OH,Profit &amp; Other Base'!$A:$V,Backend!AH$6,0),"")</f>
        <v/>
      </c>
      <c r="AI28" s="3">
        <f t="shared" si="2"/>
        <v>0</v>
      </c>
      <c r="AL28" s="1" t="str">
        <f t="shared" si="3"/>
        <v/>
      </c>
      <c r="AM28" s="1" t="str">
        <f t="shared" si="4"/>
        <v/>
      </c>
      <c r="AN28" s="1" t="str">
        <f t="shared" si="5"/>
        <v/>
      </c>
      <c r="AO28" s="1" t="str">
        <f t="shared" si="6"/>
        <v/>
      </c>
      <c r="AP28" s="1" t="str">
        <f>IFERROR(ROUND(Backend!$AL28*VLOOKUP($F28,'OH,Profit &amp; Other Base'!$A:$V,Backend!AP$6,0),5),"")</f>
        <v/>
      </c>
      <c r="AQ28" s="1" t="str">
        <f>IFERROR(ROUND(Backend!$AO28*VLOOKUP($F28,'OH,Profit &amp; Other Base'!$A:$V,Backend!AQ$6,0),5),"")</f>
        <v/>
      </c>
      <c r="AR28" s="1" t="str">
        <f>IFERROR(ROUND(Backend!$AM28*VLOOKUP($F28,'OH,Profit &amp; Other Base'!$A:$V,Backend!AR$6,0),5),"")</f>
        <v/>
      </c>
      <c r="AS28" s="1" t="str">
        <f>IFERROR(ROUND(Backend!$AL28*VLOOKUP($F28,'OH,Profit &amp; Other Base'!$A:$V,Backend!AS$6,0),5),"")</f>
        <v/>
      </c>
      <c r="AT28" s="1" t="str">
        <f>IFERROR(ROUND(Backend!$AO28*VLOOKUP($F28,'OH,Profit &amp; Other Base'!$A:$V,Backend!AT$6,0),5),"")</f>
        <v/>
      </c>
      <c r="AU28" s="1" t="str">
        <f>IFERROR(ROUND(Backend!$AM28*VLOOKUP($F28,'OH,Profit &amp; Other Base'!$A:$V,Backend!AU$6,0),5),"")</f>
        <v/>
      </c>
      <c r="AV28" s="1" t="str">
        <f>IFERROR(ROUND(Backend!$AL28*VLOOKUP($F28,'OH,Profit &amp; Other Base'!$A:$V,Backend!AV$6,0),5),"")</f>
        <v/>
      </c>
      <c r="AW28" s="1" t="str">
        <f>IFERROR(ROUND(Backend!$AO28*VLOOKUP($F28,'OH,Profit &amp; Other Base'!$A:$V,Backend!AW$6,0),5),"")</f>
        <v/>
      </c>
      <c r="AX28" s="1" t="str">
        <f>IFERROR(ROUND(Backend!$AM28*VLOOKUP($F28,'OH,Profit &amp; Other Base'!$A:$V,Backend!AX$6,0),5),"")</f>
        <v/>
      </c>
      <c r="AY28" s="1" t="str">
        <f>IFERROR(ROUND(Backend!$AL28*VLOOKUP($F28,'OH,Profit &amp; Other Base'!$A:$V,Backend!AY$6,0),5),"")</f>
        <v/>
      </c>
      <c r="AZ28" s="1" t="str">
        <f>IFERROR(ROUND(Backend!$AO28*VLOOKUP($F28,'OH,Profit &amp; Other Base'!$A:$V,Backend!AZ$6,0),5),"")</f>
        <v/>
      </c>
      <c r="BA28" s="1" t="str">
        <f>IFERROR(ROUND(Backend!$AM28*VLOOKUP($F28,'OH,Profit &amp; Other Base'!$A:$V,Backend!BA$6,0),5),"")</f>
        <v/>
      </c>
      <c r="BB28" s="1" t="str">
        <f>IFERROR(ROUND(Backend!$AL28*VLOOKUP($F28,'OH,Profit &amp; Other Base'!$A:$V,Backend!BB$6,0),5),"")</f>
        <v/>
      </c>
      <c r="BC28" s="1" t="str">
        <f>IFERROR(ROUND(Backend!$AO28*VLOOKUP($F28,'OH,Profit &amp; Other Base'!$A:$V,Backend!BC$6,0),5),"")</f>
        <v/>
      </c>
      <c r="BD28" s="1" t="str">
        <f>IFERROR(ROUND(Backend!$AM28*VLOOKUP($F28,'OH,Profit &amp; Other Base'!$A:$V,Backend!BD$6,0),5),"")</f>
        <v/>
      </c>
      <c r="BE28" s="1" t="str">
        <f>IFERROR(ROUND(Backend!$AL28*VLOOKUP($F28,'OH,Profit &amp; Other Base'!$A:$V,Backend!BE$6,0),5),"")</f>
        <v/>
      </c>
      <c r="BF28" s="1" t="str">
        <f>IFERROR(ROUND(Backend!$AO28*VLOOKUP($F28,'OH,Profit &amp; Other Base'!$A:$V,Backend!BF$6,0),5),"")</f>
        <v/>
      </c>
      <c r="BG28" s="1" t="str">
        <f>IFERROR(ROUND(Backend!$AM28*VLOOKUP($F28,'OH,Profit &amp; Other Base'!$A:$V,Backend!BG$6,0),5),"")</f>
        <v/>
      </c>
      <c r="BH28" s="1" t="str">
        <f>IFERROR(ROUND(Backend!$AL28*VLOOKUP($F28,'OH,Profit &amp; Other Base'!$A:$V,Backend!BH$6,0),5),"")</f>
        <v/>
      </c>
      <c r="BI28" s="1" t="str">
        <f>IFERROR(ROUND(Backend!$AO28*VLOOKUP($F28,'OH,Profit &amp; Other Base'!$A:$V,Backend!BI$6,0),5),"")</f>
        <v/>
      </c>
      <c r="BJ28" s="1" t="str">
        <f>IFERROR(ROUND(Backend!$AM28*VLOOKUP($F28,'OH,Profit &amp; Other Base'!$A:$V,Backend!BJ$6,0),5),"")</f>
        <v/>
      </c>
      <c r="BK28" s="3">
        <f>SUM(AN28:BJ28,Backend!O28)</f>
        <v>0</v>
      </c>
    </row>
    <row r="29" spans="1:63">
      <c r="A29" s="1">
        <f>BOM!A24</f>
        <v>22</v>
      </c>
      <c r="B29" s="1" t="str">
        <f>BOM!B24</f>
        <v>MB512123</v>
      </c>
      <c r="C29" s="1">
        <f>BOM!C24</f>
        <v>0</v>
      </c>
      <c r="D29" s="1">
        <f>BOM!D24</f>
        <v>0</v>
      </c>
      <c r="E29" s="1">
        <f>BOM!F24</f>
        <v>0</v>
      </c>
      <c r="F29" s="1" t="str">
        <f>IF(H29="CSC",BOM!H24,IF(J29="BOFOthers","Sheet Metal-B",""))</f>
        <v/>
      </c>
      <c r="G29" s="1">
        <f>BOM!I24</f>
        <v>0</v>
      </c>
      <c r="H29" s="1">
        <f>BOM!J24</f>
        <v>0</v>
      </c>
      <c r="I29" s="1" t="str">
        <f t="shared" si="0"/>
        <v>Others</v>
      </c>
      <c r="J29" s="1" t="str">
        <f t="shared" si="1"/>
        <v>0Others</v>
      </c>
      <c r="K29" s="3" t="str">
        <f>IF($J29="InhouseCSC",VLOOKUP($D29,Group!$C:$E,3,0),"")</f>
        <v/>
      </c>
      <c r="L29" s="3" t="str">
        <f>IF(OR($J29="BOSFCSC",$J29="BOFCSC"),VLOOKUP($D29,Group!$C:$E,3,0),"")</f>
        <v/>
      </c>
      <c r="M29" s="3" t="str">
        <f>IF(OR($J29="BOSFCSC",$J29="BOFCSC"),VLOOKUP($D29,Group!$C:$F,4,0),"")</f>
        <v/>
      </c>
      <c r="N29" s="3" t="str">
        <f>IF(OR($J29="InhouseCSC",$J29="BOSFCSC"),VLOOKUP($D29,Group!$C:$G,5,0),"")</f>
        <v/>
      </c>
      <c r="O29" s="3" t="str">
        <f>IF($J29="InhouseCSC",ROUND(VLOOKUP($D29,Group!$C:$H,6,0),5),"")</f>
        <v/>
      </c>
      <c r="P29" s="3" t="str">
        <f>IF(OR($J29="BOSFCSC",$J29="BOFCSC"),VLOOKUP($D29,Group!$C:$H,6,0),"")</f>
        <v/>
      </c>
      <c r="Q29" s="1" t="str">
        <f>IF($J29="Inhouseothers",VLOOKUP($D29,Group!$C:$E,3,0),"")</f>
        <v/>
      </c>
      <c r="R29" s="1" t="str">
        <f>IF($J29="BOSFOthers",VLOOKUP($D29,Group!$C:$E,3,0),"")</f>
        <v/>
      </c>
      <c r="S29" s="3" t="str">
        <f>IF($J29="BOFOthers",VLOOKUP($D29,Group!$C:$E,3,0),"")</f>
        <v/>
      </c>
      <c r="U29" s="1" t="str">
        <f>IFERROR(Backend!$L29*VLOOKUP($F29,'OH,Profit &amp; Other Base'!$A:$V,Backend!U$6,0),"")</f>
        <v/>
      </c>
      <c r="V29" s="1" t="str">
        <f>IFERROR(Backend!$M29*VLOOKUP($F29,'OH,Profit &amp; Other Base'!$A:$V,Backend!V$6,0),"")</f>
        <v/>
      </c>
      <c r="W29" s="1" t="str">
        <f>IFERROR(Backend!$L29*VLOOKUP($F29,'OH,Profit &amp; Other Base'!$A:$V,Backend!W$6,0),"")</f>
        <v/>
      </c>
      <c r="X29" s="1" t="str">
        <f>IFERROR(Backend!$M29*VLOOKUP($F29,'OH,Profit &amp; Other Base'!$A:$V,Backend!X$6,0),"")</f>
        <v/>
      </c>
      <c r="Y29" s="1" t="str">
        <f>IFERROR(Backend!$L29*VLOOKUP($F29,'OH,Profit &amp; Other Base'!$A:$V,Backend!Y$6,0),"")</f>
        <v/>
      </c>
      <c r="Z29" s="1" t="str">
        <f>IFERROR(Backend!$M29*VLOOKUP($F29,'OH,Profit &amp; Other Base'!$A:$V,Backend!Z$6,0),"")</f>
        <v/>
      </c>
      <c r="AA29" s="1" t="str">
        <f>IFERROR(Backend!$L29*VLOOKUP($F29,'OH,Profit &amp; Other Base'!$A:$V,Backend!AA$6,0),"")</f>
        <v/>
      </c>
      <c r="AB29" s="1" t="str">
        <f>IFERROR(Backend!$M29*VLOOKUP($F29,'OH,Profit &amp; Other Base'!$A:$V,Backend!AB$6,0),"")</f>
        <v/>
      </c>
      <c r="AC29" s="1" t="str">
        <f>IFERROR(Backend!$L29*VLOOKUP($F29,'OH,Profit &amp; Other Base'!$A:$V,Backend!AC$6,0),"")</f>
        <v/>
      </c>
      <c r="AD29" s="1" t="str">
        <f>IFERROR(Backend!$M29*VLOOKUP($F29,'OH,Profit &amp; Other Base'!$A:$V,Backend!AD$6,0),"")</f>
        <v/>
      </c>
      <c r="AE29" s="1" t="str">
        <f>IFERROR(Backend!$L29*VLOOKUP($F29,'OH,Profit &amp; Other Base'!$A:$V,Backend!AE$6,0),"")</f>
        <v/>
      </c>
      <c r="AF29" s="1" t="str">
        <f>IFERROR(Backend!$M29*VLOOKUP($F29,'OH,Profit &amp; Other Base'!$A:$V,Backend!AF$6,0),"")</f>
        <v/>
      </c>
      <c r="AG29" s="1" t="str">
        <f>IFERROR(Backend!$L29*VLOOKUP($F29,'OH,Profit &amp; Other Base'!$A:$V,Backend!AG$6,0),"")</f>
        <v/>
      </c>
      <c r="AH29" s="1" t="str">
        <f>IFERROR(Backend!$M29*VLOOKUP($F29,'OH,Profit &amp; Other Base'!$A:$V,Backend!AH$6,0),"")</f>
        <v/>
      </c>
      <c r="AI29" s="3">
        <f t="shared" si="2"/>
        <v>0</v>
      </c>
      <c r="AL29" s="1" t="str">
        <f t="shared" si="3"/>
        <v/>
      </c>
      <c r="AM29" s="1" t="str">
        <f t="shared" si="4"/>
        <v/>
      </c>
      <c r="AN29" s="1" t="str">
        <f t="shared" si="5"/>
        <v/>
      </c>
      <c r="AO29" s="1" t="str">
        <f t="shared" si="6"/>
        <v/>
      </c>
      <c r="AP29" s="1" t="str">
        <f>IFERROR(ROUND(Backend!$AL29*VLOOKUP($F29,'OH,Profit &amp; Other Base'!$A:$V,Backend!AP$6,0),5),"")</f>
        <v/>
      </c>
      <c r="AQ29" s="1" t="str">
        <f>IFERROR(ROUND(Backend!$AO29*VLOOKUP($F29,'OH,Profit &amp; Other Base'!$A:$V,Backend!AQ$6,0),5),"")</f>
        <v/>
      </c>
      <c r="AR29" s="1" t="str">
        <f>IFERROR(ROUND(Backend!$AM29*VLOOKUP($F29,'OH,Profit &amp; Other Base'!$A:$V,Backend!AR$6,0),5),"")</f>
        <v/>
      </c>
      <c r="AS29" s="1" t="str">
        <f>IFERROR(ROUND(Backend!$AL29*VLOOKUP($F29,'OH,Profit &amp; Other Base'!$A:$V,Backend!AS$6,0),5),"")</f>
        <v/>
      </c>
      <c r="AT29" s="1" t="str">
        <f>IFERROR(ROUND(Backend!$AO29*VLOOKUP($F29,'OH,Profit &amp; Other Base'!$A:$V,Backend!AT$6,0),5),"")</f>
        <v/>
      </c>
      <c r="AU29" s="1" t="str">
        <f>IFERROR(ROUND(Backend!$AM29*VLOOKUP($F29,'OH,Profit &amp; Other Base'!$A:$V,Backend!AU$6,0),5),"")</f>
        <v/>
      </c>
      <c r="AV29" s="1" t="str">
        <f>IFERROR(ROUND(Backend!$AL29*VLOOKUP($F29,'OH,Profit &amp; Other Base'!$A:$V,Backend!AV$6,0),5),"")</f>
        <v/>
      </c>
      <c r="AW29" s="1" t="str">
        <f>IFERROR(ROUND(Backend!$AO29*VLOOKUP($F29,'OH,Profit &amp; Other Base'!$A:$V,Backend!AW$6,0),5),"")</f>
        <v/>
      </c>
      <c r="AX29" s="1" t="str">
        <f>IFERROR(ROUND(Backend!$AM29*VLOOKUP($F29,'OH,Profit &amp; Other Base'!$A:$V,Backend!AX$6,0),5),"")</f>
        <v/>
      </c>
      <c r="AY29" s="1" t="str">
        <f>IFERROR(ROUND(Backend!$AL29*VLOOKUP($F29,'OH,Profit &amp; Other Base'!$A:$V,Backend!AY$6,0),5),"")</f>
        <v/>
      </c>
      <c r="AZ29" s="1" t="str">
        <f>IFERROR(ROUND(Backend!$AO29*VLOOKUP($F29,'OH,Profit &amp; Other Base'!$A:$V,Backend!AZ$6,0),5),"")</f>
        <v/>
      </c>
      <c r="BA29" s="1" t="str">
        <f>IFERROR(ROUND(Backend!$AM29*VLOOKUP($F29,'OH,Profit &amp; Other Base'!$A:$V,Backend!BA$6,0),5),"")</f>
        <v/>
      </c>
      <c r="BB29" s="1" t="str">
        <f>IFERROR(ROUND(Backend!$AL29*VLOOKUP($F29,'OH,Profit &amp; Other Base'!$A:$V,Backend!BB$6,0),5),"")</f>
        <v/>
      </c>
      <c r="BC29" s="1" t="str">
        <f>IFERROR(ROUND(Backend!$AO29*VLOOKUP($F29,'OH,Profit &amp; Other Base'!$A:$V,Backend!BC$6,0),5),"")</f>
        <v/>
      </c>
      <c r="BD29" s="1" t="str">
        <f>IFERROR(ROUND(Backend!$AM29*VLOOKUP($F29,'OH,Profit &amp; Other Base'!$A:$V,Backend!BD$6,0),5),"")</f>
        <v/>
      </c>
      <c r="BE29" s="1" t="str">
        <f>IFERROR(ROUND(Backend!$AL29*VLOOKUP($F29,'OH,Profit &amp; Other Base'!$A:$V,Backend!BE$6,0),5),"")</f>
        <v/>
      </c>
      <c r="BF29" s="1" t="str">
        <f>IFERROR(ROUND(Backend!$AO29*VLOOKUP($F29,'OH,Profit &amp; Other Base'!$A:$V,Backend!BF$6,0),5),"")</f>
        <v/>
      </c>
      <c r="BG29" s="1" t="str">
        <f>IFERROR(ROUND(Backend!$AM29*VLOOKUP($F29,'OH,Profit &amp; Other Base'!$A:$V,Backend!BG$6,0),5),"")</f>
        <v/>
      </c>
      <c r="BH29" s="1" t="str">
        <f>IFERROR(ROUND(Backend!$AL29*VLOOKUP($F29,'OH,Profit &amp; Other Base'!$A:$V,Backend!BH$6,0),5),"")</f>
        <v/>
      </c>
      <c r="BI29" s="1" t="str">
        <f>IFERROR(ROUND(Backend!$AO29*VLOOKUP($F29,'OH,Profit &amp; Other Base'!$A:$V,Backend!BI$6,0),5),"")</f>
        <v/>
      </c>
      <c r="BJ29" s="1" t="str">
        <f>IFERROR(ROUND(Backend!$AM29*VLOOKUP($F29,'OH,Profit &amp; Other Base'!$A:$V,Backend!BJ$6,0),5),"")</f>
        <v/>
      </c>
      <c r="BK29" s="3">
        <f>SUM(AN29:BJ29,Backend!O29)</f>
        <v>0</v>
      </c>
    </row>
    <row r="30" spans="1:63">
      <c r="A30" s="1">
        <f>BOM!A25</f>
        <v>23</v>
      </c>
      <c r="B30" s="1" t="str">
        <f>BOM!B25</f>
        <v>MB512123</v>
      </c>
      <c r="C30" s="1">
        <f>BOM!C25</f>
        <v>0</v>
      </c>
      <c r="D30" s="1">
        <f>BOM!D25</f>
        <v>0</v>
      </c>
      <c r="E30" s="1">
        <f>BOM!F25</f>
        <v>0</v>
      </c>
      <c r="F30" s="1" t="str">
        <f>IF(H30="CSC",BOM!H25,IF(J30="BOFOthers","Sheet Metal-B",""))</f>
        <v/>
      </c>
      <c r="G30" s="1">
        <f>BOM!I25</f>
        <v>0</v>
      </c>
      <c r="H30" s="1">
        <f>BOM!J25</f>
        <v>0</v>
      </c>
      <c r="I30" s="1" t="str">
        <f t="shared" si="0"/>
        <v>Others</v>
      </c>
      <c r="J30" s="1" t="str">
        <f t="shared" si="1"/>
        <v>0Others</v>
      </c>
      <c r="K30" s="3" t="str">
        <f>IF($J30="InhouseCSC",VLOOKUP($D30,Group!$C:$E,3,0),"")</f>
        <v/>
      </c>
      <c r="L30" s="3" t="str">
        <f>IF(OR($J30="BOSFCSC",$J30="BOFCSC"),VLOOKUP($D30,Group!$C:$E,3,0),"")</f>
        <v/>
      </c>
      <c r="M30" s="3" t="str">
        <f>IF(OR($J30="BOSFCSC",$J30="BOFCSC"),VLOOKUP($D30,Group!$C:$F,4,0),"")</f>
        <v/>
      </c>
      <c r="N30" s="3" t="str">
        <f>IF(OR($J30="InhouseCSC",$J30="BOSFCSC"),VLOOKUP($D30,Group!$C:$G,5,0),"")</f>
        <v/>
      </c>
      <c r="O30" s="3" t="str">
        <f>IF($J30="InhouseCSC",ROUND(VLOOKUP($D30,Group!$C:$H,6,0),5),"")</f>
        <v/>
      </c>
      <c r="P30" s="3" t="str">
        <f>IF(OR($J30="BOSFCSC",$J30="BOFCSC"),VLOOKUP($D30,Group!$C:$H,6,0),"")</f>
        <v/>
      </c>
      <c r="Q30" s="1" t="str">
        <f>IF($J30="Inhouseothers",VLOOKUP($D30,Group!$C:$E,3,0),"")</f>
        <v/>
      </c>
      <c r="R30" s="1" t="str">
        <f>IF($J30="BOSFOthers",VLOOKUP($D30,Group!$C:$E,3,0),"")</f>
        <v/>
      </c>
      <c r="S30" s="3" t="str">
        <f>IF($J30="BOFOthers",VLOOKUP($D30,Group!$C:$E,3,0),"")</f>
        <v/>
      </c>
      <c r="U30" s="1" t="str">
        <f>IFERROR(Backend!$L30*VLOOKUP($F30,'OH,Profit &amp; Other Base'!$A:$V,Backend!U$6,0),"")</f>
        <v/>
      </c>
      <c r="V30" s="1" t="str">
        <f>IFERROR(Backend!$M30*VLOOKUP($F30,'OH,Profit &amp; Other Base'!$A:$V,Backend!V$6,0),"")</f>
        <v/>
      </c>
      <c r="W30" s="1" t="str">
        <f>IFERROR(Backend!$L30*VLOOKUP($F30,'OH,Profit &amp; Other Base'!$A:$V,Backend!W$6,0),"")</f>
        <v/>
      </c>
      <c r="X30" s="1" t="str">
        <f>IFERROR(Backend!$M30*VLOOKUP($F30,'OH,Profit &amp; Other Base'!$A:$V,Backend!X$6,0),"")</f>
        <v/>
      </c>
      <c r="Y30" s="1" t="str">
        <f>IFERROR(Backend!$L30*VLOOKUP($F30,'OH,Profit &amp; Other Base'!$A:$V,Backend!Y$6,0),"")</f>
        <v/>
      </c>
      <c r="Z30" s="1" t="str">
        <f>IFERROR(Backend!$M30*VLOOKUP($F30,'OH,Profit &amp; Other Base'!$A:$V,Backend!Z$6,0),"")</f>
        <v/>
      </c>
      <c r="AA30" s="1" t="str">
        <f>IFERROR(Backend!$L30*VLOOKUP($F30,'OH,Profit &amp; Other Base'!$A:$V,Backend!AA$6,0),"")</f>
        <v/>
      </c>
      <c r="AB30" s="1" t="str">
        <f>IFERROR(Backend!$M30*VLOOKUP($F30,'OH,Profit &amp; Other Base'!$A:$V,Backend!AB$6,0),"")</f>
        <v/>
      </c>
      <c r="AC30" s="1" t="str">
        <f>IFERROR(Backend!$L30*VLOOKUP($F30,'OH,Profit &amp; Other Base'!$A:$V,Backend!AC$6,0),"")</f>
        <v/>
      </c>
      <c r="AD30" s="1" t="str">
        <f>IFERROR(Backend!$M30*VLOOKUP($F30,'OH,Profit &amp; Other Base'!$A:$V,Backend!AD$6,0),"")</f>
        <v/>
      </c>
      <c r="AE30" s="1" t="str">
        <f>IFERROR(Backend!$L30*VLOOKUP($F30,'OH,Profit &amp; Other Base'!$A:$V,Backend!AE$6,0),"")</f>
        <v/>
      </c>
      <c r="AF30" s="1" t="str">
        <f>IFERROR(Backend!$M30*VLOOKUP($F30,'OH,Profit &amp; Other Base'!$A:$V,Backend!AF$6,0),"")</f>
        <v/>
      </c>
      <c r="AG30" s="1" t="str">
        <f>IFERROR(Backend!$L30*VLOOKUP($F30,'OH,Profit &amp; Other Base'!$A:$V,Backend!AG$6,0),"")</f>
        <v/>
      </c>
      <c r="AH30" s="1" t="str">
        <f>IFERROR(Backend!$M30*VLOOKUP($F30,'OH,Profit &amp; Other Base'!$A:$V,Backend!AH$6,0),"")</f>
        <v/>
      </c>
      <c r="AI30" s="3">
        <f t="shared" si="2"/>
        <v>0</v>
      </c>
      <c r="AL30" s="1" t="str">
        <f t="shared" si="3"/>
        <v/>
      </c>
      <c r="AM30" s="1" t="str">
        <f t="shared" si="4"/>
        <v/>
      </c>
      <c r="AN30" s="1" t="str">
        <f t="shared" si="5"/>
        <v/>
      </c>
      <c r="AO30" s="1" t="str">
        <f t="shared" si="6"/>
        <v/>
      </c>
      <c r="AP30" s="1" t="str">
        <f>IFERROR(ROUND(Backend!$AL30*VLOOKUP($F30,'OH,Profit &amp; Other Base'!$A:$V,Backend!AP$6,0),5),"")</f>
        <v/>
      </c>
      <c r="AQ30" s="1" t="str">
        <f>IFERROR(ROUND(Backend!$AO30*VLOOKUP($F30,'OH,Profit &amp; Other Base'!$A:$V,Backend!AQ$6,0),5),"")</f>
        <v/>
      </c>
      <c r="AR30" s="1" t="str">
        <f>IFERROR(ROUND(Backend!$AM30*VLOOKUP($F30,'OH,Profit &amp; Other Base'!$A:$V,Backend!AR$6,0),5),"")</f>
        <v/>
      </c>
      <c r="AS30" s="1" t="str">
        <f>IFERROR(ROUND(Backend!$AL30*VLOOKUP($F30,'OH,Profit &amp; Other Base'!$A:$V,Backend!AS$6,0),5),"")</f>
        <v/>
      </c>
      <c r="AT30" s="1" t="str">
        <f>IFERROR(ROUND(Backend!$AO30*VLOOKUP($F30,'OH,Profit &amp; Other Base'!$A:$V,Backend!AT$6,0),5),"")</f>
        <v/>
      </c>
      <c r="AU30" s="1" t="str">
        <f>IFERROR(ROUND(Backend!$AM30*VLOOKUP($F30,'OH,Profit &amp; Other Base'!$A:$V,Backend!AU$6,0),5),"")</f>
        <v/>
      </c>
      <c r="AV30" s="1" t="str">
        <f>IFERROR(ROUND(Backend!$AL30*VLOOKUP($F30,'OH,Profit &amp; Other Base'!$A:$V,Backend!AV$6,0),5),"")</f>
        <v/>
      </c>
      <c r="AW30" s="1" t="str">
        <f>IFERROR(ROUND(Backend!$AO30*VLOOKUP($F30,'OH,Profit &amp; Other Base'!$A:$V,Backend!AW$6,0),5),"")</f>
        <v/>
      </c>
      <c r="AX30" s="1" t="str">
        <f>IFERROR(ROUND(Backend!$AM30*VLOOKUP($F30,'OH,Profit &amp; Other Base'!$A:$V,Backend!AX$6,0),5),"")</f>
        <v/>
      </c>
      <c r="AY30" s="1" t="str">
        <f>IFERROR(ROUND(Backend!$AL30*VLOOKUP($F30,'OH,Profit &amp; Other Base'!$A:$V,Backend!AY$6,0),5),"")</f>
        <v/>
      </c>
      <c r="AZ30" s="1" t="str">
        <f>IFERROR(ROUND(Backend!$AO30*VLOOKUP($F30,'OH,Profit &amp; Other Base'!$A:$V,Backend!AZ$6,0),5),"")</f>
        <v/>
      </c>
      <c r="BA30" s="1" t="str">
        <f>IFERROR(ROUND(Backend!$AM30*VLOOKUP($F30,'OH,Profit &amp; Other Base'!$A:$V,Backend!BA$6,0),5),"")</f>
        <v/>
      </c>
      <c r="BB30" s="1" t="str">
        <f>IFERROR(ROUND(Backend!$AL30*VLOOKUP($F30,'OH,Profit &amp; Other Base'!$A:$V,Backend!BB$6,0),5),"")</f>
        <v/>
      </c>
      <c r="BC30" s="1" t="str">
        <f>IFERROR(ROUND(Backend!$AO30*VLOOKUP($F30,'OH,Profit &amp; Other Base'!$A:$V,Backend!BC$6,0),5),"")</f>
        <v/>
      </c>
      <c r="BD30" s="1" t="str">
        <f>IFERROR(ROUND(Backend!$AM30*VLOOKUP($F30,'OH,Profit &amp; Other Base'!$A:$V,Backend!BD$6,0),5),"")</f>
        <v/>
      </c>
      <c r="BE30" s="1" t="str">
        <f>IFERROR(ROUND(Backend!$AL30*VLOOKUP($F30,'OH,Profit &amp; Other Base'!$A:$V,Backend!BE$6,0),5),"")</f>
        <v/>
      </c>
      <c r="BF30" s="1" t="str">
        <f>IFERROR(ROUND(Backend!$AO30*VLOOKUP($F30,'OH,Profit &amp; Other Base'!$A:$V,Backend!BF$6,0),5),"")</f>
        <v/>
      </c>
      <c r="BG30" s="1" t="str">
        <f>IFERROR(ROUND(Backend!$AM30*VLOOKUP($F30,'OH,Profit &amp; Other Base'!$A:$V,Backend!BG$6,0),5),"")</f>
        <v/>
      </c>
      <c r="BH30" s="1" t="str">
        <f>IFERROR(ROUND(Backend!$AL30*VLOOKUP($F30,'OH,Profit &amp; Other Base'!$A:$V,Backend!BH$6,0),5),"")</f>
        <v/>
      </c>
      <c r="BI30" s="1" t="str">
        <f>IFERROR(ROUND(Backend!$AO30*VLOOKUP($F30,'OH,Profit &amp; Other Base'!$A:$V,Backend!BI$6,0),5),"")</f>
        <v/>
      </c>
      <c r="BJ30" s="1" t="str">
        <f>IFERROR(ROUND(Backend!$AM30*VLOOKUP($F30,'OH,Profit &amp; Other Base'!$A:$V,Backend!BJ$6,0),5),"")</f>
        <v/>
      </c>
      <c r="BK30" s="3">
        <f>SUM(AN30:BJ30,Backend!O30)</f>
        <v>0</v>
      </c>
    </row>
    <row r="31" spans="1:63">
      <c r="A31" s="1">
        <f>BOM!A26</f>
        <v>24</v>
      </c>
      <c r="B31" s="1" t="str">
        <f>BOM!B26</f>
        <v>MB512123</v>
      </c>
      <c r="C31" s="1">
        <f>BOM!C26</f>
        <v>0</v>
      </c>
      <c r="D31" s="1">
        <f>BOM!D26</f>
        <v>0</v>
      </c>
      <c r="E31" s="1">
        <f>BOM!F26</f>
        <v>0</v>
      </c>
      <c r="F31" s="1" t="str">
        <f>IF(H31="CSC",BOM!H26,IF(J31="BOFOthers","Sheet Metal-B",""))</f>
        <v/>
      </c>
      <c r="G31" s="1">
        <f>BOM!I26</f>
        <v>0</v>
      </c>
      <c r="H31" s="1">
        <f>BOM!J26</f>
        <v>0</v>
      </c>
      <c r="I31" s="1" t="str">
        <f t="shared" si="0"/>
        <v>Others</v>
      </c>
      <c r="J31" s="1" t="str">
        <f t="shared" si="1"/>
        <v>0Others</v>
      </c>
      <c r="K31" s="3" t="str">
        <f>IF($J31="InhouseCSC",VLOOKUP($D31,Group!$C:$E,3,0),"")</f>
        <v/>
      </c>
      <c r="L31" s="3" t="str">
        <f>IF(OR($J31="BOSFCSC",$J31="BOFCSC"),VLOOKUP($D31,Group!$C:$E,3,0),"")</f>
        <v/>
      </c>
      <c r="M31" s="3" t="str">
        <f>IF(OR($J31="BOSFCSC",$J31="BOFCSC"),VLOOKUP($D31,Group!$C:$F,4,0),"")</f>
        <v/>
      </c>
      <c r="N31" s="3" t="str">
        <f>IF(OR($J31="InhouseCSC",$J31="BOSFCSC"),VLOOKUP($D31,Group!$C:$G,5,0),"")</f>
        <v/>
      </c>
      <c r="O31" s="3" t="str">
        <f>IF($J31="InhouseCSC",ROUND(VLOOKUP($D31,Group!$C:$H,6,0),5),"")</f>
        <v/>
      </c>
      <c r="P31" s="3" t="str">
        <f>IF(OR($J31="BOSFCSC",$J31="BOFCSC"),VLOOKUP($D31,Group!$C:$H,6,0),"")</f>
        <v/>
      </c>
      <c r="Q31" s="1" t="str">
        <f>IF($J31="Inhouseothers",VLOOKUP($D31,Group!$C:$E,3,0),"")</f>
        <v/>
      </c>
      <c r="R31" s="1" t="str">
        <f>IF($J31="BOSFOthers",VLOOKUP($D31,Group!$C:$E,3,0),"")</f>
        <v/>
      </c>
      <c r="S31" s="3" t="str">
        <f>IF($J31="BOFOthers",VLOOKUP($D31,Group!$C:$E,3,0),"")</f>
        <v/>
      </c>
      <c r="U31" s="1" t="str">
        <f>IFERROR(Backend!$L31*VLOOKUP($F31,'OH,Profit &amp; Other Base'!$A:$V,Backend!U$6,0),"")</f>
        <v/>
      </c>
      <c r="V31" s="1" t="str">
        <f>IFERROR(Backend!$M31*VLOOKUP($F31,'OH,Profit &amp; Other Base'!$A:$V,Backend!V$6,0),"")</f>
        <v/>
      </c>
      <c r="W31" s="1" t="str">
        <f>IFERROR(Backend!$L31*VLOOKUP($F31,'OH,Profit &amp; Other Base'!$A:$V,Backend!W$6,0),"")</f>
        <v/>
      </c>
      <c r="X31" s="1" t="str">
        <f>IFERROR(Backend!$M31*VLOOKUP($F31,'OH,Profit &amp; Other Base'!$A:$V,Backend!X$6,0),"")</f>
        <v/>
      </c>
      <c r="Y31" s="1" t="str">
        <f>IFERROR(Backend!$L31*VLOOKUP($F31,'OH,Profit &amp; Other Base'!$A:$V,Backend!Y$6,0),"")</f>
        <v/>
      </c>
      <c r="Z31" s="1" t="str">
        <f>IFERROR(Backend!$M31*VLOOKUP($F31,'OH,Profit &amp; Other Base'!$A:$V,Backend!Z$6,0),"")</f>
        <v/>
      </c>
      <c r="AA31" s="1" t="str">
        <f>IFERROR(Backend!$L31*VLOOKUP($F31,'OH,Profit &amp; Other Base'!$A:$V,Backend!AA$6,0),"")</f>
        <v/>
      </c>
      <c r="AB31" s="1" t="str">
        <f>IFERROR(Backend!$M31*VLOOKUP($F31,'OH,Profit &amp; Other Base'!$A:$V,Backend!AB$6,0),"")</f>
        <v/>
      </c>
      <c r="AC31" s="1" t="str">
        <f>IFERROR(Backend!$L31*VLOOKUP($F31,'OH,Profit &amp; Other Base'!$A:$V,Backend!AC$6,0),"")</f>
        <v/>
      </c>
      <c r="AD31" s="1" t="str">
        <f>IFERROR(Backend!$M31*VLOOKUP($F31,'OH,Profit &amp; Other Base'!$A:$V,Backend!AD$6,0),"")</f>
        <v/>
      </c>
      <c r="AE31" s="1" t="str">
        <f>IFERROR(Backend!$L31*VLOOKUP($F31,'OH,Profit &amp; Other Base'!$A:$V,Backend!AE$6,0),"")</f>
        <v/>
      </c>
      <c r="AF31" s="1" t="str">
        <f>IFERROR(Backend!$M31*VLOOKUP($F31,'OH,Profit &amp; Other Base'!$A:$V,Backend!AF$6,0),"")</f>
        <v/>
      </c>
      <c r="AG31" s="1" t="str">
        <f>IFERROR(Backend!$L31*VLOOKUP($F31,'OH,Profit &amp; Other Base'!$A:$V,Backend!AG$6,0),"")</f>
        <v/>
      </c>
      <c r="AH31" s="1" t="str">
        <f>IFERROR(Backend!$M31*VLOOKUP($F31,'OH,Profit &amp; Other Base'!$A:$V,Backend!AH$6,0),"")</f>
        <v/>
      </c>
      <c r="AI31" s="3">
        <f t="shared" si="2"/>
        <v>0</v>
      </c>
      <c r="AL31" s="1" t="str">
        <f t="shared" si="3"/>
        <v/>
      </c>
      <c r="AM31" s="1" t="str">
        <f t="shared" si="4"/>
        <v/>
      </c>
      <c r="AN31" s="1" t="str">
        <f t="shared" si="5"/>
        <v/>
      </c>
      <c r="AO31" s="1" t="str">
        <f t="shared" si="6"/>
        <v/>
      </c>
      <c r="AP31" s="1" t="str">
        <f>IFERROR(ROUND(Backend!$AL31*VLOOKUP($F31,'OH,Profit &amp; Other Base'!$A:$V,Backend!AP$6,0),5),"")</f>
        <v/>
      </c>
      <c r="AQ31" s="1" t="str">
        <f>IFERROR(ROUND(Backend!$AO31*VLOOKUP($F31,'OH,Profit &amp; Other Base'!$A:$V,Backend!AQ$6,0),5),"")</f>
        <v/>
      </c>
      <c r="AR31" s="1" t="str">
        <f>IFERROR(ROUND(Backend!$AM31*VLOOKUP($F31,'OH,Profit &amp; Other Base'!$A:$V,Backend!AR$6,0),5),"")</f>
        <v/>
      </c>
      <c r="AS31" s="1" t="str">
        <f>IFERROR(ROUND(Backend!$AL31*VLOOKUP($F31,'OH,Profit &amp; Other Base'!$A:$V,Backend!AS$6,0),5),"")</f>
        <v/>
      </c>
      <c r="AT31" s="1" t="str">
        <f>IFERROR(ROUND(Backend!$AO31*VLOOKUP($F31,'OH,Profit &amp; Other Base'!$A:$V,Backend!AT$6,0),5),"")</f>
        <v/>
      </c>
      <c r="AU31" s="1" t="str">
        <f>IFERROR(ROUND(Backend!$AM31*VLOOKUP($F31,'OH,Profit &amp; Other Base'!$A:$V,Backend!AU$6,0),5),"")</f>
        <v/>
      </c>
      <c r="AV31" s="1" t="str">
        <f>IFERROR(ROUND(Backend!$AL31*VLOOKUP($F31,'OH,Profit &amp; Other Base'!$A:$V,Backend!AV$6,0),5),"")</f>
        <v/>
      </c>
      <c r="AW31" s="1" t="str">
        <f>IFERROR(ROUND(Backend!$AO31*VLOOKUP($F31,'OH,Profit &amp; Other Base'!$A:$V,Backend!AW$6,0),5),"")</f>
        <v/>
      </c>
      <c r="AX31" s="1" t="str">
        <f>IFERROR(ROUND(Backend!$AM31*VLOOKUP($F31,'OH,Profit &amp; Other Base'!$A:$V,Backend!AX$6,0),5),"")</f>
        <v/>
      </c>
      <c r="AY31" s="1" t="str">
        <f>IFERROR(ROUND(Backend!$AL31*VLOOKUP($F31,'OH,Profit &amp; Other Base'!$A:$V,Backend!AY$6,0),5),"")</f>
        <v/>
      </c>
      <c r="AZ31" s="1" t="str">
        <f>IFERROR(ROUND(Backend!$AO31*VLOOKUP($F31,'OH,Profit &amp; Other Base'!$A:$V,Backend!AZ$6,0),5),"")</f>
        <v/>
      </c>
      <c r="BA31" s="1" t="str">
        <f>IFERROR(ROUND(Backend!$AM31*VLOOKUP($F31,'OH,Profit &amp; Other Base'!$A:$V,Backend!BA$6,0),5),"")</f>
        <v/>
      </c>
      <c r="BB31" s="1" t="str">
        <f>IFERROR(ROUND(Backend!$AL31*VLOOKUP($F31,'OH,Profit &amp; Other Base'!$A:$V,Backend!BB$6,0),5),"")</f>
        <v/>
      </c>
      <c r="BC31" s="1" t="str">
        <f>IFERROR(ROUND(Backend!$AO31*VLOOKUP($F31,'OH,Profit &amp; Other Base'!$A:$V,Backend!BC$6,0),5),"")</f>
        <v/>
      </c>
      <c r="BD31" s="1" t="str">
        <f>IFERROR(ROUND(Backend!$AM31*VLOOKUP($F31,'OH,Profit &amp; Other Base'!$A:$V,Backend!BD$6,0),5),"")</f>
        <v/>
      </c>
      <c r="BE31" s="1" t="str">
        <f>IFERROR(ROUND(Backend!$AL31*VLOOKUP($F31,'OH,Profit &amp; Other Base'!$A:$V,Backend!BE$6,0),5),"")</f>
        <v/>
      </c>
      <c r="BF31" s="1" t="str">
        <f>IFERROR(ROUND(Backend!$AO31*VLOOKUP($F31,'OH,Profit &amp; Other Base'!$A:$V,Backend!BF$6,0),5),"")</f>
        <v/>
      </c>
      <c r="BG31" s="1" t="str">
        <f>IFERROR(ROUND(Backend!$AM31*VLOOKUP($F31,'OH,Profit &amp; Other Base'!$A:$V,Backend!BG$6,0),5),"")</f>
        <v/>
      </c>
      <c r="BH31" s="1" t="str">
        <f>IFERROR(ROUND(Backend!$AL31*VLOOKUP($F31,'OH,Profit &amp; Other Base'!$A:$V,Backend!BH$6,0),5),"")</f>
        <v/>
      </c>
      <c r="BI31" s="1" t="str">
        <f>IFERROR(ROUND(Backend!$AO31*VLOOKUP($F31,'OH,Profit &amp; Other Base'!$A:$V,Backend!BI$6,0),5),"")</f>
        <v/>
      </c>
      <c r="BJ31" s="1" t="str">
        <f>IFERROR(ROUND(Backend!$AM31*VLOOKUP($F31,'OH,Profit &amp; Other Base'!$A:$V,Backend!BJ$6,0),5),"")</f>
        <v/>
      </c>
      <c r="BK31" s="3">
        <f>SUM(AN31:BJ31,Backend!O31)</f>
        <v>0</v>
      </c>
    </row>
    <row r="32" spans="1:63">
      <c r="A32" s="1">
        <f>BOM!A27</f>
        <v>25</v>
      </c>
      <c r="B32" s="1" t="str">
        <f>BOM!B27</f>
        <v>MB512123</v>
      </c>
      <c r="C32" s="1">
        <f>BOM!C27</f>
        <v>0</v>
      </c>
      <c r="D32" s="1">
        <f>BOM!D27</f>
        <v>0</v>
      </c>
      <c r="E32" s="1">
        <f>BOM!F27</f>
        <v>0</v>
      </c>
      <c r="F32" s="1" t="str">
        <f>IF(H32="CSC",BOM!H27,IF(J32="BOFOthers","Sheet Metal-B",""))</f>
        <v/>
      </c>
      <c r="G32" s="1">
        <f>BOM!I27</f>
        <v>0</v>
      </c>
      <c r="H32" s="1">
        <f>BOM!J27</f>
        <v>0</v>
      </c>
      <c r="I32" s="1" t="str">
        <f t="shared" si="0"/>
        <v>Others</v>
      </c>
      <c r="J32" s="1" t="str">
        <f t="shared" si="1"/>
        <v>0Others</v>
      </c>
      <c r="K32" s="3" t="str">
        <f>IF($J32="InhouseCSC",VLOOKUP($D32,Group!$C:$E,3,0),"")</f>
        <v/>
      </c>
      <c r="L32" s="3" t="str">
        <f>IF(OR($J32="BOSFCSC",$J32="BOFCSC"),VLOOKUP($D32,Group!$C:$E,3,0),"")</f>
        <v/>
      </c>
      <c r="M32" s="3" t="str">
        <f>IF(OR($J32="BOSFCSC",$J32="BOFCSC"),VLOOKUP($D32,Group!$C:$F,4,0),"")</f>
        <v/>
      </c>
      <c r="N32" s="3" t="str">
        <f>IF(OR($J32="InhouseCSC",$J32="BOSFCSC"),VLOOKUP($D32,Group!$C:$G,5,0),"")</f>
        <v/>
      </c>
      <c r="O32" s="3" t="str">
        <f>IF($J32="InhouseCSC",ROUND(VLOOKUP($D32,Group!$C:$H,6,0),5),"")</f>
        <v/>
      </c>
      <c r="P32" s="3" t="str">
        <f>IF(OR($J32="BOSFCSC",$J32="BOFCSC"),VLOOKUP($D32,Group!$C:$H,6,0),"")</f>
        <v/>
      </c>
      <c r="Q32" s="1" t="str">
        <f>IF($J32="Inhouseothers",VLOOKUP($D32,Group!$C:$E,3,0),"")</f>
        <v/>
      </c>
      <c r="R32" s="1" t="str">
        <f>IF($J32="BOSFOthers",VLOOKUP($D32,Group!$C:$E,3,0),"")</f>
        <v/>
      </c>
      <c r="S32" s="3" t="str">
        <f>IF($J32="BOFOthers",VLOOKUP($D32,Group!$C:$E,3,0),"")</f>
        <v/>
      </c>
      <c r="U32" s="1" t="str">
        <f>IFERROR(Backend!$L32*VLOOKUP($F32,'OH,Profit &amp; Other Base'!$A:$V,Backend!U$6,0),"")</f>
        <v/>
      </c>
      <c r="V32" s="1" t="str">
        <f>IFERROR(Backend!$M32*VLOOKUP($F32,'OH,Profit &amp; Other Base'!$A:$V,Backend!V$6,0),"")</f>
        <v/>
      </c>
      <c r="W32" s="1" t="str">
        <f>IFERROR(Backend!$L32*VLOOKUP($F32,'OH,Profit &amp; Other Base'!$A:$V,Backend!W$6,0),"")</f>
        <v/>
      </c>
      <c r="X32" s="1" t="str">
        <f>IFERROR(Backend!$M32*VLOOKUP($F32,'OH,Profit &amp; Other Base'!$A:$V,Backend!X$6,0),"")</f>
        <v/>
      </c>
      <c r="Y32" s="1" t="str">
        <f>IFERROR(Backend!$L32*VLOOKUP($F32,'OH,Profit &amp; Other Base'!$A:$V,Backend!Y$6,0),"")</f>
        <v/>
      </c>
      <c r="Z32" s="1" t="str">
        <f>IFERROR(Backend!$M32*VLOOKUP($F32,'OH,Profit &amp; Other Base'!$A:$V,Backend!Z$6,0),"")</f>
        <v/>
      </c>
      <c r="AA32" s="1" t="str">
        <f>IFERROR(Backend!$L32*VLOOKUP($F32,'OH,Profit &amp; Other Base'!$A:$V,Backend!AA$6,0),"")</f>
        <v/>
      </c>
      <c r="AB32" s="1" t="str">
        <f>IFERROR(Backend!$M32*VLOOKUP($F32,'OH,Profit &amp; Other Base'!$A:$V,Backend!AB$6,0),"")</f>
        <v/>
      </c>
      <c r="AC32" s="1" t="str">
        <f>IFERROR(Backend!$L32*VLOOKUP($F32,'OH,Profit &amp; Other Base'!$A:$V,Backend!AC$6,0),"")</f>
        <v/>
      </c>
      <c r="AD32" s="1" t="str">
        <f>IFERROR(Backend!$M32*VLOOKUP($F32,'OH,Profit &amp; Other Base'!$A:$V,Backend!AD$6,0),"")</f>
        <v/>
      </c>
      <c r="AE32" s="1" t="str">
        <f>IFERROR(Backend!$L32*VLOOKUP($F32,'OH,Profit &amp; Other Base'!$A:$V,Backend!AE$6,0),"")</f>
        <v/>
      </c>
      <c r="AF32" s="1" t="str">
        <f>IFERROR(Backend!$M32*VLOOKUP($F32,'OH,Profit &amp; Other Base'!$A:$V,Backend!AF$6,0),"")</f>
        <v/>
      </c>
      <c r="AG32" s="1" t="str">
        <f>IFERROR(Backend!$L32*VLOOKUP($F32,'OH,Profit &amp; Other Base'!$A:$V,Backend!AG$6,0),"")</f>
        <v/>
      </c>
      <c r="AH32" s="1" t="str">
        <f>IFERROR(Backend!$M32*VLOOKUP($F32,'OH,Profit &amp; Other Base'!$A:$V,Backend!AH$6,0),"")</f>
        <v/>
      </c>
      <c r="AI32" s="3">
        <f t="shared" si="2"/>
        <v>0</v>
      </c>
      <c r="AL32" s="1" t="str">
        <f t="shared" si="3"/>
        <v/>
      </c>
      <c r="AM32" s="1" t="str">
        <f t="shared" si="4"/>
        <v/>
      </c>
      <c r="AN32" s="1" t="str">
        <f t="shared" si="5"/>
        <v/>
      </c>
      <c r="AO32" s="1" t="str">
        <f t="shared" si="6"/>
        <v/>
      </c>
      <c r="AP32" s="1" t="str">
        <f>IFERROR(ROUND(Backend!$AL32*VLOOKUP($F32,'OH,Profit &amp; Other Base'!$A:$V,Backend!AP$6,0),5),"")</f>
        <v/>
      </c>
      <c r="AQ32" s="1" t="str">
        <f>IFERROR(ROUND(Backend!$AO32*VLOOKUP($F32,'OH,Profit &amp; Other Base'!$A:$V,Backend!AQ$6,0),5),"")</f>
        <v/>
      </c>
      <c r="AR32" s="1" t="str">
        <f>IFERROR(ROUND(Backend!$AM32*VLOOKUP($F32,'OH,Profit &amp; Other Base'!$A:$V,Backend!AR$6,0),5),"")</f>
        <v/>
      </c>
      <c r="AS32" s="1" t="str">
        <f>IFERROR(ROUND(Backend!$AL32*VLOOKUP($F32,'OH,Profit &amp; Other Base'!$A:$V,Backend!AS$6,0),5),"")</f>
        <v/>
      </c>
      <c r="AT32" s="1" t="str">
        <f>IFERROR(ROUND(Backend!$AO32*VLOOKUP($F32,'OH,Profit &amp; Other Base'!$A:$V,Backend!AT$6,0),5),"")</f>
        <v/>
      </c>
      <c r="AU32" s="1" t="str">
        <f>IFERROR(ROUND(Backend!$AM32*VLOOKUP($F32,'OH,Profit &amp; Other Base'!$A:$V,Backend!AU$6,0),5),"")</f>
        <v/>
      </c>
      <c r="AV32" s="1" t="str">
        <f>IFERROR(ROUND(Backend!$AL32*VLOOKUP($F32,'OH,Profit &amp; Other Base'!$A:$V,Backend!AV$6,0),5),"")</f>
        <v/>
      </c>
      <c r="AW32" s="1" t="str">
        <f>IFERROR(ROUND(Backend!$AO32*VLOOKUP($F32,'OH,Profit &amp; Other Base'!$A:$V,Backend!AW$6,0),5),"")</f>
        <v/>
      </c>
      <c r="AX32" s="1" t="str">
        <f>IFERROR(ROUND(Backend!$AM32*VLOOKUP($F32,'OH,Profit &amp; Other Base'!$A:$V,Backend!AX$6,0),5),"")</f>
        <v/>
      </c>
      <c r="AY32" s="1" t="str">
        <f>IFERROR(ROUND(Backend!$AL32*VLOOKUP($F32,'OH,Profit &amp; Other Base'!$A:$V,Backend!AY$6,0),5),"")</f>
        <v/>
      </c>
      <c r="AZ32" s="1" t="str">
        <f>IFERROR(ROUND(Backend!$AO32*VLOOKUP($F32,'OH,Profit &amp; Other Base'!$A:$V,Backend!AZ$6,0),5),"")</f>
        <v/>
      </c>
      <c r="BA32" s="1" t="str">
        <f>IFERROR(ROUND(Backend!$AM32*VLOOKUP($F32,'OH,Profit &amp; Other Base'!$A:$V,Backend!BA$6,0),5),"")</f>
        <v/>
      </c>
      <c r="BB32" s="1" t="str">
        <f>IFERROR(ROUND(Backend!$AL32*VLOOKUP($F32,'OH,Profit &amp; Other Base'!$A:$V,Backend!BB$6,0),5),"")</f>
        <v/>
      </c>
      <c r="BC32" s="1" t="str">
        <f>IFERROR(ROUND(Backend!$AO32*VLOOKUP($F32,'OH,Profit &amp; Other Base'!$A:$V,Backend!BC$6,0),5),"")</f>
        <v/>
      </c>
      <c r="BD32" s="1" t="str">
        <f>IFERROR(ROUND(Backend!$AM32*VLOOKUP($F32,'OH,Profit &amp; Other Base'!$A:$V,Backend!BD$6,0),5),"")</f>
        <v/>
      </c>
      <c r="BE32" s="1" t="str">
        <f>IFERROR(ROUND(Backend!$AL32*VLOOKUP($F32,'OH,Profit &amp; Other Base'!$A:$V,Backend!BE$6,0),5),"")</f>
        <v/>
      </c>
      <c r="BF32" s="1" t="str">
        <f>IFERROR(ROUND(Backend!$AO32*VLOOKUP($F32,'OH,Profit &amp; Other Base'!$A:$V,Backend!BF$6,0),5),"")</f>
        <v/>
      </c>
      <c r="BG32" s="1" t="str">
        <f>IFERROR(ROUND(Backend!$AM32*VLOOKUP($F32,'OH,Profit &amp; Other Base'!$A:$V,Backend!BG$6,0),5),"")</f>
        <v/>
      </c>
      <c r="BH32" s="1" t="str">
        <f>IFERROR(ROUND(Backend!$AL32*VLOOKUP($F32,'OH,Profit &amp; Other Base'!$A:$V,Backend!BH$6,0),5),"")</f>
        <v/>
      </c>
      <c r="BI32" s="1" t="str">
        <f>IFERROR(ROUND(Backend!$AO32*VLOOKUP($F32,'OH,Profit &amp; Other Base'!$A:$V,Backend!BI$6,0),5),"")</f>
        <v/>
      </c>
      <c r="BJ32" s="1" t="str">
        <f>IFERROR(ROUND(Backend!$AM32*VLOOKUP($F32,'OH,Profit &amp; Other Base'!$A:$V,Backend!BJ$6,0),5),"")</f>
        <v/>
      </c>
      <c r="BK32" s="3">
        <f>SUM(AN32:BJ32,Backend!O32)</f>
        <v>0</v>
      </c>
    </row>
    <row r="33" spans="1:63">
      <c r="A33" s="1">
        <f>BOM!A28</f>
        <v>26</v>
      </c>
      <c r="B33" s="1" t="str">
        <f>BOM!B28</f>
        <v>MB512123</v>
      </c>
      <c r="C33" s="1">
        <f>BOM!C28</f>
        <v>0</v>
      </c>
      <c r="D33" s="1">
        <f>BOM!D28</f>
        <v>0</v>
      </c>
      <c r="E33" s="1">
        <f>BOM!F28</f>
        <v>0</v>
      </c>
      <c r="F33" s="1" t="str">
        <f>IF(H33="CSC",BOM!H28,IF(J33="BOFOthers","Sheet Metal-B",""))</f>
        <v/>
      </c>
      <c r="G33" s="1">
        <f>BOM!I28</f>
        <v>0</v>
      </c>
      <c r="H33" s="1">
        <f>BOM!J28</f>
        <v>0</v>
      </c>
      <c r="I33" s="1" t="str">
        <f t="shared" si="0"/>
        <v>Others</v>
      </c>
      <c r="J33" s="1" t="str">
        <f t="shared" si="1"/>
        <v>0Others</v>
      </c>
      <c r="K33" s="3" t="str">
        <f>IF($J33="InhouseCSC",VLOOKUP($D33,Group!$C:$E,3,0),"")</f>
        <v/>
      </c>
      <c r="L33" s="3" t="str">
        <f>IF(OR($J33="BOSFCSC",$J33="BOFCSC"),VLOOKUP($D33,Group!$C:$E,3,0),"")</f>
        <v/>
      </c>
      <c r="M33" s="3" t="str">
        <f>IF(OR($J33="BOSFCSC",$J33="BOFCSC"),VLOOKUP($D33,Group!$C:$F,4,0),"")</f>
        <v/>
      </c>
      <c r="N33" s="3" t="str">
        <f>IF(OR($J33="InhouseCSC",$J33="BOSFCSC"),VLOOKUP($D33,Group!$C:$G,5,0),"")</f>
        <v/>
      </c>
      <c r="O33" s="3" t="str">
        <f>IF($J33="InhouseCSC",ROUND(VLOOKUP($D33,Group!$C:$H,6,0),5),"")</f>
        <v/>
      </c>
      <c r="P33" s="3" t="str">
        <f>IF(OR($J33="BOSFCSC",$J33="BOFCSC"),VLOOKUP($D33,Group!$C:$H,6,0),"")</f>
        <v/>
      </c>
      <c r="Q33" s="1" t="str">
        <f>IF($J33="Inhouseothers",VLOOKUP($D33,Group!$C:$E,3,0),"")</f>
        <v/>
      </c>
      <c r="R33" s="1" t="str">
        <f>IF($J33="BOSFOthers",VLOOKUP($D33,Group!$C:$E,3,0),"")</f>
        <v/>
      </c>
      <c r="S33" s="3" t="str">
        <f>IF($J33="BOFOthers",VLOOKUP($D33,Group!$C:$E,3,0),"")</f>
        <v/>
      </c>
      <c r="U33" s="1" t="str">
        <f>IFERROR(Backend!$L33*VLOOKUP($F33,'OH,Profit &amp; Other Base'!$A:$V,Backend!U$6,0),"")</f>
        <v/>
      </c>
      <c r="V33" s="1" t="str">
        <f>IFERROR(Backend!$M33*VLOOKUP($F33,'OH,Profit &amp; Other Base'!$A:$V,Backend!V$6,0),"")</f>
        <v/>
      </c>
      <c r="W33" s="1" t="str">
        <f>IFERROR(Backend!$L33*VLOOKUP($F33,'OH,Profit &amp; Other Base'!$A:$V,Backend!W$6,0),"")</f>
        <v/>
      </c>
      <c r="X33" s="1" t="str">
        <f>IFERROR(Backend!$M33*VLOOKUP($F33,'OH,Profit &amp; Other Base'!$A:$V,Backend!X$6,0),"")</f>
        <v/>
      </c>
      <c r="Y33" s="1" t="str">
        <f>IFERROR(Backend!$L33*VLOOKUP($F33,'OH,Profit &amp; Other Base'!$A:$V,Backend!Y$6,0),"")</f>
        <v/>
      </c>
      <c r="Z33" s="1" t="str">
        <f>IFERROR(Backend!$M33*VLOOKUP($F33,'OH,Profit &amp; Other Base'!$A:$V,Backend!Z$6,0),"")</f>
        <v/>
      </c>
      <c r="AA33" s="1" t="str">
        <f>IFERROR(Backend!$L33*VLOOKUP($F33,'OH,Profit &amp; Other Base'!$A:$V,Backend!AA$6,0),"")</f>
        <v/>
      </c>
      <c r="AB33" s="1" t="str">
        <f>IFERROR(Backend!$M33*VLOOKUP($F33,'OH,Profit &amp; Other Base'!$A:$V,Backend!AB$6,0),"")</f>
        <v/>
      </c>
      <c r="AC33" s="1" t="str">
        <f>IFERROR(Backend!$L33*VLOOKUP($F33,'OH,Profit &amp; Other Base'!$A:$V,Backend!AC$6,0),"")</f>
        <v/>
      </c>
      <c r="AD33" s="1" t="str">
        <f>IFERROR(Backend!$M33*VLOOKUP($F33,'OH,Profit &amp; Other Base'!$A:$V,Backend!AD$6,0),"")</f>
        <v/>
      </c>
      <c r="AE33" s="1" t="str">
        <f>IFERROR(Backend!$L33*VLOOKUP($F33,'OH,Profit &amp; Other Base'!$A:$V,Backend!AE$6,0),"")</f>
        <v/>
      </c>
      <c r="AF33" s="1" t="str">
        <f>IFERROR(Backend!$M33*VLOOKUP($F33,'OH,Profit &amp; Other Base'!$A:$V,Backend!AF$6,0),"")</f>
        <v/>
      </c>
      <c r="AG33" s="1" t="str">
        <f>IFERROR(Backend!$L33*VLOOKUP($F33,'OH,Profit &amp; Other Base'!$A:$V,Backend!AG$6,0),"")</f>
        <v/>
      </c>
      <c r="AH33" s="1" t="str">
        <f>IFERROR(Backend!$M33*VLOOKUP($F33,'OH,Profit &amp; Other Base'!$A:$V,Backend!AH$6,0),"")</f>
        <v/>
      </c>
      <c r="AI33" s="3">
        <f t="shared" si="2"/>
        <v>0</v>
      </c>
      <c r="AL33" s="1" t="str">
        <f t="shared" si="3"/>
        <v/>
      </c>
      <c r="AM33" s="1" t="str">
        <f t="shared" si="4"/>
        <v/>
      </c>
      <c r="AN33" s="1" t="str">
        <f t="shared" si="5"/>
        <v/>
      </c>
      <c r="AO33" s="1" t="str">
        <f t="shared" si="6"/>
        <v/>
      </c>
      <c r="AP33" s="1" t="str">
        <f>IFERROR(ROUND(Backend!$AL33*VLOOKUP($F33,'OH,Profit &amp; Other Base'!$A:$V,Backend!AP$6,0),5),"")</f>
        <v/>
      </c>
      <c r="AQ33" s="1" t="str">
        <f>IFERROR(ROUND(Backend!$AO33*VLOOKUP($F33,'OH,Profit &amp; Other Base'!$A:$V,Backend!AQ$6,0),5),"")</f>
        <v/>
      </c>
      <c r="AR33" s="1" t="str">
        <f>IFERROR(ROUND(Backend!$AM33*VLOOKUP($F33,'OH,Profit &amp; Other Base'!$A:$V,Backend!AR$6,0),5),"")</f>
        <v/>
      </c>
      <c r="AS33" s="1" t="str">
        <f>IFERROR(ROUND(Backend!$AL33*VLOOKUP($F33,'OH,Profit &amp; Other Base'!$A:$V,Backend!AS$6,0),5),"")</f>
        <v/>
      </c>
      <c r="AT33" s="1" t="str">
        <f>IFERROR(ROUND(Backend!$AO33*VLOOKUP($F33,'OH,Profit &amp; Other Base'!$A:$V,Backend!AT$6,0),5),"")</f>
        <v/>
      </c>
      <c r="AU33" s="1" t="str">
        <f>IFERROR(ROUND(Backend!$AM33*VLOOKUP($F33,'OH,Profit &amp; Other Base'!$A:$V,Backend!AU$6,0),5),"")</f>
        <v/>
      </c>
      <c r="AV33" s="1" t="str">
        <f>IFERROR(ROUND(Backend!$AL33*VLOOKUP($F33,'OH,Profit &amp; Other Base'!$A:$V,Backend!AV$6,0),5),"")</f>
        <v/>
      </c>
      <c r="AW33" s="1" t="str">
        <f>IFERROR(ROUND(Backend!$AO33*VLOOKUP($F33,'OH,Profit &amp; Other Base'!$A:$V,Backend!AW$6,0),5),"")</f>
        <v/>
      </c>
      <c r="AX33" s="1" t="str">
        <f>IFERROR(ROUND(Backend!$AM33*VLOOKUP($F33,'OH,Profit &amp; Other Base'!$A:$V,Backend!AX$6,0),5),"")</f>
        <v/>
      </c>
      <c r="AY33" s="1" t="str">
        <f>IFERROR(ROUND(Backend!$AL33*VLOOKUP($F33,'OH,Profit &amp; Other Base'!$A:$V,Backend!AY$6,0),5),"")</f>
        <v/>
      </c>
      <c r="AZ33" s="1" t="str">
        <f>IFERROR(ROUND(Backend!$AO33*VLOOKUP($F33,'OH,Profit &amp; Other Base'!$A:$V,Backend!AZ$6,0),5),"")</f>
        <v/>
      </c>
      <c r="BA33" s="1" t="str">
        <f>IFERROR(ROUND(Backend!$AM33*VLOOKUP($F33,'OH,Profit &amp; Other Base'!$A:$V,Backend!BA$6,0),5),"")</f>
        <v/>
      </c>
      <c r="BB33" s="1" t="str">
        <f>IFERROR(ROUND(Backend!$AL33*VLOOKUP($F33,'OH,Profit &amp; Other Base'!$A:$V,Backend!BB$6,0),5),"")</f>
        <v/>
      </c>
      <c r="BC33" s="1" t="str">
        <f>IFERROR(ROUND(Backend!$AO33*VLOOKUP($F33,'OH,Profit &amp; Other Base'!$A:$V,Backend!BC$6,0),5),"")</f>
        <v/>
      </c>
      <c r="BD33" s="1" t="str">
        <f>IFERROR(ROUND(Backend!$AM33*VLOOKUP($F33,'OH,Profit &amp; Other Base'!$A:$V,Backend!BD$6,0),5),"")</f>
        <v/>
      </c>
      <c r="BE33" s="1" t="str">
        <f>IFERROR(ROUND(Backend!$AL33*VLOOKUP($F33,'OH,Profit &amp; Other Base'!$A:$V,Backend!BE$6,0),5),"")</f>
        <v/>
      </c>
      <c r="BF33" s="1" t="str">
        <f>IFERROR(ROUND(Backend!$AO33*VLOOKUP($F33,'OH,Profit &amp; Other Base'!$A:$V,Backend!BF$6,0),5),"")</f>
        <v/>
      </c>
      <c r="BG33" s="1" t="str">
        <f>IFERROR(ROUND(Backend!$AM33*VLOOKUP($F33,'OH,Profit &amp; Other Base'!$A:$V,Backend!BG$6,0),5),"")</f>
        <v/>
      </c>
      <c r="BH33" s="1" t="str">
        <f>IFERROR(ROUND(Backend!$AL33*VLOOKUP($F33,'OH,Profit &amp; Other Base'!$A:$V,Backend!BH$6,0),5),"")</f>
        <v/>
      </c>
      <c r="BI33" s="1" t="str">
        <f>IFERROR(ROUND(Backend!$AO33*VLOOKUP($F33,'OH,Profit &amp; Other Base'!$A:$V,Backend!BI$6,0),5),"")</f>
        <v/>
      </c>
      <c r="BJ33" s="1" t="str">
        <f>IFERROR(ROUND(Backend!$AM33*VLOOKUP($F33,'OH,Profit &amp; Other Base'!$A:$V,Backend!BJ$6,0),5),"")</f>
        <v/>
      </c>
      <c r="BK33" s="3">
        <f>SUM(AN33:BJ33,Backend!O33)</f>
        <v>0</v>
      </c>
    </row>
    <row r="34" spans="1:63">
      <c r="A34" s="1">
        <f>BOM!A29</f>
        <v>27</v>
      </c>
      <c r="B34" s="1" t="str">
        <f>BOM!B29</f>
        <v>MB512123</v>
      </c>
      <c r="C34" s="1">
        <f>BOM!C29</f>
        <v>0</v>
      </c>
      <c r="D34" s="1">
        <f>BOM!D29</f>
        <v>0</v>
      </c>
      <c r="E34" s="1">
        <f>BOM!F29</f>
        <v>0</v>
      </c>
      <c r="F34" s="1" t="str">
        <f>IF(H34="CSC",BOM!H29,IF(J34="BOFOthers","Sheet Metal-B",""))</f>
        <v/>
      </c>
      <c r="G34" s="1">
        <f>BOM!I29</f>
        <v>0</v>
      </c>
      <c r="H34" s="1">
        <f>BOM!J29</f>
        <v>0</v>
      </c>
      <c r="I34" s="1" t="str">
        <f t="shared" si="0"/>
        <v>Others</v>
      </c>
      <c r="J34" s="1" t="str">
        <f t="shared" si="1"/>
        <v>0Others</v>
      </c>
      <c r="K34" s="3" t="str">
        <f>IF($J34="InhouseCSC",VLOOKUP($D34,Group!$C:$E,3,0),"")</f>
        <v/>
      </c>
      <c r="L34" s="3" t="str">
        <f>IF(OR($J34="BOSFCSC",$J34="BOFCSC"),VLOOKUP($D34,Group!$C:$E,3,0),"")</f>
        <v/>
      </c>
      <c r="M34" s="3" t="str">
        <f>IF(OR($J34="BOSFCSC",$J34="BOFCSC"),VLOOKUP($D34,Group!$C:$F,4,0),"")</f>
        <v/>
      </c>
      <c r="N34" s="3" t="str">
        <f>IF(OR($J34="InhouseCSC",$J34="BOSFCSC"),VLOOKUP($D34,Group!$C:$G,5,0),"")</f>
        <v/>
      </c>
      <c r="O34" s="3" t="str">
        <f>IF($J34="InhouseCSC",ROUND(VLOOKUP($D34,Group!$C:$H,6,0),5),"")</f>
        <v/>
      </c>
      <c r="P34" s="3" t="str">
        <f>IF(OR($J34="BOSFCSC",$J34="BOFCSC"),VLOOKUP($D34,Group!$C:$H,6,0),"")</f>
        <v/>
      </c>
      <c r="Q34" s="1" t="str">
        <f>IF($J34="Inhouseothers",VLOOKUP($D34,Group!$C:$E,3,0),"")</f>
        <v/>
      </c>
      <c r="R34" s="1" t="str">
        <f>IF($J34="BOSFOthers",VLOOKUP($D34,Group!$C:$E,3,0),"")</f>
        <v/>
      </c>
      <c r="S34" s="3" t="str">
        <f>IF($J34="BOFOthers",VLOOKUP($D34,Group!$C:$E,3,0),"")</f>
        <v/>
      </c>
      <c r="U34" s="1" t="str">
        <f>IFERROR(Backend!$L34*VLOOKUP($F34,'OH,Profit &amp; Other Base'!$A:$V,Backend!U$6,0),"")</f>
        <v/>
      </c>
      <c r="V34" s="1" t="str">
        <f>IFERROR(Backend!$M34*VLOOKUP($F34,'OH,Profit &amp; Other Base'!$A:$V,Backend!V$6,0),"")</f>
        <v/>
      </c>
      <c r="W34" s="1" t="str">
        <f>IFERROR(Backend!$L34*VLOOKUP($F34,'OH,Profit &amp; Other Base'!$A:$V,Backend!W$6,0),"")</f>
        <v/>
      </c>
      <c r="X34" s="1" t="str">
        <f>IFERROR(Backend!$M34*VLOOKUP($F34,'OH,Profit &amp; Other Base'!$A:$V,Backend!X$6,0),"")</f>
        <v/>
      </c>
      <c r="Y34" s="1" t="str">
        <f>IFERROR(Backend!$L34*VLOOKUP($F34,'OH,Profit &amp; Other Base'!$A:$V,Backend!Y$6,0),"")</f>
        <v/>
      </c>
      <c r="Z34" s="1" t="str">
        <f>IFERROR(Backend!$M34*VLOOKUP($F34,'OH,Profit &amp; Other Base'!$A:$V,Backend!Z$6,0),"")</f>
        <v/>
      </c>
      <c r="AA34" s="1" t="str">
        <f>IFERROR(Backend!$L34*VLOOKUP($F34,'OH,Profit &amp; Other Base'!$A:$V,Backend!AA$6,0),"")</f>
        <v/>
      </c>
      <c r="AB34" s="1" t="str">
        <f>IFERROR(Backend!$M34*VLOOKUP($F34,'OH,Profit &amp; Other Base'!$A:$V,Backend!AB$6,0),"")</f>
        <v/>
      </c>
      <c r="AC34" s="1" t="str">
        <f>IFERROR(Backend!$L34*VLOOKUP($F34,'OH,Profit &amp; Other Base'!$A:$V,Backend!AC$6,0),"")</f>
        <v/>
      </c>
      <c r="AD34" s="1" t="str">
        <f>IFERROR(Backend!$M34*VLOOKUP($F34,'OH,Profit &amp; Other Base'!$A:$V,Backend!AD$6,0),"")</f>
        <v/>
      </c>
      <c r="AE34" s="1" t="str">
        <f>IFERROR(Backend!$L34*VLOOKUP($F34,'OH,Profit &amp; Other Base'!$A:$V,Backend!AE$6,0),"")</f>
        <v/>
      </c>
      <c r="AF34" s="1" t="str">
        <f>IFERROR(Backend!$M34*VLOOKUP($F34,'OH,Profit &amp; Other Base'!$A:$V,Backend!AF$6,0),"")</f>
        <v/>
      </c>
      <c r="AG34" s="1" t="str">
        <f>IFERROR(Backend!$L34*VLOOKUP($F34,'OH,Profit &amp; Other Base'!$A:$V,Backend!AG$6,0),"")</f>
        <v/>
      </c>
      <c r="AH34" s="1" t="str">
        <f>IFERROR(Backend!$M34*VLOOKUP($F34,'OH,Profit &amp; Other Base'!$A:$V,Backend!AH$6,0),"")</f>
        <v/>
      </c>
      <c r="AI34" s="3">
        <f t="shared" si="2"/>
        <v>0</v>
      </c>
      <c r="AL34" s="1" t="str">
        <f t="shared" si="3"/>
        <v/>
      </c>
      <c r="AM34" s="1" t="str">
        <f t="shared" si="4"/>
        <v/>
      </c>
      <c r="AN34" s="1" t="str">
        <f t="shared" si="5"/>
        <v/>
      </c>
      <c r="AO34" s="1" t="str">
        <f t="shared" si="6"/>
        <v/>
      </c>
      <c r="AP34" s="1" t="str">
        <f>IFERROR(ROUND(Backend!$AL34*VLOOKUP($F34,'OH,Profit &amp; Other Base'!$A:$V,Backend!AP$6,0),5),"")</f>
        <v/>
      </c>
      <c r="AQ34" s="1" t="str">
        <f>IFERROR(ROUND(Backend!$AO34*VLOOKUP($F34,'OH,Profit &amp; Other Base'!$A:$V,Backend!AQ$6,0),5),"")</f>
        <v/>
      </c>
      <c r="AR34" s="1" t="str">
        <f>IFERROR(ROUND(Backend!$AM34*VLOOKUP($F34,'OH,Profit &amp; Other Base'!$A:$V,Backend!AR$6,0),5),"")</f>
        <v/>
      </c>
      <c r="AS34" s="1" t="str">
        <f>IFERROR(ROUND(Backend!$AL34*VLOOKUP($F34,'OH,Profit &amp; Other Base'!$A:$V,Backend!AS$6,0),5),"")</f>
        <v/>
      </c>
      <c r="AT34" s="1" t="str">
        <f>IFERROR(ROUND(Backend!$AO34*VLOOKUP($F34,'OH,Profit &amp; Other Base'!$A:$V,Backend!AT$6,0),5),"")</f>
        <v/>
      </c>
      <c r="AU34" s="1" t="str">
        <f>IFERROR(ROUND(Backend!$AM34*VLOOKUP($F34,'OH,Profit &amp; Other Base'!$A:$V,Backend!AU$6,0),5),"")</f>
        <v/>
      </c>
      <c r="AV34" s="1" t="str">
        <f>IFERROR(ROUND(Backend!$AL34*VLOOKUP($F34,'OH,Profit &amp; Other Base'!$A:$V,Backend!AV$6,0),5),"")</f>
        <v/>
      </c>
      <c r="AW34" s="1" t="str">
        <f>IFERROR(ROUND(Backend!$AO34*VLOOKUP($F34,'OH,Profit &amp; Other Base'!$A:$V,Backend!AW$6,0),5),"")</f>
        <v/>
      </c>
      <c r="AX34" s="1" t="str">
        <f>IFERROR(ROUND(Backend!$AM34*VLOOKUP($F34,'OH,Profit &amp; Other Base'!$A:$V,Backend!AX$6,0),5),"")</f>
        <v/>
      </c>
      <c r="AY34" s="1" t="str">
        <f>IFERROR(ROUND(Backend!$AL34*VLOOKUP($F34,'OH,Profit &amp; Other Base'!$A:$V,Backend!AY$6,0),5),"")</f>
        <v/>
      </c>
      <c r="AZ34" s="1" t="str">
        <f>IFERROR(ROUND(Backend!$AO34*VLOOKUP($F34,'OH,Profit &amp; Other Base'!$A:$V,Backend!AZ$6,0),5),"")</f>
        <v/>
      </c>
      <c r="BA34" s="1" t="str">
        <f>IFERROR(ROUND(Backend!$AM34*VLOOKUP($F34,'OH,Profit &amp; Other Base'!$A:$V,Backend!BA$6,0),5),"")</f>
        <v/>
      </c>
      <c r="BB34" s="1" t="str">
        <f>IFERROR(ROUND(Backend!$AL34*VLOOKUP($F34,'OH,Profit &amp; Other Base'!$A:$V,Backend!BB$6,0),5),"")</f>
        <v/>
      </c>
      <c r="BC34" s="1" t="str">
        <f>IFERROR(ROUND(Backend!$AO34*VLOOKUP($F34,'OH,Profit &amp; Other Base'!$A:$V,Backend!BC$6,0),5),"")</f>
        <v/>
      </c>
      <c r="BD34" s="1" t="str">
        <f>IFERROR(ROUND(Backend!$AM34*VLOOKUP($F34,'OH,Profit &amp; Other Base'!$A:$V,Backend!BD$6,0),5),"")</f>
        <v/>
      </c>
      <c r="BE34" s="1" t="str">
        <f>IFERROR(ROUND(Backend!$AL34*VLOOKUP($F34,'OH,Profit &amp; Other Base'!$A:$V,Backend!BE$6,0),5),"")</f>
        <v/>
      </c>
      <c r="BF34" s="1" t="str">
        <f>IFERROR(ROUND(Backend!$AO34*VLOOKUP($F34,'OH,Profit &amp; Other Base'!$A:$V,Backend!BF$6,0),5),"")</f>
        <v/>
      </c>
      <c r="BG34" s="1" t="str">
        <f>IFERROR(ROUND(Backend!$AM34*VLOOKUP($F34,'OH,Profit &amp; Other Base'!$A:$V,Backend!BG$6,0),5),"")</f>
        <v/>
      </c>
      <c r="BH34" s="1" t="str">
        <f>IFERROR(ROUND(Backend!$AL34*VLOOKUP($F34,'OH,Profit &amp; Other Base'!$A:$V,Backend!BH$6,0),5),"")</f>
        <v/>
      </c>
      <c r="BI34" s="1" t="str">
        <f>IFERROR(ROUND(Backend!$AO34*VLOOKUP($F34,'OH,Profit &amp; Other Base'!$A:$V,Backend!BI$6,0),5),"")</f>
        <v/>
      </c>
      <c r="BJ34" s="1" t="str">
        <f>IFERROR(ROUND(Backend!$AM34*VLOOKUP($F34,'OH,Profit &amp; Other Base'!$A:$V,Backend!BJ$6,0),5),"")</f>
        <v/>
      </c>
      <c r="BK34" s="3">
        <f>SUM(AN34:BJ34,Backend!O34)</f>
        <v>0</v>
      </c>
    </row>
    <row r="35" spans="1:63">
      <c r="A35" s="1">
        <f>BOM!A30</f>
        <v>28</v>
      </c>
      <c r="B35" s="1" t="str">
        <f>BOM!B30</f>
        <v>MB512123</v>
      </c>
      <c r="C35" s="1">
        <f>BOM!C30</f>
        <v>0</v>
      </c>
      <c r="D35" s="1">
        <f>BOM!D30</f>
        <v>0</v>
      </c>
      <c r="E35" s="1">
        <f>BOM!F30</f>
        <v>0</v>
      </c>
      <c r="F35" s="1" t="str">
        <f>IF(H35="CSC",BOM!H30,IF(J35="BOFOthers","Sheet Metal-B",""))</f>
        <v/>
      </c>
      <c r="G35" s="1">
        <f>BOM!I30</f>
        <v>0</v>
      </c>
      <c r="H35" s="1">
        <f>BOM!J30</f>
        <v>0</v>
      </c>
      <c r="I35" s="1" t="str">
        <f t="shared" si="0"/>
        <v>Others</v>
      </c>
      <c r="J35" s="1" t="str">
        <f t="shared" si="1"/>
        <v>0Others</v>
      </c>
      <c r="K35" s="3" t="str">
        <f>IF($J35="InhouseCSC",VLOOKUP($D35,Group!$C:$E,3,0),"")</f>
        <v/>
      </c>
      <c r="L35" s="3" t="str">
        <f>IF(OR($J35="BOSFCSC",$J35="BOFCSC"),VLOOKUP($D35,Group!$C:$E,3,0),"")</f>
        <v/>
      </c>
      <c r="M35" s="3" t="str">
        <f>IF(OR($J35="BOSFCSC",$J35="BOFCSC"),VLOOKUP($D35,Group!$C:$F,4,0),"")</f>
        <v/>
      </c>
      <c r="N35" s="3" t="str">
        <f>IF(OR($J35="InhouseCSC",$J35="BOSFCSC"),VLOOKUP($D35,Group!$C:$G,5,0),"")</f>
        <v/>
      </c>
      <c r="O35" s="3" t="str">
        <f>IF($J35="InhouseCSC",ROUND(VLOOKUP($D35,Group!$C:$H,6,0),5),"")</f>
        <v/>
      </c>
      <c r="P35" s="3" t="str">
        <f>IF(OR($J35="BOSFCSC",$J35="BOFCSC"),VLOOKUP($D35,Group!$C:$H,6,0),"")</f>
        <v/>
      </c>
      <c r="Q35" s="1" t="str">
        <f>IF($J35="Inhouseothers",VLOOKUP($D35,Group!$C:$E,3,0),"")</f>
        <v/>
      </c>
      <c r="R35" s="1" t="str">
        <f>IF($J35="BOSFOthers",VLOOKUP($D35,Group!$C:$E,3,0),"")</f>
        <v/>
      </c>
      <c r="S35" s="3" t="str">
        <f>IF($J35="BOFOthers",VLOOKUP($D35,Group!$C:$E,3,0),"")</f>
        <v/>
      </c>
      <c r="U35" s="1" t="str">
        <f>IFERROR(Backend!$L35*VLOOKUP($F35,'OH,Profit &amp; Other Base'!$A:$V,Backend!U$6,0),"")</f>
        <v/>
      </c>
      <c r="V35" s="1" t="str">
        <f>IFERROR(Backend!$M35*VLOOKUP($F35,'OH,Profit &amp; Other Base'!$A:$V,Backend!V$6,0),"")</f>
        <v/>
      </c>
      <c r="W35" s="1" t="str">
        <f>IFERROR(Backend!$L35*VLOOKUP($F35,'OH,Profit &amp; Other Base'!$A:$V,Backend!W$6,0),"")</f>
        <v/>
      </c>
      <c r="X35" s="1" t="str">
        <f>IFERROR(Backend!$M35*VLOOKUP($F35,'OH,Profit &amp; Other Base'!$A:$V,Backend!X$6,0),"")</f>
        <v/>
      </c>
      <c r="Y35" s="1" t="str">
        <f>IFERROR(Backend!$L35*VLOOKUP($F35,'OH,Profit &amp; Other Base'!$A:$V,Backend!Y$6,0),"")</f>
        <v/>
      </c>
      <c r="Z35" s="1" t="str">
        <f>IFERROR(Backend!$M35*VLOOKUP($F35,'OH,Profit &amp; Other Base'!$A:$V,Backend!Z$6,0),"")</f>
        <v/>
      </c>
      <c r="AA35" s="1" t="str">
        <f>IFERROR(Backend!$L35*VLOOKUP($F35,'OH,Profit &amp; Other Base'!$A:$V,Backend!AA$6,0),"")</f>
        <v/>
      </c>
      <c r="AB35" s="1" t="str">
        <f>IFERROR(Backend!$M35*VLOOKUP($F35,'OH,Profit &amp; Other Base'!$A:$V,Backend!AB$6,0),"")</f>
        <v/>
      </c>
      <c r="AC35" s="1" t="str">
        <f>IFERROR(Backend!$L35*VLOOKUP($F35,'OH,Profit &amp; Other Base'!$A:$V,Backend!AC$6,0),"")</f>
        <v/>
      </c>
      <c r="AD35" s="1" t="str">
        <f>IFERROR(Backend!$M35*VLOOKUP($F35,'OH,Profit &amp; Other Base'!$A:$V,Backend!AD$6,0),"")</f>
        <v/>
      </c>
      <c r="AE35" s="1" t="str">
        <f>IFERROR(Backend!$L35*VLOOKUP($F35,'OH,Profit &amp; Other Base'!$A:$V,Backend!AE$6,0),"")</f>
        <v/>
      </c>
      <c r="AF35" s="1" t="str">
        <f>IFERROR(Backend!$M35*VLOOKUP($F35,'OH,Profit &amp; Other Base'!$A:$V,Backend!AF$6,0),"")</f>
        <v/>
      </c>
      <c r="AG35" s="1" t="str">
        <f>IFERROR(Backend!$L35*VLOOKUP($F35,'OH,Profit &amp; Other Base'!$A:$V,Backend!AG$6,0),"")</f>
        <v/>
      </c>
      <c r="AH35" s="1" t="str">
        <f>IFERROR(Backend!$M35*VLOOKUP($F35,'OH,Profit &amp; Other Base'!$A:$V,Backend!AH$6,0),"")</f>
        <v/>
      </c>
      <c r="AI35" s="3">
        <f t="shared" si="2"/>
        <v>0</v>
      </c>
      <c r="AL35" s="1" t="str">
        <f t="shared" si="3"/>
        <v/>
      </c>
      <c r="AM35" s="1" t="str">
        <f t="shared" si="4"/>
        <v/>
      </c>
      <c r="AN35" s="1" t="str">
        <f t="shared" si="5"/>
        <v/>
      </c>
      <c r="AO35" s="1" t="str">
        <f t="shared" si="6"/>
        <v/>
      </c>
      <c r="AP35" s="1" t="str">
        <f>IFERROR(ROUND(Backend!$AL35*VLOOKUP($F35,'OH,Profit &amp; Other Base'!$A:$V,Backend!AP$6,0),5),"")</f>
        <v/>
      </c>
      <c r="AQ35" s="1" t="str">
        <f>IFERROR(ROUND(Backend!$AO35*VLOOKUP($F35,'OH,Profit &amp; Other Base'!$A:$V,Backend!AQ$6,0),5),"")</f>
        <v/>
      </c>
      <c r="AR35" s="1" t="str">
        <f>IFERROR(ROUND(Backend!$AM35*VLOOKUP($F35,'OH,Profit &amp; Other Base'!$A:$V,Backend!AR$6,0),5),"")</f>
        <v/>
      </c>
      <c r="AS35" s="1" t="str">
        <f>IFERROR(ROUND(Backend!$AL35*VLOOKUP($F35,'OH,Profit &amp; Other Base'!$A:$V,Backend!AS$6,0),5),"")</f>
        <v/>
      </c>
      <c r="AT35" s="1" t="str">
        <f>IFERROR(ROUND(Backend!$AO35*VLOOKUP($F35,'OH,Profit &amp; Other Base'!$A:$V,Backend!AT$6,0),5),"")</f>
        <v/>
      </c>
      <c r="AU35" s="1" t="str">
        <f>IFERROR(ROUND(Backend!$AM35*VLOOKUP($F35,'OH,Profit &amp; Other Base'!$A:$V,Backend!AU$6,0),5),"")</f>
        <v/>
      </c>
      <c r="AV35" s="1" t="str">
        <f>IFERROR(ROUND(Backend!$AL35*VLOOKUP($F35,'OH,Profit &amp; Other Base'!$A:$V,Backend!AV$6,0),5),"")</f>
        <v/>
      </c>
      <c r="AW35" s="1" t="str">
        <f>IFERROR(ROUND(Backend!$AO35*VLOOKUP($F35,'OH,Profit &amp; Other Base'!$A:$V,Backend!AW$6,0),5),"")</f>
        <v/>
      </c>
      <c r="AX35" s="1" t="str">
        <f>IFERROR(ROUND(Backend!$AM35*VLOOKUP($F35,'OH,Profit &amp; Other Base'!$A:$V,Backend!AX$6,0),5),"")</f>
        <v/>
      </c>
      <c r="AY35" s="1" t="str">
        <f>IFERROR(ROUND(Backend!$AL35*VLOOKUP($F35,'OH,Profit &amp; Other Base'!$A:$V,Backend!AY$6,0),5),"")</f>
        <v/>
      </c>
      <c r="AZ35" s="1" t="str">
        <f>IFERROR(ROUND(Backend!$AO35*VLOOKUP($F35,'OH,Profit &amp; Other Base'!$A:$V,Backend!AZ$6,0),5),"")</f>
        <v/>
      </c>
      <c r="BA35" s="1" t="str">
        <f>IFERROR(ROUND(Backend!$AM35*VLOOKUP($F35,'OH,Profit &amp; Other Base'!$A:$V,Backend!BA$6,0),5),"")</f>
        <v/>
      </c>
      <c r="BB35" s="1" t="str">
        <f>IFERROR(ROUND(Backend!$AL35*VLOOKUP($F35,'OH,Profit &amp; Other Base'!$A:$V,Backend!BB$6,0),5),"")</f>
        <v/>
      </c>
      <c r="BC35" s="1" t="str">
        <f>IFERROR(ROUND(Backend!$AO35*VLOOKUP($F35,'OH,Profit &amp; Other Base'!$A:$V,Backend!BC$6,0),5),"")</f>
        <v/>
      </c>
      <c r="BD35" s="1" t="str">
        <f>IFERROR(ROUND(Backend!$AM35*VLOOKUP($F35,'OH,Profit &amp; Other Base'!$A:$V,Backend!BD$6,0),5),"")</f>
        <v/>
      </c>
      <c r="BE35" s="1" t="str">
        <f>IFERROR(ROUND(Backend!$AL35*VLOOKUP($F35,'OH,Profit &amp; Other Base'!$A:$V,Backend!BE$6,0),5),"")</f>
        <v/>
      </c>
      <c r="BF35" s="1" t="str">
        <f>IFERROR(ROUND(Backend!$AO35*VLOOKUP($F35,'OH,Profit &amp; Other Base'!$A:$V,Backend!BF$6,0),5),"")</f>
        <v/>
      </c>
      <c r="BG35" s="1" t="str">
        <f>IFERROR(ROUND(Backend!$AM35*VLOOKUP($F35,'OH,Profit &amp; Other Base'!$A:$V,Backend!BG$6,0),5),"")</f>
        <v/>
      </c>
      <c r="BH35" s="1" t="str">
        <f>IFERROR(ROUND(Backend!$AL35*VLOOKUP($F35,'OH,Profit &amp; Other Base'!$A:$V,Backend!BH$6,0),5),"")</f>
        <v/>
      </c>
      <c r="BI35" s="1" t="str">
        <f>IFERROR(ROUND(Backend!$AO35*VLOOKUP($F35,'OH,Profit &amp; Other Base'!$A:$V,Backend!BI$6,0),5),"")</f>
        <v/>
      </c>
      <c r="BJ35" s="1" t="str">
        <f>IFERROR(ROUND(Backend!$AM35*VLOOKUP($F35,'OH,Profit &amp; Other Base'!$A:$V,Backend!BJ$6,0),5),"")</f>
        <v/>
      </c>
      <c r="BK35" s="3">
        <f>SUM(AN35:BJ35,Backend!O35)</f>
        <v>0</v>
      </c>
    </row>
    <row r="36" spans="1:63">
      <c r="A36" s="1">
        <f>BOM!A31</f>
        <v>29</v>
      </c>
      <c r="B36" s="1" t="str">
        <f>BOM!B31</f>
        <v>MB512123</v>
      </c>
      <c r="C36" s="1">
        <f>BOM!C31</f>
        <v>0</v>
      </c>
      <c r="D36" s="1">
        <f>BOM!D31</f>
        <v>0</v>
      </c>
      <c r="E36" s="1">
        <f>BOM!F31</f>
        <v>0</v>
      </c>
      <c r="F36" s="1" t="str">
        <f>IF(H36="CSC",BOM!H31,IF(J36="BOFOthers","Sheet Metal-B",""))</f>
        <v/>
      </c>
      <c r="G36" s="1">
        <f>BOM!I31</f>
        <v>0</v>
      </c>
      <c r="H36" s="1">
        <f>BOM!J31</f>
        <v>0</v>
      </c>
      <c r="I36" s="1" t="str">
        <f t="shared" si="0"/>
        <v>Others</v>
      </c>
      <c r="J36" s="1" t="str">
        <f t="shared" si="1"/>
        <v>0Others</v>
      </c>
      <c r="K36" s="3" t="str">
        <f>IF($J36="InhouseCSC",VLOOKUP($D36,Group!$C:$E,3,0),"")</f>
        <v/>
      </c>
      <c r="L36" s="3" t="str">
        <f>IF(OR($J36="BOSFCSC",$J36="BOFCSC"),VLOOKUP($D36,Group!$C:$E,3,0),"")</f>
        <v/>
      </c>
      <c r="M36" s="3" t="str">
        <f>IF(OR($J36="BOSFCSC",$J36="BOFCSC"),VLOOKUP($D36,Group!$C:$F,4,0),"")</f>
        <v/>
      </c>
      <c r="N36" s="3" t="str">
        <f>IF(OR($J36="InhouseCSC",$J36="BOSFCSC"),VLOOKUP($D36,Group!$C:$G,5,0),"")</f>
        <v/>
      </c>
      <c r="O36" s="3" t="str">
        <f>IF($J36="InhouseCSC",ROUND(VLOOKUP($D36,Group!$C:$H,6,0),5),"")</f>
        <v/>
      </c>
      <c r="P36" s="3" t="str">
        <f>IF(OR($J36="BOSFCSC",$J36="BOFCSC"),VLOOKUP($D36,Group!$C:$H,6,0),"")</f>
        <v/>
      </c>
      <c r="Q36" s="1" t="str">
        <f>IF($J36="Inhouseothers",VLOOKUP($D36,Group!$C:$E,3,0),"")</f>
        <v/>
      </c>
      <c r="R36" s="1" t="str">
        <f>IF($J36="BOSFOthers",VLOOKUP($D36,Group!$C:$E,3,0),"")</f>
        <v/>
      </c>
      <c r="S36" s="3" t="str">
        <f>IF($J36="BOFOthers",VLOOKUP($D36,Group!$C:$E,3,0),"")</f>
        <v/>
      </c>
      <c r="U36" s="1" t="str">
        <f>IFERROR(Backend!$L36*VLOOKUP($F36,'OH,Profit &amp; Other Base'!$A:$V,Backend!U$6,0),"")</f>
        <v/>
      </c>
      <c r="V36" s="1" t="str">
        <f>IFERROR(Backend!$M36*VLOOKUP($F36,'OH,Profit &amp; Other Base'!$A:$V,Backend!V$6,0),"")</f>
        <v/>
      </c>
      <c r="W36" s="1" t="str">
        <f>IFERROR(Backend!$L36*VLOOKUP($F36,'OH,Profit &amp; Other Base'!$A:$V,Backend!W$6,0),"")</f>
        <v/>
      </c>
      <c r="X36" s="1" t="str">
        <f>IFERROR(Backend!$M36*VLOOKUP($F36,'OH,Profit &amp; Other Base'!$A:$V,Backend!X$6,0),"")</f>
        <v/>
      </c>
      <c r="Y36" s="1" t="str">
        <f>IFERROR(Backend!$L36*VLOOKUP($F36,'OH,Profit &amp; Other Base'!$A:$V,Backend!Y$6,0),"")</f>
        <v/>
      </c>
      <c r="Z36" s="1" t="str">
        <f>IFERROR(Backend!$M36*VLOOKUP($F36,'OH,Profit &amp; Other Base'!$A:$V,Backend!Z$6,0),"")</f>
        <v/>
      </c>
      <c r="AA36" s="1" t="str">
        <f>IFERROR(Backend!$L36*VLOOKUP($F36,'OH,Profit &amp; Other Base'!$A:$V,Backend!AA$6,0),"")</f>
        <v/>
      </c>
      <c r="AB36" s="1" t="str">
        <f>IFERROR(Backend!$M36*VLOOKUP($F36,'OH,Profit &amp; Other Base'!$A:$V,Backend!AB$6,0),"")</f>
        <v/>
      </c>
      <c r="AC36" s="1" t="str">
        <f>IFERROR(Backend!$L36*VLOOKUP($F36,'OH,Profit &amp; Other Base'!$A:$V,Backend!AC$6,0),"")</f>
        <v/>
      </c>
      <c r="AD36" s="1" t="str">
        <f>IFERROR(Backend!$M36*VLOOKUP($F36,'OH,Profit &amp; Other Base'!$A:$V,Backend!AD$6,0),"")</f>
        <v/>
      </c>
      <c r="AE36" s="1" t="str">
        <f>IFERROR(Backend!$L36*VLOOKUP($F36,'OH,Profit &amp; Other Base'!$A:$V,Backend!AE$6,0),"")</f>
        <v/>
      </c>
      <c r="AF36" s="1" t="str">
        <f>IFERROR(Backend!$M36*VLOOKUP($F36,'OH,Profit &amp; Other Base'!$A:$V,Backend!AF$6,0),"")</f>
        <v/>
      </c>
      <c r="AG36" s="1" t="str">
        <f>IFERROR(Backend!$L36*VLOOKUP($F36,'OH,Profit &amp; Other Base'!$A:$V,Backend!AG$6,0),"")</f>
        <v/>
      </c>
      <c r="AH36" s="1" t="str">
        <f>IFERROR(Backend!$M36*VLOOKUP($F36,'OH,Profit &amp; Other Base'!$A:$V,Backend!AH$6,0),"")</f>
        <v/>
      </c>
      <c r="AI36" s="3">
        <f t="shared" si="2"/>
        <v>0</v>
      </c>
      <c r="AL36" s="1" t="str">
        <f t="shared" si="3"/>
        <v/>
      </c>
      <c r="AM36" s="1" t="str">
        <f t="shared" si="4"/>
        <v/>
      </c>
      <c r="AN36" s="1" t="str">
        <f t="shared" si="5"/>
        <v/>
      </c>
      <c r="AO36" s="1" t="str">
        <f t="shared" si="6"/>
        <v/>
      </c>
      <c r="AP36" s="1" t="str">
        <f>IFERROR(ROUND(Backend!$AL36*VLOOKUP($F36,'OH,Profit &amp; Other Base'!$A:$V,Backend!AP$6,0),5),"")</f>
        <v/>
      </c>
      <c r="AQ36" s="1" t="str">
        <f>IFERROR(ROUND(Backend!$AO36*VLOOKUP($F36,'OH,Profit &amp; Other Base'!$A:$V,Backend!AQ$6,0),5),"")</f>
        <v/>
      </c>
      <c r="AR36" s="1" t="str">
        <f>IFERROR(ROUND(Backend!$AM36*VLOOKUP($F36,'OH,Profit &amp; Other Base'!$A:$V,Backend!AR$6,0),5),"")</f>
        <v/>
      </c>
      <c r="AS36" s="1" t="str">
        <f>IFERROR(ROUND(Backend!$AL36*VLOOKUP($F36,'OH,Profit &amp; Other Base'!$A:$V,Backend!AS$6,0),5),"")</f>
        <v/>
      </c>
      <c r="AT36" s="1" t="str">
        <f>IFERROR(ROUND(Backend!$AO36*VLOOKUP($F36,'OH,Profit &amp; Other Base'!$A:$V,Backend!AT$6,0),5),"")</f>
        <v/>
      </c>
      <c r="AU36" s="1" t="str">
        <f>IFERROR(ROUND(Backend!$AM36*VLOOKUP($F36,'OH,Profit &amp; Other Base'!$A:$V,Backend!AU$6,0),5),"")</f>
        <v/>
      </c>
      <c r="AV36" s="1" t="str">
        <f>IFERROR(ROUND(Backend!$AL36*VLOOKUP($F36,'OH,Profit &amp; Other Base'!$A:$V,Backend!AV$6,0),5),"")</f>
        <v/>
      </c>
      <c r="AW36" s="1" t="str">
        <f>IFERROR(ROUND(Backend!$AO36*VLOOKUP($F36,'OH,Profit &amp; Other Base'!$A:$V,Backend!AW$6,0),5),"")</f>
        <v/>
      </c>
      <c r="AX36" s="1" t="str">
        <f>IFERROR(ROUND(Backend!$AM36*VLOOKUP($F36,'OH,Profit &amp; Other Base'!$A:$V,Backend!AX$6,0),5),"")</f>
        <v/>
      </c>
      <c r="AY36" s="1" t="str">
        <f>IFERROR(ROUND(Backend!$AL36*VLOOKUP($F36,'OH,Profit &amp; Other Base'!$A:$V,Backend!AY$6,0),5),"")</f>
        <v/>
      </c>
      <c r="AZ36" s="1" t="str">
        <f>IFERROR(ROUND(Backend!$AO36*VLOOKUP($F36,'OH,Profit &amp; Other Base'!$A:$V,Backend!AZ$6,0),5),"")</f>
        <v/>
      </c>
      <c r="BA36" s="1" t="str">
        <f>IFERROR(ROUND(Backend!$AM36*VLOOKUP($F36,'OH,Profit &amp; Other Base'!$A:$V,Backend!BA$6,0),5),"")</f>
        <v/>
      </c>
      <c r="BB36" s="1" t="str">
        <f>IFERROR(ROUND(Backend!$AL36*VLOOKUP($F36,'OH,Profit &amp; Other Base'!$A:$V,Backend!BB$6,0),5),"")</f>
        <v/>
      </c>
      <c r="BC36" s="1" t="str">
        <f>IFERROR(ROUND(Backend!$AO36*VLOOKUP($F36,'OH,Profit &amp; Other Base'!$A:$V,Backend!BC$6,0),5),"")</f>
        <v/>
      </c>
      <c r="BD36" s="1" t="str">
        <f>IFERROR(ROUND(Backend!$AM36*VLOOKUP($F36,'OH,Profit &amp; Other Base'!$A:$V,Backend!BD$6,0),5),"")</f>
        <v/>
      </c>
      <c r="BE36" s="1" t="str">
        <f>IFERROR(ROUND(Backend!$AL36*VLOOKUP($F36,'OH,Profit &amp; Other Base'!$A:$V,Backend!BE$6,0),5),"")</f>
        <v/>
      </c>
      <c r="BF36" s="1" t="str">
        <f>IFERROR(ROUND(Backend!$AO36*VLOOKUP($F36,'OH,Profit &amp; Other Base'!$A:$V,Backend!BF$6,0),5),"")</f>
        <v/>
      </c>
      <c r="BG36" s="1" t="str">
        <f>IFERROR(ROUND(Backend!$AM36*VLOOKUP($F36,'OH,Profit &amp; Other Base'!$A:$V,Backend!BG$6,0),5),"")</f>
        <v/>
      </c>
      <c r="BH36" s="1" t="str">
        <f>IFERROR(ROUND(Backend!$AL36*VLOOKUP($F36,'OH,Profit &amp; Other Base'!$A:$V,Backend!BH$6,0),5),"")</f>
        <v/>
      </c>
      <c r="BI36" s="1" t="str">
        <f>IFERROR(ROUND(Backend!$AO36*VLOOKUP($F36,'OH,Profit &amp; Other Base'!$A:$V,Backend!BI$6,0),5),"")</f>
        <v/>
      </c>
      <c r="BJ36" s="1" t="str">
        <f>IFERROR(ROUND(Backend!$AM36*VLOOKUP($F36,'OH,Profit &amp; Other Base'!$A:$V,Backend!BJ$6,0),5),"")</f>
        <v/>
      </c>
      <c r="BK36" s="3">
        <f>SUM(AN36:BJ36,Backend!O36)</f>
        <v>0</v>
      </c>
    </row>
    <row r="37" spans="1:63">
      <c r="A37" s="1">
        <f>BOM!A32</f>
        <v>30</v>
      </c>
      <c r="B37" s="1" t="str">
        <f>BOM!B32</f>
        <v>MB512123</v>
      </c>
      <c r="C37" s="1">
        <f>BOM!C32</f>
        <v>0</v>
      </c>
      <c r="D37" s="1">
        <f>BOM!D32</f>
        <v>0</v>
      </c>
      <c r="E37" s="1">
        <f>BOM!F32</f>
        <v>0</v>
      </c>
      <c r="F37" s="1" t="str">
        <f>IF(H37="CSC",BOM!H32,IF(J37="BOFOthers","Sheet Metal-B",""))</f>
        <v/>
      </c>
      <c r="G37" s="1">
        <f>BOM!I32</f>
        <v>0</v>
      </c>
      <c r="H37" s="1">
        <f>BOM!J32</f>
        <v>0</v>
      </c>
      <c r="I37" s="1" t="str">
        <f t="shared" si="0"/>
        <v>Others</v>
      </c>
      <c r="J37" s="1" t="str">
        <f t="shared" si="1"/>
        <v>0Others</v>
      </c>
      <c r="K37" s="3" t="str">
        <f>IF($J37="InhouseCSC",VLOOKUP($D37,Group!$C:$E,3,0),"")</f>
        <v/>
      </c>
      <c r="L37" s="3" t="str">
        <f>IF(OR($J37="BOSFCSC",$J37="BOFCSC"),VLOOKUP($D37,Group!$C:$E,3,0),"")</f>
        <v/>
      </c>
      <c r="M37" s="3" t="str">
        <f>IF(OR($J37="BOSFCSC",$J37="BOFCSC"),VLOOKUP($D37,Group!$C:$F,4,0),"")</f>
        <v/>
      </c>
      <c r="N37" s="3" t="str">
        <f>IF(OR($J37="InhouseCSC",$J37="BOSFCSC"),VLOOKUP($D37,Group!$C:$G,5,0),"")</f>
        <v/>
      </c>
      <c r="O37" s="3" t="str">
        <f>IF($J37="InhouseCSC",ROUND(VLOOKUP($D37,Group!$C:$H,6,0),5),"")</f>
        <v/>
      </c>
      <c r="P37" s="3" t="str">
        <f>IF(OR($J37="BOSFCSC",$J37="BOFCSC"),VLOOKUP($D37,Group!$C:$H,6,0),"")</f>
        <v/>
      </c>
      <c r="Q37" s="1" t="str">
        <f>IF($J37="Inhouseothers",VLOOKUP($D37,Group!$C:$E,3,0),"")</f>
        <v/>
      </c>
      <c r="R37" s="1" t="str">
        <f>IF($J37="BOSFOthers",VLOOKUP($D37,Group!$C:$E,3,0),"")</f>
        <v/>
      </c>
      <c r="S37" s="3" t="str">
        <f>IF($J37="BOFOthers",VLOOKUP($D37,Group!$C:$E,3,0),"")</f>
        <v/>
      </c>
      <c r="U37" s="1" t="str">
        <f>IFERROR(Backend!$L37*VLOOKUP($F37,'OH,Profit &amp; Other Base'!$A:$V,Backend!U$6,0),"")</f>
        <v/>
      </c>
      <c r="V37" s="1" t="str">
        <f>IFERROR(Backend!$M37*VLOOKUP($F37,'OH,Profit &amp; Other Base'!$A:$V,Backend!V$6,0),"")</f>
        <v/>
      </c>
      <c r="W37" s="1" t="str">
        <f>IFERROR(Backend!$L37*VLOOKUP($F37,'OH,Profit &amp; Other Base'!$A:$V,Backend!W$6,0),"")</f>
        <v/>
      </c>
      <c r="X37" s="1" t="str">
        <f>IFERROR(Backend!$M37*VLOOKUP($F37,'OH,Profit &amp; Other Base'!$A:$V,Backend!X$6,0),"")</f>
        <v/>
      </c>
      <c r="Y37" s="1" t="str">
        <f>IFERROR(Backend!$L37*VLOOKUP($F37,'OH,Profit &amp; Other Base'!$A:$V,Backend!Y$6,0),"")</f>
        <v/>
      </c>
      <c r="Z37" s="1" t="str">
        <f>IFERROR(Backend!$M37*VLOOKUP($F37,'OH,Profit &amp; Other Base'!$A:$V,Backend!Z$6,0),"")</f>
        <v/>
      </c>
      <c r="AA37" s="1" t="str">
        <f>IFERROR(Backend!$L37*VLOOKUP($F37,'OH,Profit &amp; Other Base'!$A:$V,Backend!AA$6,0),"")</f>
        <v/>
      </c>
      <c r="AB37" s="1" t="str">
        <f>IFERROR(Backend!$M37*VLOOKUP($F37,'OH,Profit &amp; Other Base'!$A:$V,Backend!AB$6,0),"")</f>
        <v/>
      </c>
      <c r="AC37" s="1" t="str">
        <f>IFERROR(Backend!$L37*VLOOKUP($F37,'OH,Profit &amp; Other Base'!$A:$V,Backend!AC$6,0),"")</f>
        <v/>
      </c>
      <c r="AD37" s="1" t="str">
        <f>IFERROR(Backend!$M37*VLOOKUP($F37,'OH,Profit &amp; Other Base'!$A:$V,Backend!AD$6,0),"")</f>
        <v/>
      </c>
      <c r="AE37" s="1" t="str">
        <f>IFERROR(Backend!$L37*VLOOKUP($F37,'OH,Profit &amp; Other Base'!$A:$V,Backend!AE$6,0),"")</f>
        <v/>
      </c>
      <c r="AF37" s="1" t="str">
        <f>IFERROR(Backend!$M37*VLOOKUP($F37,'OH,Profit &amp; Other Base'!$A:$V,Backend!AF$6,0),"")</f>
        <v/>
      </c>
      <c r="AG37" s="1" t="str">
        <f>IFERROR(Backend!$L37*VLOOKUP($F37,'OH,Profit &amp; Other Base'!$A:$V,Backend!AG$6,0),"")</f>
        <v/>
      </c>
      <c r="AH37" s="1" t="str">
        <f>IFERROR(Backend!$M37*VLOOKUP($F37,'OH,Profit &amp; Other Base'!$A:$V,Backend!AH$6,0),"")</f>
        <v/>
      </c>
      <c r="AI37" s="3">
        <f t="shared" si="2"/>
        <v>0</v>
      </c>
      <c r="AL37" s="1" t="str">
        <f t="shared" si="3"/>
        <v/>
      </c>
      <c r="AM37" s="1" t="str">
        <f t="shared" si="4"/>
        <v/>
      </c>
      <c r="AN37" s="1" t="str">
        <f t="shared" si="5"/>
        <v/>
      </c>
      <c r="AO37" s="1" t="str">
        <f t="shared" si="6"/>
        <v/>
      </c>
      <c r="AP37" s="1" t="str">
        <f>IFERROR(ROUND(Backend!$AL37*VLOOKUP($F37,'OH,Profit &amp; Other Base'!$A:$V,Backend!AP$6,0),5),"")</f>
        <v/>
      </c>
      <c r="AQ37" s="1" t="str">
        <f>IFERROR(ROUND(Backend!$AO37*VLOOKUP($F37,'OH,Profit &amp; Other Base'!$A:$V,Backend!AQ$6,0),5),"")</f>
        <v/>
      </c>
      <c r="AR37" s="1" t="str">
        <f>IFERROR(ROUND(Backend!$AM37*VLOOKUP($F37,'OH,Profit &amp; Other Base'!$A:$V,Backend!AR$6,0),5),"")</f>
        <v/>
      </c>
      <c r="AS37" s="1" t="str">
        <f>IFERROR(ROUND(Backend!$AL37*VLOOKUP($F37,'OH,Profit &amp; Other Base'!$A:$V,Backend!AS$6,0),5),"")</f>
        <v/>
      </c>
      <c r="AT37" s="1" t="str">
        <f>IFERROR(ROUND(Backend!$AO37*VLOOKUP($F37,'OH,Profit &amp; Other Base'!$A:$V,Backend!AT$6,0),5),"")</f>
        <v/>
      </c>
      <c r="AU37" s="1" t="str">
        <f>IFERROR(ROUND(Backend!$AM37*VLOOKUP($F37,'OH,Profit &amp; Other Base'!$A:$V,Backend!AU$6,0),5),"")</f>
        <v/>
      </c>
      <c r="AV37" s="1" t="str">
        <f>IFERROR(ROUND(Backend!$AL37*VLOOKUP($F37,'OH,Profit &amp; Other Base'!$A:$V,Backend!AV$6,0),5),"")</f>
        <v/>
      </c>
      <c r="AW37" s="1" t="str">
        <f>IFERROR(ROUND(Backend!$AO37*VLOOKUP($F37,'OH,Profit &amp; Other Base'!$A:$V,Backend!AW$6,0),5),"")</f>
        <v/>
      </c>
      <c r="AX37" s="1" t="str">
        <f>IFERROR(ROUND(Backend!$AM37*VLOOKUP($F37,'OH,Profit &amp; Other Base'!$A:$V,Backend!AX$6,0),5),"")</f>
        <v/>
      </c>
      <c r="AY37" s="1" t="str">
        <f>IFERROR(ROUND(Backend!$AL37*VLOOKUP($F37,'OH,Profit &amp; Other Base'!$A:$V,Backend!AY$6,0),5),"")</f>
        <v/>
      </c>
      <c r="AZ37" s="1" t="str">
        <f>IFERROR(ROUND(Backend!$AO37*VLOOKUP($F37,'OH,Profit &amp; Other Base'!$A:$V,Backend!AZ$6,0),5),"")</f>
        <v/>
      </c>
      <c r="BA37" s="1" t="str">
        <f>IFERROR(ROUND(Backend!$AM37*VLOOKUP($F37,'OH,Profit &amp; Other Base'!$A:$V,Backend!BA$6,0),5),"")</f>
        <v/>
      </c>
      <c r="BB37" s="1" t="str">
        <f>IFERROR(ROUND(Backend!$AL37*VLOOKUP($F37,'OH,Profit &amp; Other Base'!$A:$V,Backend!BB$6,0),5),"")</f>
        <v/>
      </c>
      <c r="BC37" s="1" t="str">
        <f>IFERROR(ROUND(Backend!$AO37*VLOOKUP($F37,'OH,Profit &amp; Other Base'!$A:$V,Backend!BC$6,0),5),"")</f>
        <v/>
      </c>
      <c r="BD37" s="1" t="str">
        <f>IFERROR(ROUND(Backend!$AM37*VLOOKUP($F37,'OH,Profit &amp; Other Base'!$A:$V,Backend!BD$6,0),5),"")</f>
        <v/>
      </c>
      <c r="BE37" s="1" t="str">
        <f>IFERROR(ROUND(Backend!$AL37*VLOOKUP($F37,'OH,Profit &amp; Other Base'!$A:$V,Backend!BE$6,0),5),"")</f>
        <v/>
      </c>
      <c r="BF37" s="1" t="str">
        <f>IFERROR(ROUND(Backend!$AO37*VLOOKUP($F37,'OH,Profit &amp; Other Base'!$A:$V,Backend!BF$6,0),5),"")</f>
        <v/>
      </c>
      <c r="BG37" s="1" t="str">
        <f>IFERROR(ROUND(Backend!$AM37*VLOOKUP($F37,'OH,Profit &amp; Other Base'!$A:$V,Backend!BG$6,0),5),"")</f>
        <v/>
      </c>
      <c r="BH37" s="1" t="str">
        <f>IFERROR(ROUND(Backend!$AL37*VLOOKUP($F37,'OH,Profit &amp; Other Base'!$A:$V,Backend!BH$6,0),5),"")</f>
        <v/>
      </c>
      <c r="BI37" s="1" t="str">
        <f>IFERROR(ROUND(Backend!$AO37*VLOOKUP($F37,'OH,Profit &amp; Other Base'!$A:$V,Backend!BI$6,0),5),"")</f>
        <v/>
      </c>
      <c r="BJ37" s="1" t="str">
        <f>IFERROR(ROUND(Backend!$AM37*VLOOKUP($F37,'OH,Profit &amp; Other Base'!$A:$V,Backend!BJ$6,0),5),"")</f>
        <v/>
      </c>
      <c r="BK37" s="3">
        <f>SUM(AN37:BJ37,Backend!O37)</f>
        <v>0</v>
      </c>
    </row>
    <row r="38" spans="1:63">
      <c r="A38" s="1">
        <f>BOM!A33</f>
        <v>31</v>
      </c>
      <c r="B38" s="1" t="str">
        <f>BOM!B33</f>
        <v>MB512123</v>
      </c>
      <c r="C38" s="1">
        <f>BOM!C33</f>
        <v>0</v>
      </c>
      <c r="D38" s="1">
        <f>BOM!D33</f>
        <v>0</v>
      </c>
      <c r="E38" s="1">
        <f>BOM!F33</f>
        <v>0</v>
      </c>
      <c r="F38" s="1" t="str">
        <f>IF(H38="CSC",BOM!H33,IF(J38="BOFOthers","Sheet Metal-B",""))</f>
        <v/>
      </c>
      <c r="G38" s="1">
        <f>BOM!I33</f>
        <v>0</v>
      </c>
      <c r="H38" s="1">
        <f>BOM!J33</f>
        <v>0</v>
      </c>
      <c r="I38" s="1" t="str">
        <f t="shared" si="0"/>
        <v>Others</v>
      </c>
      <c r="J38" s="1" t="str">
        <f t="shared" si="1"/>
        <v>0Others</v>
      </c>
      <c r="K38" s="3" t="str">
        <f>IF($J38="InhouseCSC",VLOOKUP($D38,Group!$C:$E,3,0),"")</f>
        <v/>
      </c>
      <c r="L38" s="3" t="str">
        <f>IF(OR($J38="BOSFCSC",$J38="BOFCSC"),VLOOKUP($D38,Group!$C:$E,3,0),"")</f>
        <v/>
      </c>
      <c r="M38" s="3" t="str">
        <f>IF(OR($J38="BOSFCSC",$J38="BOFCSC"),VLOOKUP($D38,Group!$C:$F,4,0),"")</f>
        <v/>
      </c>
      <c r="N38" s="3" t="str">
        <f>IF(OR($J38="InhouseCSC",$J38="BOSFCSC"),VLOOKUP($D38,Group!$C:$G,5,0),"")</f>
        <v/>
      </c>
      <c r="O38" s="3" t="str">
        <f>IF($J38="InhouseCSC",ROUND(VLOOKUP($D38,Group!$C:$H,6,0),5),"")</f>
        <v/>
      </c>
      <c r="P38" s="3" t="str">
        <f>IF(OR($J38="BOSFCSC",$J38="BOFCSC"),VLOOKUP($D38,Group!$C:$H,6,0),"")</f>
        <v/>
      </c>
      <c r="Q38" s="1" t="str">
        <f>IF($J38="Inhouseothers",VLOOKUP($D38,Group!$C:$E,3,0),"")</f>
        <v/>
      </c>
      <c r="R38" s="1" t="str">
        <f>IF($J38="BOSFOthers",VLOOKUP($D38,Group!$C:$E,3,0),"")</f>
        <v/>
      </c>
      <c r="S38" s="3" t="str">
        <f>IF($J38="BOFOthers",VLOOKUP($D38,Group!$C:$E,3,0),"")</f>
        <v/>
      </c>
      <c r="U38" s="1" t="str">
        <f>IFERROR(Backend!$L38*VLOOKUP($F38,'OH,Profit &amp; Other Base'!$A:$V,Backend!U$6,0),"")</f>
        <v/>
      </c>
      <c r="V38" s="1" t="str">
        <f>IFERROR(Backend!$M38*VLOOKUP($F38,'OH,Profit &amp; Other Base'!$A:$V,Backend!V$6,0),"")</f>
        <v/>
      </c>
      <c r="W38" s="1" t="str">
        <f>IFERROR(Backend!$L38*VLOOKUP($F38,'OH,Profit &amp; Other Base'!$A:$V,Backend!W$6,0),"")</f>
        <v/>
      </c>
      <c r="X38" s="1" t="str">
        <f>IFERROR(Backend!$M38*VLOOKUP($F38,'OH,Profit &amp; Other Base'!$A:$V,Backend!X$6,0),"")</f>
        <v/>
      </c>
      <c r="Y38" s="1" t="str">
        <f>IFERROR(Backend!$L38*VLOOKUP($F38,'OH,Profit &amp; Other Base'!$A:$V,Backend!Y$6,0),"")</f>
        <v/>
      </c>
      <c r="Z38" s="1" t="str">
        <f>IFERROR(Backend!$M38*VLOOKUP($F38,'OH,Profit &amp; Other Base'!$A:$V,Backend!Z$6,0),"")</f>
        <v/>
      </c>
      <c r="AA38" s="1" t="str">
        <f>IFERROR(Backend!$L38*VLOOKUP($F38,'OH,Profit &amp; Other Base'!$A:$V,Backend!AA$6,0),"")</f>
        <v/>
      </c>
      <c r="AB38" s="1" t="str">
        <f>IFERROR(Backend!$M38*VLOOKUP($F38,'OH,Profit &amp; Other Base'!$A:$V,Backend!AB$6,0),"")</f>
        <v/>
      </c>
      <c r="AC38" s="1" t="str">
        <f>IFERROR(Backend!$L38*VLOOKUP($F38,'OH,Profit &amp; Other Base'!$A:$V,Backend!AC$6,0),"")</f>
        <v/>
      </c>
      <c r="AD38" s="1" t="str">
        <f>IFERROR(Backend!$M38*VLOOKUP($F38,'OH,Profit &amp; Other Base'!$A:$V,Backend!AD$6,0),"")</f>
        <v/>
      </c>
      <c r="AE38" s="1" t="str">
        <f>IFERROR(Backend!$L38*VLOOKUP($F38,'OH,Profit &amp; Other Base'!$A:$V,Backend!AE$6,0),"")</f>
        <v/>
      </c>
      <c r="AF38" s="1" t="str">
        <f>IFERROR(Backend!$M38*VLOOKUP($F38,'OH,Profit &amp; Other Base'!$A:$V,Backend!AF$6,0),"")</f>
        <v/>
      </c>
      <c r="AG38" s="1" t="str">
        <f>IFERROR(Backend!$L38*VLOOKUP($F38,'OH,Profit &amp; Other Base'!$A:$V,Backend!AG$6,0),"")</f>
        <v/>
      </c>
      <c r="AH38" s="1" t="str">
        <f>IFERROR(Backend!$M38*VLOOKUP($F38,'OH,Profit &amp; Other Base'!$A:$V,Backend!AH$6,0),"")</f>
        <v/>
      </c>
      <c r="AI38" s="3">
        <f t="shared" si="2"/>
        <v>0</v>
      </c>
      <c r="AL38" s="1" t="str">
        <f t="shared" si="3"/>
        <v/>
      </c>
      <c r="AM38" s="1" t="str">
        <f t="shared" si="4"/>
        <v/>
      </c>
      <c r="AN38" s="1" t="str">
        <f t="shared" si="5"/>
        <v/>
      </c>
      <c r="AO38" s="1" t="str">
        <f t="shared" si="6"/>
        <v/>
      </c>
      <c r="AP38" s="1" t="str">
        <f>IFERROR(ROUND(Backend!$AL38*VLOOKUP($F38,'OH,Profit &amp; Other Base'!$A:$V,Backend!AP$6,0),5),"")</f>
        <v/>
      </c>
      <c r="AQ38" s="1" t="str">
        <f>IFERROR(ROUND(Backend!$AO38*VLOOKUP($F38,'OH,Profit &amp; Other Base'!$A:$V,Backend!AQ$6,0),5),"")</f>
        <v/>
      </c>
      <c r="AR38" s="1" t="str">
        <f>IFERROR(ROUND(Backend!$AM38*VLOOKUP($F38,'OH,Profit &amp; Other Base'!$A:$V,Backend!AR$6,0),5),"")</f>
        <v/>
      </c>
      <c r="AS38" s="1" t="str">
        <f>IFERROR(ROUND(Backend!$AL38*VLOOKUP($F38,'OH,Profit &amp; Other Base'!$A:$V,Backend!AS$6,0),5),"")</f>
        <v/>
      </c>
      <c r="AT38" s="1" t="str">
        <f>IFERROR(ROUND(Backend!$AO38*VLOOKUP($F38,'OH,Profit &amp; Other Base'!$A:$V,Backend!AT$6,0),5),"")</f>
        <v/>
      </c>
      <c r="AU38" s="1" t="str">
        <f>IFERROR(ROUND(Backend!$AM38*VLOOKUP($F38,'OH,Profit &amp; Other Base'!$A:$V,Backend!AU$6,0),5),"")</f>
        <v/>
      </c>
      <c r="AV38" s="1" t="str">
        <f>IFERROR(ROUND(Backend!$AL38*VLOOKUP($F38,'OH,Profit &amp; Other Base'!$A:$V,Backend!AV$6,0),5),"")</f>
        <v/>
      </c>
      <c r="AW38" s="1" t="str">
        <f>IFERROR(ROUND(Backend!$AO38*VLOOKUP($F38,'OH,Profit &amp; Other Base'!$A:$V,Backend!AW$6,0),5),"")</f>
        <v/>
      </c>
      <c r="AX38" s="1" t="str">
        <f>IFERROR(ROUND(Backend!$AM38*VLOOKUP($F38,'OH,Profit &amp; Other Base'!$A:$V,Backend!AX$6,0),5),"")</f>
        <v/>
      </c>
      <c r="AY38" s="1" t="str">
        <f>IFERROR(ROUND(Backend!$AL38*VLOOKUP($F38,'OH,Profit &amp; Other Base'!$A:$V,Backend!AY$6,0),5),"")</f>
        <v/>
      </c>
      <c r="AZ38" s="1" t="str">
        <f>IFERROR(ROUND(Backend!$AO38*VLOOKUP($F38,'OH,Profit &amp; Other Base'!$A:$V,Backend!AZ$6,0),5),"")</f>
        <v/>
      </c>
      <c r="BA38" s="1" t="str">
        <f>IFERROR(ROUND(Backend!$AM38*VLOOKUP($F38,'OH,Profit &amp; Other Base'!$A:$V,Backend!BA$6,0),5),"")</f>
        <v/>
      </c>
      <c r="BB38" s="1" t="str">
        <f>IFERROR(ROUND(Backend!$AL38*VLOOKUP($F38,'OH,Profit &amp; Other Base'!$A:$V,Backend!BB$6,0),5),"")</f>
        <v/>
      </c>
      <c r="BC38" s="1" t="str">
        <f>IFERROR(ROUND(Backend!$AO38*VLOOKUP($F38,'OH,Profit &amp; Other Base'!$A:$V,Backend!BC$6,0),5),"")</f>
        <v/>
      </c>
      <c r="BD38" s="1" t="str">
        <f>IFERROR(ROUND(Backend!$AM38*VLOOKUP($F38,'OH,Profit &amp; Other Base'!$A:$V,Backend!BD$6,0),5),"")</f>
        <v/>
      </c>
      <c r="BE38" s="1" t="str">
        <f>IFERROR(ROUND(Backend!$AL38*VLOOKUP($F38,'OH,Profit &amp; Other Base'!$A:$V,Backend!BE$6,0),5),"")</f>
        <v/>
      </c>
      <c r="BF38" s="1" t="str">
        <f>IFERROR(ROUND(Backend!$AO38*VLOOKUP($F38,'OH,Profit &amp; Other Base'!$A:$V,Backend!BF$6,0),5),"")</f>
        <v/>
      </c>
      <c r="BG38" s="1" t="str">
        <f>IFERROR(ROUND(Backend!$AM38*VLOOKUP($F38,'OH,Profit &amp; Other Base'!$A:$V,Backend!BG$6,0),5),"")</f>
        <v/>
      </c>
      <c r="BH38" s="1" t="str">
        <f>IFERROR(ROUND(Backend!$AL38*VLOOKUP($F38,'OH,Profit &amp; Other Base'!$A:$V,Backend!BH$6,0),5),"")</f>
        <v/>
      </c>
      <c r="BI38" s="1" t="str">
        <f>IFERROR(ROUND(Backend!$AO38*VLOOKUP($F38,'OH,Profit &amp; Other Base'!$A:$V,Backend!BI$6,0),5),"")</f>
        <v/>
      </c>
      <c r="BJ38" s="1" t="str">
        <f>IFERROR(ROUND(Backend!$AM38*VLOOKUP($F38,'OH,Profit &amp; Other Base'!$A:$V,Backend!BJ$6,0),5),"")</f>
        <v/>
      </c>
      <c r="BK38" s="3">
        <f>SUM(AN38:BJ38,Backend!O38)</f>
        <v>0</v>
      </c>
    </row>
    <row r="39" spans="1:63">
      <c r="A39" s="1">
        <f>BOM!A34</f>
        <v>32</v>
      </c>
      <c r="B39" s="1" t="str">
        <f>BOM!B34</f>
        <v>MB512123</v>
      </c>
      <c r="C39" s="1">
        <f>BOM!C34</f>
        <v>0</v>
      </c>
      <c r="D39" s="1">
        <f>BOM!D34</f>
        <v>0</v>
      </c>
      <c r="E39" s="1">
        <f>BOM!F34</f>
        <v>0</v>
      </c>
      <c r="F39" s="1" t="str">
        <f>IF(H39="CSC",BOM!H34,IF(J39="BOFOthers","Sheet Metal-B",""))</f>
        <v/>
      </c>
      <c r="G39" s="1">
        <f>BOM!I34</f>
        <v>0</v>
      </c>
      <c r="H39" s="1">
        <f>BOM!J34</f>
        <v>0</v>
      </c>
      <c r="I39" s="1" t="str">
        <f t="shared" si="0"/>
        <v>Others</v>
      </c>
      <c r="J39" s="1" t="str">
        <f t="shared" si="1"/>
        <v>0Others</v>
      </c>
      <c r="K39" s="3" t="str">
        <f>IF($J39="InhouseCSC",VLOOKUP($D39,Group!$C:$E,3,0),"")</f>
        <v/>
      </c>
      <c r="L39" s="3" t="str">
        <f>IF(OR($J39="BOSFCSC",$J39="BOFCSC"),VLOOKUP($D39,Group!$C:$E,3,0),"")</f>
        <v/>
      </c>
      <c r="M39" s="3" t="str">
        <f>IF(OR($J39="BOSFCSC",$J39="BOFCSC"),VLOOKUP($D39,Group!$C:$F,4,0),"")</f>
        <v/>
      </c>
      <c r="N39" s="3" t="str">
        <f>IF(OR($J39="InhouseCSC",$J39="BOSFCSC"),VLOOKUP($D39,Group!$C:$G,5,0),"")</f>
        <v/>
      </c>
      <c r="O39" s="3" t="str">
        <f>IF($J39="InhouseCSC",ROUND(VLOOKUP($D39,Group!$C:$H,6,0),5),"")</f>
        <v/>
      </c>
      <c r="P39" s="3" t="str">
        <f>IF(OR($J39="BOSFCSC",$J39="BOFCSC"),VLOOKUP($D39,Group!$C:$H,6,0),"")</f>
        <v/>
      </c>
      <c r="Q39" s="1" t="str">
        <f>IF($J39="Inhouseothers",VLOOKUP($D39,Group!$C:$E,3,0),"")</f>
        <v/>
      </c>
      <c r="R39" s="1" t="str">
        <f>IF($J39="BOSFOthers",VLOOKUP($D39,Group!$C:$E,3,0),"")</f>
        <v/>
      </c>
      <c r="S39" s="3" t="str">
        <f>IF($J39="BOFOthers",VLOOKUP($D39,Group!$C:$E,3,0),"")</f>
        <v/>
      </c>
      <c r="U39" s="1" t="str">
        <f>IFERROR(Backend!$L39*VLOOKUP($F39,'OH,Profit &amp; Other Base'!$A:$V,Backend!U$6,0),"")</f>
        <v/>
      </c>
      <c r="V39" s="1" t="str">
        <f>IFERROR(Backend!$M39*VLOOKUP($F39,'OH,Profit &amp; Other Base'!$A:$V,Backend!V$6,0),"")</f>
        <v/>
      </c>
      <c r="W39" s="1" t="str">
        <f>IFERROR(Backend!$L39*VLOOKUP($F39,'OH,Profit &amp; Other Base'!$A:$V,Backend!W$6,0),"")</f>
        <v/>
      </c>
      <c r="X39" s="1" t="str">
        <f>IFERROR(Backend!$M39*VLOOKUP($F39,'OH,Profit &amp; Other Base'!$A:$V,Backend!X$6,0),"")</f>
        <v/>
      </c>
      <c r="Y39" s="1" t="str">
        <f>IFERROR(Backend!$L39*VLOOKUP($F39,'OH,Profit &amp; Other Base'!$A:$V,Backend!Y$6,0),"")</f>
        <v/>
      </c>
      <c r="Z39" s="1" t="str">
        <f>IFERROR(Backend!$M39*VLOOKUP($F39,'OH,Profit &amp; Other Base'!$A:$V,Backend!Z$6,0),"")</f>
        <v/>
      </c>
      <c r="AA39" s="1" t="str">
        <f>IFERROR(Backend!$L39*VLOOKUP($F39,'OH,Profit &amp; Other Base'!$A:$V,Backend!AA$6,0),"")</f>
        <v/>
      </c>
      <c r="AB39" s="1" t="str">
        <f>IFERROR(Backend!$M39*VLOOKUP($F39,'OH,Profit &amp; Other Base'!$A:$V,Backend!AB$6,0),"")</f>
        <v/>
      </c>
      <c r="AC39" s="1" t="str">
        <f>IFERROR(Backend!$L39*VLOOKUP($F39,'OH,Profit &amp; Other Base'!$A:$V,Backend!AC$6,0),"")</f>
        <v/>
      </c>
      <c r="AD39" s="1" t="str">
        <f>IFERROR(Backend!$M39*VLOOKUP($F39,'OH,Profit &amp; Other Base'!$A:$V,Backend!AD$6,0),"")</f>
        <v/>
      </c>
      <c r="AE39" s="1" t="str">
        <f>IFERROR(Backend!$L39*VLOOKUP($F39,'OH,Profit &amp; Other Base'!$A:$V,Backend!AE$6,0),"")</f>
        <v/>
      </c>
      <c r="AF39" s="1" t="str">
        <f>IFERROR(Backend!$M39*VLOOKUP($F39,'OH,Profit &amp; Other Base'!$A:$V,Backend!AF$6,0),"")</f>
        <v/>
      </c>
      <c r="AG39" s="1" t="str">
        <f>IFERROR(Backend!$L39*VLOOKUP($F39,'OH,Profit &amp; Other Base'!$A:$V,Backend!AG$6,0),"")</f>
        <v/>
      </c>
      <c r="AH39" s="1" t="str">
        <f>IFERROR(Backend!$M39*VLOOKUP($F39,'OH,Profit &amp; Other Base'!$A:$V,Backend!AH$6,0),"")</f>
        <v/>
      </c>
      <c r="AI39" s="3">
        <f t="shared" si="2"/>
        <v>0</v>
      </c>
      <c r="AL39" s="1" t="str">
        <f t="shared" si="3"/>
        <v/>
      </c>
      <c r="AM39" s="1" t="str">
        <f t="shared" si="4"/>
        <v/>
      </c>
      <c r="AN39" s="1" t="str">
        <f t="shared" si="5"/>
        <v/>
      </c>
      <c r="AO39" s="1" t="str">
        <f t="shared" si="6"/>
        <v/>
      </c>
      <c r="AP39" s="1" t="str">
        <f>IFERROR(ROUND(Backend!$AL39*VLOOKUP($F39,'OH,Profit &amp; Other Base'!$A:$V,Backend!AP$6,0),5),"")</f>
        <v/>
      </c>
      <c r="AQ39" s="1" t="str">
        <f>IFERROR(ROUND(Backend!$AO39*VLOOKUP($F39,'OH,Profit &amp; Other Base'!$A:$V,Backend!AQ$6,0),5),"")</f>
        <v/>
      </c>
      <c r="AR39" s="1" t="str">
        <f>IFERROR(ROUND(Backend!$AM39*VLOOKUP($F39,'OH,Profit &amp; Other Base'!$A:$V,Backend!AR$6,0),5),"")</f>
        <v/>
      </c>
      <c r="AS39" s="1" t="str">
        <f>IFERROR(ROUND(Backend!$AL39*VLOOKUP($F39,'OH,Profit &amp; Other Base'!$A:$V,Backend!AS$6,0),5),"")</f>
        <v/>
      </c>
      <c r="AT39" s="1" t="str">
        <f>IFERROR(ROUND(Backend!$AO39*VLOOKUP($F39,'OH,Profit &amp; Other Base'!$A:$V,Backend!AT$6,0),5),"")</f>
        <v/>
      </c>
      <c r="AU39" s="1" t="str">
        <f>IFERROR(ROUND(Backend!$AM39*VLOOKUP($F39,'OH,Profit &amp; Other Base'!$A:$V,Backend!AU$6,0),5),"")</f>
        <v/>
      </c>
      <c r="AV39" s="1" t="str">
        <f>IFERROR(ROUND(Backend!$AL39*VLOOKUP($F39,'OH,Profit &amp; Other Base'!$A:$V,Backend!AV$6,0),5),"")</f>
        <v/>
      </c>
      <c r="AW39" s="1" t="str">
        <f>IFERROR(ROUND(Backend!$AO39*VLOOKUP($F39,'OH,Profit &amp; Other Base'!$A:$V,Backend!AW$6,0),5),"")</f>
        <v/>
      </c>
      <c r="AX39" s="1" t="str">
        <f>IFERROR(ROUND(Backend!$AM39*VLOOKUP($F39,'OH,Profit &amp; Other Base'!$A:$V,Backend!AX$6,0),5),"")</f>
        <v/>
      </c>
      <c r="AY39" s="1" t="str">
        <f>IFERROR(ROUND(Backend!$AL39*VLOOKUP($F39,'OH,Profit &amp; Other Base'!$A:$V,Backend!AY$6,0),5),"")</f>
        <v/>
      </c>
      <c r="AZ39" s="1" t="str">
        <f>IFERROR(ROUND(Backend!$AO39*VLOOKUP($F39,'OH,Profit &amp; Other Base'!$A:$V,Backend!AZ$6,0),5),"")</f>
        <v/>
      </c>
      <c r="BA39" s="1" t="str">
        <f>IFERROR(ROUND(Backend!$AM39*VLOOKUP($F39,'OH,Profit &amp; Other Base'!$A:$V,Backend!BA$6,0),5),"")</f>
        <v/>
      </c>
      <c r="BB39" s="1" t="str">
        <f>IFERROR(ROUND(Backend!$AL39*VLOOKUP($F39,'OH,Profit &amp; Other Base'!$A:$V,Backend!BB$6,0),5),"")</f>
        <v/>
      </c>
      <c r="BC39" s="1" t="str">
        <f>IFERROR(ROUND(Backend!$AO39*VLOOKUP($F39,'OH,Profit &amp; Other Base'!$A:$V,Backend!BC$6,0),5),"")</f>
        <v/>
      </c>
      <c r="BD39" s="1" t="str">
        <f>IFERROR(ROUND(Backend!$AM39*VLOOKUP($F39,'OH,Profit &amp; Other Base'!$A:$V,Backend!BD$6,0),5),"")</f>
        <v/>
      </c>
      <c r="BE39" s="1" t="str">
        <f>IFERROR(ROUND(Backend!$AL39*VLOOKUP($F39,'OH,Profit &amp; Other Base'!$A:$V,Backend!BE$6,0),5),"")</f>
        <v/>
      </c>
      <c r="BF39" s="1" t="str">
        <f>IFERROR(ROUND(Backend!$AO39*VLOOKUP($F39,'OH,Profit &amp; Other Base'!$A:$V,Backend!BF$6,0),5),"")</f>
        <v/>
      </c>
      <c r="BG39" s="1" t="str">
        <f>IFERROR(ROUND(Backend!$AM39*VLOOKUP($F39,'OH,Profit &amp; Other Base'!$A:$V,Backend!BG$6,0),5),"")</f>
        <v/>
      </c>
      <c r="BH39" s="1" t="str">
        <f>IFERROR(ROUND(Backend!$AL39*VLOOKUP($F39,'OH,Profit &amp; Other Base'!$A:$V,Backend!BH$6,0),5),"")</f>
        <v/>
      </c>
      <c r="BI39" s="1" t="str">
        <f>IFERROR(ROUND(Backend!$AO39*VLOOKUP($F39,'OH,Profit &amp; Other Base'!$A:$V,Backend!BI$6,0),5),"")</f>
        <v/>
      </c>
      <c r="BJ39" s="1" t="str">
        <f>IFERROR(ROUND(Backend!$AM39*VLOOKUP($F39,'OH,Profit &amp; Other Base'!$A:$V,Backend!BJ$6,0),5),"")</f>
        <v/>
      </c>
      <c r="BK39" s="3">
        <f>SUM(AN39:BJ39,Backend!O39)</f>
        <v>0</v>
      </c>
    </row>
    <row r="40" spans="1:63">
      <c r="A40" s="1">
        <f>BOM!A35</f>
        <v>33</v>
      </c>
      <c r="B40" s="1" t="str">
        <f>BOM!B35</f>
        <v>MB512123</v>
      </c>
      <c r="C40" s="1">
        <f>BOM!C35</f>
        <v>0</v>
      </c>
      <c r="D40" s="1">
        <f>BOM!D35</f>
        <v>0</v>
      </c>
      <c r="E40" s="1">
        <f>BOM!F35</f>
        <v>0</v>
      </c>
      <c r="F40" s="1" t="str">
        <f>IF(H40="CSC",BOM!H35,IF(J40="BOFOthers","Sheet Metal-B",""))</f>
        <v/>
      </c>
      <c r="G40" s="1">
        <f>BOM!I35</f>
        <v>0</v>
      </c>
      <c r="H40" s="1">
        <f>BOM!J35</f>
        <v>0</v>
      </c>
      <c r="I40" s="1" t="str">
        <f t="shared" si="0"/>
        <v>Others</v>
      </c>
      <c r="J40" s="1" t="str">
        <f t="shared" si="1"/>
        <v>0Others</v>
      </c>
      <c r="K40" s="3" t="str">
        <f>IF($J40="InhouseCSC",VLOOKUP($D40,Group!$C:$E,3,0),"")</f>
        <v/>
      </c>
      <c r="L40" s="3" t="str">
        <f>IF(OR($J40="BOSFCSC",$J40="BOFCSC"),VLOOKUP($D40,Group!$C:$E,3,0),"")</f>
        <v/>
      </c>
      <c r="M40" s="3" t="str">
        <f>IF(OR($J40="BOSFCSC",$J40="BOFCSC"),VLOOKUP($D40,Group!$C:$F,4,0),"")</f>
        <v/>
      </c>
      <c r="N40" s="3" t="str">
        <f>IF(OR($J40="InhouseCSC",$J40="BOSFCSC"),VLOOKUP($D40,Group!$C:$G,5,0),"")</f>
        <v/>
      </c>
      <c r="O40" s="3" t="str">
        <f>IF($J40="InhouseCSC",ROUND(VLOOKUP($D40,Group!$C:$H,6,0),5),"")</f>
        <v/>
      </c>
      <c r="P40" s="3" t="str">
        <f>IF(OR($J40="BOSFCSC",$J40="BOFCSC"),VLOOKUP($D40,Group!$C:$H,6,0),"")</f>
        <v/>
      </c>
      <c r="Q40" s="1" t="str">
        <f>IF($J40="Inhouseothers",VLOOKUP($D40,Group!$C:$E,3,0),"")</f>
        <v/>
      </c>
      <c r="R40" s="1" t="str">
        <f>IF($J40="BOSFOthers",VLOOKUP($D40,Group!$C:$E,3,0),"")</f>
        <v/>
      </c>
      <c r="S40" s="3" t="str">
        <f>IF($J40="BOFOthers",VLOOKUP($D40,Group!$C:$E,3,0),"")</f>
        <v/>
      </c>
      <c r="U40" s="1" t="str">
        <f>IFERROR(Backend!$L40*VLOOKUP($F40,'OH,Profit &amp; Other Base'!$A:$V,Backend!U$6,0),"")</f>
        <v/>
      </c>
      <c r="V40" s="1" t="str">
        <f>IFERROR(Backend!$M40*VLOOKUP($F40,'OH,Profit &amp; Other Base'!$A:$V,Backend!V$6,0),"")</f>
        <v/>
      </c>
      <c r="W40" s="1" t="str">
        <f>IFERROR(Backend!$L40*VLOOKUP($F40,'OH,Profit &amp; Other Base'!$A:$V,Backend!W$6,0),"")</f>
        <v/>
      </c>
      <c r="X40" s="1" t="str">
        <f>IFERROR(Backend!$M40*VLOOKUP($F40,'OH,Profit &amp; Other Base'!$A:$V,Backend!X$6,0),"")</f>
        <v/>
      </c>
      <c r="Y40" s="1" t="str">
        <f>IFERROR(Backend!$L40*VLOOKUP($F40,'OH,Profit &amp; Other Base'!$A:$V,Backend!Y$6,0),"")</f>
        <v/>
      </c>
      <c r="Z40" s="1" t="str">
        <f>IFERROR(Backend!$M40*VLOOKUP($F40,'OH,Profit &amp; Other Base'!$A:$V,Backend!Z$6,0),"")</f>
        <v/>
      </c>
      <c r="AA40" s="1" t="str">
        <f>IFERROR(Backend!$L40*VLOOKUP($F40,'OH,Profit &amp; Other Base'!$A:$V,Backend!AA$6,0),"")</f>
        <v/>
      </c>
      <c r="AB40" s="1" t="str">
        <f>IFERROR(Backend!$M40*VLOOKUP($F40,'OH,Profit &amp; Other Base'!$A:$V,Backend!AB$6,0),"")</f>
        <v/>
      </c>
      <c r="AC40" s="1" t="str">
        <f>IFERROR(Backend!$L40*VLOOKUP($F40,'OH,Profit &amp; Other Base'!$A:$V,Backend!AC$6,0),"")</f>
        <v/>
      </c>
      <c r="AD40" s="1" t="str">
        <f>IFERROR(Backend!$M40*VLOOKUP($F40,'OH,Profit &amp; Other Base'!$A:$V,Backend!AD$6,0),"")</f>
        <v/>
      </c>
      <c r="AE40" s="1" t="str">
        <f>IFERROR(Backend!$L40*VLOOKUP($F40,'OH,Profit &amp; Other Base'!$A:$V,Backend!AE$6,0),"")</f>
        <v/>
      </c>
      <c r="AF40" s="1" t="str">
        <f>IFERROR(Backend!$M40*VLOOKUP($F40,'OH,Profit &amp; Other Base'!$A:$V,Backend!AF$6,0),"")</f>
        <v/>
      </c>
      <c r="AG40" s="1" t="str">
        <f>IFERROR(Backend!$L40*VLOOKUP($F40,'OH,Profit &amp; Other Base'!$A:$V,Backend!AG$6,0),"")</f>
        <v/>
      </c>
      <c r="AH40" s="1" t="str">
        <f>IFERROR(Backend!$M40*VLOOKUP($F40,'OH,Profit &amp; Other Base'!$A:$V,Backend!AH$6,0),"")</f>
        <v/>
      </c>
      <c r="AI40" s="3">
        <f t="shared" si="2"/>
        <v>0</v>
      </c>
      <c r="AL40" s="1" t="str">
        <f t="shared" si="3"/>
        <v/>
      </c>
      <c r="AM40" s="1" t="str">
        <f t="shared" si="4"/>
        <v/>
      </c>
      <c r="AN40" s="1" t="str">
        <f t="shared" si="5"/>
        <v/>
      </c>
      <c r="AO40" s="1" t="str">
        <f t="shared" si="6"/>
        <v/>
      </c>
      <c r="AP40" s="1" t="str">
        <f>IFERROR(ROUND(Backend!$AL40*VLOOKUP($F40,'OH,Profit &amp; Other Base'!$A:$V,Backend!AP$6,0),5),"")</f>
        <v/>
      </c>
      <c r="AQ40" s="1" t="str">
        <f>IFERROR(ROUND(Backend!$AO40*VLOOKUP($F40,'OH,Profit &amp; Other Base'!$A:$V,Backend!AQ$6,0),5),"")</f>
        <v/>
      </c>
      <c r="AR40" s="1" t="str">
        <f>IFERROR(ROUND(Backend!$AM40*VLOOKUP($F40,'OH,Profit &amp; Other Base'!$A:$V,Backend!AR$6,0),5),"")</f>
        <v/>
      </c>
      <c r="AS40" s="1" t="str">
        <f>IFERROR(ROUND(Backend!$AL40*VLOOKUP($F40,'OH,Profit &amp; Other Base'!$A:$V,Backend!AS$6,0),5),"")</f>
        <v/>
      </c>
      <c r="AT40" s="1" t="str">
        <f>IFERROR(ROUND(Backend!$AO40*VLOOKUP($F40,'OH,Profit &amp; Other Base'!$A:$V,Backend!AT$6,0),5),"")</f>
        <v/>
      </c>
      <c r="AU40" s="1" t="str">
        <f>IFERROR(ROUND(Backend!$AM40*VLOOKUP($F40,'OH,Profit &amp; Other Base'!$A:$V,Backend!AU$6,0),5),"")</f>
        <v/>
      </c>
      <c r="AV40" s="1" t="str">
        <f>IFERROR(ROUND(Backend!$AL40*VLOOKUP($F40,'OH,Profit &amp; Other Base'!$A:$V,Backend!AV$6,0),5),"")</f>
        <v/>
      </c>
      <c r="AW40" s="1" t="str">
        <f>IFERROR(ROUND(Backend!$AO40*VLOOKUP($F40,'OH,Profit &amp; Other Base'!$A:$V,Backend!AW$6,0),5),"")</f>
        <v/>
      </c>
      <c r="AX40" s="1" t="str">
        <f>IFERROR(ROUND(Backend!$AM40*VLOOKUP($F40,'OH,Profit &amp; Other Base'!$A:$V,Backend!AX$6,0),5),"")</f>
        <v/>
      </c>
      <c r="AY40" s="1" t="str">
        <f>IFERROR(ROUND(Backend!$AL40*VLOOKUP($F40,'OH,Profit &amp; Other Base'!$A:$V,Backend!AY$6,0),5),"")</f>
        <v/>
      </c>
      <c r="AZ40" s="1" t="str">
        <f>IFERROR(ROUND(Backend!$AO40*VLOOKUP($F40,'OH,Profit &amp; Other Base'!$A:$V,Backend!AZ$6,0),5),"")</f>
        <v/>
      </c>
      <c r="BA40" s="1" t="str">
        <f>IFERROR(ROUND(Backend!$AM40*VLOOKUP($F40,'OH,Profit &amp; Other Base'!$A:$V,Backend!BA$6,0),5),"")</f>
        <v/>
      </c>
      <c r="BB40" s="1" t="str">
        <f>IFERROR(ROUND(Backend!$AL40*VLOOKUP($F40,'OH,Profit &amp; Other Base'!$A:$V,Backend!BB$6,0),5),"")</f>
        <v/>
      </c>
      <c r="BC40" s="1" t="str">
        <f>IFERROR(ROUND(Backend!$AO40*VLOOKUP($F40,'OH,Profit &amp; Other Base'!$A:$V,Backend!BC$6,0),5),"")</f>
        <v/>
      </c>
      <c r="BD40" s="1" t="str">
        <f>IFERROR(ROUND(Backend!$AM40*VLOOKUP($F40,'OH,Profit &amp; Other Base'!$A:$V,Backend!BD$6,0),5),"")</f>
        <v/>
      </c>
      <c r="BE40" s="1" t="str">
        <f>IFERROR(ROUND(Backend!$AL40*VLOOKUP($F40,'OH,Profit &amp; Other Base'!$A:$V,Backend!BE$6,0),5),"")</f>
        <v/>
      </c>
      <c r="BF40" s="1" t="str">
        <f>IFERROR(ROUND(Backend!$AO40*VLOOKUP($F40,'OH,Profit &amp; Other Base'!$A:$V,Backend!BF$6,0),5),"")</f>
        <v/>
      </c>
      <c r="BG40" s="1" t="str">
        <f>IFERROR(ROUND(Backend!$AM40*VLOOKUP($F40,'OH,Profit &amp; Other Base'!$A:$V,Backend!BG$6,0),5),"")</f>
        <v/>
      </c>
      <c r="BH40" s="1" t="str">
        <f>IFERROR(ROUND(Backend!$AL40*VLOOKUP($F40,'OH,Profit &amp; Other Base'!$A:$V,Backend!BH$6,0),5),"")</f>
        <v/>
      </c>
      <c r="BI40" s="1" t="str">
        <f>IFERROR(ROUND(Backend!$AO40*VLOOKUP($F40,'OH,Profit &amp; Other Base'!$A:$V,Backend!BI$6,0),5),"")</f>
        <v/>
      </c>
      <c r="BJ40" s="1" t="str">
        <f>IFERROR(ROUND(Backend!$AM40*VLOOKUP($F40,'OH,Profit &amp; Other Base'!$A:$V,Backend!BJ$6,0),5),"")</f>
        <v/>
      </c>
      <c r="BK40" s="3">
        <f>SUM(AN40:BJ40,Backend!O40)</f>
        <v>0</v>
      </c>
    </row>
    <row r="41" spans="1:63">
      <c r="A41" s="1">
        <f>BOM!A36</f>
        <v>34</v>
      </c>
      <c r="B41" s="1" t="str">
        <f>BOM!B36</f>
        <v>MB512123</v>
      </c>
      <c r="C41" s="1">
        <f>BOM!C36</f>
        <v>0</v>
      </c>
      <c r="D41" s="1">
        <f>BOM!D36</f>
        <v>0</v>
      </c>
      <c r="E41" s="1">
        <f>BOM!F36</f>
        <v>0</v>
      </c>
      <c r="F41" s="1" t="str">
        <f>IF(H41="CSC",BOM!H36,IF(J41="BOFOthers","Sheet Metal-B",""))</f>
        <v/>
      </c>
      <c r="G41" s="1">
        <f>BOM!I36</f>
        <v>0</v>
      </c>
      <c r="H41" s="1">
        <f>BOM!J36</f>
        <v>0</v>
      </c>
      <c r="I41" s="1" t="str">
        <f t="shared" si="0"/>
        <v>Others</v>
      </c>
      <c r="J41" s="1" t="str">
        <f t="shared" si="1"/>
        <v>0Others</v>
      </c>
      <c r="K41" s="3" t="str">
        <f>IF($J41="InhouseCSC",VLOOKUP($D41,Group!$C:$E,3,0),"")</f>
        <v/>
      </c>
      <c r="L41" s="3" t="str">
        <f>IF(OR($J41="BOSFCSC",$J41="BOFCSC"),VLOOKUP($D41,Group!$C:$E,3,0),"")</f>
        <v/>
      </c>
      <c r="M41" s="3" t="str">
        <f>IF(OR($J41="BOSFCSC",$J41="BOFCSC"),VLOOKUP($D41,Group!$C:$F,4,0),"")</f>
        <v/>
      </c>
      <c r="N41" s="3" t="str">
        <f>IF(OR($J41="InhouseCSC",$J41="BOSFCSC"),VLOOKUP($D41,Group!$C:$G,5,0),"")</f>
        <v/>
      </c>
      <c r="O41" s="3" t="str">
        <f>IF($J41="InhouseCSC",ROUND(VLOOKUP($D41,Group!$C:$H,6,0),5),"")</f>
        <v/>
      </c>
      <c r="P41" s="3" t="str">
        <f>IF(OR($J41="BOSFCSC",$J41="BOFCSC"),VLOOKUP($D41,Group!$C:$H,6,0),"")</f>
        <v/>
      </c>
      <c r="Q41" s="1" t="str">
        <f>IF($J41="Inhouseothers",VLOOKUP($D41,Group!$C:$E,3,0),"")</f>
        <v/>
      </c>
      <c r="R41" s="1" t="str">
        <f>IF($J41="BOSFOthers",VLOOKUP($D41,Group!$C:$E,3,0),"")</f>
        <v/>
      </c>
      <c r="S41" s="3" t="str">
        <f>IF($J41="BOFOthers",VLOOKUP($D41,Group!$C:$E,3,0),"")</f>
        <v/>
      </c>
      <c r="U41" s="1" t="str">
        <f>IFERROR(Backend!$L41*VLOOKUP($F41,'OH,Profit &amp; Other Base'!$A:$V,Backend!U$6,0),"")</f>
        <v/>
      </c>
      <c r="V41" s="1" t="str">
        <f>IFERROR(Backend!$M41*VLOOKUP($F41,'OH,Profit &amp; Other Base'!$A:$V,Backend!V$6,0),"")</f>
        <v/>
      </c>
      <c r="W41" s="1" t="str">
        <f>IFERROR(Backend!$L41*VLOOKUP($F41,'OH,Profit &amp; Other Base'!$A:$V,Backend!W$6,0),"")</f>
        <v/>
      </c>
      <c r="X41" s="1" t="str">
        <f>IFERROR(Backend!$M41*VLOOKUP($F41,'OH,Profit &amp; Other Base'!$A:$V,Backend!X$6,0),"")</f>
        <v/>
      </c>
      <c r="Y41" s="1" t="str">
        <f>IFERROR(Backend!$L41*VLOOKUP($F41,'OH,Profit &amp; Other Base'!$A:$V,Backend!Y$6,0),"")</f>
        <v/>
      </c>
      <c r="Z41" s="1" t="str">
        <f>IFERROR(Backend!$M41*VLOOKUP($F41,'OH,Profit &amp; Other Base'!$A:$V,Backend!Z$6,0),"")</f>
        <v/>
      </c>
      <c r="AA41" s="1" t="str">
        <f>IFERROR(Backend!$L41*VLOOKUP($F41,'OH,Profit &amp; Other Base'!$A:$V,Backend!AA$6,0),"")</f>
        <v/>
      </c>
      <c r="AB41" s="1" t="str">
        <f>IFERROR(Backend!$M41*VLOOKUP($F41,'OH,Profit &amp; Other Base'!$A:$V,Backend!AB$6,0),"")</f>
        <v/>
      </c>
      <c r="AC41" s="1" t="str">
        <f>IFERROR(Backend!$L41*VLOOKUP($F41,'OH,Profit &amp; Other Base'!$A:$V,Backend!AC$6,0),"")</f>
        <v/>
      </c>
      <c r="AD41" s="1" t="str">
        <f>IFERROR(Backend!$M41*VLOOKUP($F41,'OH,Profit &amp; Other Base'!$A:$V,Backend!AD$6,0),"")</f>
        <v/>
      </c>
      <c r="AE41" s="1" t="str">
        <f>IFERROR(Backend!$L41*VLOOKUP($F41,'OH,Profit &amp; Other Base'!$A:$V,Backend!AE$6,0),"")</f>
        <v/>
      </c>
      <c r="AF41" s="1" t="str">
        <f>IFERROR(Backend!$M41*VLOOKUP($F41,'OH,Profit &amp; Other Base'!$A:$V,Backend!AF$6,0),"")</f>
        <v/>
      </c>
      <c r="AG41" s="1" t="str">
        <f>IFERROR(Backend!$L41*VLOOKUP($F41,'OH,Profit &amp; Other Base'!$A:$V,Backend!AG$6,0),"")</f>
        <v/>
      </c>
      <c r="AH41" s="1" t="str">
        <f>IFERROR(Backend!$M41*VLOOKUP($F41,'OH,Profit &amp; Other Base'!$A:$V,Backend!AH$6,0),"")</f>
        <v/>
      </c>
      <c r="AI41" s="3">
        <f t="shared" si="2"/>
        <v>0</v>
      </c>
      <c r="AL41" s="1" t="str">
        <f t="shared" si="3"/>
        <v/>
      </c>
      <c r="AM41" s="1" t="str">
        <f t="shared" si="4"/>
        <v/>
      </c>
      <c r="AN41" s="1" t="str">
        <f t="shared" si="5"/>
        <v/>
      </c>
      <c r="AO41" s="1" t="str">
        <f t="shared" si="6"/>
        <v/>
      </c>
      <c r="AP41" s="1" t="str">
        <f>IFERROR(ROUND(Backend!$AL41*VLOOKUP($F41,'OH,Profit &amp; Other Base'!$A:$V,Backend!AP$6,0),5),"")</f>
        <v/>
      </c>
      <c r="AQ41" s="1" t="str">
        <f>IFERROR(ROUND(Backend!$AO41*VLOOKUP($F41,'OH,Profit &amp; Other Base'!$A:$V,Backend!AQ$6,0),5),"")</f>
        <v/>
      </c>
      <c r="AR41" s="1" t="str">
        <f>IFERROR(ROUND(Backend!$AM41*VLOOKUP($F41,'OH,Profit &amp; Other Base'!$A:$V,Backend!AR$6,0),5),"")</f>
        <v/>
      </c>
      <c r="AS41" s="1" t="str">
        <f>IFERROR(ROUND(Backend!$AL41*VLOOKUP($F41,'OH,Profit &amp; Other Base'!$A:$V,Backend!AS$6,0),5),"")</f>
        <v/>
      </c>
      <c r="AT41" s="1" t="str">
        <f>IFERROR(ROUND(Backend!$AO41*VLOOKUP($F41,'OH,Profit &amp; Other Base'!$A:$V,Backend!AT$6,0),5),"")</f>
        <v/>
      </c>
      <c r="AU41" s="1" t="str">
        <f>IFERROR(ROUND(Backend!$AM41*VLOOKUP($F41,'OH,Profit &amp; Other Base'!$A:$V,Backend!AU$6,0),5),"")</f>
        <v/>
      </c>
      <c r="AV41" s="1" t="str">
        <f>IFERROR(ROUND(Backend!$AL41*VLOOKUP($F41,'OH,Profit &amp; Other Base'!$A:$V,Backend!AV$6,0),5),"")</f>
        <v/>
      </c>
      <c r="AW41" s="1" t="str">
        <f>IFERROR(ROUND(Backend!$AO41*VLOOKUP($F41,'OH,Profit &amp; Other Base'!$A:$V,Backend!AW$6,0),5),"")</f>
        <v/>
      </c>
      <c r="AX41" s="1" t="str">
        <f>IFERROR(ROUND(Backend!$AM41*VLOOKUP($F41,'OH,Profit &amp; Other Base'!$A:$V,Backend!AX$6,0),5),"")</f>
        <v/>
      </c>
      <c r="AY41" s="1" t="str">
        <f>IFERROR(ROUND(Backend!$AL41*VLOOKUP($F41,'OH,Profit &amp; Other Base'!$A:$V,Backend!AY$6,0),5),"")</f>
        <v/>
      </c>
      <c r="AZ41" s="1" t="str">
        <f>IFERROR(ROUND(Backend!$AO41*VLOOKUP($F41,'OH,Profit &amp; Other Base'!$A:$V,Backend!AZ$6,0),5),"")</f>
        <v/>
      </c>
      <c r="BA41" s="1" t="str">
        <f>IFERROR(ROUND(Backend!$AM41*VLOOKUP($F41,'OH,Profit &amp; Other Base'!$A:$V,Backend!BA$6,0),5),"")</f>
        <v/>
      </c>
      <c r="BB41" s="1" t="str">
        <f>IFERROR(ROUND(Backend!$AL41*VLOOKUP($F41,'OH,Profit &amp; Other Base'!$A:$V,Backend!BB$6,0),5),"")</f>
        <v/>
      </c>
      <c r="BC41" s="1" t="str">
        <f>IFERROR(ROUND(Backend!$AO41*VLOOKUP($F41,'OH,Profit &amp; Other Base'!$A:$V,Backend!BC$6,0),5),"")</f>
        <v/>
      </c>
      <c r="BD41" s="1" t="str">
        <f>IFERROR(ROUND(Backend!$AM41*VLOOKUP($F41,'OH,Profit &amp; Other Base'!$A:$V,Backend!BD$6,0),5),"")</f>
        <v/>
      </c>
      <c r="BE41" s="1" t="str">
        <f>IFERROR(ROUND(Backend!$AL41*VLOOKUP($F41,'OH,Profit &amp; Other Base'!$A:$V,Backend!BE$6,0),5),"")</f>
        <v/>
      </c>
      <c r="BF41" s="1" t="str">
        <f>IFERROR(ROUND(Backend!$AO41*VLOOKUP($F41,'OH,Profit &amp; Other Base'!$A:$V,Backend!BF$6,0),5),"")</f>
        <v/>
      </c>
      <c r="BG41" s="1" t="str">
        <f>IFERROR(ROUND(Backend!$AM41*VLOOKUP($F41,'OH,Profit &amp; Other Base'!$A:$V,Backend!BG$6,0),5),"")</f>
        <v/>
      </c>
      <c r="BH41" s="1" t="str">
        <f>IFERROR(ROUND(Backend!$AL41*VLOOKUP($F41,'OH,Profit &amp; Other Base'!$A:$V,Backend!BH$6,0),5),"")</f>
        <v/>
      </c>
      <c r="BI41" s="1" t="str">
        <f>IFERROR(ROUND(Backend!$AO41*VLOOKUP($F41,'OH,Profit &amp; Other Base'!$A:$V,Backend!BI$6,0),5),"")</f>
        <v/>
      </c>
      <c r="BJ41" s="1" t="str">
        <f>IFERROR(ROUND(Backend!$AM41*VLOOKUP($F41,'OH,Profit &amp; Other Base'!$A:$V,Backend!BJ$6,0),5),"")</f>
        <v/>
      </c>
      <c r="BK41" s="3">
        <f>SUM(AN41:BJ41,Backend!O41)</f>
        <v>0</v>
      </c>
    </row>
    <row r="42" spans="1:63">
      <c r="A42" s="1">
        <f>BOM!A37</f>
        <v>35</v>
      </c>
      <c r="B42" s="1" t="str">
        <f>BOM!B37</f>
        <v>MB512123</v>
      </c>
      <c r="C42" s="1">
        <f>BOM!C37</f>
        <v>0</v>
      </c>
      <c r="D42" s="1">
        <f>BOM!D37</f>
        <v>0</v>
      </c>
      <c r="E42" s="1">
        <f>BOM!F37</f>
        <v>0</v>
      </c>
      <c r="F42" s="1" t="str">
        <f>IF(H42="CSC",BOM!H37,IF(J42="BOFOthers","Sheet Metal-B",""))</f>
        <v/>
      </c>
      <c r="G42" s="1">
        <f>BOM!I37</f>
        <v>0</v>
      </c>
      <c r="H42" s="1">
        <f>BOM!J37</f>
        <v>0</v>
      </c>
      <c r="I42" s="1" t="str">
        <f t="shared" si="0"/>
        <v>Others</v>
      </c>
      <c r="J42" s="1" t="str">
        <f t="shared" si="1"/>
        <v>0Others</v>
      </c>
      <c r="K42" s="3" t="str">
        <f>IF($J42="InhouseCSC",VLOOKUP($D42,Group!$C:$E,3,0),"")</f>
        <v/>
      </c>
      <c r="L42" s="3" t="str">
        <f>IF(OR($J42="BOSFCSC",$J42="BOFCSC"),VLOOKUP($D42,Group!$C:$E,3,0),"")</f>
        <v/>
      </c>
      <c r="M42" s="3" t="str">
        <f>IF(OR($J42="BOSFCSC",$J42="BOFCSC"),VLOOKUP($D42,Group!$C:$F,4,0),"")</f>
        <v/>
      </c>
      <c r="N42" s="3" t="str">
        <f>IF(OR($J42="InhouseCSC",$J42="BOSFCSC"),VLOOKUP($D42,Group!$C:$G,5,0),"")</f>
        <v/>
      </c>
      <c r="O42" s="3" t="str">
        <f>IF($J42="InhouseCSC",ROUND(VLOOKUP($D42,Group!$C:$H,6,0),5),"")</f>
        <v/>
      </c>
      <c r="P42" s="3" t="str">
        <f>IF(OR($J42="BOSFCSC",$J42="BOFCSC"),VLOOKUP($D42,Group!$C:$H,6,0),"")</f>
        <v/>
      </c>
      <c r="Q42" s="1" t="str">
        <f>IF($J42="Inhouseothers",VLOOKUP($D42,Group!$C:$E,3,0),"")</f>
        <v/>
      </c>
      <c r="R42" s="1" t="str">
        <f>IF($J42="BOSFOthers",VLOOKUP($D42,Group!$C:$E,3,0),"")</f>
        <v/>
      </c>
      <c r="S42" s="3" t="str">
        <f>IF($J42="BOFOthers",VLOOKUP($D42,Group!$C:$E,3,0),"")</f>
        <v/>
      </c>
      <c r="U42" s="1" t="str">
        <f>IFERROR(Backend!$L42*VLOOKUP($F42,'OH,Profit &amp; Other Base'!$A:$V,Backend!U$6,0),"")</f>
        <v/>
      </c>
      <c r="V42" s="1" t="str">
        <f>IFERROR(Backend!$M42*VLOOKUP($F42,'OH,Profit &amp; Other Base'!$A:$V,Backend!V$6,0),"")</f>
        <v/>
      </c>
      <c r="W42" s="1" t="str">
        <f>IFERROR(Backend!$L42*VLOOKUP($F42,'OH,Profit &amp; Other Base'!$A:$V,Backend!W$6,0),"")</f>
        <v/>
      </c>
      <c r="X42" s="1" t="str">
        <f>IFERROR(Backend!$M42*VLOOKUP($F42,'OH,Profit &amp; Other Base'!$A:$V,Backend!X$6,0),"")</f>
        <v/>
      </c>
      <c r="Y42" s="1" t="str">
        <f>IFERROR(Backend!$L42*VLOOKUP($F42,'OH,Profit &amp; Other Base'!$A:$V,Backend!Y$6,0),"")</f>
        <v/>
      </c>
      <c r="Z42" s="1" t="str">
        <f>IFERROR(Backend!$M42*VLOOKUP($F42,'OH,Profit &amp; Other Base'!$A:$V,Backend!Z$6,0),"")</f>
        <v/>
      </c>
      <c r="AA42" s="1" t="str">
        <f>IFERROR(Backend!$L42*VLOOKUP($F42,'OH,Profit &amp; Other Base'!$A:$V,Backend!AA$6,0),"")</f>
        <v/>
      </c>
      <c r="AB42" s="1" t="str">
        <f>IFERROR(Backend!$M42*VLOOKUP($F42,'OH,Profit &amp; Other Base'!$A:$V,Backend!AB$6,0),"")</f>
        <v/>
      </c>
      <c r="AC42" s="1" t="str">
        <f>IFERROR(Backend!$L42*VLOOKUP($F42,'OH,Profit &amp; Other Base'!$A:$V,Backend!AC$6,0),"")</f>
        <v/>
      </c>
      <c r="AD42" s="1" t="str">
        <f>IFERROR(Backend!$M42*VLOOKUP($F42,'OH,Profit &amp; Other Base'!$A:$V,Backend!AD$6,0),"")</f>
        <v/>
      </c>
      <c r="AE42" s="1" t="str">
        <f>IFERROR(Backend!$L42*VLOOKUP($F42,'OH,Profit &amp; Other Base'!$A:$V,Backend!AE$6,0),"")</f>
        <v/>
      </c>
      <c r="AF42" s="1" t="str">
        <f>IFERROR(Backend!$M42*VLOOKUP($F42,'OH,Profit &amp; Other Base'!$A:$V,Backend!AF$6,0),"")</f>
        <v/>
      </c>
      <c r="AG42" s="1" t="str">
        <f>IFERROR(Backend!$L42*VLOOKUP($F42,'OH,Profit &amp; Other Base'!$A:$V,Backend!AG$6,0),"")</f>
        <v/>
      </c>
      <c r="AH42" s="1" t="str">
        <f>IFERROR(Backend!$M42*VLOOKUP($F42,'OH,Profit &amp; Other Base'!$A:$V,Backend!AH$6,0),"")</f>
        <v/>
      </c>
      <c r="AI42" s="3">
        <f t="shared" si="2"/>
        <v>0</v>
      </c>
      <c r="AL42" s="1" t="str">
        <f t="shared" si="3"/>
        <v/>
      </c>
      <c r="AM42" s="1" t="str">
        <f t="shared" si="4"/>
        <v/>
      </c>
      <c r="AN42" s="1" t="str">
        <f t="shared" si="5"/>
        <v/>
      </c>
      <c r="AO42" s="1" t="str">
        <f t="shared" si="6"/>
        <v/>
      </c>
      <c r="AP42" s="1" t="str">
        <f>IFERROR(ROUND(Backend!$AL42*VLOOKUP($F42,'OH,Profit &amp; Other Base'!$A:$V,Backend!AP$6,0),5),"")</f>
        <v/>
      </c>
      <c r="AQ42" s="1" t="str">
        <f>IFERROR(ROUND(Backend!$AO42*VLOOKUP($F42,'OH,Profit &amp; Other Base'!$A:$V,Backend!AQ$6,0),5),"")</f>
        <v/>
      </c>
      <c r="AR42" s="1" t="str">
        <f>IFERROR(ROUND(Backend!$AM42*VLOOKUP($F42,'OH,Profit &amp; Other Base'!$A:$V,Backend!AR$6,0),5),"")</f>
        <v/>
      </c>
      <c r="AS42" s="1" t="str">
        <f>IFERROR(ROUND(Backend!$AL42*VLOOKUP($F42,'OH,Profit &amp; Other Base'!$A:$V,Backend!AS$6,0),5),"")</f>
        <v/>
      </c>
      <c r="AT42" s="1" t="str">
        <f>IFERROR(ROUND(Backend!$AO42*VLOOKUP($F42,'OH,Profit &amp; Other Base'!$A:$V,Backend!AT$6,0),5),"")</f>
        <v/>
      </c>
      <c r="AU42" s="1" t="str">
        <f>IFERROR(ROUND(Backend!$AM42*VLOOKUP($F42,'OH,Profit &amp; Other Base'!$A:$V,Backend!AU$6,0),5),"")</f>
        <v/>
      </c>
      <c r="AV42" s="1" t="str">
        <f>IFERROR(ROUND(Backend!$AL42*VLOOKUP($F42,'OH,Profit &amp; Other Base'!$A:$V,Backend!AV$6,0),5),"")</f>
        <v/>
      </c>
      <c r="AW42" s="1" t="str">
        <f>IFERROR(ROUND(Backend!$AO42*VLOOKUP($F42,'OH,Profit &amp; Other Base'!$A:$V,Backend!AW$6,0),5),"")</f>
        <v/>
      </c>
      <c r="AX42" s="1" t="str">
        <f>IFERROR(ROUND(Backend!$AM42*VLOOKUP($F42,'OH,Profit &amp; Other Base'!$A:$V,Backend!AX$6,0),5),"")</f>
        <v/>
      </c>
      <c r="AY42" s="1" t="str">
        <f>IFERROR(ROUND(Backend!$AL42*VLOOKUP($F42,'OH,Profit &amp; Other Base'!$A:$V,Backend!AY$6,0),5),"")</f>
        <v/>
      </c>
      <c r="AZ42" s="1" t="str">
        <f>IFERROR(ROUND(Backend!$AO42*VLOOKUP($F42,'OH,Profit &amp; Other Base'!$A:$V,Backend!AZ$6,0),5),"")</f>
        <v/>
      </c>
      <c r="BA42" s="1" t="str">
        <f>IFERROR(ROUND(Backend!$AM42*VLOOKUP($F42,'OH,Profit &amp; Other Base'!$A:$V,Backend!BA$6,0),5),"")</f>
        <v/>
      </c>
      <c r="BB42" s="1" t="str">
        <f>IFERROR(ROUND(Backend!$AL42*VLOOKUP($F42,'OH,Profit &amp; Other Base'!$A:$V,Backend!BB$6,0),5),"")</f>
        <v/>
      </c>
      <c r="BC42" s="1" t="str">
        <f>IFERROR(ROUND(Backend!$AO42*VLOOKUP($F42,'OH,Profit &amp; Other Base'!$A:$V,Backend!BC$6,0),5),"")</f>
        <v/>
      </c>
      <c r="BD42" s="1" t="str">
        <f>IFERROR(ROUND(Backend!$AM42*VLOOKUP($F42,'OH,Profit &amp; Other Base'!$A:$V,Backend!BD$6,0),5),"")</f>
        <v/>
      </c>
      <c r="BE42" s="1" t="str">
        <f>IFERROR(ROUND(Backend!$AL42*VLOOKUP($F42,'OH,Profit &amp; Other Base'!$A:$V,Backend!BE$6,0),5),"")</f>
        <v/>
      </c>
      <c r="BF42" s="1" t="str">
        <f>IFERROR(ROUND(Backend!$AO42*VLOOKUP($F42,'OH,Profit &amp; Other Base'!$A:$V,Backend!BF$6,0),5),"")</f>
        <v/>
      </c>
      <c r="BG42" s="1" t="str">
        <f>IFERROR(ROUND(Backend!$AM42*VLOOKUP($F42,'OH,Profit &amp; Other Base'!$A:$V,Backend!BG$6,0),5),"")</f>
        <v/>
      </c>
      <c r="BH42" s="1" t="str">
        <f>IFERROR(ROUND(Backend!$AL42*VLOOKUP($F42,'OH,Profit &amp; Other Base'!$A:$V,Backend!BH$6,0),5),"")</f>
        <v/>
      </c>
      <c r="BI42" s="1" t="str">
        <f>IFERROR(ROUND(Backend!$AO42*VLOOKUP($F42,'OH,Profit &amp; Other Base'!$A:$V,Backend!BI$6,0),5),"")</f>
        <v/>
      </c>
      <c r="BJ42" s="1" t="str">
        <f>IFERROR(ROUND(Backend!$AM42*VLOOKUP($F42,'OH,Profit &amp; Other Base'!$A:$V,Backend!BJ$6,0),5),"")</f>
        <v/>
      </c>
      <c r="BK42" s="3">
        <f>SUM(AN42:BJ42,Backend!O42)</f>
        <v>0</v>
      </c>
    </row>
    <row r="43" spans="1:63">
      <c r="A43" s="1">
        <f>BOM!A38</f>
        <v>36</v>
      </c>
      <c r="B43" s="1" t="str">
        <f>BOM!B38</f>
        <v>MB512123</v>
      </c>
      <c r="C43" s="1">
        <f>BOM!C38</f>
        <v>0</v>
      </c>
      <c r="D43" s="1">
        <f>BOM!D38</f>
        <v>0</v>
      </c>
      <c r="E43" s="1">
        <f>BOM!F38</f>
        <v>0</v>
      </c>
      <c r="F43" s="1" t="str">
        <f>IF(H43="CSC",BOM!H38,IF(J43="BOFOthers","Sheet Metal-B",""))</f>
        <v/>
      </c>
      <c r="G43" s="1">
        <f>BOM!I38</f>
        <v>0</v>
      </c>
      <c r="H43" s="1">
        <f>BOM!J38</f>
        <v>0</v>
      </c>
      <c r="I43" s="1" t="str">
        <f t="shared" si="0"/>
        <v>Others</v>
      </c>
      <c r="J43" s="1" t="str">
        <f t="shared" si="1"/>
        <v>0Others</v>
      </c>
      <c r="K43" s="3" t="str">
        <f>IF($J43="InhouseCSC",VLOOKUP($D43,Group!$C:$E,3,0),"")</f>
        <v/>
      </c>
      <c r="L43" s="3" t="str">
        <f>IF(OR($J43="BOSFCSC",$J43="BOFCSC"),VLOOKUP($D43,Group!$C:$E,3,0),"")</f>
        <v/>
      </c>
      <c r="M43" s="3" t="str">
        <f>IF(OR($J43="BOSFCSC",$J43="BOFCSC"),VLOOKUP($D43,Group!$C:$F,4,0),"")</f>
        <v/>
      </c>
      <c r="N43" s="3" t="str">
        <f>IF(OR($J43="InhouseCSC",$J43="BOSFCSC"),VLOOKUP($D43,Group!$C:$G,5,0),"")</f>
        <v/>
      </c>
      <c r="O43" s="3" t="str">
        <f>IF($J43="InhouseCSC",ROUND(VLOOKUP($D43,Group!$C:$H,6,0),5),"")</f>
        <v/>
      </c>
      <c r="P43" s="3" t="str">
        <f>IF(OR($J43="BOSFCSC",$J43="BOFCSC"),VLOOKUP($D43,Group!$C:$H,6,0),"")</f>
        <v/>
      </c>
      <c r="Q43" s="1" t="str">
        <f>IF($J43="Inhouseothers",VLOOKUP($D43,Group!$C:$E,3,0),"")</f>
        <v/>
      </c>
      <c r="R43" s="1" t="str">
        <f>IF($J43="BOSFOthers",VLOOKUP($D43,Group!$C:$E,3,0),"")</f>
        <v/>
      </c>
      <c r="S43" s="3" t="str">
        <f>IF($J43="BOFOthers",VLOOKUP($D43,Group!$C:$E,3,0),"")</f>
        <v/>
      </c>
      <c r="U43" s="1" t="str">
        <f>IFERROR(Backend!$L43*VLOOKUP($F43,'OH,Profit &amp; Other Base'!$A:$V,Backend!U$6,0),"")</f>
        <v/>
      </c>
      <c r="V43" s="1" t="str">
        <f>IFERROR(Backend!$M43*VLOOKUP($F43,'OH,Profit &amp; Other Base'!$A:$V,Backend!V$6,0),"")</f>
        <v/>
      </c>
      <c r="W43" s="1" t="str">
        <f>IFERROR(Backend!$L43*VLOOKUP($F43,'OH,Profit &amp; Other Base'!$A:$V,Backend!W$6,0),"")</f>
        <v/>
      </c>
      <c r="X43" s="1" t="str">
        <f>IFERROR(Backend!$M43*VLOOKUP($F43,'OH,Profit &amp; Other Base'!$A:$V,Backend!X$6,0),"")</f>
        <v/>
      </c>
      <c r="Y43" s="1" t="str">
        <f>IFERROR(Backend!$L43*VLOOKUP($F43,'OH,Profit &amp; Other Base'!$A:$V,Backend!Y$6,0),"")</f>
        <v/>
      </c>
      <c r="Z43" s="1" t="str">
        <f>IFERROR(Backend!$M43*VLOOKUP($F43,'OH,Profit &amp; Other Base'!$A:$V,Backend!Z$6,0),"")</f>
        <v/>
      </c>
      <c r="AA43" s="1" t="str">
        <f>IFERROR(Backend!$L43*VLOOKUP($F43,'OH,Profit &amp; Other Base'!$A:$V,Backend!AA$6,0),"")</f>
        <v/>
      </c>
      <c r="AB43" s="1" t="str">
        <f>IFERROR(Backend!$M43*VLOOKUP($F43,'OH,Profit &amp; Other Base'!$A:$V,Backend!AB$6,0),"")</f>
        <v/>
      </c>
      <c r="AC43" s="1" t="str">
        <f>IFERROR(Backend!$L43*VLOOKUP($F43,'OH,Profit &amp; Other Base'!$A:$V,Backend!AC$6,0),"")</f>
        <v/>
      </c>
      <c r="AD43" s="1" t="str">
        <f>IFERROR(Backend!$M43*VLOOKUP($F43,'OH,Profit &amp; Other Base'!$A:$V,Backend!AD$6,0),"")</f>
        <v/>
      </c>
      <c r="AE43" s="1" t="str">
        <f>IFERROR(Backend!$L43*VLOOKUP($F43,'OH,Profit &amp; Other Base'!$A:$V,Backend!AE$6,0),"")</f>
        <v/>
      </c>
      <c r="AF43" s="1" t="str">
        <f>IFERROR(Backend!$M43*VLOOKUP($F43,'OH,Profit &amp; Other Base'!$A:$V,Backend!AF$6,0),"")</f>
        <v/>
      </c>
      <c r="AG43" s="1" t="str">
        <f>IFERROR(Backend!$L43*VLOOKUP($F43,'OH,Profit &amp; Other Base'!$A:$V,Backend!AG$6,0),"")</f>
        <v/>
      </c>
      <c r="AH43" s="1" t="str">
        <f>IFERROR(Backend!$M43*VLOOKUP($F43,'OH,Profit &amp; Other Base'!$A:$V,Backend!AH$6,0),"")</f>
        <v/>
      </c>
      <c r="AI43" s="3">
        <f t="shared" si="2"/>
        <v>0</v>
      </c>
      <c r="AL43" s="1" t="str">
        <f t="shared" si="3"/>
        <v/>
      </c>
      <c r="AM43" s="1" t="str">
        <f t="shared" si="4"/>
        <v/>
      </c>
      <c r="AN43" s="1" t="str">
        <f t="shared" si="5"/>
        <v/>
      </c>
      <c r="AO43" s="1" t="str">
        <f t="shared" si="6"/>
        <v/>
      </c>
      <c r="AP43" s="1" t="str">
        <f>IFERROR(ROUND(Backend!$AL43*VLOOKUP($F43,'OH,Profit &amp; Other Base'!$A:$V,Backend!AP$6,0),5),"")</f>
        <v/>
      </c>
      <c r="AQ43" s="1" t="str">
        <f>IFERROR(ROUND(Backend!$AO43*VLOOKUP($F43,'OH,Profit &amp; Other Base'!$A:$V,Backend!AQ$6,0),5),"")</f>
        <v/>
      </c>
      <c r="AR43" s="1" t="str">
        <f>IFERROR(ROUND(Backend!$AM43*VLOOKUP($F43,'OH,Profit &amp; Other Base'!$A:$V,Backend!AR$6,0),5),"")</f>
        <v/>
      </c>
      <c r="AS43" s="1" t="str">
        <f>IFERROR(ROUND(Backend!$AL43*VLOOKUP($F43,'OH,Profit &amp; Other Base'!$A:$V,Backend!AS$6,0),5),"")</f>
        <v/>
      </c>
      <c r="AT43" s="1" t="str">
        <f>IFERROR(ROUND(Backend!$AO43*VLOOKUP($F43,'OH,Profit &amp; Other Base'!$A:$V,Backend!AT$6,0),5),"")</f>
        <v/>
      </c>
      <c r="AU43" s="1" t="str">
        <f>IFERROR(ROUND(Backend!$AM43*VLOOKUP($F43,'OH,Profit &amp; Other Base'!$A:$V,Backend!AU$6,0),5),"")</f>
        <v/>
      </c>
      <c r="AV43" s="1" t="str">
        <f>IFERROR(ROUND(Backend!$AL43*VLOOKUP($F43,'OH,Profit &amp; Other Base'!$A:$V,Backend!AV$6,0),5),"")</f>
        <v/>
      </c>
      <c r="AW43" s="1" t="str">
        <f>IFERROR(ROUND(Backend!$AO43*VLOOKUP($F43,'OH,Profit &amp; Other Base'!$A:$V,Backend!AW$6,0),5),"")</f>
        <v/>
      </c>
      <c r="AX43" s="1" t="str">
        <f>IFERROR(ROUND(Backend!$AM43*VLOOKUP($F43,'OH,Profit &amp; Other Base'!$A:$V,Backend!AX$6,0),5),"")</f>
        <v/>
      </c>
      <c r="AY43" s="1" t="str">
        <f>IFERROR(ROUND(Backend!$AL43*VLOOKUP($F43,'OH,Profit &amp; Other Base'!$A:$V,Backend!AY$6,0),5),"")</f>
        <v/>
      </c>
      <c r="AZ43" s="1" t="str">
        <f>IFERROR(ROUND(Backend!$AO43*VLOOKUP($F43,'OH,Profit &amp; Other Base'!$A:$V,Backend!AZ$6,0),5),"")</f>
        <v/>
      </c>
      <c r="BA43" s="1" t="str">
        <f>IFERROR(ROUND(Backend!$AM43*VLOOKUP($F43,'OH,Profit &amp; Other Base'!$A:$V,Backend!BA$6,0),5),"")</f>
        <v/>
      </c>
      <c r="BB43" s="1" t="str">
        <f>IFERROR(ROUND(Backend!$AL43*VLOOKUP($F43,'OH,Profit &amp; Other Base'!$A:$V,Backend!BB$6,0),5),"")</f>
        <v/>
      </c>
      <c r="BC43" s="1" t="str">
        <f>IFERROR(ROUND(Backend!$AO43*VLOOKUP($F43,'OH,Profit &amp; Other Base'!$A:$V,Backend!BC$6,0),5),"")</f>
        <v/>
      </c>
      <c r="BD43" s="1" t="str">
        <f>IFERROR(ROUND(Backend!$AM43*VLOOKUP($F43,'OH,Profit &amp; Other Base'!$A:$V,Backend!BD$6,0),5),"")</f>
        <v/>
      </c>
      <c r="BE43" s="1" t="str">
        <f>IFERROR(ROUND(Backend!$AL43*VLOOKUP($F43,'OH,Profit &amp; Other Base'!$A:$V,Backend!BE$6,0),5),"")</f>
        <v/>
      </c>
      <c r="BF43" s="1" t="str">
        <f>IFERROR(ROUND(Backend!$AO43*VLOOKUP($F43,'OH,Profit &amp; Other Base'!$A:$V,Backend!BF$6,0),5),"")</f>
        <v/>
      </c>
      <c r="BG43" s="1" t="str">
        <f>IFERROR(ROUND(Backend!$AM43*VLOOKUP($F43,'OH,Profit &amp; Other Base'!$A:$V,Backend!BG$6,0),5),"")</f>
        <v/>
      </c>
      <c r="BH43" s="1" t="str">
        <f>IFERROR(ROUND(Backend!$AL43*VLOOKUP($F43,'OH,Profit &amp; Other Base'!$A:$V,Backend!BH$6,0),5),"")</f>
        <v/>
      </c>
      <c r="BI43" s="1" t="str">
        <f>IFERROR(ROUND(Backend!$AO43*VLOOKUP($F43,'OH,Profit &amp; Other Base'!$A:$V,Backend!BI$6,0),5),"")</f>
        <v/>
      </c>
      <c r="BJ43" s="1" t="str">
        <f>IFERROR(ROUND(Backend!$AM43*VLOOKUP($F43,'OH,Profit &amp; Other Base'!$A:$V,Backend!BJ$6,0),5),"")</f>
        <v/>
      </c>
      <c r="BK43" s="3">
        <f>SUM(AN43:BJ43,Backend!O43)</f>
        <v>0</v>
      </c>
    </row>
    <row r="44" spans="1:63">
      <c r="A44" s="1">
        <f>BOM!A39</f>
        <v>37</v>
      </c>
      <c r="B44" s="1" t="str">
        <f>BOM!B39</f>
        <v>MB512123</v>
      </c>
      <c r="C44" s="1">
        <f>BOM!C39</f>
        <v>0</v>
      </c>
      <c r="D44" s="1">
        <f>BOM!D39</f>
        <v>0</v>
      </c>
      <c r="E44" s="1">
        <f>BOM!F39</f>
        <v>0</v>
      </c>
      <c r="F44" s="1" t="str">
        <f>IF(H44="CSC",BOM!H39,IF(J44="BOFOthers","Sheet Metal-B",""))</f>
        <v/>
      </c>
      <c r="G44" s="1">
        <f>BOM!I39</f>
        <v>0</v>
      </c>
      <c r="H44" s="1">
        <f>BOM!J39</f>
        <v>0</v>
      </c>
      <c r="I44" s="1" t="str">
        <f t="shared" si="0"/>
        <v>Others</v>
      </c>
      <c r="J44" s="1" t="str">
        <f t="shared" si="1"/>
        <v>0Others</v>
      </c>
      <c r="K44" s="3" t="str">
        <f>IF($J44="InhouseCSC",VLOOKUP($D44,Group!$C:$E,3,0),"")</f>
        <v/>
      </c>
      <c r="L44" s="3" t="str">
        <f>IF(OR($J44="BOSFCSC",$J44="BOFCSC"),VLOOKUP($D44,Group!$C:$E,3,0),"")</f>
        <v/>
      </c>
      <c r="M44" s="3" t="str">
        <f>IF(OR($J44="BOSFCSC",$J44="BOFCSC"),VLOOKUP($D44,Group!$C:$F,4,0),"")</f>
        <v/>
      </c>
      <c r="N44" s="3" t="str">
        <f>IF(OR($J44="InhouseCSC",$J44="BOSFCSC"),VLOOKUP($D44,Group!$C:$G,5,0),"")</f>
        <v/>
      </c>
      <c r="O44" s="3" t="str">
        <f>IF($J44="InhouseCSC",ROUND(VLOOKUP($D44,Group!$C:$H,6,0),5),"")</f>
        <v/>
      </c>
      <c r="P44" s="3" t="str">
        <f>IF(OR($J44="BOSFCSC",$J44="BOFCSC"),VLOOKUP($D44,Group!$C:$H,6,0),"")</f>
        <v/>
      </c>
      <c r="Q44" s="1" t="str">
        <f>IF($J44="Inhouseothers",VLOOKUP($D44,Group!$C:$E,3,0),"")</f>
        <v/>
      </c>
      <c r="R44" s="1" t="str">
        <f>IF($J44="BOSFOthers",VLOOKUP($D44,Group!$C:$E,3,0),"")</f>
        <v/>
      </c>
      <c r="S44" s="3" t="str">
        <f>IF($J44="BOFOthers",VLOOKUP($D44,Group!$C:$E,3,0),"")</f>
        <v/>
      </c>
      <c r="U44" s="1" t="str">
        <f>IFERROR(Backend!$L44*VLOOKUP($F44,'OH,Profit &amp; Other Base'!$A:$V,Backend!U$6,0),"")</f>
        <v/>
      </c>
      <c r="V44" s="1" t="str">
        <f>IFERROR(Backend!$M44*VLOOKUP($F44,'OH,Profit &amp; Other Base'!$A:$V,Backend!V$6,0),"")</f>
        <v/>
      </c>
      <c r="W44" s="1" t="str">
        <f>IFERROR(Backend!$L44*VLOOKUP($F44,'OH,Profit &amp; Other Base'!$A:$V,Backend!W$6,0),"")</f>
        <v/>
      </c>
      <c r="X44" s="1" t="str">
        <f>IFERROR(Backend!$M44*VLOOKUP($F44,'OH,Profit &amp; Other Base'!$A:$V,Backend!X$6,0),"")</f>
        <v/>
      </c>
      <c r="Y44" s="1" t="str">
        <f>IFERROR(Backend!$L44*VLOOKUP($F44,'OH,Profit &amp; Other Base'!$A:$V,Backend!Y$6,0),"")</f>
        <v/>
      </c>
      <c r="Z44" s="1" t="str">
        <f>IFERROR(Backend!$M44*VLOOKUP($F44,'OH,Profit &amp; Other Base'!$A:$V,Backend!Z$6,0),"")</f>
        <v/>
      </c>
      <c r="AA44" s="1" t="str">
        <f>IFERROR(Backend!$L44*VLOOKUP($F44,'OH,Profit &amp; Other Base'!$A:$V,Backend!AA$6,0),"")</f>
        <v/>
      </c>
      <c r="AB44" s="1" t="str">
        <f>IFERROR(Backend!$M44*VLOOKUP($F44,'OH,Profit &amp; Other Base'!$A:$V,Backend!AB$6,0),"")</f>
        <v/>
      </c>
      <c r="AC44" s="1" t="str">
        <f>IFERROR(Backend!$L44*VLOOKUP($F44,'OH,Profit &amp; Other Base'!$A:$V,Backend!AC$6,0),"")</f>
        <v/>
      </c>
      <c r="AD44" s="1" t="str">
        <f>IFERROR(Backend!$M44*VLOOKUP($F44,'OH,Profit &amp; Other Base'!$A:$V,Backend!AD$6,0),"")</f>
        <v/>
      </c>
      <c r="AE44" s="1" t="str">
        <f>IFERROR(Backend!$L44*VLOOKUP($F44,'OH,Profit &amp; Other Base'!$A:$V,Backend!AE$6,0),"")</f>
        <v/>
      </c>
      <c r="AF44" s="1" t="str">
        <f>IFERROR(Backend!$M44*VLOOKUP($F44,'OH,Profit &amp; Other Base'!$A:$V,Backend!AF$6,0),"")</f>
        <v/>
      </c>
      <c r="AG44" s="1" t="str">
        <f>IFERROR(Backend!$L44*VLOOKUP($F44,'OH,Profit &amp; Other Base'!$A:$V,Backend!AG$6,0),"")</f>
        <v/>
      </c>
      <c r="AH44" s="1" t="str">
        <f>IFERROR(Backend!$M44*VLOOKUP($F44,'OH,Profit &amp; Other Base'!$A:$V,Backend!AH$6,0),"")</f>
        <v/>
      </c>
      <c r="AI44" s="3">
        <f t="shared" si="2"/>
        <v>0</v>
      </c>
      <c r="AL44" s="1" t="str">
        <f t="shared" si="3"/>
        <v/>
      </c>
      <c r="AM44" s="1" t="str">
        <f t="shared" si="4"/>
        <v/>
      </c>
      <c r="AN44" s="1" t="str">
        <f t="shared" si="5"/>
        <v/>
      </c>
      <c r="AO44" s="1" t="str">
        <f t="shared" si="6"/>
        <v/>
      </c>
      <c r="AP44" s="1" t="str">
        <f>IFERROR(ROUND(Backend!$AL44*VLOOKUP($F44,'OH,Profit &amp; Other Base'!$A:$V,Backend!AP$6,0),5),"")</f>
        <v/>
      </c>
      <c r="AQ44" s="1" t="str">
        <f>IFERROR(ROUND(Backend!$AO44*VLOOKUP($F44,'OH,Profit &amp; Other Base'!$A:$V,Backend!AQ$6,0),5),"")</f>
        <v/>
      </c>
      <c r="AR44" s="1" t="str">
        <f>IFERROR(ROUND(Backend!$AM44*VLOOKUP($F44,'OH,Profit &amp; Other Base'!$A:$V,Backend!AR$6,0),5),"")</f>
        <v/>
      </c>
      <c r="AS44" s="1" t="str">
        <f>IFERROR(ROUND(Backend!$AL44*VLOOKUP($F44,'OH,Profit &amp; Other Base'!$A:$V,Backend!AS$6,0),5),"")</f>
        <v/>
      </c>
      <c r="AT44" s="1" t="str">
        <f>IFERROR(ROUND(Backend!$AO44*VLOOKUP($F44,'OH,Profit &amp; Other Base'!$A:$V,Backend!AT$6,0),5),"")</f>
        <v/>
      </c>
      <c r="AU44" s="1" t="str">
        <f>IFERROR(ROUND(Backend!$AM44*VLOOKUP($F44,'OH,Profit &amp; Other Base'!$A:$V,Backend!AU$6,0),5),"")</f>
        <v/>
      </c>
      <c r="AV44" s="1" t="str">
        <f>IFERROR(ROUND(Backend!$AL44*VLOOKUP($F44,'OH,Profit &amp; Other Base'!$A:$V,Backend!AV$6,0),5),"")</f>
        <v/>
      </c>
      <c r="AW44" s="1" t="str">
        <f>IFERROR(ROUND(Backend!$AO44*VLOOKUP($F44,'OH,Profit &amp; Other Base'!$A:$V,Backend!AW$6,0),5),"")</f>
        <v/>
      </c>
      <c r="AX44" s="1" t="str">
        <f>IFERROR(ROUND(Backend!$AM44*VLOOKUP($F44,'OH,Profit &amp; Other Base'!$A:$V,Backend!AX$6,0),5),"")</f>
        <v/>
      </c>
      <c r="AY44" s="1" t="str">
        <f>IFERROR(ROUND(Backend!$AL44*VLOOKUP($F44,'OH,Profit &amp; Other Base'!$A:$V,Backend!AY$6,0),5),"")</f>
        <v/>
      </c>
      <c r="AZ44" s="1" t="str">
        <f>IFERROR(ROUND(Backend!$AO44*VLOOKUP($F44,'OH,Profit &amp; Other Base'!$A:$V,Backend!AZ$6,0),5),"")</f>
        <v/>
      </c>
      <c r="BA44" s="1" t="str">
        <f>IFERROR(ROUND(Backend!$AM44*VLOOKUP($F44,'OH,Profit &amp; Other Base'!$A:$V,Backend!BA$6,0),5),"")</f>
        <v/>
      </c>
      <c r="BB44" s="1" t="str">
        <f>IFERROR(ROUND(Backend!$AL44*VLOOKUP($F44,'OH,Profit &amp; Other Base'!$A:$V,Backend!BB$6,0),5),"")</f>
        <v/>
      </c>
      <c r="BC44" s="1" t="str">
        <f>IFERROR(ROUND(Backend!$AO44*VLOOKUP($F44,'OH,Profit &amp; Other Base'!$A:$V,Backend!BC$6,0),5),"")</f>
        <v/>
      </c>
      <c r="BD44" s="1" t="str">
        <f>IFERROR(ROUND(Backend!$AM44*VLOOKUP($F44,'OH,Profit &amp; Other Base'!$A:$V,Backend!BD$6,0),5),"")</f>
        <v/>
      </c>
      <c r="BE44" s="1" t="str">
        <f>IFERROR(ROUND(Backend!$AL44*VLOOKUP($F44,'OH,Profit &amp; Other Base'!$A:$V,Backend!BE$6,0),5),"")</f>
        <v/>
      </c>
      <c r="BF44" s="1" t="str">
        <f>IFERROR(ROUND(Backend!$AO44*VLOOKUP($F44,'OH,Profit &amp; Other Base'!$A:$V,Backend!BF$6,0),5),"")</f>
        <v/>
      </c>
      <c r="BG44" s="1" t="str">
        <f>IFERROR(ROUND(Backend!$AM44*VLOOKUP($F44,'OH,Profit &amp; Other Base'!$A:$V,Backend!BG$6,0),5),"")</f>
        <v/>
      </c>
      <c r="BH44" s="1" t="str">
        <f>IFERROR(ROUND(Backend!$AL44*VLOOKUP($F44,'OH,Profit &amp; Other Base'!$A:$V,Backend!BH$6,0),5),"")</f>
        <v/>
      </c>
      <c r="BI44" s="1" t="str">
        <f>IFERROR(ROUND(Backend!$AO44*VLOOKUP($F44,'OH,Profit &amp; Other Base'!$A:$V,Backend!BI$6,0),5),"")</f>
        <v/>
      </c>
      <c r="BJ44" s="1" t="str">
        <f>IFERROR(ROUND(Backend!$AM44*VLOOKUP($F44,'OH,Profit &amp; Other Base'!$A:$V,Backend!BJ$6,0),5),"")</f>
        <v/>
      </c>
      <c r="BK44" s="3">
        <f>SUM(AN44:BJ44,Backend!O44)</f>
        <v>0</v>
      </c>
    </row>
    <row r="45" spans="1:63">
      <c r="A45" s="1">
        <f>BOM!A40</f>
        <v>38</v>
      </c>
      <c r="B45" s="1" t="str">
        <f>BOM!B40</f>
        <v>MB512123</v>
      </c>
      <c r="C45" s="1">
        <f>BOM!C40</f>
        <v>0</v>
      </c>
      <c r="D45" s="1">
        <f>BOM!D40</f>
        <v>0</v>
      </c>
      <c r="E45" s="1">
        <f>BOM!F40</f>
        <v>0</v>
      </c>
      <c r="F45" s="1" t="str">
        <f>IF(H45="CSC",BOM!H40,IF(J45="BOFOthers","Sheet Metal-B",""))</f>
        <v/>
      </c>
      <c r="G45" s="1">
        <f>BOM!I40</f>
        <v>0</v>
      </c>
      <c r="H45" s="1">
        <f>BOM!J40</f>
        <v>0</v>
      </c>
      <c r="I45" s="1" t="str">
        <f t="shared" si="0"/>
        <v>Others</v>
      </c>
      <c r="J45" s="1" t="str">
        <f t="shared" si="1"/>
        <v>0Others</v>
      </c>
      <c r="K45" s="3" t="str">
        <f>IF($J45="InhouseCSC",VLOOKUP($D45,Group!$C:$E,3,0),"")</f>
        <v/>
      </c>
      <c r="L45" s="3" t="str">
        <f>IF(OR($J45="BOSFCSC",$J45="BOFCSC"),VLOOKUP($D45,Group!$C:$E,3,0),"")</f>
        <v/>
      </c>
      <c r="M45" s="3" t="str">
        <f>IF(OR($J45="BOSFCSC",$J45="BOFCSC"),VLOOKUP($D45,Group!$C:$F,4,0),"")</f>
        <v/>
      </c>
      <c r="N45" s="3" t="str">
        <f>IF(OR($J45="InhouseCSC",$J45="BOSFCSC"),VLOOKUP($D45,Group!$C:$G,5,0),"")</f>
        <v/>
      </c>
      <c r="O45" s="3" t="str">
        <f>IF($J45="InhouseCSC",ROUND(VLOOKUP($D45,Group!$C:$H,6,0),5),"")</f>
        <v/>
      </c>
      <c r="P45" s="3" t="str">
        <f>IF(OR($J45="BOSFCSC",$J45="BOFCSC"),VLOOKUP($D45,Group!$C:$H,6,0),"")</f>
        <v/>
      </c>
      <c r="Q45" s="1" t="str">
        <f>IF($J45="Inhouseothers",VLOOKUP($D45,Group!$C:$E,3,0),"")</f>
        <v/>
      </c>
      <c r="R45" s="1" t="str">
        <f>IF($J45="BOSFOthers",VLOOKUP($D45,Group!$C:$E,3,0),"")</f>
        <v/>
      </c>
      <c r="S45" s="3" t="str">
        <f>IF($J45="BOFOthers",VLOOKUP($D45,Group!$C:$E,3,0),"")</f>
        <v/>
      </c>
      <c r="U45" s="1" t="str">
        <f>IFERROR(Backend!$L45*VLOOKUP($F45,'OH,Profit &amp; Other Base'!$A:$V,Backend!U$6,0),"")</f>
        <v/>
      </c>
      <c r="V45" s="1" t="str">
        <f>IFERROR(Backend!$M45*VLOOKUP($F45,'OH,Profit &amp; Other Base'!$A:$V,Backend!V$6,0),"")</f>
        <v/>
      </c>
      <c r="W45" s="1" t="str">
        <f>IFERROR(Backend!$L45*VLOOKUP($F45,'OH,Profit &amp; Other Base'!$A:$V,Backend!W$6,0),"")</f>
        <v/>
      </c>
      <c r="X45" s="1" t="str">
        <f>IFERROR(Backend!$M45*VLOOKUP($F45,'OH,Profit &amp; Other Base'!$A:$V,Backend!X$6,0),"")</f>
        <v/>
      </c>
      <c r="Y45" s="1" t="str">
        <f>IFERROR(Backend!$L45*VLOOKUP($F45,'OH,Profit &amp; Other Base'!$A:$V,Backend!Y$6,0),"")</f>
        <v/>
      </c>
      <c r="Z45" s="1" t="str">
        <f>IFERROR(Backend!$M45*VLOOKUP($F45,'OH,Profit &amp; Other Base'!$A:$V,Backend!Z$6,0),"")</f>
        <v/>
      </c>
      <c r="AA45" s="1" t="str">
        <f>IFERROR(Backend!$L45*VLOOKUP($F45,'OH,Profit &amp; Other Base'!$A:$V,Backend!AA$6,0),"")</f>
        <v/>
      </c>
      <c r="AB45" s="1" t="str">
        <f>IFERROR(Backend!$M45*VLOOKUP($F45,'OH,Profit &amp; Other Base'!$A:$V,Backend!AB$6,0),"")</f>
        <v/>
      </c>
      <c r="AC45" s="1" t="str">
        <f>IFERROR(Backend!$L45*VLOOKUP($F45,'OH,Profit &amp; Other Base'!$A:$V,Backend!AC$6,0),"")</f>
        <v/>
      </c>
      <c r="AD45" s="1" t="str">
        <f>IFERROR(Backend!$M45*VLOOKUP($F45,'OH,Profit &amp; Other Base'!$A:$V,Backend!AD$6,0),"")</f>
        <v/>
      </c>
      <c r="AE45" s="1" t="str">
        <f>IFERROR(Backend!$L45*VLOOKUP($F45,'OH,Profit &amp; Other Base'!$A:$V,Backend!AE$6,0),"")</f>
        <v/>
      </c>
      <c r="AF45" s="1" t="str">
        <f>IFERROR(Backend!$M45*VLOOKUP($F45,'OH,Profit &amp; Other Base'!$A:$V,Backend!AF$6,0),"")</f>
        <v/>
      </c>
      <c r="AG45" s="1" t="str">
        <f>IFERROR(Backend!$L45*VLOOKUP($F45,'OH,Profit &amp; Other Base'!$A:$V,Backend!AG$6,0),"")</f>
        <v/>
      </c>
      <c r="AH45" s="1" t="str">
        <f>IFERROR(Backend!$M45*VLOOKUP($F45,'OH,Profit &amp; Other Base'!$A:$V,Backend!AH$6,0),"")</f>
        <v/>
      </c>
      <c r="AI45" s="3">
        <f t="shared" si="2"/>
        <v>0</v>
      </c>
      <c r="AL45" s="1" t="str">
        <f t="shared" si="3"/>
        <v/>
      </c>
      <c r="AM45" s="1" t="str">
        <f t="shared" si="4"/>
        <v/>
      </c>
      <c r="AN45" s="1" t="str">
        <f t="shared" si="5"/>
        <v/>
      </c>
      <c r="AO45" s="1" t="str">
        <f t="shared" si="6"/>
        <v/>
      </c>
      <c r="AP45" s="1" t="str">
        <f>IFERROR(ROUND(Backend!$AL45*VLOOKUP($F45,'OH,Profit &amp; Other Base'!$A:$V,Backend!AP$6,0),5),"")</f>
        <v/>
      </c>
      <c r="AQ45" s="1" t="str">
        <f>IFERROR(ROUND(Backend!$AO45*VLOOKUP($F45,'OH,Profit &amp; Other Base'!$A:$V,Backend!AQ$6,0),5),"")</f>
        <v/>
      </c>
      <c r="AR45" s="1" t="str">
        <f>IFERROR(ROUND(Backend!$AM45*VLOOKUP($F45,'OH,Profit &amp; Other Base'!$A:$V,Backend!AR$6,0),5),"")</f>
        <v/>
      </c>
      <c r="AS45" s="1" t="str">
        <f>IFERROR(ROUND(Backend!$AL45*VLOOKUP($F45,'OH,Profit &amp; Other Base'!$A:$V,Backend!AS$6,0),5),"")</f>
        <v/>
      </c>
      <c r="AT45" s="1" t="str">
        <f>IFERROR(ROUND(Backend!$AO45*VLOOKUP($F45,'OH,Profit &amp; Other Base'!$A:$V,Backend!AT$6,0),5),"")</f>
        <v/>
      </c>
      <c r="AU45" s="1" t="str">
        <f>IFERROR(ROUND(Backend!$AM45*VLOOKUP($F45,'OH,Profit &amp; Other Base'!$A:$V,Backend!AU$6,0),5),"")</f>
        <v/>
      </c>
      <c r="AV45" s="1" t="str">
        <f>IFERROR(ROUND(Backend!$AL45*VLOOKUP($F45,'OH,Profit &amp; Other Base'!$A:$V,Backend!AV$6,0),5),"")</f>
        <v/>
      </c>
      <c r="AW45" s="1" t="str">
        <f>IFERROR(ROUND(Backend!$AO45*VLOOKUP($F45,'OH,Profit &amp; Other Base'!$A:$V,Backend!AW$6,0),5),"")</f>
        <v/>
      </c>
      <c r="AX45" s="1" t="str">
        <f>IFERROR(ROUND(Backend!$AM45*VLOOKUP($F45,'OH,Profit &amp; Other Base'!$A:$V,Backend!AX$6,0),5),"")</f>
        <v/>
      </c>
      <c r="AY45" s="1" t="str">
        <f>IFERROR(ROUND(Backend!$AL45*VLOOKUP($F45,'OH,Profit &amp; Other Base'!$A:$V,Backend!AY$6,0),5),"")</f>
        <v/>
      </c>
      <c r="AZ45" s="1" t="str">
        <f>IFERROR(ROUND(Backend!$AO45*VLOOKUP($F45,'OH,Profit &amp; Other Base'!$A:$V,Backend!AZ$6,0),5),"")</f>
        <v/>
      </c>
      <c r="BA45" s="1" t="str">
        <f>IFERROR(ROUND(Backend!$AM45*VLOOKUP($F45,'OH,Profit &amp; Other Base'!$A:$V,Backend!BA$6,0),5),"")</f>
        <v/>
      </c>
      <c r="BB45" s="1" t="str">
        <f>IFERROR(ROUND(Backend!$AL45*VLOOKUP($F45,'OH,Profit &amp; Other Base'!$A:$V,Backend!BB$6,0),5),"")</f>
        <v/>
      </c>
      <c r="BC45" s="1" t="str">
        <f>IFERROR(ROUND(Backend!$AO45*VLOOKUP($F45,'OH,Profit &amp; Other Base'!$A:$V,Backend!BC$6,0),5),"")</f>
        <v/>
      </c>
      <c r="BD45" s="1" t="str">
        <f>IFERROR(ROUND(Backend!$AM45*VLOOKUP($F45,'OH,Profit &amp; Other Base'!$A:$V,Backend!BD$6,0),5),"")</f>
        <v/>
      </c>
      <c r="BE45" s="1" t="str">
        <f>IFERROR(ROUND(Backend!$AL45*VLOOKUP($F45,'OH,Profit &amp; Other Base'!$A:$V,Backend!BE$6,0),5),"")</f>
        <v/>
      </c>
      <c r="BF45" s="1" t="str">
        <f>IFERROR(ROUND(Backend!$AO45*VLOOKUP($F45,'OH,Profit &amp; Other Base'!$A:$V,Backend!BF$6,0),5),"")</f>
        <v/>
      </c>
      <c r="BG45" s="1" t="str">
        <f>IFERROR(ROUND(Backend!$AM45*VLOOKUP($F45,'OH,Profit &amp; Other Base'!$A:$V,Backend!BG$6,0),5),"")</f>
        <v/>
      </c>
      <c r="BH45" s="1" t="str">
        <f>IFERROR(ROUND(Backend!$AL45*VLOOKUP($F45,'OH,Profit &amp; Other Base'!$A:$V,Backend!BH$6,0),5),"")</f>
        <v/>
      </c>
      <c r="BI45" s="1" t="str">
        <f>IFERROR(ROUND(Backend!$AO45*VLOOKUP($F45,'OH,Profit &amp; Other Base'!$A:$V,Backend!BI$6,0),5),"")</f>
        <v/>
      </c>
      <c r="BJ45" s="1" t="str">
        <f>IFERROR(ROUND(Backend!$AM45*VLOOKUP($F45,'OH,Profit &amp; Other Base'!$A:$V,Backend!BJ$6,0),5),"")</f>
        <v/>
      </c>
      <c r="BK45" s="3">
        <f>SUM(AN45:BJ45,Backend!O45)</f>
        <v>0</v>
      </c>
    </row>
    <row r="46" spans="1:63">
      <c r="A46" s="1">
        <f>BOM!A41</f>
        <v>39</v>
      </c>
      <c r="B46" s="1" t="str">
        <f>BOM!B41</f>
        <v>MB512123</v>
      </c>
      <c r="C46" s="1">
        <f>BOM!C41</f>
        <v>0</v>
      </c>
      <c r="D46" s="1">
        <f>BOM!D41</f>
        <v>0</v>
      </c>
      <c r="E46" s="1">
        <f>BOM!F41</f>
        <v>0</v>
      </c>
      <c r="F46" s="1" t="str">
        <f>IF(H46="CSC",BOM!H41,IF(J46="BOFOthers","Sheet Metal-B",""))</f>
        <v/>
      </c>
      <c r="G46" s="1">
        <f>BOM!I41</f>
        <v>0</v>
      </c>
      <c r="H46" s="1">
        <f>BOM!J41</f>
        <v>0</v>
      </c>
      <c r="I46" s="1" t="str">
        <f t="shared" si="0"/>
        <v>Others</v>
      </c>
      <c r="J46" s="1" t="str">
        <f t="shared" si="1"/>
        <v>0Others</v>
      </c>
      <c r="K46" s="3" t="str">
        <f>IF($J46="InhouseCSC",VLOOKUP($D46,Group!$C:$E,3,0),"")</f>
        <v/>
      </c>
      <c r="L46" s="3" t="str">
        <f>IF(OR($J46="BOSFCSC",$J46="BOFCSC"),VLOOKUP($D46,Group!$C:$E,3,0),"")</f>
        <v/>
      </c>
      <c r="M46" s="3" t="str">
        <f>IF(OR($J46="BOSFCSC",$J46="BOFCSC"),VLOOKUP($D46,Group!$C:$F,4,0),"")</f>
        <v/>
      </c>
      <c r="N46" s="3" t="str">
        <f>IF(OR($J46="InhouseCSC",$J46="BOSFCSC"),VLOOKUP($D46,Group!$C:$G,5,0),"")</f>
        <v/>
      </c>
      <c r="O46" s="3" t="str">
        <f>IF($J46="InhouseCSC",ROUND(VLOOKUP($D46,Group!$C:$H,6,0),5),"")</f>
        <v/>
      </c>
      <c r="P46" s="3" t="str">
        <f>IF(OR($J46="BOSFCSC",$J46="BOFCSC"),VLOOKUP($D46,Group!$C:$H,6,0),"")</f>
        <v/>
      </c>
      <c r="Q46" s="1" t="str">
        <f>IF($J46="Inhouseothers",VLOOKUP($D46,Group!$C:$E,3,0),"")</f>
        <v/>
      </c>
      <c r="R46" s="1" t="str">
        <f>IF($J46="BOSFOthers",VLOOKUP($D46,Group!$C:$E,3,0),"")</f>
        <v/>
      </c>
      <c r="S46" s="3" t="str">
        <f>IF($J46="BOFOthers",VLOOKUP($D46,Group!$C:$E,3,0),"")</f>
        <v/>
      </c>
      <c r="U46" s="1" t="str">
        <f>IFERROR(Backend!$L46*VLOOKUP($F46,'OH,Profit &amp; Other Base'!$A:$V,Backend!U$6,0),"")</f>
        <v/>
      </c>
      <c r="V46" s="1" t="str">
        <f>IFERROR(Backend!$M46*VLOOKUP($F46,'OH,Profit &amp; Other Base'!$A:$V,Backend!V$6,0),"")</f>
        <v/>
      </c>
      <c r="W46" s="1" t="str">
        <f>IFERROR(Backend!$L46*VLOOKUP($F46,'OH,Profit &amp; Other Base'!$A:$V,Backend!W$6,0),"")</f>
        <v/>
      </c>
      <c r="X46" s="1" t="str">
        <f>IFERROR(Backend!$M46*VLOOKUP($F46,'OH,Profit &amp; Other Base'!$A:$V,Backend!X$6,0),"")</f>
        <v/>
      </c>
      <c r="Y46" s="1" t="str">
        <f>IFERROR(Backend!$L46*VLOOKUP($F46,'OH,Profit &amp; Other Base'!$A:$V,Backend!Y$6,0),"")</f>
        <v/>
      </c>
      <c r="Z46" s="1" t="str">
        <f>IFERROR(Backend!$M46*VLOOKUP($F46,'OH,Profit &amp; Other Base'!$A:$V,Backend!Z$6,0),"")</f>
        <v/>
      </c>
      <c r="AA46" s="1" t="str">
        <f>IFERROR(Backend!$L46*VLOOKUP($F46,'OH,Profit &amp; Other Base'!$A:$V,Backend!AA$6,0),"")</f>
        <v/>
      </c>
      <c r="AB46" s="1" t="str">
        <f>IFERROR(Backend!$M46*VLOOKUP($F46,'OH,Profit &amp; Other Base'!$A:$V,Backend!AB$6,0),"")</f>
        <v/>
      </c>
      <c r="AC46" s="1" t="str">
        <f>IFERROR(Backend!$L46*VLOOKUP($F46,'OH,Profit &amp; Other Base'!$A:$V,Backend!AC$6,0),"")</f>
        <v/>
      </c>
      <c r="AD46" s="1" t="str">
        <f>IFERROR(Backend!$M46*VLOOKUP($F46,'OH,Profit &amp; Other Base'!$A:$V,Backend!AD$6,0),"")</f>
        <v/>
      </c>
      <c r="AE46" s="1" t="str">
        <f>IFERROR(Backend!$L46*VLOOKUP($F46,'OH,Profit &amp; Other Base'!$A:$V,Backend!AE$6,0),"")</f>
        <v/>
      </c>
      <c r="AF46" s="1" t="str">
        <f>IFERROR(Backend!$M46*VLOOKUP($F46,'OH,Profit &amp; Other Base'!$A:$V,Backend!AF$6,0),"")</f>
        <v/>
      </c>
      <c r="AG46" s="1" t="str">
        <f>IFERROR(Backend!$L46*VLOOKUP($F46,'OH,Profit &amp; Other Base'!$A:$V,Backend!AG$6,0),"")</f>
        <v/>
      </c>
      <c r="AH46" s="1" t="str">
        <f>IFERROR(Backend!$M46*VLOOKUP($F46,'OH,Profit &amp; Other Base'!$A:$V,Backend!AH$6,0),"")</f>
        <v/>
      </c>
      <c r="AI46" s="3">
        <f t="shared" si="2"/>
        <v>0</v>
      </c>
      <c r="AL46" s="1" t="str">
        <f t="shared" si="3"/>
        <v/>
      </c>
      <c r="AM46" s="1" t="str">
        <f t="shared" si="4"/>
        <v/>
      </c>
      <c r="AN46" s="1" t="str">
        <f t="shared" si="5"/>
        <v/>
      </c>
      <c r="AO46" s="1" t="str">
        <f t="shared" si="6"/>
        <v/>
      </c>
      <c r="AP46" s="1" t="str">
        <f>IFERROR(ROUND(Backend!$AL46*VLOOKUP($F46,'OH,Profit &amp; Other Base'!$A:$V,Backend!AP$6,0),5),"")</f>
        <v/>
      </c>
      <c r="AQ46" s="1" t="str">
        <f>IFERROR(ROUND(Backend!$AO46*VLOOKUP($F46,'OH,Profit &amp; Other Base'!$A:$V,Backend!AQ$6,0),5),"")</f>
        <v/>
      </c>
      <c r="AR46" s="1" t="str">
        <f>IFERROR(ROUND(Backend!$AM46*VLOOKUP($F46,'OH,Profit &amp; Other Base'!$A:$V,Backend!AR$6,0),5),"")</f>
        <v/>
      </c>
      <c r="AS46" s="1" t="str">
        <f>IFERROR(ROUND(Backend!$AL46*VLOOKUP($F46,'OH,Profit &amp; Other Base'!$A:$V,Backend!AS$6,0),5),"")</f>
        <v/>
      </c>
      <c r="AT46" s="1" t="str">
        <f>IFERROR(ROUND(Backend!$AO46*VLOOKUP($F46,'OH,Profit &amp; Other Base'!$A:$V,Backend!AT$6,0),5),"")</f>
        <v/>
      </c>
      <c r="AU46" s="1" t="str">
        <f>IFERROR(ROUND(Backend!$AM46*VLOOKUP($F46,'OH,Profit &amp; Other Base'!$A:$V,Backend!AU$6,0),5),"")</f>
        <v/>
      </c>
      <c r="AV46" s="1" t="str">
        <f>IFERROR(ROUND(Backend!$AL46*VLOOKUP($F46,'OH,Profit &amp; Other Base'!$A:$V,Backend!AV$6,0),5),"")</f>
        <v/>
      </c>
      <c r="AW46" s="1" t="str">
        <f>IFERROR(ROUND(Backend!$AO46*VLOOKUP($F46,'OH,Profit &amp; Other Base'!$A:$V,Backend!AW$6,0),5),"")</f>
        <v/>
      </c>
      <c r="AX46" s="1" t="str">
        <f>IFERROR(ROUND(Backend!$AM46*VLOOKUP($F46,'OH,Profit &amp; Other Base'!$A:$V,Backend!AX$6,0),5),"")</f>
        <v/>
      </c>
      <c r="AY46" s="1" t="str">
        <f>IFERROR(ROUND(Backend!$AL46*VLOOKUP($F46,'OH,Profit &amp; Other Base'!$A:$V,Backend!AY$6,0),5),"")</f>
        <v/>
      </c>
      <c r="AZ46" s="1" t="str">
        <f>IFERROR(ROUND(Backend!$AO46*VLOOKUP($F46,'OH,Profit &amp; Other Base'!$A:$V,Backend!AZ$6,0),5),"")</f>
        <v/>
      </c>
      <c r="BA46" s="1" t="str">
        <f>IFERROR(ROUND(Backend!$AM46*VLOOKUP($F46,'OH,Profit &amp; Other Base'!$A:$V,Backend!BA$6,0),5),"")</f>
        <v/>
      </c>
      <c r="BB46" s="1" t="str">
        <f>IFERROR(ROUND(Backend!$AL46*VLOOKUP($F46,'OH,Profit &amp; Other Base'!$A:$V,Backend!BB$6,0),5),"")</f>
        <v/>
      </c>
      <c r="BC46" s="1" t="str">
        <f>IFERROR(ROUND(Backend!$AO46*VLOOKUP($F46,'OH,Profit &amp; Other Base'!$A:$V,Backend!BC$6,0),5),"")</f>
        <v/>
      </c>
      <c r="BD46" s="1" t="str">
        <f>IFERROR(ROUND(Backend!$AM46*VLOOKUP($F46,'OH,Profit &amp; Other Base'!$A:$V,Backend!BD$6,0),5),"")</f>
        <v/>
      </c>
      <c r="BE46" s="1" t="str">
        <f>IFERROR(ROUND(Backend!$AL46*VLOOKUP($F46,'OH,Profit &amp; Other Base'!$A:$V,Backend!BE$6,0),5),"")</f>
        <v/>
      </c>
      <c r="BF46" s="1" t="str">
        <f>IFERROR(ROUND(Backend!$AO46*VLOOKUP($F46,'OH,Profit &amp; Other Base'!$A:$V,Backend!BF$6,0),5),"")</f>
        <v/>
      </c>
      <c r="BG46" s="1" t="str">
        <f>IFERROR(ROUND(Backend!$AM46*VLOOKUP($F46,'OH,Profit &amp; Other Base'!$A:$V,Backend!BG$6,0),5),"")</f>
        <v/>
      </c>
      <c r="BH46" s="1" t="str">
        <f>IFERROR(ROUND(Backend!$AL46*VLOOKUP($F46,'OH,Profit &amp; Other Base'!$A:$V,Backend!BH$6,0),5),"")</f>
        <v/>
      </c>
      <c r="BI46" s="1" t="str">
        <f>IFERROR(ROUND(Backend!$AO46*VLOOKUP($F46,'OH,Profit &amp; Other Base'!$A:$V,Backend!BI$6,0),5),"")</f>
        <v/>
      </c>
      <c r="BJ46" s="1" t="str">
        <f>IFERROR(ROUND(Backend!$AM46*VLOOKUP($F46,'OH,Profit &amp; Other Base'!$A:$V,Backend!BJ$6,0),5),"")</f>
        <v/>
      </c>
      <c r="BK46" s="3">
        <f>SUM(AN46:BJ46,Backend!O46)</f>
        <v>0</v>
      </c>
    </row>
    <row r="47" spans="1:63">
      <c r="A47" s="1">
        <f>BOM!A42</f>
        <v>40</v>
      </c>
      <c r="B47" s="1" t="str">
        <f>BOM!B42</f>
        <v>MB512123</v>
      </c>
      <c r="C47" s="1">
        <f>BOM!C42</f>
        <v>0</v>
      </c>
      <c r="D47" s="1">
        <f>BOM!D42</f>
        <v>0</v>
      </c>
      <c r="E47" s="1">
        <f>BOM!F42</f>
        <v>0</v>
      </c>
      <c r="F47" s="1" t="str">
        <f>IF(H47="CSC",BOM!H42,IF(J47="BOFOthers","Sheet Metal-B",""))</f>
        <v/>
      </c>
      <c r="G47" s="1">
        <f>BOM!I42</f>
        <v>0</v>
      </c>
      <c r="H47" s="1">
        <f>BOM!J42</f>
        <v>0</v>
      </c>
      <c r="I47" s="1" t="str">
        <f t="shared" si="0"/>
        <v>Others</v>
      </c>
      <c r="J47" s="1" t="str">
        <f t="shared" si="1"/>
        <v>0Others</v>
      </c>
      <c r="K47" s="3" t="str">
        <f>IF($J47="InhouseCSC",VLOOKUP($D47,Group!$C:$E,3,0),"")</f>
        <v/>
      </c>
      <c r="L47" s="3" t="str">
        <f>IF(OR($J47="BOSFCSC",$J47="BOFCSC"),VLOOKUP($D47,Group!$C:$E,3,0),"")</f>
        <v/>
      </c>
      <c r="M47" s="3" t="str">
        <f>IF(OR($J47="BOSFCSC",$J47="BOFCSC"),VLOOKUP($D47,Group!$C:$F,4,0),"")</f>
        <v/>
      </c>
      <c r="N47" s="3" t="str">
        <f>IF(OR($J47="InhouseCSC",$J47="BOSFCSC"),VLOOKUP($D47,Group!$C:$G,5,0),"")</f>
        <v/>
      </c>
      <c r="O47" s="3" t="str">
        <f>IF($J47="InhouseCSC",ROUND(VLOOKUP($D47,Group!$C:$H,6,0),5),"")</f>
        <v/>
      </c>
      <c r="P47" s="3" t="str">
        <f>IF(OR($J47="BOSFCSC",$J47="BOFCSC"),VLOOKUP($D47,Group!$C:$H,6,0),"")</f>
        <v/>
      </c>
      <c r="Q47" s="1" t="str">
        <f>IF($J47="Inhouseothers",VLOOKUP($D47,Group!$C:$E,3,0),"")</f>
        <v/>
      </c>
      <c r="R47" s="1" t="str">
        <f>IF($J47="BOSFOthers",VLOOKUP($D47,Group!$C:$E,3,0),"")</f>
        <v/>
      </c>
      <c r="S47" s="3" t="str">
        <f>IF($J47="BOFOthers",VLOOKUP($D47,Group!$C:$E,3,0),"")</f>
        <v/>
      </c>
      <c r="U47" s="1" t="str">
        <f>IFERROR(Backend!$L47*VLOOKUP($F47,'OH,Profit &amp; Other Base'!$A:$V,Backend!U$6,0),"")</f>
        <v/>
      </c>
      <c r="V47" s="1" t="str">
        <f>IFERROR(Backend!$M47*VLOOKUP($F47,'OH,Profit &amp; Other Base'!$A:$V,Backend!V$6,0),"")</f>
        <v/>
      </c>
      <c r="W47" s="1" t="str">
        <f>IFERROR(Backend!$L47*VLOOKUP($F47,'OH,Profit &amp; Other Base'!$A:$V,Backend!W$6,0),"")</f>
        <v/>
      </c>
      <c r="X47" s="1" t="str">
        <f>IFERROR(Backend!$M47*VLOOKUP($F47,'OH,Profit &amp; Other Base'!$A:$V,Backend!X$6,0),"")</f>
        <v/>
      </c>
      <c r="Y47" s="1" t="str">
        <f>IFERROR(Backend!$L47*VLOOKUP($F47,'OH,Profit &amp; Other Base'!$A:$V,Backend!Y$6,0),"")</f>
        <v/>
      </c>
      <c r="Z47" s="1" t="str">
        <f>IFERROR(Backend!$M47*VLOOKUP($F47,'OH,Profit &amp; Other Base'!$A:$V,Backend!Z$6,0),"")</f>
        <v/>
      </c>
      <c r="AA47" s="1" t="str">
        <f>IFERROR(Backend!$L47*VLOOKUP($F47,'OH,Profit &amp; Other Base'!$A:$V,Backend!AA$6,0),"")</f>
        <v/>
      </c>
      <c r="AB47" s="1" t="str">
        <f>IFERROR(Backend!$M47*VLOOKUP($F47,'OH,Profit &amp; Other Base'!$A:$V,Backend!AB$6,0),"")</f>
        <v/>
      </c>
      <c r="AC47" s="1" t="str">
        <f>IFERROR(Backend!$L47*VLOOKUP($F47,'OH,Profit &amp; Other Base'!$A:$V,Backend!AC$6,0),"")</f>
        <v/>
      </c>
      <c r="AD47" s="1" t="str">
        <f>IFERROR(Backend!$M47*VLOOKUP($F47,'OH,Profit &amp; Other Base'!$A:$V,Backend!AD$6,0),"")</f>
        <v/>
      </c>
      <c r="AE47" s="1" t="str">
        <f>IFERROR(Backend!$L47*VLOOKUP($F47,'OH,Profit &amp; Other Base'!$A:$V,Backend!AE$6,0),"")</f>
        <v/>
      </c>
      <c r="AF47" s="1" t="str">
        <f>IFERROR(Backend!$M47*VLOOKUP($F47,'OH,Profit &amp; Other Base'!$A:$V,Backend!AF$6,0),"")</f>
        <v/>
      </c>
      <c r="AG47" s="1" t="str">
        <f>IFERROR(Backend!$L47*VLOOKUP($F47,'OH,Profit &amp; Other Base'!$A:$V,Backend!AG$6,0),"")</f>
        <v/>
      </c>
      <c r="AH47" s="1" t="str">
        <f>IFERROR(Backend!$M47*VLOOKUP($F47,'OH,Profit &amp; Other Base'!$A:$V,Backend!AH$6,0),"")</f>
        <v/>
      </c>
      <c r="AI47" s="3">
        <f t="shared" si="2"/>
        <v>0</v>
      </c>
      <c r="AL47" s="1" t="str">
        <f t="shared" si="3"/>
        <v/>
      </c>
      <c r="AM47" s="1" t="str">
        <f t="shared" si="4"/>
        <v/>
      </c>
      <c r="AN47" s="1" t="str">
        <f t="shared" si="5"/>
        <v/>
      </c>
      <c r="AO47" s="1" t="str">
        <f t="shared" si="6"/>
        <v/>
      </c>
      <c r="AP47" s="1" t="str">
        <f>IFERROR(ROUND(Backend!$AL47*VLOOKUP($F47,'OH,Profit &amp; Other Base'!$A:$V,Backend!AP$6,0),5),"")</f>
        <v/>
      </c>
      <c r="AQ47" s="1" t="str">
        <f>IFERROR(ROUND(Backend!$AO47*VLOOKUP($F47,'OH,Profit &amp; Other Base'!$A:$V,Backend!AQ$6,0),5),"")</f>
        <v/>
      </c>
      <c r="AR47" s="1" t="str">
        <f>IFERROR(ROUND(Backend!$AM47*VLOOKUP($F47,'OH,Profit &amp; Other Base'!$A:$V,Backend!AR$6,0),5),"")</f>
        <v/>
      </c>
      <c r="AS47" s="1" t="str">
        <f>IFERROR(ROUND(Backend!$AL47*VLOOKUP($F47,'OH,Profit &amp; Other Base'!$A:$V,Backend!AS$6,0),5),"")</f>
        <v/>
      </c>
      <c r="AT47" s="1" t="str">
        <f>IFERROR(ROUND(Backend!$AO47*VLOOKUP($F47,'OH,Profit &amp; Other Base'!$A:$V,Backend!AT$6,0),5),"")</f>
        <v/>
      </c>
      <c r="AU47" s="1" t="str">
        <f>IFERROR(ROUND(Backend!$AM47*VLOOKUP($F47,'OH,Profit &amp; Other Base'!$A:$V,Backend!AU$6,0),5),"")</f>
        <v/>
      </c>
      <c r="AV47" s="1" t="str">
        <f>IFERROR(ROUND(Backend!$AL47*VLOOKUP($F47,'OH,Profit &amp; Other Base'!$A:$V,Backend!AV$6,0),5),"")</f>
        <v/>
      </c>
      <c r="AW47" s="1" t="str">
        <f>IFERROR(ROUND(Backend!$AO47*VLOOKUP($F47,'OH,Profit &amp; Other Base'!$A:$V,Backend!AW$6,0),5),"")</f>
        <v/>
      </c>
      <c r="AX47" s="1" t="str">
        <f>IFERROR(ROUND(Backend!$AM47*VLOOKUP($F47,'OH,Profit &amp; Other Base'!$A:$V,Backend!AX$6,0),5),"")</f>
        <v/>
      </c>
      <c r="AY47" s="1" t="str">
        <f>IFERROR(ROUND(Backend!$AL47*VLOOKUP($F47,'OH,Profit &amp; Other Base'!$A:$V,Backend!AY$6,0),5),"")</f>
        <v/>
      </c>
      <c r="AZ47" s="1" t="str">
        <f>IFERROR(ROUND(Backend!$AO47*VLOOKUP($F47,'OH,Profit &amp; Other Base'!$A:$V,Backend!AZ$6,0),5),"")</f>
        <v/>
      </c>
      <c r="BA47" s="1" t="str">
        <f>IFERROR(ROUND(Backend!$AM47*VLOOKUP($F47,'OH,Profit &amp; Other Base'!$A:$V,Backend!BA$6,0),5),"")</f>
        <v/>
      </c>
      <c r="BB47" s="1" t="str">
        <f>IFERROR(ROUND(Backend!$AL47*VLOOKUP($F47,'OH,Profit &amp; Other Base'!$A:$V,Backend!BB$6,0),5),"")</f>
        <v/>
      </c>
      <c r="BC47" s="1" t="str">
        <f>IFERROR(ROUND(Backend!$AO47*VLOOKUP($F47,'OH,Profit &amp; Other Base'!$A:$V,Backend!BC$6,0),5),"")</f>
        <v/>
      </c>
      <c r="BD47" s="1" t="str">
        <f>IFERROR(ROUND(Backend!$AM47*VLOOKUP($F47,'OH,Profit &amp; Other Base'!$A:$V,Backend!BD$6,0),5),"")</f>
        <v/>
      </c>
      <c r="BE47" s="1" t="str">
        <f>IFERROR(ROUND(Backend!$AL47*VLOOKUP($F47,'OH,Profit &amp; Other Base'!$A:$V,Backend!BE$6,0),5),"")</f>
        <v/>
      </c>
      <c r="BF47" s="1" t="str">
        <f>IFERROR(ROUND(Backend!$AO47*VLOOKUP($F47,'OH,Profit &amp; Other Base'!$A:$V,Backend!BF$6,0),5),"")</f>
        <v/>
      </c>
      <c r="BG47" s="1" t="str">
        <f>IFERROR(ROUND(Backend!$AM47*VLOOKUP($F47,'OH,Profit &amp; Other Base'!$A:$V,Backend!BG$6,0),5),"")</f>
        <v/>
      </c>
      <c r="BH47" s="1" t="str">
        <f>IFERROR(ROUND(Backend!$AL47*VLOOKUP($F47,'OH,Profit &amp; Other Base'!$A:$V,Backend!BH$6,0),5),"")</f>
        <v/>
      </c>
      <c r="BI47" s="1" t="str">
        <f>IFERROR(ROUND(Backend!$AO47*VLOOKUP($F47,'OH,Profit &amp; Other Base'!$A:$V,Backend!BI$6,0),5),"")</f>
        <v/>
      </c>
      <c r="BJ47" s="1" t="str">
        <f>IFERROR(ROUND(Backend!$AM47*VLOOKUP($F47,'OH,Profit &amp; Other Base'!$A:$V,Backend!BJ$6,0),5),"")</f>
        <v/>
      </c>
      <c r="BK47" s="3">
        <f>SUM(AN47:BJ47,Backend!O47)</f>
        <v>0</v>
      </c>
    </row>
    <row r="48" spans="1:63">
      <c r="A48" s="1">
        <f>BOM!A43</f>
        <v>41</v>
      </c>
      <c r="B48" s="1" t="str">
        <f>BOM!B43</f>
        <v>MB512123</v>
      </c>
      <c r="C48" s="1">
        <f>BOM!C43</f>
        <v>0</v>
      </c>
      <c r="D48" s="1">
        <f>BOM!D43</f>
        <v>0</v>
      </c>
      <c r="E48" s="1">
        <f>BOM!F43</f>
        <v>0</v>
      </c>
      <c r="F48" s="1" t="str">
        <f>IF(H48="CSC",BOM!H43,IF(J48="BOFOthers","Sheet Metal-B",""))</f>
        <v/>
      </c>
      <c r="G48" s="1">
        <f>BOM!I43</f>
        <v>0</v>
      </c>
      <c r="H48" s="1">
        <f>BOM!J43</f>
        <v>0</v>
      </c>
      <c r="I48" s="1" t="str">
        <f t="shared" si="0"/>
        <v>Others</v>
      </c>
      <c r="J48" s="1" t="str">
        <f t="shared" si="1"/>
        <v>0Others</v>
      </c>
      <c r="K48" s="3" t="str">
        <f>IF($J48="InhouseCSC",VLOOKUP($D48,Group!$C:$E,3,0),"")</f>
        <v/>
      </c>
      <c r="L48" s="3" t="str">
        <f>IF(OR($J48="BOSFCSC",$J48="BOFCSC"),VLOOKUP($D48,Group!$C:$E,3,0),"")</f>
        <v/>
      </c>
      <c r="M48" s="3" t="str">
        <f>IF(OR($J48="BOSFCSC",$J48="BOFCSC"),VLOOKUP($D48,Group!$C:$F,4,0),"")</f>
        <v/>
      </c>
      <c r="N48" s="3" t="str">
        <f>IF(OR($J48="InhouseCSC",$J48="BOSFCSC"),VLOOKUP($D48,Group!$C:$G,5,0),"")</f>
        <v/>
      </c>
      <c r="O48" s="3" t="str">
        <f>IF($J48="InhouseCSC",ROUND(VLOOKUP($D48,Group!$C:$H,6,0),5),"")</f>
        <v/>
      </c>
      <c r="P48" s="3" t="str">
        <f>IF(OR($J48="BOSFCSC",$J48="BOFCSC"),VLOOKUP($D48,Group!$C:$H,6,0),"")</f>
        <v/>
      </c>
      <c r="Q48" s="1" t="str">
        <f>IF($J48="Inhouseothers",VLOOKUP($D48,Group!$C:$E,3,0),"")</f>
        <v/>
      </c>
      <c r="R48" s="1" t="str">
        <f>IF($J48="BOSFOthers",VLOOKUP($D48,Group!$C:$E,3,0),"")</f>
        <v/>
      </c>
      <c r="S48" s="3" t="str">
        <f>IF($J48="BOFOthers",VLOOKUP($D48,Group!$C:$E,3,0),"")</f>
        <v/>
      </c>
      <c r="U48" s="1" t="str">
        <f>IFERROR(Backend!$L48*VLOOKUP($F48,'OH,Profit &amp; Other Base'!$A:$V,Backend!U$6,0),"")</f>
        <v/>
      </c>
      <c r="V48" s="1" t="str">
        <f>IFERROR(Backend!$M48*VLOOKUP($F48,'OH,Profit &amp; Other Base'!$A:$V,Backend!V$6,0),"")</f>
        <v/>
      </c>
      <c r="W48" s="1" t="str">
        <f>IFERROR(Backend!$L48*VLOOKUP($F48,'OH,Profit &amp; Other Base'!$A:$V,Backend!W$6,0),"")</f>
        <v/>
      </c>
      <c r="X48" s="1" t="str">
        <f>IFERROR(Backend!$M48*VLOOKUP($F48,'OH,Profit &amp; Other Base'!$A:$V,Backend!X$6,0),"")</f>
        <v/>
      </c>
      <c r="Y48" s="1" t="str">
        <f>IFERROR(Backend!$L48*VLOOKUP($F48,'OH,Profit &amp; Other Base'!$A:$V,Backend!Y$6,0),"")</f>
        <v/>
      </c>
      <c r="Z48" s="1" t="str">
        <f>IFERROR(Backend!$M48*VLOOKUP($F48,'OH,Profit &amp; Other Base'!$A:$V,Backend!Z$6,0),"")</f>
        <v/>
      </c>
      <c r="AA48" s="1" t="str">
        <f>IFERROR(Backend!$L48*VLOOKUP($F48,'OH,Profit &amp; Other Base'!$A:$V,Backend!AA$6,0),"")</f>
        <v/>
      </c>
      <c r="AB48" s="1" t="str">
        <f>IFERROR(Backend!$M48*VLOOKUP($F48,'OH,Profit &amp; Other Base'!$A:$V,Backend!AB$6,0),"")</f>
        <v/>
      </c>
      <c r="AC48" s="1" t="str">
        <f>IFERROR(Backend!$L48*VLOOKUP($F48,'OH,Profit &amp; Other Base'!$A:$V,Backend!AC$6,0),"")</f>
        <v/>
      </c>
      <c r="AD48" s="1" t="str">
        <f>IFERROR(Backend!$M48*VLOOKUP($F48,'OH,Profit &amp; Other Base'!$A:$V,Backend!AD$6,0),"")</f>
        <v/>
      </c>
      <c r="AE48" s="1" t="str">
        <f>IFERROR(Backend!$L48*VLOOKUP($F48,'OH,Profit &amp; Other Base'!$A:$V,Backend!AE$6,0),"")</f>
        <v/>
      </c>
      <c r="AF48" s="1" t="str">
        <f>IFERROR(Backend!$M48*VLOOKUP($F48,'OH,Profit &amp; Other Base'!$A:$V,Backend!AF$6,0),"")</f>
        <v/>
      </c>
      <c r="AG48" s="1" t="str">
        <f>IFERROR(Backend!$L48*VLOOKUP($F48,'OH,Profit &amp; Other Base'!$A:$V,Backend!AG$6,0),"")</f>
        <v/>
      </c>
      <c r="AH48" s="1" t="str">
        <f>IFERROR(Backend!$M48*VLOOKUP($F48,'OH,Profit &amp; Other Base'!$A:$V,Backend!AH$6,0),"")</f>
        <v/>
      </c>
      <c r="AI48" s="3">
        <f t="shared" si="2"/>
        <v>0</v>
      </c>
      <c r="AL48" s="1" t="str">
        <f t="shared" si="3"/>
        <v/>
      </c>
      <c r="AM48" s="1" t="str">
        <f t="shared" si="4"/>
        <v/>
      </c>
      <c r="AN48" s="1" t="str">
        <f t="shared" si="5"/>
        <v/>
      </c>
      <c r="AO48" s="1" t="str">
        <f t="shared" si="6"/>
        <v/>
      </c>
      <c r="AP48" s="1" t="str">
        <f>IFERROR(ROUND(Backend!$AL48*VLOOKUP($F48,'OH,Profit &amp; Other Base'!$A:$V,Backend!AP$6,0),5),"")</f>
        <v/>
      </c>
      <c r="AQ48" s="1" t="str">
        <f>IFERROR(ROUND(Backend!$AO48*VLOOKUP($F48,'OH,Profit &amp; Other Base'!$A:$V,Backend!AQ$6,0),5),"")</f>
        <v/>
      </c>
      <c r="AR48" s="1" t="str">
        <f>IFERROR(ROUND(Backend!$AM48*VLOOKUP($F48,'OH,Profit &amp; Other Base'!$A:$V,Backend!AR$6,0),5),"")</f>
        <v/>
      </c>
      <c r="AS48" s="1" t="str">
        <f>IFERROR(ROUND(Backend!$AL48*VLOOKUP($F48,'OH,Profit &amp; Other Base'!$A:$V,Backend!AS$6,0),5),"")</f>
        <v/>
      </c>
      <c r="AT48" s="1" t="str">
        <f>IFERROR(ROUND(Backend!$AO48*VLOOKUP($F48,'OH,Profit &amp; Other Base'!$A:$V,Backend!AT$6,0),5),"")</f>
        <v/>
      </c>
      <c r="AU48" s="1" t="str">
        <f>IFERROR(ROUND(Backend!$AM48*VLOOKUP($F48,'OH,Profit &amp; Other Base'!$A:$V,Backend!AU$6,0),5),"")</f>
        <v/>
      </c>
      <c r="AV48" s="1" t="str">
        <f>IFERROR(ROUND(Backend!$AL48*VLOOKUP($F48,'OH,Profit &amp; Other Base'!$A:$V,Backend!AV$6,0),5),"")</f>
        <v/>
      </c>
      <c r="AW48" s="1" t="str">
        <f>IFERROR(ROUND(Backend!$AO48*VLOOKUP($F48,'OH,Profit &amp; Other Base'!$A:$V,Backend!AW$6,0),5),"")</f>
        <v/>
      </c>
      <c r="AX48" s="1" t="str">
        <f>IFERROR(ROUND(Backend!$AM48*VLOOKUP($F48,'OH,Profit &amp; Other Base'!$A:$V,Backend!AX$6,0),5),"")</f>
        <v/>
      </c>
      <c r="AY48" s="1" t="str">
        <f>IFERROR(ROUND(Backend!$AL48*VLOOKUP($F48,'OH,Profit &amp; Other Base'!$A:$V,Backend!AY$6,0),5),"")</f>
        <v/>
      </c>
      <c r="AZ48" s="1" t="str">
        <f>IFERROR(ROUND(Backend!$AO48*VLOOKUP($F48,'OH,Profit &amp; Other Base'!$A:$V,Backend!AZ$6,0),5),"")</f>
        <v/>
      </c>
      <c r="BA48" s="1" t="str">
        <f>IFERROR(ROUND(Backend!$AM48*VLOOKUP($F48,'OH,Profit &amp; Other Base'!$A:$V,Backend!BA$6,0),5),"")</f>
        <v/>
      </c>
      <c r="BB48" s="1" t="str">
        <f>IFERROR(ROUND(Backend!$AL48*VLOOKUP($F48,'OH,Profit &amp; Other Base'!$A:$V,Backend!BB$6,0),5),"")</f>
        <v/>
      </c>
      <c r="BC48" s="1" t="str">
        <f>IFERROR(ROUND(Backend!$AO48*VLOOKUP($F48,'OH,Profit &amp; Other Base'!$A:$V,Backend!BC$6,0),5),"")</f>
        <v/>
      </c>
      <c r="BD48" s="1" t="str">
        <f>IFERROR(ROUND(Backend!$AM48*VLOOKUP($F48,'OH,Profit &amp; Other Base'!$A:$V,Backend!BD$6,0),5),"")</f>
        <v/>
      </c>
      <c r="BE48" s="1" t="str">
        <f>IFERROR(ROUND(Backend!$AL48*VLOOKUP($F48,'OH,Profit &amp; Other Base'!$A:$V,Backend!BE$6,0),5),"")</f>
        <v/>
      </c>
      <c r="BF48" s="1" t="str">
        <f>IFERROR(ROUND(Backend!$AO48*VLOOKUP($F48,'OH,Profit &amp; Other Base'!$A:$V,Backend!BF$6,0),5),"")</f>
        <v/>
      </c>
      <c r="BG48" s="1" t="str">
        <f>IFERROR(ROUND(Backend!$AM48*VLOOKUP($F48,'OH,Profit &amp; Other Base'!$A:$V,Backend!BG$6,0),5),"")</f>
        <v/>
      </c>
      <c r="BH48" s="1" t="str">
        <f>IFERROR(ROUND(Backend!$AL48*VLOOKUP($F48,'OH,Profit &amp; Other Base'!$A:$V,Backend!BH$6,0),5),"")</f>
        <v/>
      </c>
      <c r="BI48" s="1" t="str">
        <f>IFERROR(ROUND(Backend!$AO48*VLOOKUP($F48,'OH,Profit &amp; Other Base'!$A:$V,Backend!BI$6,0),5),"")</f>
        <v/>
      </c>
      <c r="BJ48" s="1" t="str">
        <f>IFERROR(ROUND(Backend!$AM48*VLOOKUP($F48,'OH,Profit &amp; Other Base'!$A:$V,Backend!BJ$6,0),5),"")</f>
        <v/>
      </c>
      <c r="BK48" s="3">
        <f>SUM(AN48:BJ48,Backend!O48)</f>
        <v>0</v>
      </c>
    </row>
    <row r="49" spans="1:63">
      <c r="A49" s="1">
        <f>BOM!A44</f>
        <v>42</v>
      </c>
      <c r="B49" s="1" t="str">
        <f>BOM!B44</f>
        <v>MB512123</v>
      </c>
      <c r="C49" s="1">
        <f>BOM!C44</f>
        <v>0</v>
      </c>
      <c r="D49" s="1">
        <f>BOM!D44</f>
        <v>0</v>
      </c>
      <c r="E49" s="1">
        <f>BOM!F44</f>
        <v>0</v>
      </c>
      <c r="F49" s="1" t="str">
        <f>IF(H49="CSC",BOM!H44,IF(J49="BOFOthers","Sheet Metal-B",""))</f>
        <v/>
      </c>
      <c r="G49" s="1">
        <f>BOM!I44</f>
        <v>0</v>
      </c>
      <c r="H49" s="1">
        <f>BOM!J44</f>
        <v>0</v>
      </c>
      <c r="I49" s="1" t="str">
        <f t="shared" si="0"/>
        <v>Others</v>
      </c>
      <c r="J49" s="1" t="str">
        <f t="shared" si="1"/>
        <v>0Others</v>
      </c>
      <c r="K49" s="3" t="str">
        <f>IF($J49="InhouseCSC",VLOOKUP($D49,Group!$C:$E,3,0),"")</f>
        <v/>
      </c>
      <c r="L49" s="3" t="str">
        <f>IF(OR($J49="BOSFCSC",$J49="BOFCSC"),VLOOKUP($D49,Group!$C:$E,3,0),"")</f>
        <v/>
      </c>
      <c r="M49" s="3" t="str">
        <f>IF(OR($J49="BOSFCSC",$J49="BOFCSC"),VLOOKUP($D49,Group!$C:$F,4,0),"")</f>
        <v/>
      </c>
      <c r="N49" s="3" t="str">
        <f>IF(OR($J49="InhouseCSC",$J49="BOSFCSC"),VLOOKUP($D49,Group!$C:$G,5,0),"")</f>
        <v/>
      </c>
      <c r="O49" s="3" t="str">
        <f>IF($J49="InhouseCSC",ROUND(VLOOKUP($D49,Group!$C:$H,6,0),5),"")</f>
        <v/>
      </c>
      <c r="P49" s="3" t="str">
        <f>IF(OR($J49="BOSFCSC",$J49="BOFCSC"),VLOOKUP($D49,Group!$C:$H,6,0),"")</f>
        <v/>
      </c>
      <c r="Q49" s="1" t="str">
        <f>IF($J49="Inhouseothers",VLOOKUP($D49,Group!$C:$E,3,0),"")</f>
        <v/>
      </c>
      <c r="R49" s="1" t="str">
        <f>IF($J49="BOSFOthers",VLOOKUP($D49,Group!$C:$E,3,0),"")</f>
        <v/>
      </c>
      <c r="S49" s="3" t="str">
        <f>IF($J49="BOFOthers",VLOOKUP($D49,Group!$C:$E,3,0),"")</f>
        <v/>
      </c>
      <c r="U49" s="1" t="str">
        <f>IFERROR(Backend!$L49*VLOOKUP($F49,'OH,Profit &amp; Other Base'!$A:$V,Backend!U$6,0),"")</f>
        <v/>
      </c>
      <c r="V49" s="1" t="str">
        <f>IFERROR(Backend!$M49*VLOOKUP($F49,'OH,Profit &amp; Other Base'!$A:$V,Backend!V$6,0),"")</f>
        <v/>
      </c>
      <c r="W49" s="1" t="str">
        <f>IFERROR(Backend!$L49*VLOOKUP($F49,'OH,Profit &amp; Other Base'!$A:$V,Backend!W$6,0),"")</f>
        <v/>
      </c>
      <c r="X49" s="1" t="str">
        <f>IFERROR(Backend!$M49*VLOOKUP($F49,'OH,Profit &amp; Other Base'!$A:$V,Backend!X$6,0),"")</f>
        <v/>
      </c>
      <c r="Y49" s="1" t="str">
        <f>IFERROR(Backend!$L49*VLOOKUP($F49,'OH,Profit &amp; Other Base'!$A:$V,Backend!Y$6,0),"")</f>
        <v/>
      </c>
      <c r="Z49" s="1" t="str">
        <f>IFERROR(Backend!$M49*VLOOKUP($F49,'OH,Profit &amp; Other Base'!$A:$V,Backend!Z$6,0),"")</f>
        <v/>
      </c>
      <c r="AA49" s="1" t="str">
        <f>IFERROR(Backend!$L49*VLOOKUP($F49,'OH,Profit &amp; Other Base'!$A:$V,Backend!AA$6,0),"")</f>
        <v/>
      </c>
      <c r="AB49" s="1" t="str">
        <f>IFERROR(Backend!$M49*VLOOKUP($F49,'OH,Profit &amp; Other Base'!$A:$V,Backend!AB$6,0),"")</f>
        <v/>
      </c>
      <c r="AC49" s="1" t="str">
        <f>IFERROR(Backend!$L49*VLOOKUP($F49,'OH,Profit &amp; Other Base'!$A:$V,Backend!AC$6,0),"")</f>
        <v/>
      </c>
      <c r="AD49" s="1" t="str">
        <f>IFERROR(Backend!$M49*VLOOKUP($F49,'OH,Profit &amp; Other Base'!$A:$V,Backend!AD$6,0),"")</f>
        <v/>
      </c>
      <c r="AE49" s="1" t="str">
        <f>IFERROR(Backend!$L49*VLOOKUP($F49,'OH,Profit &amp; Other Base'!$A:$V,Backend!AE$6,0),"")</f>
        <v/>
      </c>
      <c r="AF49" s="1" t="str">
        <f>IFERROR(Backend!$M49*VLOOKUP($F49,'OH,Profit &amp; Other Base'!$A:$V,Backend!AF$6,0),"")</f>
        <v/>
      </c>
      <c r="AG49" s="1" t="str">
        <f>IFERROR(Backend!$L49*VLOOKUP($F49,'OH,Profit &amp; Other Base'!$A:$V,Backend!AG$6,0),"")</f>
        <v/>
      </c>
      <c r="AH49" s="1" t="str">
        <f>IFERROR(Backend!$M49*VLOOKUP($F49,'OH,Profit &amp; Other Base'!$A:$V,Backend!AH$6,0),"")</f>
        <v/>
      </c>
      <c r="AI49" s="3">
        <f t="shared" si="2"/>
        <v>0</v>
      </c>
      <c r="AL49" s="1" t="str">
        <f t="shared" si="3"/>
        <v/>
      </c>
      <c r="AM49" s="1" t="str">
        <f t="shared" si="4"/>
        <v/>
      </c>
      <c r="AN49" s="1" t="str">
        <f t="shared" si="5"/>
        <v/>
      </c>
      <c r="AO49" s="1" t="str">
        <f t="shared" si="6"/>
        <v/>
      </c>
      <c r="AP49" s="1" t="str">
        <f>IFERROR(ROUND(Backend!$AL49*VLOOKUP($F49,'OH,Profit &amp; Other Base'!$A:$V,Backend!AP$6,0),5),"")</f>
        <v/>
      </c>
      <c r="AQ49" s="1" t="str">
        <f>IFERROR(ROUND(Backend!$AO49*VLOOKUP($F49,'OH,Profit &amp; Other Base'!$A:$V,Backend!AQ$6,0),5),"")</f>
        <v/>
      </c>
      <c r="AR49" s="1" t="str">
        <f>IFERROR(ROUND(Backend!$AM49*VLOOKUP($F49,'OH,Profit &amp; Other Base'!$A:$V,Backend!AR$6,0),5),"")</f>
        <v/>
      </c>
      <c r="AS49" s="1" t="str">
        <f>IFERROR(ROUND(Backend!$AL49*VLOOKUP($F49,'OH,Profit &amp; Other Base'!$A:$V,Backend!AS$6,0),5),"")</f>
        <v/>
      </c>
      <c r="AT49" s="1" t="str">
        <f>IFERROR(ROUND(Backend!$AO49*VLOOKUP($F49,'OH,Profit &amp; Other Base'!$A:$V,Backend!AT$6,0),5),"")</f>
        <v/>
      </c>
      <c r="AU49" s="1" t="str">
        <f>IFERROR(ROUND(Backend!$AM49*VLOOKUP($F49,'OH,Profit &amp; Other Base'!$A:$V,Backend!AU$6,0),5),"")</f>
        <v/>
      </c>
      <c r="AV49" s="1" t="str">
        <f>IFERROR(ROUND(Backend!$AL49*VLOOKUP($F49,'OH,Profit &amp; Other Base'!$A:$V,Backend!AV$6,0),5),"")</f>
        <v/>
      </c>
      <c r="AW49" s="1" t="str">
        <f>IFERROR(ROUND(Backend!$AO49*VLOOKUP($F49,'OH,Profit &amp; Other Base'!$A:$V,Backend!AW$6,0),5),"")</f>
        <v/>
      </c>
      <c r="AX49" s="1" t="str">
        <f>IFERROR(ROUND(Backend!$AM49*VLOOKUP($F49,'OH,Profit &amp; Other Base'!$A:$V,Backend!AX$6,0),5),"")</f>
        <v/>
      </c>
      <c r="AY49" s="1" t="str">
        <f>IFERROR(ROUND(Backend!$AL49*VLOOKUP($F49,'OH,Profit &amp; Other Base'!$A:$V,Backend!AY$6,0),5),"")</f>
        <v/>
      </c>
      <c r="AZ49" s="1" t="str">
        <f>IFERROR(ROUND(Backend!$AO49*VLOOKUP($F49,'OH,Profit &amp; Other Base'!$A:$V,Backend!AZ$6,0),5),"")</f>
        <v/>
      </c>
      <c r="BA49" s="1" t="str">
        <f>IFERROR(ROUND(Backend!$AM49*VLOOKUP($F49,'OH,Profit &amp; Other Base'!$A:$V,Backend!BA$6,0),5),"")</f>
        <v/>
      </c>
      <c r="BB49" s="1" t="str">
        <f>IFERROR(ROUND(Backend!$AL49*VLOOKUP($F49,'OH,Profit &amp; Other Base'!$A:$V,Backend!BB$6,0),5),"")</f>
        <v/>
      </c>
      <c r="BC49" s="1" t="str">
        <f>IFERROR(ROUND(Backend!$AO49*VLOOKUP($F49,'OH,Profit &amp; Other Base'!$A:$V,Backend!BC$6,0),5),"")</f>
        <v/>
      </c>
      <c r="BD49" s="1" t="str">
        <f>IFERROR(ROUND(Backend!$AM49*VLOOKUP($F49,'OH,Profit &amp; Other Base'!$A:$V,Backend!BD$6,0),5),"")</f>
        <v/>
      </c>
      <c r="BE49" s="1" t="str">
        <f>IFERROR(ROUND(Backend!$AL49*VLOOKUP($F49,'OH,Profit &amp; Other Base'!$A:$V,Backend!BE$6,0),5),"")</f>
        <v/>
      </c>
      <c r="BF49" s="1" t="str">
        <f>IFERROR(ROUND(Backend!$AO49*VLOOKUP($F49,'OH,Profit &amp; Other Base'!$A:$V,Backend!BF$6,0),5),"")</f>
        <v/>
      </c>
      <c r="BG49" s="1" t="str">
        <f>IFERROR(ROUND(Backend!$AM49*VLOOKUP($F49,'OH,Profit &amp; Other Base'!$A:$V,Backend!BG$6,0),5),"")</f>
        <v/>
      </c>
      <c r="BH49" s="1" t="str">
        <f>IFERROR(ROUND(Backend!$AL49*VLOOKUP($F49,'OH,Profit &amp; Other Base'!$A:$V,Backend!BH$6,0),5),"")</f>
        <v/>
      </c>
      <c r="BI49" s="1" t="str">
        <f>IFERROR(ROUND(Backend!$AO49*VLOOKUP($F49,'OH,Profit &amp; Other Base'!$A:$V,Backend!BI$6,0),5),"")</f>
        <v/>
      </c>
      <c r="BJ49" s="1" t="str">
        <f>IFERROR(ROUND(Backend!$AM49*VLOOKUP($F49,'OH,Profit &amp; Other Base'!$A:$V,Backend!BJ$6,0),5),"")</f>
        <v/>
      </c>
      <c r="BK49" s="3">
        <f>SUM(AN49:BJ49,Backend!O49)</f>
        <v>0</v>
      </c>
    </row>
    <row r="50" spans="1:63">
      <c r="A50" s="1">
        <f>BOM!A45</f>
        <v>43</v>
      </c>
      <c r="B50" s="1" t="str">
        <f>BOM!B45</f>
        <v>MB512123</v>
      </c>
      <c r="C50" s="1">
        <f>BOM!C45</f>
        <v>0</v>
      </c>
      <c r="D50" s="1">
        <f>BOM!D45</f>
        <v>0</v>
      </c>
      <c r="E50" s="1">
        <f>BOM!F45</f>
        <v>0</v>
      </c>
      <c r="F50" s="1" t="str">
        <f>IF(H50="CSC",BOM!H45,IF(J50="BOFOthers","Sheet Metal-B",""))</f>
        <v/>
      </c>
      <c r="G50" s="1">
        <f>BOM!I45</f>
        <v>0</v>
      </c>
      <c r="H50" s="1">
        <f>BOM!J45</f>
        <v>0</v>
      </c>
      <c r="I50" s="1" t="str">
        <f t="shared" si="0"/>
        <v>Others</v>
      </c>
      <c r="J50" s="1" t="str">
        <f t="shared" si="1"/>
        <v>0Others</v>
      </c>
      <c r="K50" s="3" t="str">
        <f>IF($J50="InhouseCSC",VLOOKUP($D50,Group!$C:$E,3,0),"")</f>
        <v/>
      </c>
      <c r="L50" s="3" t="str">
        <f>IF(OR($J50="BOSFCSC",$J50="BOFCSC"),VLOOKUP($D50,Group!$C:$E,3,0),"")</f>
        <v/>
      </c>
      <c r="M50" s="3" t="str">
        <f>IF(OR($J50="BOSFCSC",$J50="BOFCSC"),VLOOKUP($D50,Group!$C:$F,4,0),"")</f>
        <v/>
      </c>
      <c r="N50" s="3" t="str">
        <f>IF(OR($J50="InhouseCSC",$J50="BOSFCSC"),VLOOKUP($D50,Group!$C:$G,5,0),"")</f>
        <v/>
      </c>
      <c r="O50" s="3" t="str">
        <f>IF($J50="InhouseCSC",ROUND(VLOOKUP($D50,Group!$C:$H,6,0),5),"")</f>
        <v/>
      </c>
      <c r="P50" s="3" t="str">
        <f>IF(OR($J50="BOSFCSC",$J50="BOFCSC"),VLOOKUP($D50,Group!$C:$H,6,0),"")</f>
        <v/>
      </c>
      <c r="Q50" s="1" t="str">
        <f>IF($J50="Inhouseothers",VLOOKUP($D50,Group!$C:$E,3,0),"")</f>
        <v/>
      </c>
      <c r="R50" s="1" t="str">
        <f>IF($J50="BOSFOthers",VLOOKUP($D50,Group!$C:$E,3,0),"")</f>
        <v/>
      </c>
      <c r="S50" s="3" t="str">
        <f>IF($J50="BOFOthers",VLOOKUP($D50,Group!$C:$E,3,0),"")</f>
        <v/>
      </c>
      <c r="U50" s="1" t="str">
        <f>IFERROR(Backend!$L50*VLOOKUP($F50,'OH,Profit &amp; Other Base'!$A:$V,Backend!U$6,0),"")</f>
        <v/>
      </c>
      <c r="V50" s="1" t="str">
        <f>IFERROR(Backend!$M50*VLOOKUP($F50,'OH,Profit &amp; Other Base'!$A:$V,Backend!V$6,0),"")</f>
        <v/>
      </c>
      <c r="W50" s="1" t="str">
        <f>IFERROR(Backend!$L50*VLOOKUP($F50,'OH,Profit &amp; Other Base'!$A:$V,Backend!W$6,0),"")</f>
        <v/>
      </c>
      <c r="X50" s="1" t="str">
        <f>IFERROR(Backend!$M50*VLOOKUP($F50,'OH,Profit &amp; Other Base'!$A:$V,Backend!X$6,0),"")</f>
        <v/>
      </c>
      <c r="Y50" s="1" t="str">
        <f>IFERROR(Backend!$L50*VLOOKUP($F50,'OH,Profit &amp; Other Base'!$A:$V,Backend!Y$6,0),"")</f>
        <v/>
      </c>
      <c r="Z50" s="1" t="str">
        <f>IFERROR(Backend!$M50*VLOOKUP($F50,'OH,Profit &amp; Other Base'!$A:$V,Backend!Z$6,0),"")</f>
        <v/>
      </c>
      <c r="AA50" s="1" t="str">
        <f>IFERROR(Backend!$L50*VLOOKUP($F50,'OH,Profit &amp; Other Base'!$A:$V,Backend!AA$6,0),"")</f>
        <v/>
      </c>
      <c r="AB50" s="1" t="str">
        <f>IFERROR(Backend!$M50*VLOOKUP($F50,'OH,Profit &amp; Other Base'!$A:$V,Backend!AB$6,0),"")</f>
        <v/>
      </c>
      <c r="AC50" s="1" t="str">
        <f>IFERROR(Backend!$L50*VLOOKUP($F50,'OH,Profit &amp; Other Base'!$A:$V,Backend!AC$6,0),"")</f>
        <v/>
      </c>
      <c r="AD50" s="1" t="str">
        <f>IFERROR(Backend!$M50*VLOOKUP($F50,'OH,Profit &amp; Other Base'!$A:$V,Backend!AD$6,0),"")</f>
        <v/>
      </c>
      <c r="AE50" s="1" t="str">
        <f>IFERROR(Backend!$L50*VLOOKUP($F50,'OH,Profit &amp; Other Base'!$A:$V,Backend!AE$6,0),"")</f>
        <v/>
      </c>
      <c r="AF50" s="1" t="str">
        <f>IFERROR(Backend!$M50*VLOOKUP($F50,'OH,Profit &amp; Other Base'!$A:$V,Backend!AF$6,0),"")</f>
        <v/>
      </c>
      <c r="AG50" s="1" t="str">
        <f>IFERROR(Backend!$L50*VLOOKUP($F50,'OH,Profit &amp; Other Base'!$A:$V,Backend!AG$6,0),"")</f>
        <v/>
      </c>
      <c r="AH50" s="1" t="str">
        <f>IFERROR(Backend!$M50*VLOOKUP($F50,'OH,Profit &amp; Other Base'!$A:$V,Backend!AH$6,0),"")</f>
        <v/>
      </c>
      <c r="AI50" s="3">
        <f t="shared" si="2"/>
        <v>0</v>
      </c>
      <c r="AL50" s="1" t="str">
        <f t="shared" si="3"/>
        <v/>
      </c>
      <c r="AM50" s="1" t="str">
        <f t="shared" si="4"/>
        <v/>
      </c>
      <c r="AN50" s="1" t="str">
        <f t="shared" si="5"/>
        <v/>
      </c>
      <c r="AO50" s="1" t="str">
        <f t="shared" si="6"/>
        <v/>
      </c>
      <c r="AP50" s="1" t="str">
        <f>IFERROR(ROUND(Backend!$AL50*VLOOKUP($F50,'OH,Profit &amp; Other Base'!$A:$V,Backend!AP$6,0),5),"")</f>
        <v/>
      </c>
      <c r="AQ50" s="1" t="str">
        <f>IFERROR(ROUND(Backend!$AO50*VLOOKUP($F50,'OH,Profit &amp; Other Base'!$A:$V,Backend!AQ$6,0),5),"")</f>
        <v/>
      </c>
      <c r="AR50" s="1" t="str">
        <f>IFERROR(ROUND(Backend!$AM50*VLOOKUP($F50,'OH,Profit &amp; Other Base'!$A:$V,Backend!AR$6,0),5),"")</f>
        <v/>
      </c>
      <c r="AS50" s="1" t="str">
        <f>IFERROR(ROUND(Backend!$AL50*VLOOKUP($F50,'OH,Profit &amp; Other Base'!$A:$V,Backend!AS$6,0),5),"")</f>
        <v/>
      </c>
      <c r="AT50" s="1" t="str">
        <f>IFERROR(ROUND(Backend!$AO50*VLOOKUP($F50,'OH,Profit &amp; Other Base'!$A:$V,Backend!AT$6,0),5),"")</f>
        <v/>
      </c>
      <c r="AU50" s="1" t="str">
        <f>IFERROR(ROUND(Backend!$AM50*VLOOKUP($F50,'OH,Profit &amp; Other Base'!$A:$V,Backend!AU$6,0),5),"")</f>
        <v/>
      </c>
      <c r="AV50" s="1" t="str">
        <f>IFERROR(ROUND(Backend!$AL50*VLOOKUP($F50,'OH,Profit &amp; Other Base'!$A:$V,Backend!AV$6,0),5),"")</f>
        <v/>
      </c>
      <c r="AW50" s="1" t="str">
        <f>IFERROR(ROUND(Backend!$AO50*VLOOKUP($F50,'OH,Profit &amp; Other Base'!$A:$V,Backend!AW$6,0),5),"")</f>
        <v/>
      </c>
      <c r="AX50" s="1" t="str">
        <f>IFERROR(ROUND(Backend!$AM50*VLOOKUP($F50,'OH,Profit &amp; Other Base'!$A:$V,Backend!AX$6,0),5),"")</f>
        <v/>
      </c>
      <c r="AY50" s="1" t="str">
        <f>IFERROR(ROUND(Backend!$AL50*VLOOKUP($F50,'OH,Profit &amp; Other Base'!$A:$V,Backend!AY$6,0),5),"")</f>
        <v/>
      </c>
      <c r="AZ50" s="1" t="str">
        <f>IFERROR(ROUND(Backend!$AO50*VLOOKUP($F50,'OH,Profit &amp; Other Base'!$A:$V,Backend!AZ$6,0),5),"")</f>
        <v/>
      </c>
      <c r="BA50" s="1" t="str">
        <f>IFERROR(ROUND(Backend!$AM50*VLOOKUP($F50,'OH,Profit &amp; Other Base'!$A:$V,Backend!BA$6,0),5),"")</f>
        <v/>
      </c>
      <c r="BB50" s="1" t="str">
        <f>IFERROR(ROUND(Backend!$AL50*VLOOKUP($F50,'OH,Profit &amp; Other Base'!$A:$V,Backend!BB$6,0),5),"")</f>
        <v/>
      </c>
      <c r="BC50" s="1" t="str">
        <f>IFERROR(ROUND(Backend!$AO50*VLOOKUP($F50,'OH,Profit &amp; Other Base'!$A:$V,Backend!BC$6,0),5),"")</f>
        <v/>
      </c>
      <c r="BD50" s="1" t="str">
        <f>IFERROR(ROUND(Backend!$AM50*VLOOKUP($F50,'OH,Profit &amp; Other Base'!$A:$V,Backend!BD$6,0),5),"")</f>
        <v/>
      </c>
      <c r="BE50" s="1" t="str">
        <f>IFERROR(ROUND(Backend!$AL50*VLOOKUP($F50,'OH,Profit &amp; Other Base'!$A:$V,Backend!BE$6,0),5),"")</f>
        <v/>
      </c>
      <c r="BF50" s="1" t="str">
        <f>IFERROR(ROUND(Backend!$AO50*VLOOKUP($F50,'OH,Profit &amp; Other Base'!$A:$V,Backend!BF$6,0),5),"")</f>
        <v/>
      </c>
      <c r="BG50" s="1" t="str">
        <f>IFERROR(ROUND(Backend!$AM50*VLOOKUP($F50,'OH,Profit &amp; Other Base'!$A:$V,Backend!BG$6,0),5),"")</f>
        <v/>
      </c>
      <c r="BH50" s="1" t="str">
        <f>IFERROR(ROUND(Backend!$AL50*VLOOKUP($F50,'OH,Profit &amp; Other Base'!$A:$V,Backend!BH$6,0),5),"")</f>
        <v/>
      </c>
      <c r="BI50" s="1" t="str">
        <f>IFERROR(ROUND(Backend!$AO50*VLOOKUP($F50,'OH,Profit &amp; Other Base'!$A:$V,Backend!BI$6,0),5),"")</f>
        <v/>
      </c>
      <c r="BJ50" s="1" t="str">
        <f>IFERROR(ROUND(Backend!$AM50*VLOOKUP($F50,'OH,Profit &amp; Other Base'!$A:$V,Backend!BJ$6,0),5),"")</f>
        <v/>
      </c>
      <c r="BK50" s="3">
        <f>SUM(AN50:BJ50,Backend!O50)</f>
        <v>0</v>
      </c>
    </row>
    <row r="51" spans="1:63">
      <c r="A51" s="1">
        <f>BOM!A46</f>
        <v>44</v>
      </c>
      <c r="B51" s="1" t="str">
        <f>BOM!B46</f>
        <v>MB512123</v>
      </c>
      <c r="C51" s="1">
        <f>BOM!C46</f>
        <v>0</v>
      </c>
      <c r="D51" s="1">
        <f>BOM!D46</f>
        <v>0</v>
      </c>
      <c r="E51" s="1">
        <f>BOM!F46</f>
        <v>0</v>
      </c>
      <c r="F51" s="1" t="str">
        <f>IF(H51="CSC",BOM!H46,IF(J51="BOFOthers","Sheet Metal-B",""))</f>
        <v/>
      </c>
      <c r="G51" s="1">
        <f>BOM!I46</f>
        <v>0</v>
      </c>
      <c r="H51" s="1">
        <f>BOM!J46</f>
        <v>0</v>
      </c>
      <c r="I51" s="1" t="str">
        <f t="shared" si="0"/>
        <v>Others</v>
      </c>
      <c r="J51" s="1" t="str">
        <f t="shared" si="1"/>
        <v>0Others</v>
      </c>
      <c r="K51" s="3" t="str">
        <f>IF($J51="InhouseCSC",VLOOKUP($D51,Group!$C:$E,3,0),"")</f>
        <v/>
      </c>
      <c r="L51" s="3" t="str">
        <f>IF(OR($J51="BOSFCSC",$J51="BOFCSC"),VLOOKUP($D51,Group!$C:$E,3,0),"")</f>
        <v/>
      </c>
      <c r="M51" s="3" t="str">
        <f>IF(OR($J51="BOSFCSC",$J51="BOFCSC"),VLOOKUP($D51,Group!$C:$F,4,0),"")</f>
        <v/>
      </c>
      <c r="N51" s="3" t="str">
        <f>IF(OR($J51="InhouseCSC",$J51="BOSFCSC"),VLOOKUP($D51,Group!$C:$G,5,0),"")</f>
        <v/>
      </c>
      <c r="O51" s="3" t="str">
        <f>IF($J51="InhouseCSC",ROUND(VLOOKUP($D51,Group!$C:$H,6,0),5),"")</f>
        <v/>
      </c>
      <c r="P51" s="3" t="str">
        <f>IF(OR($J51="BOSFCSC",$J51="BOFCSC"),VLOOKUP($D51,Group!$C:$H,6,0),"")</f>
        <v/>
      </c>
      <c r="Q51" s="1" t="str">
        <f>IF($J51="Inhouseothers",VLOOKUP($D51,Group!$C:$E,3,0),"")</f>
        <v/>
      </c>
      <c r="R51" s="1" t="str">
        <f>IF($J51="BOSFOthers",VLOOKUP($D51,Group!$C:$E,3,0),"")</f>
        <v/>
      </c>
      <c r="S51" s="3" t="str">
        <f>IF($J51="BOFOthers",VLOOKUP($D51,Group!$C:$E,3,0),"")</f>
        <v/>
      </c>
      <c r="U51" s="1" t="str">
        <f>IFERROR(Backend!$L51*VLOOKUP($F51,'OH,Profit &amp; Other Base'!$A:$V,Backend!U$6,0),"")</f>
        <v/>
      </c>
      <c r="V51" s="1" t="str">
        <f>IFERROR(Backend!$M51*VLOOKUP($F51,'OH,Profit &amp; Other Base'!$A:$V,Backend!V$6,0),"")</f>
        <v/>
      </c>
      <c r="W51" s="1" t="str">
        <f>IFERROR(Backend!$L51*VLOOKUP($F51,'OH,Profit &amp; Other Base'!$A:$V,Backend!W$6,0),"")</f>
        <v/>
      </c>
      <c r="X51" s="1" t="str">
        <f>IFERROR(Backend!$M51*VLOOKUP($F51,'OH,Profit &amp; Other Base'!$A:$V,Backend!X$6,0),"")</f>
        <v/>
      </c>
      <c r="Y51" s="1" t="str">
        <f>IFERROR(Backend!$L51*VLOOKUP($F51,'OH,Profit &amp; Other Base'!$A:$V,Backend!Y$6,0),"")</f>
        <v/>
      </c>
      <c r="Z51" s="1" t="str">
        <f>IFERROR(Backend!$M51*VLOOKUP($F51,'OH,Profit &amp; Other Base'!$A:$V,Backend!Z$6,0),"")</f>
        <v/>
      </c>
      <c r="AA51" s="1" t="str">
        <f>IFERROR(Backend!$L51*VLOOKUP($F51,'OH,Profit &amp; Other Base'!$A:$V,Backend!AA$6,0),"")</f>
        <v/>
      </c>
      <c r="AB51" s="1" t="str">
        <f>IFERROR(Backend!$M51*VLOOKUP($F51,'OH,Profit &amp; Other Base'!$A:$V,Backend!AB$6,0),"")</f>
        <v/>
      </c>
      <c r="AC51" s="1" t="str">
        <f>IFERROR(Backend!$L51*VLOOKUP($F51,'OH,Profit &amp; Other Base'!$A:$V,Backend!AC$6,0),"")</f>
        <v/>
      </c>
      <c r="AD51" s="1" t="str">
        <f>IFERROR(Backend!$M51*VLOOKUP($F51,'OH,Profit &amp; Other Base'!$A:$V,Backend!AD$6,0),"")</f>
        <v/>
      </c>
      <c r="AE51" s="1" t="str">
        <f>IFERROR(Backend!$L51*VLOOKUP($F51,'OH,Profit &amp; Other Base'!$A:$V,Backend!AE$6,0),"")</f>
        <v/>
      </c>
      <c r="AF51" s="1" t="str">
        <f>IFERROR(Backend!$M51*VLOOKUP($F51,'OH,Profit &amp; Other Base'!$A:$V,Backend!AF$6,0),"")</f>
        <v/>
      </c>
      <c r="AG51" s="1" t="str">
        <f>IFERROR(Backend!$L51*VLOOKUP($F51,'OH,Profit &amp; Other Base'!$A:$V,Backend!AG$6,0),"")</f>
        <v/>
      </c>
      <c r="AH51" s="1" t="str">
        <f>IFERROR(Backend!$M51*VLOOKUP($F51,'OH,Profit &amp; Other Base'!$A:$V,Backend!AH$6,0),"")</f>
        <v/>
      </c>
      <c r="AI51" s="3">
        <f t="shared" si="2"/>
        <v>0</v>
      </c>
      <c r="AL51" s="1" t="str">
        <f t="shared" si="3"/>
        <v/>
      </c>
      <c r="AM51" s="1" t="str">
        <f t="shared" si="4"/>
        <v/>
      </c>
      <c r="AN51" s="1" t="str">
        <f t="shared" si="5"/>
        <v/>
      </c>
      <c r="AO51" s="1" t="str">
        <f t="shared" si="6"/>
        <v/>
      </c>
      <c r="AP51" s="1" t="str">
        <f>IFERROR(ROUND(Backend!$AL51*VLOOKUP($F51,'OH,Profit &amp; Other Base'!$A:$V,Backend!AP$6,0),5),"")</f>
        <v/>
      </c>
      <c r="AQ51" s="1" t="str">
        <f>IFERROR(ROUND(Backend!$AO51*VLOOKUP($F51,'OH,Profit &amp; Other Base'!$A:$V,Backend!AQ$6,0),5),"")</f>
        <v/>
      </c>
      <c r="AR51" s="1" t="str">
        <f>IFERROR(ROUND(Backend!$AM51*VLOOKUP($F51,'OH,Profit &amp; Other Base'!$A:$V,Backend!AR$6,0),5),"")</f>
        <v/>
      </c>
      <c r="AS51" s="1" t="str">
        <f>IFERROR(ROUND(Backend!$AL51*VLOOKUP($F51,'OH,Profit &amp; Other Base'!$A:$V,Backend!AS$6,0),5),"")</f>
        <v/>
      </c>
      <c r="AT51" s="1" t="str">
        <f>IFERROR(ROUND(Backend!$AO51*VLOOKUP($F51,'OH,Profit &amp; Other Base'!$A:$V,Backend!AT$6,0),5),"")</f>
        <v/>
      </c>
      <c r="AU51" s="1" t="str">
        <f>IFERROR(ROUND(Backend!$AM51*VLOOKUP($F51,'OH,Profit &amp; Other Base'!$A:$V,Backend!AU$6,0),5),"")</f>
        <v/>
      </c>
      <c r="AV51" s="1" t="str">
        <f>IFERROR(ROUND(Backend!$AL51*VLOOKUP($F51,'OH,Profit &amp; Other Base'!$A:$V,Backend!AV$6,0),5),"")</f>
        <v/>
      </c>
      <c r="AW51" s="1" t="str">
        <f>IFERROR(ROUND(Backend!$AO51*VLOOKUP($F51,'OH,Profit &amp; Other Base'!$A:$V,Backend!AW$6,0),5),"")</f>
        <v/>
      </c>
      <c r="AX51" s="1" t="str">
        <f>IFERROR(ROUND(Backend!$AM51*VLOOKUP($F51,'OH,Profit &amp; Other Base'!$A:$V,Backend!AX$6,0),5),"")</f>
        <v/>
      </c>
      <c r="AY51" s="1" t="str">
        <f>IFERROR(ROUND(Backend!$AL51*VLOOKUP($F51,'OH,Profit &amp; Other Base'!$A:$V,Backend!AY$6,0),5),"")</f>
        <v/>
      </c>
      <c r="AZ51" s="1" t="str">
        <f>IFERROR(ROUND(Backend!$AO51*VLOOKUP($F51,'OH,Profit &amp; Other Base'!$A:$V,Backend!AZ$6,0),5),"")</f>
        <v/>
      </c>
      <c r="BA51" s="1" t="str">
        <f>IFERROR(ROUND(Backend!$AM51*VLOOKUP($F51,'OH,Profit &amp; Other Base'!$A:$V,Backend!BA$6,0),5),"")</f>
        <v/>
      </c>
      <c r="BB51" s="1" t="str">
        <f>IFERROR(ROUND(Backend!$AL51*VLOOKUP($F51,'OH,Profit &amp; Other Base'!$A:$V,Backend!BB$6,0),5),"")</f>
        <v/>
      </c>
      <c r="BC51" s="1" t="str">
        <f>IFERROR(ROUND(Backend!$AO51*VLOOKUP($F51,'OH,Profit &amp; Other Base'!$A:$V,Backend!BC$6,0),5),"")</f>
        <v/>
      </c>
      <c r="BD51" s="1" t="str">
        <f>IFERROR(ROUND(Backend!$AM51*VLOOKUP($F51,'OH,Profit &amp; Other Base'!$A:$V,Backend!BD$6,0),5),"")</f>
        <v/>
      </c>
      <c r="BE51" s="1" t="str">
        <f>IFERROR(ROUND(Backend!$AL51*VLOOKUP($F51,'OH,Profit &amp; Other Base'!$A:$V,Backend!BE$6,0),5),"")</f>
        <v/>
      </c>
      <c r="BF51" s="1" t="str">
        <f>IFERROR(ROUND(Backend!$AO51*VLOOKUP($F51,'OH,Profit &amp; Other Base'!$A:$V,Backend!BF$6,0),5),"")</f>
        <v/>
      </c>
      <c r="BG51" s="1" t="str">
        <f>IFERROR(ROUND(Backend!$AM51*VLOOKUP($F51,'OH,Profit &amp; Other Base'!$A:$V,Backend!BG$6,0),5),"")</f>
        <v/>
      </c>
      <c r="BH51" s="1" t="str">
        <f>IFERROR(ROUND(Backend!$AL51*VLOOKUP($F51,'OH,Profit &amp; Other Base'!$A:$V,Backend!BH$6,0),5),"")</f>
        <v/>
      </c>
      <c r="BI51" s="1" t="str">
        <f>IFERROR(ROUND(Backend!$AO51*VLOOKUP($F51,'OH,Profit &amp; Other Base'!$A:$V,Backend!BI$6,0),5),"")</f>
        <v/>
      </c>
      <c r="BJ51" s="1" t="str">
        <f>IFERROR(ROUND(Backend!$AM51*VLOOKUP($F51,'OH,Profit &amp; Other Base'!$A:$V,Backend!BJ$6,0),5),"")</f>
        <v/>
      </c>
      <c r="BK51" s="3">
        <f>SUM(AN51:BJ51,Backend!O51)</f>
        <v>0</v>
      </c>
    </row>
    <row r="52" spans="1:63">
      <c r="A52" s="1">
        <f>BOM!A47</f>
        <v>45</v>
      </c>
      <c r="B52" s="1" t="str">
        <f>BOM!B47</f>
        <v>MB512123</v>
      </c>
      <c r="C52" s="1">
        <f>BOM!C47</f>
        <v>0</v>
      </c>
      <c r="D52" s="1">
        <f>BOM!D47</f>
        <v>0</v>
      </c>
      <c r="E52" s="1">
        <f>BOM!F47</f>
        <v>0</v>
      </c>
      <c r="F52" s="1" t="str">
        <f>IF(H52="CSC",BOM!H47,IF(J52="BOFOthers","Sheet Metal-B",""))</f>
        <v/>
      </c>
      <c r="G52" s="1">
        <f>BOM!I47</f>
        <v>0</v>
      </c>
      <c r="H52" s="1">
        <f>BOM!J47</f>
        <v>0</v>
      </c>
      <c r="I52" s="1" t="str">
        <f t="shared" si="0"/>
        <v>Others</v>
      </c>
      <c r="J52" s="1" t="str">
        <f t="shared" si="1"/>
        <v>0Others</v>
      </c>
      <c r="K52" s="3" t="str">
        <f>IF($J52="InhouseCSC",VLOOKUP($D52,Group!$C:$E,3,0),"")</f>
        <v/>
      </c>
      <c r="L52" s="3" t="str">
        <f>IF(OR($J52="BOSFCSC",$J52="BOFCSC"),VLOOKUP($D52,Group!$C:$E,3,0),"")</f>
        <v/>
      </c>
      <c r="M52" s="3" t="str">
        <f>IF(OR($J52="BOSFCSC",$J52="BOFCSC"),VLOOKUP($D52,Group!$C:$F,4,0),"")</f>
        <v/>
      </c>
      <c r="N52" s="3" t="str">
        <f>IF(OR($J52="InhouseCSC",$J52="BOSFCSC"),VLOOKUP($D52,Group!$C:$G,5,0),"")</f>
        <v/>
      </c>
      <c r="O52" s="3" t="str">
        <f>IF($J52="InhouseCSC",ROUND(VLOOKUP($D52,Group!$C:$H,6,0),5),"")</f>
        <v/>
      </c>
      <c r="P52" s="3" t="str">
        <f>IF(OR($J52="BOSFCSC",$J52="BOFCSC"),VLOOKUP($D52,Group!$C:$H,6,0),"")</f>
        <v/>
      </c>
      <c r="Q52" s="1" t="str">
        <f>IF($J52="Inhouseothers",VLOOKUP($D52,Group!$C:$E,3,0),"")</f>
        <v/>
      </c>
      <c r="R52" s="1" t="str">
        <f>IF($J52="BOSFOthers",VLOOKUP($D52,Group!$C:$E,3,0),"")</f>
        <v/>
      </c>
      <c r="S52" s="3" t="str">
        <f>IF($J52="BOFOthers",VLOOKUP($D52,Group!$C:$E,3,0),"")</f>
        <v/>
      </c>
      <c r="U52" s="1" t="str">
        <f>IFERROR(Backend!$L52*VLOOKUP($F52,'OH,Profit &amp; Other Base'!$A:$V,Backend!U$6,0),"")</f>
        <v/>
      </c>
      <c r="V52" s="1" t="str">
        <f>IFERROR(Backend!$M52*VLOOKUP($F52,'OH,Profit &amp; Other Base'!$A:$V,Backend!V$6,0),"")</f>
        <v/>
      </c>
      <c r="W52" s="1" t="str">
        <f>IFERROR(Backend!$L52*VLOOKUP($F52,'OH,Profit &amp; Other Base'!$A:$V,Backend!W$6,0),"")</f>
        <v/>
      </c>
      <c r="X52" s="1" t="str">
        <f>IFERROR(Backend!$M52*VLOOKUP($F52,'OH,Profit &amp; Other Base'!$A:$V,Backend!X$6,0),"")</f>
        <v/>
      </c>
      <c r="Y52" s="1" t="str">
        <f>IFERROR(Backend!$L52*VLOOKUP($F52,'OH,Profit &amp; Other Base'!$A:$V,Backend!Y$6,0),"")</f>
        <v/>
      </c>
      <c r="Z52" s="1" t="str">
        <f>IFERROR(Backend!$M52*VLOOKUP($F52,'OH,Profit &amp; Other Base'!$A:$V,Backend!Z$6,0),"")</f>
        <v/>
      </c>
      <c r="AA52" s="1" t="str">
        <f>IFERROR(Backend!$L52*VLOOKUP($F52,'OH,Profit &amp; Other Base'!$A:$V,Backend!AA$6,0),"")</f>
        <v/>
      </c>
      <c r="AB52" s="1" t="str">
        <f>IFERROR(Backend!$M52*VLOOKUP($F52,'OH,Profit &amp; Other Base'!$A:$V,Backend!AB$6,0),"")</f>
        <v/>
      </c>
      <c r="AC52" s="1" t="str">
        <f>IFERROR(Backend!$L52*VLOOKUP($F52,'OH,Profit &amp; Other Base'!$A:$V,Backend!AC$6,0),"")</f>
        <v/>
      </c>
      <c r="AD52" s="1" t="str">
        <f>IFERROR(Backend!$M52*VLOOKUP($F52,'OH,Profit &amp; Other Base'!$A:$V,Backend!AD$6,0),"")</f>
        <v/>
      </c>
      <c r="AE52" s="1" t="str">
        <f>IFERROR(Backend!$L52*VLOOKUP($F52,'OH,Profit &amp; Other Base'!$A:$V,Backend!AE$6,0),"")</f>
        <v/>
      </c>
      <c r="AF52" s="1" t="str">
        <f>IFERROR(Backend!$M52*VLOOKUP($F52,'OH,Profit &amp; Other Base'!$A:$V,Backend!AF$6,0),"")</f>
        <v/>
      </c>
      <c r="AG52" s="1" t="str">
        <f>IFERROR(Backend!$L52*VLOOKUP($F52,'OH,Profit &amp; Other Base'!$A:$V,Backend!AG$6,0),"")</f>
        <v/>
      </c>
      <c r="AH52" s="1" t="str">
        <f>IFERROR(Backend!$M52*VLOOKUP($F52,'OH,Profit &amp; Other Base'!$A:$V,Backend!AH$6,0),"")</f>
        <v/>
      </c>
      <c r="AI52" s="3">
        <f t="shared" si="2"/>
        <v>0</v>
      </c>
      <c r="AL52" s="1" t="str">
        <f t="shared" si="3"/>
        <v/>
      </c>
      <c r="AM52" s="1" t="str">
        <f t="shared" si="4"/>
        <v/>
      </c>
      <c r="AN52" s="1" t="str">
        <f t="shared" si="5"/>
        <v/>
      </c>
      <c r="AO52" s="1" t="str">
        <f t="shared" si="6"/>
        <v/>
      </c>
      <c r="AP52" s="1" t="str">
        <f>IFERROR(ROUND(Backend!$AL52*VLOOKUP($F52,'OH,Profit &amp; Other Base'!$A:$V,Backend!AP$6,0),5),"")</f>
        <v/>
      </c>
      <c r="AQ52" s="1" t="str">
        <f>IFERROR(ROUND(Backend!$AO52*VLOOKUP($F52,'OH,Profit &amp; Other Base'!$A:$V,Backend!AQ$6,0),5),"")</f>
        <v/>
      </c>
      <c r="AR52" s="1" t="str">
        <f>IFERROR(ROUND(Backend!$AM52*VLOOKUP($F52,'OH,Profit &amp; Other Base'!$A:$V,Backend!AR$6,0),5),"")</f>
        <v/>
      </c>
      <c r="AS52" s="1" t="str">
        <f>IFERROR(ROUND(Backend!$AL52*VLOOKUP($F52,'OH,Profit &amp; Other Base'!$A:$V,Backend!AS$6,0),5),"")</f>
        <v/>
      </c>
      <c r="AT52" s="1" t="str">
        <f>IFERROR(ROUND(Backend!$AO52*VLOOKUP($F52,'OH,Profit &amp; Other Base'!$A:$V,Backend!AT$6,0),5),"")</f>
        <v/>
      </c>
      <c r="AU52" s="1" t="str">
        <f>IFERROR(ROUND(Backend!$AM52*VLOOKUP($F52,'OH,Profit &amp; Other Base'!$A:$V,Backend!AU$6,0),5),"")</f>
        <v/>
      </c>
      <c r="AV52" s="1" t="str">
        <f>IFERROR(ROUND(Backend!$AL52*VLOOKUP($F52,'OH,Profit &amp; Other Base'!$A:$V,Backend!AV$6,0),5),"")</f>
        <v/>
      </c>
      <c r="AW52" s="1" t="str">
        <f>IFERROR(ROUND(Backend!$AO52*VLOOKUP($F52,'OH,Profit &amp; Other Base'!$A:$V,Backend!AW$6,0),5),"")</f>
        <v/>
      </c>
      <c r="AX52" s="1" t="str">
        <f>IFERROR(ROUND(Backend!$AM52*VLOOKUP($F52,'OH,Profit &amp; Other Base'!$A:$V,Backend!AX$6,0),5),"")</f>
        <v/>
      </c>
      <c r="AY52" s="1" t="str">
        <f>IFERROR(ROUND(Backend!$AL52*VLOOKUP($F52,'OH,Profit &amp; Other Base'!$A:$V,Backend!AY$6,0),5),"")</f>
        <v/>
      </c>
      <c r="AZ52" s="1" t="str">
        <f>IFERROR(ROUND(Backend!$AO52*VLOOKUP($F52,'OH,Profit &amp; Other Base'!$A:$V,Backend!AZ$6,0),5),"")</f>
        <v/>
      </c>
      <c r="BA52" s="1" t="str">
        <f>IFERROR(ROUND(Backend!$AM52*VLOOKUP($F52,'OH,Profit &amp; Other Base'!$A:$V,Backend!BA$6,0),5),"")</f>
        <v/>
      </c>
      <c r="BB52" s="1" t="str">
        <f>IFERROR(ROUND(Backend!$AL52*VLOOKUP($F52,'OH,Profit &amp; Other Base'!$A:$V,Backend!BB$6,0),5),"")</f>
        <v/>
      </c>
      <c r="BC52" s="1" t="str">
        <f>IFERROR(ROUND(Backend!$AO52*VLOOKUP($F52,'OH,Profit &amp; Other Base'!$A:$V,Backend!BC$6,0),5),"")</f>
        <v/>
      </c>
      <c r="BD52" s="1" t="str">
        <f>IFERROR(ROUND(Backend!$AM52*VLOOKUP($F52,'OH,Profit &amp; Other Base'!$A:$V,Backend!BD$6,0),5),"")</f>
        <v/>
      </c>
      <c r="BE52" s="1" t="str">
        <f>IFERROR(ROUND(Backend!$AL52*VLOOKUP($F52,'OH,Profit &amp; Other Base'!$A:$V,Backend!BE$6,0),5),"")</f>
        <v/>
      </c>
      <c r="BF52" s="1" t="str">
        <f>IFERROR(ROUND(Backend!$AO52*VLOOKUP($F52,'OH,Profit &amp; Other Base'!$A:$V,Backend!BF$6,0),5),"")</f>
        <v/>
      </c>
      <c r="BG52" s="1" t="str">
        <f>IFERROR(ROUND(Backend!$AM52*VLOOKUP($F52,'OH,Profit &amp; Other Base'!$A:$V,Backend!BG$6,0),5),"")</f>
        <v/>
      </c>
      <c r="BH52" s="1" t="str">
        <f>IFERROR(ROUND(Backend!$AL52*VLOOKUP($F52,'OH,Profit &amp; Other Base'!$A:$V,Backend!BH$6,0),5),"")</f>
        <v/>
      </c>
      <c r="BI52" s="1" t="str">
        <f>IFERROR(ROUND(Backend!$AO52*VLOOKUP($F52,'OH,Profit &amp; Other Base'!$A:$V,Backend!BI$6,0),5),"")</f>
        <v/>
      </c>
      <c r="BJ52" s="1" t="str">
        <f>IFERROR(ROUND(Backend!$AM52*VLOOKUP($F52,'OH,Profit &amp; Other Base'!$A:$V,Backend!BJ$6,0),5),"")</f>
        <v/>
      </c>
      <c r="BK52" s="3">
        <f>SUM(AN52:BJ52,Backend!O52)</f>
        <v>0</v>
      </c>
    </row>
    <row r="53" spans="1:63">
      <c r="A53" s="1">
        <f>BOM!A48</f>
        <v>46</v>
      </c>
      <c r="B53" s="1" t="str">
        <f>BOM!B48</f>
        <v>MB512123</v>
      </c>
      <c r="C53" s="1">
        <f>BOM!C48</f>
        <v>0</v>
      </c>
      <c r="D53" s="1">
        <f>BOM!D48</f>
        <v>0</v>
      </c>
      <c r="E53" s="1">
        <f>BOM!F48</f>
        <v>0</v>
      </c>
      <c r="F53" s="1" t="str">
        <f>IF(H53="CSC",BOM!H48,IF(J53="BOFOthers","Sheet Metal-B",""))</f>
        <v/>
      </c>
      <c r="G53" s="1">
        <f>BOM!I48</f>
        <v>0</v>
      </c>
      <c r="H53" s="1">
        <f>BOM!J48</f>
        <v>0</v>
      </c>
      <c r="I53" s="1" t="str">
        <f t="shared" si="0"/>
        <v>Others</v>
      </c>
      <c r="J53" s="1" t="str">
        <f t="shared" si="1"/>
        <v>0Others</v>
      </c>
      <c r="K53" s="3" t="str">
        <f>IF($J53="InhouseCSC",VLOOKUP($D53,Group!$C:$E,3,0),"")</f>
        <v/>
      </c>
      <c r="L53" s="3" t="str">
        <f>IF(OR($J53="BOSFCSC",$J53="BOFCSC"),VLOOKUP($D53,Group!$C:$E,3,0),"")</f>
        <v/>
      </c>
      <c r="M53" s="3" t="str">
        <f>IF(OR($J53="BOSFCSC",$J53="BOFCSC"),VLOOKUP($D53,Group!$C:$F,4,0),"")</f>
        <v/>
      </c>
      <c r="N53" s="3" t="str">
        <f>IF(OR($J53="InhouseCSC",$J53="BOSFCSC"),VLOOKUP($D53,Group!$C:$G,5,0),"")</f>
        <v/>
      </c>
      <c r="O53" s="3" t="str">
        <f>IF($J53="InhouseCSC",ROUND(VLOOKUP($D53,Group!$C:$H,6,0),5),"")</f>
        <v/>
      </c>
      <c r="P53" s="3" t="str">
        <f>IF(OR($J53="BOSFCSC",$J53="BOFCSC"),VLOOKUP($D53,Group!$C:$H,6,0),"")</f>
        <v/>
      </c>
      <c r="Q53" s="1" t="str">
        <f>IF($J53="Inhouseothers",VLOOKUP($D53,Group!$C:$E,3,0),"")</f>
        <v/>
      </c>
      <c r="R53" s="1" t="str">
        <f>IF($J53="BOSFOthers",VLOOKUP($D53,Group!$C:$E,3,0),"")</f>
        <v/>
      </c>
      <c r="S53" s="3" t="str">
        <f>IF($J53="BOFOthers",VLOOKUP($D53,Group!$C:$E,3,0),"")</f>
        <v/>
      </c>
      <c r="U53" s="1" t="str">
        <f>IFERROR(Backend!$L53*VLOOKUP($F53,'OH,Profit &amp; Other Base'!$A:$V,Backend!U$6,0),"")</f>
        <v/>
      </c>
      <c r="V53" s="1" t="str">
        <f>IFERROR(Backend!$M53*VLOOKUP($F53,'OH,Profit &amp; Other Base'!$A:$V,Backend!V$6,0),"")</f>
        <v/>
      </c>
      <c r="W53" s="1" t="str">
        <f>IFERROR(Backend!$L53*VLOOKUP($F53,'OH,Profit &amp; Other Base'!$A:$V,Backend!W$6,0),"")</f>
        <v/>
      </c>
      <c r="X53" s="1" t="str">
        <f>IFERROR(Backend!$M53*VLOOKUP($F53,'OH,Profit &amp; Other Base'!$A:$V,Backend!X$6,0),"")</f>
        <v/>
      </c>
      <c r="Y53" s="1" t="str">
        <f>IFERROR(Backend!$L53*VLOOKUP($F53,'OH,Profit &amp; Other Base'!$A:$V,Backend!Y$6,0),"")</f>
        <v/>
      </c>
      <c r="Z53" s="1" t="str">
        <f>IFERROR(Backend!$M53*VLOOKUP($F53,'OH,Profit &amp; Other Base'!$A:$V,Backend!Z$6,0),"")</f>
        <v/>
      </c>
      <c r="AA53" s="1" t="str">
        <f>IFERROR(Backend!$L53*VLOOKUP($F53,'OH,Profit &amp; Other Base'!$A:$V,Backend!AA$6,0),"")</f>
        <v/>
      </c>
      <c r="AB53" s="1" t="str">
        <f>IFERROR(Backend!$M53*VLOOKUP($F53,'OH,Profit &amp; Other Base'!$A:$V,Backend!AB$6,0),"")</f>
        <v/>
      </c>
      <c r="AC53" s="1" t="str">
        <f>IFERROR(Backend!$L53*VLOOKUP($F53,'OH,Profit &amp; Other Base'!$A:$V,Backend!AC$6,0),"")</f>
        <v/>
      </c>
      <c r="AD53" s="1" t="str">
        <f>IFERROR(Backend!$M53*VLOOKUP($F53,'OH,Profit &amp; Other Base'!$A:$V,Backend!AD$6,0),"")</f>
        <v/>
      </c>
      <c r="AE53" s="1" t="str">
        <f>IFERROR(Backend!$L53*VLOOKUP($F53,'OH,Profit &amp; Other Base'!$A:$V,Backend!AE$6,0),"")</f>
        <v/>
      </c>
      <c r="AF53" s="1" t="str">
        <f>IFERROR(Backend!$M53*VLOOKUP($F53,'OH,Profit &amp; Other Base'!$A:$V,Backend!AF$6,0),"")</f>
        <v/>
      </c>
      <c r="AG53" s="1" t="str">
        <f>IFERROR(Backend!$L53*VLOOKUP($F53,'OH,Profit &amp; Other Base'!$A:$V,Backend!AG$6,0),"")</f>
        <v/>
      </c>
      <c r="AH53" s="1" t="str">
        <f>IFERROR(Backend!$M53*VLOOKUP($F53,'OH,Profit &amp; Other Base'!$A:$V,Backend!AH$6,0),"")</f>
        <v/>
      </c>
      <c r="AI53" s="3">
        <f t="shared" si="2"/>
        <v>0</v>
      </c>
      <c r="AL53" s="1" t="str">
        <f t="shared" si="3"/>
        <v/>
      </c>
      <c r="AM53" s="1" t="str">
        <f t="shared" si="4"/>
        <v/>
      </c>
      <c r="AN53" s="1" t="str">
        <f t="shared" si="5"/>
        <v/>
      </c>
      <c r="AO53" s="1" t="str">
        <f t="shared" si="6"/>
        <v/>
      </c>
      <c r="AP53" s="1" t="str">
        <f>IFERROR(ROUND(Backend!$AL53*VLOOKUP($F53,'OH,Profit &amp; Other Base'!$A:$V,Backend!AP$6,0),5),"")</f>
        <v/>
      </c>
      <c r="AQ53" s="1" t="str">
        <f>IFERROR(ROUND(Backend!$AO53*VLOOKUP($F53,'OH,Profit &amp; Other Base'!$A:$V,Backend!AQ$6,0),5),"")</f>
        <v/>
      </c>
      <c r="AR53" s="1" t="str">
        <f>IFERROR(ROUND(Backend!$AM53*VLOOKUP($F53,'OH,Profit &amp; Other Base'!$A:$V,Backend!AR$6,0),5),"")</f>
        <v/>
      </c>
      <c r="AS53" s="1" t="str">
        <f>IFERROR(ROUND(Backend!$AL53*VLOOKUP($F53,'OH,Profit &amp; Other Base'!$A:$V,Backend!AS$6,0),5),"")</f>
        <v/>
      </c>
      <c r="AT53" s="1" t="str">
        <f>IFERROR(ROUND(Backend!$AO53*VLOOKUP($F53,'OH,Profit &amp; Other Base'!$A:$V,Backend!AT$6,0),5),"")</f>
        <v/>
      </c>
      <c r="AU53" s="1" t="str">
        <f>IFERROR(ROUND(Backend!$AM53*VLOOKUP($F53,'OH,Profit &amp; Other Base'!$A:$V,Backend!AU$6,0),5),"")</f>
        <v/>
      </c>
      <c r="AV53" s="1" t="str">
        <f>IFERROR(ROUND(Backend!$AL53*VLOOKUP($F53,'OH,Profit &amp; Other Base'!$A:$V,Backend!AV$6,0),5),"")</f>
        <v/>
      </c>
      <c r="AW53" s="1" t="str">
        <f>IFERROR(ROUND(Backend!$AO53*VLOOKUP($F53,'OH,Profit &amp; Other Base'!$A:$V,Backend!AW$6,0),5),"")</f>
        <v/>
      </c>
      <c r="AX53" s="1" t="str">
        <f>IFERROR(ROUND(Backend!$AM53*VLOOKUP($F53,'OH,Profit &amp; Other Base'!$A:$V,Backend!AX$6,0),5),"")</f>
        <v/>
      </c>
      <c r="AY53" s="1" t="str">
        <f>IFERROR(ROUND(Backend!$AL53*VLOOKUP($F53,'OH,Profit &amp; Other Base'!$A:$V,Backend!AY$6,0),5),"")</f>
        <v/>
      </c>
      <c r="AZ53" s="1" t="str">
        <f>IFERROR(ROUND(Backend!$AO53*VLOOKUP($F53,'OH,Profit &amp; Other Base'!$A:$V,Backend!AZ$6,0),5),"")</f>
        <v/>
      </c>
      <c r="BA53" s="1" t="str">
        <f>IFERROR(ROUND(Backend!$AM53*VLOOKUP($F53,'OH,Profit &amp; Other Base'!$A:$V,Backend!BA$6,0),5),"")</f>
        <v/>
      </c>
      <c r="BB53" s="1" t="str">
        <f>IFERROR(ROUND(Backend!$AL53*VLOOKUP($F53,'OH,Profit &amp; Other Base'!$A:$V,Backend!BB$6,0),5),"")</f>
        <v/>
      </c>
      <c r="BC53" s="1" t="str">
        <f>IFERROR(ROUND(Backend!$AO53*VLOOKUP($F53,'OH,Profit &amp; Other Base'!$A:$V,Backend!BC$6,0),5),"")</f>
        <v/>
      </c>
      <c r="BD53" s="1" t="str">
        <f>IFERROR(ROUND(Backend!$AM53*VLOOKUP($F53,'OH,Profit &amp; Other Base'!$A:$V,Backend!BD$6,0),5),"")</f>
        <v/>
      </c>
      <c r="BE53" s="1" t="str">
        <f>IFERROR(ROUND(Backend!$AL53*VLOOKUP($F53,'OH,Profit &amp; Other Base'!$A:$V,Backend!BE$6,0),5),"")</f>
        <v/>
      </c>
      <c r="BF53" s="1" t="str">
        <f>IFERROR(ROUND(Backend!$AO53*VLOOKUP($F53,'OH,Profit &amp; Other Base'!$A:$V,Backend!BF$6,0),5),"")</f>
        <v/>
      </c>
      <c r="BG53" s="1" t="str">
        <f>IFERROR(ROUND(Backend!$AM53*VLOOKUP($F53,'OH,Profit &amp; Other Base'!$A:$V,Backend!BG$6,0),5),"")</f>
        <v/>
      </c>
      <c r="BH53" s="1" t="str">
        <f>IFERROR(ROUND(Backend!$AL53*VLOOKUP($F53,'OH,Profit &amp; Other Base'!$A:$V,Backend!BH$6,0),5),"")</f>
        <v/>
      </c>
      <c r="BI53" s="1" t="str">
        <f>IFERROR(ROUND(Backend!$AO53*VLOOKUP($F53,'OH,Profit &amp; Other Base'!$A:$V,Backend!BI$6,0),5),"")</f>
        <v/>
      </c>
      <c r="BJ53" s="1" t="str">
        <f>IFERROR(ROUND(Backend!$AM53*VLOOKUP($F53,'OH,Profit &amp; Other Base'!$A:$V,Backend!BJ$6,0),5),"")</f>
        <v/>
      </c>
      <c r="BK53" s="3">
        <f>SUM(AN53:BJ53,Backend!O53)</f>
        <v>0</v>
      </c>
    </row>
    <row r="54" spans="1:63">
      <c r="A54" s="1">
        <f>BOM!A49</f>
        <v>47</v>
      </c>
      <c r="B54" s="1" t="str">
        <f>BOM!B49</f>
        <v>MB512123</v>
      </c>
      <c r="C54" s="1">
        <f>BOM!C49</f>
        <v>0</v>
      </c>
      <c r="D54" s="1">
        <f>BOM!D49</f>
        <v>0</v>
      </c>
      <c r="E54" s="1">
        <f>BOM!F49</f>
        <v>0</v>
      </c>
      <c r="F54" s="1" t="str">
        <f>IF(H54="CSC",BOM!H49,IF(J54="BOFOthers","Sheet Metal-B",""))</f>
        <v/>
      </c>
      <c r="G54" s="1">
        <f>BOM!I49</f>
        <v>0</v>
      </c>
      <c r="H54" s="1">
        <f>BOM!J49</f>
        <v>0</v>
      </c>
      <c r="I54" s="1" t="str">
        <f t="shared" si="0"/>
        <v>Others</v>
      </c>
      <c r="J54" s="1" t="str">
        <f t="shared" si="1"/>
        <v>0Others</v>
      </c>
      <c r="K54" s="3" t="str">
        <f>IF($J54="InhouseCSC",VLOOKUP($D54,Group!$C:$E,3,0),"")</f>
        <v/>
      </c>
      <c r="L54" s="3" t="str">
        <f>IF(OR($J54="BOSFCSC",$J54="BOFCSC"),VLOOKUP($D54,Group!$C:$E,3,0),"")</f>
        <v/>
      </c>
      <c r="M54" s="3" t="str">
        <f>IF(OR($J54="BOSFCSC",$J54="BOFCSC"),VLOOKUP($D54,Group!$C:$F,4,0),"")</f>
        <v/>
      </c>
      <c r="N54" s="3" t="str">
        <f>IF(OR($J54="InhouseCSC",$J54="BOSFCSC"),VLOOKUP($D54,Group!$C:$G,5,0),"")</f>
        <v/>
      </c>
      <c r="O54" s="3" t="str">
        <f>IF($J54="InhouseCSC",ROUND(VLOOKUP($D54,Group!$C:$H,6,0),5),"")</f>
        <v/>
      </c>
      <c r="P54" s="3" t="str">
        <f>IF(OR($J54="BOSFCSC",$J54="BOFCSC"),VLOOKUP($D54,Group!$C:$H,6,0),"")</f>
        <v/>
      </c>
      <c r="Q54" s="1" t="str">
        <f>IF($J54="Inhouseothers",VLOOKUP($D54,Group!$C:$E,3,0),"")</f>
        <v/>
      </c>
      <c r="R54" s="1" t="str">
        <f>IF($J54="BOSFOthers",VLOOKUP($D54,Group!$C:$E,3,0),"")</f>
        <v/>
      </c>
      <c r="S54" s="3" t="str">
        <f>IF($J54="BOFOthers",VLOOKUP($D54,Group!$C:$E,3,0),"")</f>
        <v/>
      </c>
      <c r="U54" s="1" t="str">
        <f>IFERROR(Backend!$L54*VLOOKUP($F54,'OH,Profit &amp; Other Base'!$A:$V,Backend!U$6,0),"")</f>
        <v/>
      </c>
      <c r="V54" s="1" t="str">
        <f>IFERROR(Backend!$M54*VLOOKUP($F54,'OH,Profit &amp; Other Base'!$A:$V,Backend!V$6,0),"")</f>
        <v/>
      </c>
      <c r="W54" s="1" t="str">
        <f>IFERROR(Backend!$L54*VLOOKUP($F54,'OH,Profit &amp; Other Base'!$A:$V,Backend!W$6,0),"")</f>
        <v/>
      </c>
      <c r="X54" s="1" t="str">
        <f>IFERROR(Backend!$M54*VLOOKUP($F54,'OH,Profit &amp; Other Base'!$A:$V,Backend!X$6,0),"")</f>
        <v/>
      </c>
      <c r="Y54" s="1" t="str">
        <f>IFERROR(Backend!$L54*VLOOKUP($F54,'OH,Profit &amp; Other Base'!$A:$V,Backend!Y$6,0),"")</f>
        <v/>
      </c>
      <c r="Z54" s="1" t="str">
        <f>IFERROR(Backend!$M54*VLOOKUP($F54,'OH,Profit &amp; Other Base'!$A:$V,Backend!Z$6,0),"")</f>
        <v/>
      </c>
      <c r="AA54" s="1" t="str">
        <f>IFERROR(Backend!$L54*VLOOKUP($F54,'OH,Profit &amp; Other Base'!$A:$V,Backend!AA$6,0),"")</f>
        <v/>
      </c>
      <c r="AB54" s="1" t="str">
        <f>IFERROR(Backend!$M54*VLOOKUP($F54,'OH,Profit &amp; Other Base'!$A:$V,Backend!AB$6,0),"")</f>
        <v/>
      </c>
      <c r="AC54" s="1" t="str">
        <f>IFERROR(Backend!$L54*VLOOKUP($F54,'OH,Profit &amp; Other Base'!$A:$V,Backend!AC$6,0),"")</f>
        <v/>
      </c>
      <c r="AD54" s="1" t="str">
        <f>IFERROR(Backend!$M54*VLOOKUP($F54,'OH,Profit &amp; Other Base'!$A:$V,Backend!AD$6,0),"")</f>
        <v/>
      </c>
      <c r="AE54" s="1" t="str">
        <f>IFERROR(Backend!$L54*VLOOKUP($F54,'OH,Profit &amp; Other Base'!$A:$V,Backend!AE$6,0),"")</f>
        <v/>
      </c>
      <c r="AF54" s="1" t="str">
        <f>IFERROR(Backend!$M54*VLOOKUP($F54,'OH,Profit &amp; Other Base'!$A:$V,Backend!AF$6,0),"")</f>
        <v/>
      </c>
      <c r="AG54" s="1" t="str">
        <f>IFERROR(Backend!$L54*VLOOKUP($F54,'OH,Profit &amp; Other Base'!$A:$V,Backend!AG$6,0),"")</f>
        <v/>
      </c>
      <c r="AH54" s="1" t="str">
        <f>IFERROR(Backend!$M54*VLOOKUP($F54,'OH,Profit &amp; Other Base'!$A:$V,Backend!AH$6,0),"")</f>
        <v/>
      </c>
      <c r="AI54" s="3">
        <f t="shared" si="2"/>
        <v>0</v>
      </c>
      <c r="AL54" s="1" t="str">
        <f t="shared" si="3"/>
        <v/>
      </c>
      <c r="AM54" s="1" t="str">
        <f t="shared" si="4"/>
        <v/>
      </c>
      <c r="AN54" s="1" t="str">
        <f t="shared" si="5"/>
        <v/>
      </c>
      <c r="AO54" s="1" t="str">
        <f t="shared" si="6"/>
        <v/>
      </c>
      <c r="AP54" s="1" t="str">
        <f>IFERROR(ROUND(Backend!$AL54*VLOOKUP($F54,'OH,Profit &amp; Other Base'!$A:$V,Backend!AP$6,0),5),"")</f>
        <v/>
      </c>
      <c r="AQ54" s="1" t="str">
        <f>IFERROR(ROUND(Backend!$AO54*VLOOKUP($F54,'OH,Profit &amp; Other Base'!$A:$V,Backend!AQ$6,0),5),"")</f>
        <v/>
      </c>
      <c r="AR54" s="1" t="str">
        <f>IFERROR(ROUND(Backend!$AM54*VLOOKUP($F54,'OH,Profit &amp; Other Base'!$A:$V,Backend!AR$6,0),5),"")</f>
        <v/>
      </c>
      <c r="AS54" s="1" t="str">
        <f>IFERROR(ROUND(Backend!$AL54*VLOOKUP($F54,'OH,Profit &amp; Other Base'!$A:$V,Backend!AS$6,0),5),"")</f>
        <v/>
      </c>
      <c r="AT54" s="1" t="str">
        <f>IFERROR(ROUND(Backend!$AO54*VLOOKUP($F54,'OH,Profit &amp; Other Base'!$A:$V,Backend!AT$6,0),5),"")</f>
        <v/>
      </c>
      <c r="AU54" s="1" t="str">
        <f>IFERROR(ROUND(Backend!$AM54*VLOOKUP($F54,'OH,Profit &amp; Other Base'!$A:$V,Backend!AU$6,0),5),"")</f>
        <v/>
      </c>
      <c r="AV54" s="1" t="str">
        <f>IFERROR(ROUND(Backend!$AL54*VLOOKUP($F54,'OH,Profit &amp; Other Base'!$A:$V,Backend!AV$6,0),5),"")</f>
        <v/>
      </c>
      <c r="AW54" s="1" t="str">
        <f>IFERROR(ROUND(Backend!$AO54*VLOOKUP($F54,'OH,Profit &amp; Other Base'!$A:$V,Backend!AW$6,0),5),"")</f>
        <v/>
      </c>
      <c r="AX54" s="1" t="str">
        <f>IFERROR(ROUND(Backend!$AM54*VLOOKUP($F54,'OH,Profit &amp; Other Base'!$A:$V,Backend!AX$6,0),5),"")</f>
        <v/>
      </c>
      <c r="AY54" s="1" t="str">
        <f>IFERROR(ROUND(Backend!$AL54*VLOOKUP($F54,'OH,Profit &amp; Other Base'!$A:$V,Backend!AY$6,0),5),"")</f>
        <v/>
      </c>
      <c r="AZ54" s="1" t="str">
        <f>IFERROR(ROUND(Backend!$AO54*VLOOKUP($F54,'OH,Profit &amp; Other Base'!$A:$V,Backend!AZ$6,0),5),"")</f>
        <v/>
      </c>
      <c r="BA54" s="1" t="str">
        <f>IFERROR(ROUND(Backend!$AM54*VLOOKUP($F54,'OH,Profit &amp; Other Base'!$A:$V,Backend!BA$6,0),5),"")</f>
        <v/>
      </c>
      <c r="BB54" s="1" t="str">
        <f>IFERROR(ROUND(Backend!$AL54*VLOOKUP($F54,'OH,Profit &amp; Other Base'!$A:$V,Backend!BB$6,0),5),"")</f>
        <v/>
      </c>
      <c r="BC54" s="1" t="str">
        <f>IFERROR(ROUND(Backend!$AO54*VLOOKUP($F54,'OH,Profit &amp; Other Base'!$A:$V,Backend!BC$6,0),5),"")</f>
        <v/>
      </c>
      <c r="BD54" s="1" t="str">
        <f>IFERROR(ROUND(Backend!$AM54*VLOOKUP($F54,'OH,Profit &amp; Other Base'!$A:$V,Backend!BD$6,0),5),"")</f>
        <v/>
      </c>
      <c r="BE54" s="1" t="str">
        <f>IFERROR(ROUND(Backend!$AL54*VLOOKUP($F54,'OH,Profit &amp; Other Base'!$A:$V,Backend!BE$6,0),5),"")</f>
        <v/>
      </c>
      <c r="BF54" s="1" t="str">
        <f>IFERROR(ROUND(Backend!$AO54*VLOOKUP($F54,'OH,Profit &amp; Other Base'!$A:$V,Backend!BF$6,0),5),"")</f>
        <v/>
      </c>
      <c r="BG54" s="1" t="str">
        <f>IFERROR(ROUND(Backend!$AM54*VLOOKUP($F54,'OH,Profit &amp; Other Base'!$A:$V,Backend!BG$6,0),5),"")</f>
        <v/>
      </c>
      <c r="BH54" s="1" t="str">
        <f>IFERROR(ROUND(Backend!$AL54*VLOOKUP($F54,'OH,Profit &amp; Other Base'!$A:$V,Backend!BH$6,0),5),"")</f>
        <v/>
      </c>
      <c r="BI54" s="1" t="str">
        <f>IFERROR(ROUND(Backend!$AO54*VLOOKUP($F54,'OH,Profit &amp; Other Base'!$A:$V,Backend!BI$6,0),5),"")</f>
        <v/>
      </c>
      <c r="BJ54" s="1" t="str">
        <f>IFERROR(ROUND(Backend!$AM54*VLOOKUP($F54,'OH,Profit &amp; Other Base'!$A:$V,Backend!BJ$6,0),5),"")</f>
        <v/>
      </c>
      <c r="BK54" s="3">
        <f>SUM(AN54:BJ54,Backend!O54)</f>
        <v>0</v>
      </c>
    </row>
    <row r="55" spans="1:63">
      <c r="A55" s="1">
        <f>BOM!A50</f>
        <v>48</v>
      </c>
      <c r="B55" s="1" t="str">
        <f>BOM!B50</f>
        <v>MB512123</v>
      </c>
      <c r="C55" s="1">
        <f>BOM!C50</f>
        <v>0</v>
      </c>
      <c r="D55" s="1">
        <f>BOM!D50</f>
        <v>0</v>
      </c>
      <c r="E55" s="1">
        <f>BOM!F50</f>
        <v>0</v>
      </c>
      <c r="F55" s="1" t="str">
        <f>IF(H55="CSC",BOM!H50,IF(J55="BOFOthers","Sheet Metal-B",""))</f>
        <v/>
      </c>
      <c r="G55" s="1">
        <f>BOM!I50</f>
        <v>0</v>
      </c>
      <c r="H55" s="1">
        <f>BOM!J50</f>
        <v>0</v>
      </c>
      <c r="I55" s="1" t="str">
        <f t="shared" si="0"/>
        <v>Others</v>
      </c>
      <c r="J55" s="1" t="str">
        <f t="shared" si="1"/>
        <v>0Others</v>
      </c>
      <c r="K55" s="3" t="str">
        <f>IF($J55="InhouseCSC",VLOOKUP($D55,Group!$C:$E,3,0),"")</f>
        <v/>
      </c>
      <c r="L55" s="3" t="str">
        <f>IF(OR($J55="BOSFCSC",$J55="BOFCSC"),VLOOKUP($D55,Group!$C:$E,3,0),"")</f>
        <v/>
      </c>
      <c r="M55" s="3" t="str">
        <f>IF(OR($J55="BOSFCSC",$J55="BOFCSC"),VLOOKUP($D55,Group!$C:$F,4,0),"")</f>
        <v/>
      </c>
      <c r="N55" s="3" t="str">
        <f>IF(OR($J55="InhouseCSC",$J55="BOSFCSC"),VLOOKUP($D55,Group!$C:$G,5,0),"")</f>
        <v/>
      </c>
      <c r="O55" s="3" t="str">
        <f>IF($J55="InhouseCSC",ROUND(VLOOKUP($D55,Group!$C:$H,6,0),5),"")</f>
        <v/>
      </c>
      <c r="P55" s="3" t="str">
        <f>IF(OR($J55="BOSFCSC",$J55="BOFCSC"),VLOOKUP($D55,Group!$C:$H,6,0),"")</f>
        <v/>
      </c>
      <c r="Q55" s="1" t="str">
        <f>IF($J55="Inhouseothers",VLOOKUP($D55,Group!$C:$E,3,0),"")</f>
        <v/>
      </c>
      <c r="R55" s="1" t="str">
        <f>IF($J55="BOSFOthers",VLOOKUP($D55,Group!$C:$E,3,0),"")</f>
        <v/>
      </c>
      <c r="S55" s="3" t="str">
        <f>IF($J55="BOFOthers",VLOOKUP($D55,Group!$C:$E,3,0),"")</f>
        <v/>
      </c>
      <c r="U55" s="1" t="str">
        <f>IFERROR(Backend!$L55*VLOOKUP($F55,'OH,Profit &amp; Other Base'!$A:$V,Backend!U$6,0),"")</f>
        <v/>
      </c>
      <c r="V55" s="1" t="str">
        <f>IFERROR(Backend!$M55*VLOOKUP($F55,'OH,Profit &amp; Other Base'!$A:$V,Backend!V$6,0),"")</f>
        <v/>
      </c>
      <c r="W55" s="1" t="str">
        <f>IFERROR(Backend!$L55*VLOOKUP($F55,'OH,Profit &amp; Other Base'!$A:$V,Backend!W$6,0),"")</f>
        <v/>
      </c>
      <c r="X55" s="1" t="str">
        <f>IFERROR(Backend!$M55*VLOOKUP($F55,'OH,Profit &amp; Other Base'!$A:$V,Backend!X$6,0),"")</f>
        <v/>
      </c>
      <c r="Y55" s="1" t="str">
        <f>IFERROR(Backend!$L55*VLOOKUP($F55,'OH,Profit &amp; Other Base'!$A:$V,Backend!Y$6,0),"")</f>
        <v/>
      </c>
      <c r="Z55" s="1" t="str">
        <f>IFERROR(Backend!$M55*VLOOKUP($F55,'OH,Profit &amp; Other Base'!$A:$V,Backend!Z$6,0),"")</f>
        <v/>
      </c>
      <c r="AA55" s="1" t="str">
        <f>IFERROR(Backend!$L55*VLOOKUP($F55,'OH,Profit &amp; Other Base'!$A:$V,Backend!AA$6,0),"")</f>
        <v/>
      </c>
      <c r="AB55" s="1" t="str">
        <f>IFERROR(Backend!$M55*VLOOKUP($F55,'OH,Profit &amp; Other Base'!$A:$V,Backend!AB$6,0),"")</f>
        <v/>
      </c>
      <c r="AC55" s="1" t="str">
        <f>IFERROR(Backend!$L55*VLOOKUP($F55,'OH,Profit &amp; Other Base'!$A:$V,Backend!AC$6,0),"")</f>
        <v/>
      </c>
      <c r="AD55" s="1" t="str">
        <f>IFERROR(Backend!$M55*VLOOKUP($F55,'OH,Profit &amp; Other Base'!$A:$V,Backend!AD$6,0),"")</f>
        <v/>
      </c>
      <c r="AE55" s="1" t="str">
        <f>IFERROR(Backend!$L55*VLOOKUP($F55,'OH,Profit &amp; Other Base'!$A:$V,Backend!AE$6,0),"")</f>
        <v/>
      </c>
      <c r="AF55" s="1" t="str">
        <f>IFERROR(Backend!$M55*VLOOKUP($F55,'OH,Profit &amp; Other Base'!$A:$V,Backend!AF$6,0),"")</f>
        <v/>
      </c>
      <c r="AG55" s="1" t="str">
        <f>IFERROR(Backend!$L55*VLOOKUP($F55,'OH,Profit &amp; Other Base'!$A:$V,Backend!AG$6,0),"")</f>
        <v/>
      </c>
      <c r="AH55" s="1" t="str">
        <f>IFERROR(Backend!$M55*VLOOKUP($F55,'OH,Profit &amp; Other Base'!$A:$V,Backend!AH$6,0),"")</f>
        <v/>
      </c>
      <c r="AI55" s="3">
        <f t="shared" si="2"/>
        <v>0</v>
      </c>
      <c r="AL55" s="1" t="str">
        <f t="shared" si="3"/>
        <v/>
      </c>
      <c r="AM55" s="1" t="str">
        <f t="shared" si="4"/>
        <v/>
      </c>
      <c r="AN55" s="1" t="str">
        <f t="shared" si="5"/>
        <v/>
      </c>
      <c r="AO55" s="1" t="str">
        <f t="shared" si="6"/>
        <v/>
      </c>
      <c r="AP55" s="1" t="str">
        <f>IFERROR(ROUND(Backend!$AL55*VLOOKUP($F55,'OH,Profit &amp; Other Base'!$A:$V,Backend!AP$6,0),5),"")</f>
        <v/>
      </c>
      <c r="AQ55" s="1" t="str">
        <f>IFERROR(ROUND(Backend!$AO55*VLOOKUP($F55,'OH,Profit &amp; Other Base'!$A:$V,Backend!AQ$6,0),5),"")</f>
        <v/>
      </c>
      <c r="AR55" s="1" t="str">
        <f>IFERROR(ROUND(Backend!$AM55*VLOOKUP($F55,'OH,Profit &amp; Other Base'!$A:$V,Backend!AR$6,0),5),"")</f>
        <v/>
      </c>
      <c r="AS55" s="1" t="str">
        <f>IFERROR(ROUND(Backend!$AL55*VLOOKUP($F55,'OH,Profit &amp; Other Base'!$A:$V,Backend!AS$6,0),5),"")</f>
        <v/>
      </c>
      <c r="AT55" s="1" t="str">
        <f>IFERROR(ROUND(Backend!$AO55*VLOOKUP($F55,'OH,Profit &amp; Other Base'!$A:$V,Backend!AT$6,0),5),"")</f>
        <v/>
      </c>
      <c r="AU55" s="1" t="str">
        <f>IFERROR(ROUND(Backend!$AM55*VLOOKUP($F55,'OH,Profit &amp; Other Base'!$A:$V,Backend!AU$6,0),5),"")</f>
        <v/>
      </c>
      <c r="AV55" s="1" t="str">
        <f>IFERROR(ROUND(Backend!$AL55*VLOOKUP($F55,'OH,Profit &amp; Other Base'!$A:$V,Backend!AV$6,0),5),"")</f>
        <v/>
      </c>
      <c r="AW55" s="1" t="str">
        <f>IFERROR(ROUND(Backend!$AO55*VLOOKUP($F55,'OH,Profit &amp; Other Base'!$A:$V,Backend!AW$6,0),5),"")</f>
        <v/>
      </c>
      <c r="AX55" s="1" t="str">
        <f>IFERROR(ROUND(Backend!$AM55*VLOOKUP($F55,'OH,Profit &amp; Other Base'!$A:$V,Backend!AX$6,0),5),"")</f>
        <v/>
      </c>
      <c r="AY55" s="1" t="str">
        <f>IFERROR(ROUND(Backend!$AL55*VLOOKUP($F55,'OH,Profit &amp; Other Base'!$A:$V,Backend!AY$6,0),5),"")</f>
        <v/>
      </c>
      <c r="AZ55" s="1" t="str">
        <f>IFERROR(ROUND(Backend!$AO55*VLOOKUP($F55,'OH,Profit &amp; Other Base'!$A:$V,Backend!AZ$6,0),5),"")</f>
        <v/>
      </c>
      <c r="BA55" s="1" t="str">
        <f>IFERROR(ROUND(Backend!$AM55*VLOOKUP($F55,'OH,Profit &amp; Other Base'!$A:$V,Backend!BA$6,0),5),"")</f>
        <v/>
      </c>
      <c r="BB55" s="1" t="str">
        <f>IFERROR(ROUND(Backend!$AL55*VLOOKUP($F55,'OH,Profit &amp; Other Base'!$A:$V,Backend!BB$6,0),5),"")</f>
        <v/>
      </c>
      <c r="BC55" s="1" t="str">
        <f>IFERROR(ROUND(Backend!$AO55*VLOOKUP($F55,'OH,Profit &amp; Other Base'!$A:$V,Backend!BC$6,0),5),"")</f>
        <v/>
      </c>
      <c r="BD55" s="1" t="str">
        <f>IFERROR(ROUND(Backend!$AM55*VLOOKUP($F55,'OH,Profit &amp; Other Base'!$A:$V,Backend!BD$6,0),5),"")</f>
        <v/>
      </c>
      <c r="BE55" s="1" t="str">
        <f>IFERROR(ROUND(Backend!$AL55*VLOOKUP($F55,'OH,Profit &amp; Other Base'!$A:$V,Backend!BE$6,0),5),"")</f>
        <v/>
      </c>
      <c r="BF55" s="1" t="str">
        <f>IFERROR(ROUND(Backend!$AO55*VLOOKUP($F55,'OH,Profit &amp; Other Base'!$A:$V,Backend!BF$6,0),5),"")</f>
        <v/>
      </c>
      <c r="BG55" s="1" t="str">
        <f>IFERROR(ROUND(Backend!$AM55*VLOOKUP($F55,'OH,Profit &amp; Other Base'!$A:$V,Backend!BG$6,0),5),"")</f>
        <v/>
      </c>
      <c r="BH55" s="1" t="str">
        <f>IFERROR(ROUND(Backend!$AL55*VLOOKUP($F55,'OH,Profit &amp; Other Base'!$A:$V,Backend!BH$6,0),5),"")</f>
        <v/>
      </c>
      <c r="BI55" s="1" t="str">
        <f>IFERROR(ROUND(Backend!$AO55*VLOOKUP($F55,'OH,Profit &amp; Other Base'!$A:$V,Backend!BI$6,0),5),"")</f>
        <v/>
      </c>
      <c r="BJ55" s="1" t="str">
        <f>IFERROR(ROUND(Backend!$AM55*VLOOKUP($F55,'OH,Profit &amp; Other Base'!$A:$V,Backend!BJ$6,0),5),"")</f>
        <v/>
      </c>
      <c r="BK55" s="3">
        <f>SUM(AN55:BJ55,Backend!O55)</f>
        <v>0</v>
      </c>
    </row>
    <row r="56" spans="1:63">
      <c r="A56" s="1">
        <f>BOM!A51</f>
        <v>49</v>
      </c>
      <c r="B56" s="1" t="str">
        <f>BOM!B51</f>
        <v>MB512123</v>
      </c>
      <c r="C56" s="1">
        <f>BOM!C51</f>
        <v>0</v>
      </c>
      <c r="D56" s="1">
        <f>BOM!D51</f>
        <v>0</v>
      </c>
      <c r="E56" s="1">
        <f>BOM!F51</f>
        <v>0</v>
      </c>
      <c r="F56" s="1" t="str">
        <f>IF(H56="CSC",BOM!H51,IF(J56="BOFOthers","Sheet Metal-B",""))</f>
        <v/>
      </c>
      <c r="G56" s="1">
        <f>BOM!I51</f>
        <v>0</v>
      </c>
      <c r="H56" s="1">
        <f>BOM!J51</f>
        <v>0</v>
      </c>
      <c r="I56" s="1" t="str">
        <f t="shared" si="0"/>
        <v>Others</v>
      </c>
      <c r="J56" s="1" t="str">
        <f t="shared" si="1"/>
        <v>0Others</v>
      </c>
      <c r="K56" s="3" t="str">
        <f>IF($J56="InhouseCSC",VLOOKUP($D56,Group!$C:$E,3,0),"")</f>
        <v/>
      </c>
      <c r="L56" s="3" t="str">
        <f>IF(OR($J56="BOSFCSC",$J56="BOFCSC"),VLOOKUP($D56,Group!$C:$E,3,0),"")</f>
        <v/>
      </c>
      <c r="M56" s="3" t="str">
        <f>IF(OR($J56="BOSFCSC",$J56="BOFCSC"),VLOOKUP($D56,Group!$C:$F,4,0),"")</f>
        <v/>
      </c>
      <c r="N56" s="3" t="str">
        <f>IF(OR($J56="InhouseCSC",$J56="BOSFCSC"),VLOOKUP($D56,Group!$C:$G,5,0),"")</f>
        <v/>
      </c>
      <c r="O56" s="3" t="str">
        <f>IF($J56="InhouseCSC",ROUND(VLOOKUP($D56,Group!$C:$H,6,0),5),"")</f>
        <v/>
      </c>
      <c r="P56" s="3" t="str">
        <f>IF(OR($J56="BOSFCSC",$J56="BOFCSC"),VLOOKUP($D56,Group!$C:$H,6,0),"")</f>
        <v/>
      </c>
      <c r="Q56" s="1" t="str">
        <f>IF($J56="Inhouseothers",VLOOKUP($D56,Group!$C:$E,3,0),"")</f>
        <v/>
      </c>
      <c r="R56" s="1" t="str">
        <f>IF($J56="BOSFOthers",VLOOKUP($D56,Group!$C:$E,3,0),"")</f>
        <v/>
      </c>
      <c r="S56" s="3" t="str">
        <f>IF($J56="BOFOthers",VLOOKUP($D56,Group!$C:$E,3,0),"")</f>
        <v/>
      </c>
      <c r="U56" s="1" t="str">
        <f>IFERROR(Backend!$L56*VLOOKUP($F56,'OH,Profit &amp; Other Base'!$A:$V,Backend!U$6,0),"")</f>
        <v/>
      </c>
      <c r="V56" s="1" t="str">
        <f>IFERROR(Backend!$M56*VLOOKUP($F56,'OH,Profit &amp; Other Base'!$A:$V,Backend!V$6,0),"")</f>
        <v/>
      </c>
      <c r="W56" s="1" t="str">
        <f>IFERROR(Backend!$L56*VLOOKUP($F56,'OH,Profit &amp; Other Base'!$A:$V,Backend!W$6,0),"")</f>
        <v/>
      </c>
      <c r="X56" s="1" t="str">
        <f>IFERROR(Backend!$M56*VLOOKUP($F56,'OH,Profit &amp; Other Base'!$A:$V,Backend!X$6,0),"")</f>
        <v/>
      </c>
      <c r="Y56" s="1" t="str">
        <f>IFERROR(Backend!$L56*VLOOKUP($F56,'OH,Profit &amp; Other Base'!$A:$V,Backend!Y$6,0),"")</f>
        <v/>
      </c>
      <c r="Z56" s="1" t="str">
        <f>IFERROR(Backend!$M56*VLOOKUP($F56,'OH,Profit &amp; Other Base'!$A:$V,Backend!Z$6,0),"")</f>
        <v/>
      </c>
      <c r="AA56" s="1" t="str">
        <f>IFERROR(Backend!$L56*VLOOKUP($F56,'OH,Profit &amp; Other Base'!$A:$V,Backend!AA$6,0),"")</f>
        <v/>
      </c>
      <c r="AB56" s="1" t="str">
        <f>IFERROR(Backend!$M56*VLOOKUP($F56,'OH,Profit &amp; Other Base'!$A:$V,Backend!AB$6,0),"")</f>
        <v/>
      </c>
      <c r="AC56" s="1" t="str">
        <f>IFERROR(Backend!$L56*VLOOKUP($F56,'OH,Profit &amp; Other Base'!$A:$V,Backend!AC$6,0),"")</f>
        <v/>
      </c>
      <c r="AD56" s="1" t="str">
        <f>IFERROR(Backend!$M56*VLOOKUP($F56,'OH,Profit &amp; Other Base'!$A:$V,Backend!AD$6,0),"")</f>
        <v/>
      </c>
      <c r="AE56" s="1" t="str">
        <f>IFERROR(Backend!$L56*VLOOKUP($F56,'OH,Profit &amp; Other Base'!$A:$V,Backend!AE$6,0),"")</f>
        <v/>
      </c>
      <c r="AF56" s="1" t="str">
        <f>IFERROR(Backend!$M56*VLOOKUP($F56,'OH,Profit &amp; Other Base'!$A:$V,Backend!AF$6,0),"")</f>
        <v/>
      </c>
      <c r="AG56" s="1" t="str">
        <f>IFERROR(Backend!$L56*VLOOKUP($F56,'OH,Profit &amp; Other Base'!$A:$V,Backend!AG$6,0),"")</f>
        <v/>
      </c>
      <c r="AH56" s="1" t="str">
        <f>IFERROR(Backend!$M56*VLOOKUP($F56,'OH,Profit &amp; Other Base'!$A:$V,Backend!AH$6,0),"")</f>
        <v/>
      </c>
      <c r="AI56" s="3">
        <f t="shared" si="2"/>
        <v>0</v>
      </c>
      <c r="AL56" s="1" t="str">
        <f t="shared" si="3"/>
        <v/>
      </c>
      <c r="AM56" s="1" t="str">
        <f t="shared" si="4"/>
        <v/>
      </c>
      <c r="AN56" s="1" t="str">
        <f t="shared" si="5"/>
        <v/>
      </c>
      <c r="AO56" s="1" t="str">
        <f t="shared" si="6"/>
        <v/>
      </c>
      <c r="AP56" s="1" t="str">
        <f>IFERROR(ROUND(Backend!$AL56*VLOOKUP($F56,'OH,Profit &amp; Other Base'!$A:$V,Backend!AP$6,0),5),"")</f>
        <v/>
      </c>
      <c r="AQ56" s="1" t="str">
        <f>IFERROR(ROUND(Backend!$AO56*VLOOKUP($F56,'OH,Profit &amp; Other Base'!$A:$V,Backend!AQ$6,0),5),"")</f>
        <v/>
      </c>
      <c r="AR56" s="1" t="str">
        <f>IFERROR(ROUND(Backend!$AM56*VLOOKUP($F56,'OH,Profit &amp; Other Base'!$A:$V,Backend!AR$6,0),5),"")</f>
        <v/>
      </c>
      <c r="AS56" s="1" t="str">
        <f>IFERROR(ROUND(Backend!$AL56*VLOOKUP($F56,'OH,Profit &amp; Other Base'!$A:$V,Backend!AS$6,0),5),"")</f>
        <v/>
      </c>
      <c r="AT56" s="1" t="str">
        <f>IFERROR(ROUND(Backend!$AO56*VLOOKUP($F56,'OH,Profit &amp; Other Base'!$A:$V,Backend!AT$6,0),5),"")</f>
        <v/>
      </c>
      <c r="AU56" s="1" t="str">
        <f>IFERROR(ROUND(Backend!$AM56*VLOOKUP($F56,'OH,Profit &amp; Other Base'!$A:$V,Backend!AU$6,0),5),"")</f>
        <v/>
      </c>
      <c r="AV56" s="1" t="str">
        <f>IFERROR(ROUND(Backend!$AL56*VLOOKUP($F56,'OH,Profit &amp; Other Base'!$A:$V,Backend!AV$6,0),5),"")</f>
        <v/>
      </c>
      <c r="AW56" s="1" t="str">
        <f>IFERROR(ROUND(Backend!$AO56*VLOOKUP($F56,'OH,Profit &amp; Other Base'!$A:$V,Backend!AW$6,0),5),"")</f>
        <v/>
      </c>
      <c r="AX56" s="1" t="str">
        <f>IFERROR(ROUND(Backend!$AM56*VLOOKUP($F56,'OH,Profit &amp; Other Base'!$A:$V,Backend!AX$6,0),5),"")</f>
        <v/>
      </c>
      <c r="AY56" s="1" t="str">
        <f>IFERROR(ROUND(Backend!$AL56*VLOOKUP($F56,'OH,Profit &amp; Other Base'!$A:$V,Backend!AY$6,0),5),"")</f>
        <v/>
      </c>
      <c r="AZ56" s="1" t="str">
        <f>IFERROR(ROUND(Backend!$AO56*VLOOKUP($F56,'OH,Profit &amp; Other Base'!$A:$V,Backend!AZ$6,0),5),"")</f>
        <v/>
      </c>
      <c r="BA56" s="1" t="str">
        <f>IFERROR(ROUND(Backend!$AM56*VLOOKUP($F56,'OH,Profit &amp; Other Base'!$A:$V,Backend!BA$6,0),5),"")</f>
        <v/>
      </c>
      <c r="BB56" s="1" t="str">
        <f>IFERROR(ROUND(Backend!$AL56*VLOOKUP($F56,'OH,Profit &amp; Other Base'!$A:$V,Backend!BB$6,0),5),"")</f>
        <v/>
      </c>
      <c r="BC56" s="1" t="str">
        <f>IFERROR(ROUND(Backend!$AO56*VLOOKUP($F56,'OH,Profit &amp; Other Base'!$A:$V,Backend!BC$6,0),5),"")</f>
        <v/>
      </c>
      <c r="BD56" s="1" t="str">
        <f>IFERROR(ROUND(Backend!$AM56*VLOOKUP($F56,'OH,Profit &amp; Other Base'!$A:$V,Backend!BD$6,0),5),"")</f>
        <v/>
      </c>
      <c r="BE56" s="1" t="str">
        <f>IFERROR(ROUND(Backend!$AL56*VLOOKUP($F56,'OH,Profit &amp; Other Base'!$A:$V,Backend!BE$6,0),5),"")</f>
        <v/>
      </c>
      <c r="BF56" s="1" t="str">
        <f>IFERROR(ROUND(Backend!$AO56*VLOOKUP($F56,'OH,Profit &amp; Other Base'!$A:$V,Backend!BF$6,0),5),"")</f>
        <v/>
      </c>
      <c r="BG56" s="1" t="str">
        <f>IFERROR(ROUND(Backend!$AM56*VLOOKUP($F56,'OH,Profit &amp; Other Base'!$A:$V,Backend!BG$6,0),5),"")</f>
        <v/>
      </c>
      <c r="BH56" s="1" t="str">
        <f>IFERROR(ROUND(Backend!$AL56*VLOOKUP($F56,'OH,Profit &amp; Other Base'!$A:$V,Backend!BH$6,0),5),"")</f>
        <v/>
      </c>
      <c r="BI56" s="1" t="str">
        <f>IFERROR(ROUND(Backend!$AO56*VLOOKUP($F56,'OH,Profit &amp; Other Base'!$A:$V,Backend!BI$6,0),5),"")</f>
        <v/>
      </c>
      <c r="BJ56" s="1" t="str">
        <f>IFERROR(ROUND(Backend!$AM56*VLOOKUP($F56,'OH,Profit &amp; Other Base'!$A:$V,Backend!BJ$6,0),5),"")</f>
        <v/>
      </c>
      <c r="BK56" s="3">
        <f>SUM(AN56:BJ56,Backend!O56)</f>
        <v>0</v>
      </c>
    </row>
    <row r="57" spans="1:63">
      <c r="A57" s="1">
        <f>BOM!A52</f>
        <v>50</v>
      </c>
      <c r="B57" s="1" t="str">
        <f>BOM!B52</f>
        <v>MB512123</v>
      </c>
      <c r="C57" s="1">
        <f>BOM!C52</f>
        <v>0</v>
      </c>
      <c r="D57" s="1">
        <f>BOM!D52</f>
        <v>0</v>
      </c>
      <c r="E57" s="1">
        <f>BOM!F52</f>
        <v>0</v>
      </c>
      <c r="F57" s="1" t="str">
        <f>IF(H57="CSC",BOM!H52,IF(J57="BOFOthers","Sheet Metal-B",""))</f>
        <v/>
      </c>
      <c r="G57" s="1">
        <f>BOM!I52</f>
        <v>0</v>
      </c>
      <c r="H57" s="1">
        <f>BOM!J52</f>
        <v>0</v>
      </c>
      <c r="I57" s="1" t="str">
        <f t="shared" si="0"/>
        <v>Others</v>
      </c>
      <c r="J57" s="1" t="str">
        <f t="shared" si="1"/>
        <v>0Others</v>
      </c>
      <c r="K57" s="3" t="str">
        <f>IF($J57="InhouseCSC",VLOOKUP($D57,Group!$C:$E,3,0),"")</f>
        <v/>
      </c>
      <c r="L57" s="3" t="str">
        <f>IF(OR($J57="BOSFCSC",$J57="BOFCSC"),VLOOKUP($D57,Group!$C:$E,3,0),"")</f>
        <v/>
      </c>
      <c r="M57" s="3" t="str">
        <f>IF(OR($J57="BOSFCSC",$J57="BOFCSC"),VLOOKUP($D57,Group!$C:$F,4,0),"")</f>
        <v/>
      </c>
      <c r="N57" s="3" t="str">
        <f>IF(OR($J57="InhouseCSC",$J57="BOSFCSC"),VLOOKUP($D57,Group!$C:$G,5,0),"")</f>
        <v/>
      </c>
      <c r="O57" s="3" t="str">
        <f>IF($J57="InhouseCSC",ROUND(VLOOKUP($D57,Group!$C:$H,6,0),5),"")</f>
        <v/>
      </c>
      <c r="P57" s="3" t="str">
        <f>IF(OR($J57="BOSFCSC",$J57="BOFCSC"),VLOOKUP($D57,Group!$C:$H,6,0),"")</f>
        <v/>
      </c>
      <c r="Q57" s="1" t="str">
        <f>IF($J57="Inhouseothers",VLOOKUP($D57,Group!$C:$E,3,0),"")</f>
        <v/>
      </c>
      <c r="R57" s="1" t="str">
        <f>IF($J57="BOSFOthers",VLOOKUP($D57,Group!$C:$E,3,0),"")</f>
        <v/>
      </c>
      <c r="S57" s="3" t="str">
        <f>IF($J57="BOFOthers",VLOOKUP($D57,Group!$C:$E,3,0),"")</f>
        <v/>
      </c>
      <c r="U57" s="1" t="str">
        <f>IFERROR(Backend!$L57*VLOOKUP($F57,'OH,Profit &amp; Other Base'!$A:$V,Backend!U$6,0),"")</f>
        <v/>
      </c>
      <c r="V57" s="1" t="str">
        <f>IFERROR(Backend!$M57*VLOOKUP($F57,'OH,Profit &amp; Other Base'!$A:$V,Backend!V$6,0),"")</f>
        <v/>
      </c>
      <c r="W57" s="1" t="str">
        <f>IFERROR(Backend!$L57*VLOOKUP($F57,'OH,Profit &amp; Other Base'!$A:$V,Backend!W$6,0),"")</f>
        <v/>
      </c>
      <c r="X57" s="1" t="str">
        <f>IFERROR(Backend!$M57*VLOOKUP($F57,'OH,Profit &amp; Other Base'!$A:$V,Backend!X$6,0),"")</f>
        <v/>
      </c>
      <c r="Y57" s="1" t="str">
        <f>IFERROR(Backend!$L57*VLOOKUP($F57,'OH,Profit &amp; Other Base'!$A:$V,Backend!Y$6,0),"")</f>
        <v/>
      </c>
      <c r="Z57" s="1" t="str">
        <f>IFERROR(Backend!$M57*VLOOKUP($F57,'OH,Profit &amp; Other Base'!$A:$V,Backend!Z$6,0),"")</f>
        <v/>
      </c>
      <c r="AA57" s="1" t="str">
        <f>IFERROR(Backend!$L57*VLOOKUP($F57,'OH,Profit &amp; Other Base'!$A:$V,Backend!AA$6,0),"")</f>
        <v/>
      </c>
      <c r="AB57" s="1" t="str">
        <f>IFERROR(Backend!$M57*VLOOKUP($F57,'OH,Profit &amp; Other Base'!$A:$V,Backend!AB$6,0),"")</f>
        <v/>
      </c>
      <c r="AC57" s="1" t="str">
        <f>IFERROR(Backend!$L57*VLOOKUP($F57,'OH,Profit &amp; Other Base'!$A:$V,Backend!AC$6,0),"")</f>
        <v/>
      </c>
      <c r="AD57" s="1" t="str">
        <f>IFERROR(Backend!$M57*VLOOKUP($F57,'OH,Profit &amp; Other Base'!$A:$V,Backend!AD$6,0),"")</f>
        <v/>
      </c>
      <c r="AE57" s="1" t="str">
        <f>IFERROR(Backend!$L57*VLOOKUP($F57,'OH,Profit &amp; Other Base'!$A:$V,Backend!AE$6,0),"")</f>
        <v/>
      </c>
      <c r="AF57" s="1" t="str">
        <f>IFERROR(Backend!$M57*VLOOKUP($F57,'OH,Profit &amp; Other Base'!$A:$V,Backend!AF$6,0),"")</f>
        <v/>
      </c>
      <c r="AG57" s="1" t="str">
        <f>IFERROR(Backend!$L57*VLOOKUP($F57,'OH,Profit &amp; Other Base'!$A:$V,Backend!AG$6,0),"")</f>
        <v/>
      </c>
      <c r="AH57" s="1" t="str">
        <f>IFERROR(Backend!$M57*VLOOKUP($F57,'OH,Profit &amp; Other Base'!$A:$V,Backend!AH$6,0),"")</f>
        <v/>
      </c>
      <c r="AI57" s="3">
        <f t="shared" si="2"/>
        <v>0</v>
      </c>
      <c r="AL57" s="1" t="str">
        <f t="shared" si="3"/>
        <v/>
      </c>
      <c r="AM57" s="1" t="str">
        <f t="shared" si="4"/>
        <v/>
      </c>
      <c r="AN57" s="1" t="str">
        <f t="shared" si="5"/>
        <v/>
      </c>
      <c r="AO57" s="1" t="str">
        <f t="shared" si="6"/>
        <v/>
      </c>
      <c r="AP57" s="1" t="str">
        <f>IFERROR(ROUND(Backend!$AL57*VLOOKUP($F57,'OH,Profit &amp; Other Base'!$A:$V,Backend!AP$6,0),5),"")</f>
        <v/>
      </c>
      <c r="AQ57" s="1" t="str">
        <f>IFERROR(ROUND(Backend!$AO57*VLOOKUP($F57,'OH,Profit &amp; Other Base'!$A:$V,Backend!AQ$6,0),5),"")</f>
        <v/>
      </c>
      <c r="AR57" s="1" t="str">
        <f>IFERROR(ROUND(Backend!$AM57*VLOOKUP($F57,'OH,Profit &amp; Other Base'!$A:$V,Backend!AR$6,0),5),"")</f>
        <v/>
      </c>
      <c r="AS57" s="1" t="str">
        <f>IFERROR(ROUND(Backend!$AL57*VLOOKUP($F57,'OH,Profit &amp; Other Base'!$A:$V,Backend!AS$6,0),5),"")</f>
        <v/>
      </c>
      <c r="AT57" s="1" t="str">
        <f>IFERROR(ROUND(Backend!$AO57*VLOOKUP($F57,'OH,Profit &amp; Other Base'!$A:$V,Backend!AT$6,0),5),"")</f>
        <v/>
      </c>
      <c r="AU57" s="1" t="str">
        <f>IFERROR(ROUND(Backend!$AM57*VLOOKUP($F57,'OH,Profit &amp; Other Base'!$A:$V,Backend!AU$6,0),5),"")</f>
        <v/>
      </c>
      <c r="AV57" s="1" t="str">
        <f>IFERROR(ROUND(Backend!$AL57*VLOOKUP($F57,'OH,Profit &amp; Other Base'!$A:$V,Backend!AV$6,0),5),"")</f>
        <v/>
      </c>
      <c r="AW57" s="1" t="str">
        <f>IFERROR(ROUND(Backend!$AO57*VLOOKUP($F57,'OH,Profit &amp; Other Base'!$A:$V,Backend!AW$6,0),5),"")</f>
        <v/>
      </c>
      <c r="AX57" s="1" t="str">
        <f>IFERROR(ROUND(Backend!$AM57*VLOOKUP($F57,'OH,Profit &amp; Other Base'!$A:$V,Backend!AX$6,0),5),"")</f>
        <v/>
      </c>
      <c r="AY57" s="1" t="str">
        <f>IFERROR(ROUND(Backend!$AL57*VLOOKUP($F57,'OH,Profit &amp; Other Base'!$A:$V,Backend!AY$6,0),5),"")</f>
        <v/>
      </c>
      <c r="AZ57" s="1" t="str">
        <f>IFERROR(ROUND(Backend!$AO57*VLOOKUP($F57,'OH,Profit &amp; Other Base'!$A:$V,Backend!AZ$6,0),5),"")</f>
        <v/>
      </c>
      <c r="BA57" s="1" t="str">
        <f>IFERROR(ROUND(Backend!$AM57*VLOOKUP($F57,'OH,Profit &amp; Other Base'!$A:$V,Backend!BA$6,0),5),"")</f>
        <v/>
      </c>
      <c r="BB57" s="1" t="str">
        <f>IFERROR(ROUND(Backend!$AL57*VLOOKUP($F57,'OH,Profit &amp; Other Base'!$A:$V,Backend!BB$6,0),5),"")</f>
        <v/>
      </c>
      <c r="BC57" s="1" t="str">
        <f>IFERROR(ROUND(Backend!$AO57*VLOOKUP($F57,'OH,Profit &amp; Other Base'!$A:$V,Backend!BC$6,0),5),"")</f>
        <v/>
      </c>
      <c r="BD57" s="1" t="str">
        <f>IFERROR(ROUND(Backend!$AM57*VLOOKUP($F57,'OH,Profit &amp; Other Base'!$A:$V,Backend!BD$6,0),5),"")</f>
        <v/>
      </c>
      <c r="BE57" s="1" t="str">
        <f>IFERROR(ROUND(Backend!$AL57*VLOOKUP($F57,'OH,Profit &amp; Other Base'!$A:$V,Backend!BE$6,0),5),"")</f>
        <v/>
      </c>
      <c r="BF57" s="1" t="str">
        <f>IFERROR(ROUND(Backend!$AO57*VLOOKUP($F57,'OH,Profit &amp; Other Base'!$A:$V,Backend!BF$6,0),5),"")</f>
        <v/>
      </c>
      <c r="BG57" s="1" t="str">
        <f>IFERROR(ROUND(Backend!$AM57*VLOOKUP($F57,'OH,Profit &amp; Other Base'!$A:$V,Backend!BG$6,0),5),"")</f>
        <v/>
      </c>
      <c r="BH57" s="1" t="str">
        <f>IFERROR(ROUND(Backend!$AL57*VLOOKUP($F57,'OH,Profit &amp; Other Base'!$A:$V,Backend!BH$6,0),5),"")</f>
        <v/>
      </c>
      <c r="BI57" s="1" t="str">
        <f>IFERROR(ROUND(Backend!$AO57*VLOOKUP($F57,'OH,Profit &amp; Other Base'!$A:$V,Backend!BI$6,0),5),"")</f>
        <v/>
      </c>
      <c r="BJ57" s="1" t="str">
        <f>IFERROR(ROUND(Backend!$AM57*VLOOKUP($F57,'OH,Profit &amp; Other Base'!$A:$V,Backend!BJ$6,0),5),"")</f>
        <v/>
      </c>
      <c r="BK57" s="3">
        <f>SUM(AN57:BJ57,Backend!O57)</f>
        <v>0</v>
      </c>
    </row>
    <row r="58" spans="1:63">
      <c r="A58" s="1">
        <f>BOM!A53</f>
        <v>0</v>
      </c>
      <c r="B58" s="1">
        <f>BOM!B53</f>
        <v>0</v>
      </c>
      <c r="C58" s="1">
        <f>BOM!C53</f>
        <v>0</v>
      </c>
      <c r="D58" s="1">
        <f>BOM!D53</f>
        <v>0</v>
      </c>
      <c r="E58" s="1">
        <f>BOM!F53</f>
        <v>0</v>
      </c>
      <c r="F58" s="1" t="str">
        <f>IF(H58="CSC",BOM!H53,IF(J58="BOFOthers","Sheet Metal-B",""))</f>
        <v/>
      </c>
      <c r="G58" s="1">
        <f>BOM!I53</f>
        <v>0</v>
      </c>
      <c r="H58" s="1">
        <f>BOM!J53</f>
        <v>0</v>
      </c>
      <c r="I58" s="1" t="str">
        <f t="shared" si="0"/>
        <v>Others</v>
      </c>
      <c r="J58" s="1" t="str">
        <f t="shared" si="1"/>
        <v>0Others</v>
      </c>
      <c r="K58" s="3" t="str">
        <f>IF($J58="InhouseCSC",VLOOKUP($D58,Group!$C:$E,3,0),"")</f>
        <v/>
      </c>
      <c r="L58" s="3" t="str">
        <f>IF(OR($J58="BOSFCSC",$J58="BOFCSC"),VLOOKUP($D58,Group!$C:$E,3,0),"")</f>
        <v/>
      </c>
      <c r="M58" s="3" t="str">
        <f>IF(OR($J58="BOSFCSC",$J58="BOFCSC"),VLOOKUP($D58,Group!$C:$F,4,0),"")</f>
        <v/>
      </c>
      <c r="N58" s="3" t="str">
        <f>IF(OR($J58="InhouseCSC",$J58="BOSFCSC"),VLOOKUP($D58,Group!$C:$G,5,0),"")</f>
        <v/>
      </c>
      <c r="O58" s="3" t="str">
        <f>IF($J58="InhouseCSC",ROUND(VLOOKUP($D58,Group!$C:$H,6,0),5),"")</f>
        <v/>
      </c>
      <c r="P58" s="3" t="str">
        <f>IF(OR($J58="BOSFCSC",$J58="BOFCSC"),VLOOKUP($D58,Group!$C:$H,6,0),"")</f>
        <v/>
      </c>
      <c r="Q58" s="1" t="str">
        <f>IF($J58="Inhouseothers",VLOOKUP($D58,Group!$C:$E,3,0),"")</f>
        <v/>
      </c>
      <c r="R58" s="1" t="str">
        <f>IF($J58="BOSFOthers",VLOOKUP($D58,Group!$C:$E,3,0),"")</f>
        <v/>
      </c>
      <c r="S58" s="3" t="str">
        <f>IF($J58="BOFOthers",VLOOKUP($D58,Group!$C:$E,3,0),"")</f>
        <v/>
      </c>
      <c r="U58" s="1" t="str">
        <f>IFERROR(Backend!$L58*VLOOKUP($F58,'OH,Profit &amp; Other Base'!$A:$V,Backend!U$6,0),"")</f>
        <v/>
      </c>
      <c r="V58" s="1" t="str">
        <f>IFERROR(Backend!$M58*VLOOKUP($F58,'OH,Profit &amp; Other Base'!$A:$V,Backend!V$6,0),"")</f>
        <v/>
      </c>
      <c r="W58" s="1" t="str">
        <f>IFERROR(Backend!$L58*VLOOKUP($F58,'OH,Profit &amp; Other Base'!$A:$V,Backend!W$6,0),"")</f>
        <v/>
      </c>
      <c r="X58" s="1" t="str">
        <f>IFERROR(Backend!$M58*VLOOKUP($F58,'OH,Profit &amp; Other Base'!$A:$V,Backend!X$6,0),"")</f>
        <v/>
      </c>
      <c r="Y58" s="1" t="str">
        <f>IFERROR(Backend!$L58*VLOOKUP($F58,'OH,Profit &amp; Other Base'!$A:$V,Backend!Y$6,0),"")</f>
        <v/>
      </c>
      <c r="Z58" s="1" t="str">
        <f>IFERROR(Backend!$M58*VLOOKUP($F58,'OH,Profit &amp; Other Base'!$A:$V,Backend!Z$6,0),"")</f>
        <v/>
      </c>
      <c r="AA58" s="1" t="str">
        <f>IFERROR(Backend!$L58*VLOOKUP($F58,'OH,Profit &amp; Other Base'!$A:$V,Backend!AA$6,0),"")</f>
        <v/>
      </c>
      <c r="AB58" s="1" t="str">
        <f>IFERROR(Backend!$M58*VLOOKUP($F58,'OH,Profit &amp; Other Base'!$A:$V,Backend!AB$6,0),"")</f>
        <v/>
      </c>
      <c r="AC58" s="1" t="str">
        <f>IFERROR(Backend!$L58*VLOOKUP($F58,'OH,Profit &amp; Other Base'!$A:$V,Backend!AC$6,0),"")</f>
        <v/>
      </c>
      <c r="AD58" s="1" t="str">
        <f>IFERROR(Backend!$M58*VLOOKUP($F58,'OH,Profit &amp; Other Base'!$A:$V,Backend!AD$6,0),"")</f>
        <v/>
      </c>
      <c r="AE58" s="1" t="str">
        <f>IFERROR(Backend!$L58*VLOOKUP($F58,'OH,Profit &amp; Other Base'!$A:$V,Backend!AE$6,0),"")</f>
        <v/>
      </c>
      <c r="AF58" s="1" t="str">
        <f>IFERROR(Backend!$M58*VLOOKUP($F58,'OH,Profit &amp; Other Base'!$A:$V,Backend!AF$6,0),"")</f>
        <v/>
      </c>
      <c r="AG58" s="1" t="str">
        <f>IFERROR(Backend!$L58*VLOOKUP($F58,'OH,Profit &amp; Other Base'!$A:$V,Backend!AG$6,0),"")</f>
        <v/>
      </c>
      <c r="AH58" s="1" t="str">
        <f>IFERROR(Backend!$M58*VLOOKUP($F58,'OH,Profit &amp; Other Base'!$A:$V,Backend!AH$6,0),"")</f>
        <v/>
      </c>
      <c r="AI58" s="3">
        <f t="shared" si="2"/>
        <v>0</v>
      </c>
      <c r="AL58" s="1" t="str">
        <f t="shared" si="3"/>
        <v/>
      </c>
      <c r="AM58" s="1" t="str">
        <f t="shared" si="4"/>
        <v/>
      </c>
      <c r="AN58" s="1" t="str">
        <f t="shared" si="5"/>
        <v/>
      </c>
      <c r="AO58" s="1" t="str">
        <f t="shared" si="6"/>
        <v/>
      </c>
      <c r="AP58" s="1" t="str">
        <f>IFERROR(ROUND(Backend!$AL58*VLOOKUP($F58,'OH,Profit &amp; Other Base'!$A:$V,Backend!AP$6,0),5),"")</f>
        <v/>
      </c>
      <c r="AQ58" s="1" t="str">
        <f>IFERROR(ROUND(Backend!$AO58*VLOOKUP($F58,'OH,Profit &amp; Other Base'!$A:$V,Backend!AQ$6,0),5),"")</f>
        <v/>
      </c>
      <c r="AR58" s="1" t="str">
        <f>IFERROR(ROUND(Backend!$AM58*VLOOKUP($F58,'OH,Profit &amp; Other Base'!$A:$V,Backend!AR$6,0),5),"")</f>
        <v/>
      </c>
      <c r="AS58" s="1" t="str">
        <f>IFERROR(ROUND(Backend!$AL58*VLOOKUP($F58,'OH,Profit &amp; Other Base'!$A:$V,Backend!AS$6,0),5),"")</f>
        <v/>
      </c>
      <c r="AT58" s="1" t="str">
        <f>IFERROR(ROUND(Backend!$AO58*VLOOKUP($F58,'OH,Profit &amp; Other Base'!$A:$V,Backend!AT$6,0),5),"")</f>
        <v/>
      </c>
      <c r="AU58" s="1" t="str">
        <f>IFERROR(ROUND(Backend!$AM58*VLOOKUP($F58,'OH,Profit &amp; Other Base'!$A:$V,Backend!AU$6,0),5),"")</f>
        <v/>
      </c>
      <c r="AV58" s="1" t="str">
        <f>IFERROR(ROUND(Backend!$AL58*VLOOKUP($F58,'OH,Profit &amp; Other Base'!$A:$V,Backend!AV$6,0),5),"")</f>
        <v/>
      </c>
      <c r="AW58" s="1" t="str">
        <f>IFERROR(ROUND(Backend!$AO58*VLOOKUP($F58,'OH,Profit &amp; Other Base'!$A:$V,Backend!AW$6,0),5),"")</f>
        <v/>
      </c>
      <c r="AX58" s="1" t="str">
        <f>IFERROR(ROUND(Backend!$AM58*VLOOKUP($F58,'OH,Profit &amp; Other Base'!$A:$V,Backend!AX$6,0),5),"")</f>
        <v/>
      </c>
      <c r="AY58" s="1" t="str">
        <f>IFERROR(ROUND(Backend!$AL58*VLOOKUP($F58,'OH,Profit &amp; Other Base'!$A:$V,Backend!AY$6,0),5),"")</f>
        <v/>
      </c>
      <c r="AZ58" s="1" t="str">
        <f>IFERROR(ROUND(Backend!$AO58*VLOOKUP($F58,'OH,Profit &amp; Other Base'!$A:$V,Backend!AZ$6,0),5),"")</f>
        <v/>
      </c>
      <c r="BA58" s="1" t="str">
        <f>IFERROR(ROUND(Backend!$AM58*VLOOKUP($F58,'OH,Profit &amp; Other Base'!$A:$V,Backend!BA$6,0),5),"")</f>
        <v/>
      </c>
      <c r="BB58" s="1" t="str">
        <f>IFERROR(ROUND(Backend!$AL58*VLOOKUP($F58,'OH,Profit &amp; Other Base'!$A:$V,Backend!BB$6,0),5),"")</f>
        <v/>
      </c>
      <c r="BC58" s="1" t="str">
        <f>IFERROR(ROUND(Backend!$AO58*VLOOKUP($F58,'OH,Profit &amp; Other Base'!$A:$V,Backend!BC$6,0),5),"")</f>
        <v/>
      </c>
      <c r="BD58" s="1" t="str">
        <f>IFERROR(ROUND(Backend!$AM58*VLOOKUP($F58,'OH,Profit &amp; Other Base'!$A:$V,Backend!BD$6,0),5),"")</f>
        <v/>
      </c>
      <c r="BE58" s="1" t="str">
        <f>IFERROR(ROUND(Backend!$AL58*VLOOKUP($F58,'OH,Profit &amp; Other Base'!$A:$V,Backend!BE$6,0),5),"")</f>
        <v/>
      </c>
      <c r="BF58" s="1" t="str">
        <f>IFERROR(ROUND(Backend!$AO58*VLOOKUP($F58,'OH,Profit &amp; Other Base'!$A:$V,Backend!BF$6,0),5),"")</f>
        <v/>
      </c>
      <c r="BG58" s="1" t="str">
        <f>IFERROR(ROUND(Backend!$AM58*VLOOKUP($F58,'OH,Profit &amp; Other Base'!$A:$V,Backend!BG$6,0),5),"")</f>
        <v/>
      </c>
      <c r="BH58" s="1" t="str">
        <f>IFERROR(ROUND(Backend!$AL58*VLOOKUP($F58,'OH,Profit &amp; Other Base'!$A:$V,Backend!BH$6,0),5),"")</f>
        <v/>
      </c>
      <c r="BI58" s="1" t="str">
        <f>IFERROR(ROUND(Backend!$AO58*VLOOKUP($F58,'OH,Profit &amp; Other Base'!$A:$V,Backend!BI$6,0),5),"")</f>
        <v/>
      </c>
      <c r="BJ58" s="1" t="str">
        <f>IFERROR(ROUND(Backend!$AM58*VLOOKUP($F58,'OH,Profit &amp; Other Base'!$A:$V,Backend!BJ$6,0),5),"")</f>
        <v/>
      </c>
      <c r="BK58" s="3">
        <f>SUM(AN58:BJ58,Backend!O58)</f>
        <v>0</v>
      </c>
    </row>
    <row r="59" spans="1:63">
      <c r="A59" s="1">
        <f>BOM!A54</f>
        <v>0</v>
      </c>
      <c r="B59" s="1">
        <f>BOM!B54</f>
        <v>0</v>
      </c>
      <c r="C59" s="1">
        <f>BOM!C54</f>
        <v>0</v>
      </c>
      <c r="D59" s="1">
        <f>BOM!D54</f>
        <v>0</v>
      </c>
      <c r="E59" s="1">
        <f>BOM!F54</f>
        <v>0</v>
      </c>
      <c r="F59" s="1" t="str">
        <f>IF(H59="CSC",BOM!H54,IF(J59="BOFOthers","Sheet Metal-B",""))</f>
        <v/>
      </c>
      <c r="G59" s="1">
        <f>BOM!I54</f>
        <v>0</v>
      </c>
      <c r="H59" s="1">
        <f>BOM!J54</f>
        <v>0</v>
      </c>
      <c r="I59" s="1" t="str">
        <f t="shared" si="0"/>
        <v>Others</v>
      </c>
      <c r="J59" s="1" t="str">
        <f t="shared" si="1"/>
        <v>0Others</v>
      </c>
      <c r="K59" s="3" t="str">
        <f>IF($J59="InhouseCSC",VLOOKUP($D59,Group!$C:$E,3,0),"")</f>
        <v/>
      </c>
      <c r="L59" s="3" t="str">
        <f>IF(OR($J59="BOSFCSC",$J59="BOFCSC"),VLOOKUP($D59,Group!$C:$E,3,0),"")</f>
        <v/>
      </c>
      <c r="M59" s="3" t="str">
        <f>IF(OR($J59="BOSFCSC",$J59="BOFCSC"),VLOOKUP($D59,Group!$C:$F,4,0),"")</f>
        <v/>
      </c>
      <c r="N59" s="3" t="str">
        <f>IF(OR($J59="InhouseCSC",$J59="BOSFCSC"),VLOOKUP($D59,Group!$C:$G,5,0),"")</f>
        <v/>
      </c>
      <c r="O59" s="3" t="str">
        <f>IF($J59="InhouseCSC",ROUND(VLOOKUP($D59,Group!$C:$H,6,0),5),"")</f>
        <v/>
      </c>
      <c r="P59" s="3" t="str">
        <f>IF(OR($J59="BOSFCSC",$J59="BOFCSC"),VLOOKUP($D59,Group!$C:$H,6,0),"")</f>
        <v/>
      </c>
      <c r="Q59" s="1" t="str">
        <f>IF($J59="Inhouseothers",VLOOKUP($D59,Group!$C:$E,3,0),"")</f>
        <v/>
      </c>
      <c r="R59" s="1" t="str">
        <f>IF($J59="BOSFOthers",VLOOKUP($D59,Group!$C:$E,3,0),"")</f>
        <v/>
      </c>
      <c r="S59" s="3" t="str">
        <f>IF($J59="BOFOthers",VLOOKUP($D59,Group!$C:$E,3,0),"")</f>
        <v/>
      </c>
      <c r="U59" s="1" t="str">
        <f>IFERROR(Backend!$L59*VLOOKUP($F59,'OH,Profit &amp; Other Base'!$A:$V,Backend!U$6,0),"")</f>
        <v/>
      </c>
      <c r="V59" s="1" t="str">
        <f>IFERROR(Backend!$M59*VLOOKUP($F59,'OH,Profit &amp; Other Base'!$A:$V,Backend!V$6,0),"")</f>
        <v/>
      </c>
      <c r="W59" s="1" t="str">
        <f>IFERROR(Backend!$L59*VLOOKUP($F59,'OH,Profit &amp; Other Base'!$A:$V,Backend!W$6,0),"")</f>
        <v/>
      </c>
      <c r="X59" s="1" t="str">
        <f>IFERROR(Backend!$M59*VLOOKUP($F59,'OH,Profit &amp; Other Base'!$A:$V,Backend!X$6,0),"")</f>
        <v/>
      </c>
      <c r="Y59" s="1" t="str">
        <f>IFERROR(Backend!$L59*VLOOKUP($F59,'OH,Profit &amp; Other Base'!$A:$V,Backend!Y$6,0),"")</f>
        <v/>
      </c>
      <c r="Z59" s="1" t="str">
        <f>IFERROR(Backend!$M59*VLOOKUP($F59,'OH,Profit &amp; Other Base'!$A:$V,Backend!Z$6,0),"")</f>
        <v/>
      </c>
      <c r="AA59" s="1" t="str">
        <f>IFERROR(Backend!$L59*VLOOKUP($F59,'OH,Profit &amp; Other Base'!$A:$V,Backend!AA$6,0),"")</f>
        <v/>
      </c>
      <c r="AB59" s="1" t="str">
        <f>IFERROR(Backend!$M59*VLOOKUP($F59,'OH,Profit &amp; Other Base'!$A:$V,Backend!AB$6,0),"")</f>
        <v/>
      </c>
      <c r="AC59" s="1" t="str">
        <f>IFERROR(Backend!$L59*VLOOKUP($F59,'OH,Profit &amp; Other Base'!$A:$V,Backend!AC$6,0),"")</f>
        <v/>
      </c>
      <c r="AD59" s="1" t="str">
        <f>IFERROR(Backend!$M59*VLOOKUP($F59,'OH,Profit &amp; Other Base'!$A:$V,Backend!AD$6,0),"")</f>
        <v/>
      </c>
      <c r="AE59" s="1" t="str">
        <f>IFERROR(Backend!$L59*VLOOKUP($F59,'OH,Profit &amp; Other Base'!$A:$V,Backend!AE$6,0),"")</f>
        <v/>
      </c>
      <c r="AF59" s="1" t="str">
        <f>IFERROR(Backend!$M59*VLOOKUP($F59,'OH,Profit &amp; Other Base'!$A:$V,Backend!AF$6,0),"")</f>
        <v/>
      </c>
      <c r="AG59" s="1" t="str">
        <f>IFERROR(Backend!$L59*VLOOKUP($F59,'OH,Profit &amp; Other Base'!$A:$V,Backend!AG$6,0),"")</f>
        <v/>
      </c>
      <c r="AH59" s="1" t="str">
        <f>IFERROR(Backend!$M59*VLOOKUP($F59,'OH,Profit &amp; Other Base'!$A:$V,Backend!AH$6,0),"")</f>
        <v/>
      </c>
      <c r="AI59" s="3">
        <f t="shared" si="2"/>
        <v>0</v>
      </c>
      <c r="AL59" s="1" t="str">
        <f t="shared" si="3"/>
        <v/>
      </c>
      <c r="AM59" s="1" t="str">
        <f t="shared" si="4"/>
        <v/>
      </c>
      <c r="AN59" s="1" t="str">
        <f t="shared" si="5"/>
        <v/>
      </c>
      <c r="AO59" s="1" t="str">
        <f t="shared" si="6"/>
        <v/>
      </c>
      <c r="AP59" s="1" t="str">
        <f>IFERROR(ROUND(Backend!$AL59*VLOOKUP($F59,'OH,Profit &amp; Other Base'!$A:$V,Backend!AP$6,0),5),"")</f>
        <v/>
      </c>
      <c r="AQ59" s="1" t="str">
        <f>IFERROR(ROUND(Backend!$AO59*VLOOKUP($F59,'OH,Profit &amp; Other Base'!$A:$V,Backend!AQ$6,0),5),"")</f>
        <v/>
      </c>
      <c r="AR59" s="1" t="str">
        <f>IFERROR(ROUND(Backend!$AM59*VLOOKUP($F59,'OH,Profit &amp; Other Base'!$A:$V,Backend!AR$6,0),5),"")</f>
        <v/>
      </c>
      <c r="AS59" s="1" t="str">
        <f>IFERROR(ROUND(Backend!$AL59*VLOOKUP($F59,'OH,Profit &amp; Other Base'!$A:$V,Backend!AS$6,0),5),"")</f>
        <v/>
      </c>
      <c r="AT59" s="1" t="str">
        <f>IFERROR(ROUND(Backend!$AO59*VLOOKUP($F59,'OH,Profit &amp; Other Base'!$A:$V,Backend!AT$6,0),5),"")</f>
        <v/>
      </c>
      <c r="AU59" s="1" t="str">
        <f>IFERROR(ROUND(Backend!$AM59*VLOOKUP($F59,'OH,Profit &amp; Other Base'!$A:$V,Backend!AU$6,0),5),"")</f>
        <v/>
      </c>
      <c r="AV59" s="1" t="str">
        <f>IFERROR(ROUND(Backend!$AL59*VLOOKUP($F59,'OH,Profit &amp; Other Base'!$A:$V,Backend!AV$6,0),5),"")</f>
        <v/>
      </c>
      <c r="AW59" s="1" t="str">
        <f>IFERROR(ROUND(Backend!$AO59*VLOOKUP($F59,'OH,Profit &amp; Other Base'!$A:$V,Backend!AW$6,0),5),"")</f>
        <v/>
      </c>
      <c r="AX59" s="1" t="str">
        <f>IFERROR(ROUND(Backend!$AM59*VLOOKUP($F59,'OH,Profit &amp; Other Base'!$A:$V,Backend!AX$6,0),5),"")</f>
        <v/>
      </c>
      <c r="AY59" s="1" t="str">
        <f>IFERROR(ROUND(Backend!$AL59*VLOOKUP($F59,'OH,Profit &amp; Other Base'!$A:$V,Backend!AY$6,0),5),"")</f>
        <v/>
      </c>
      <c r="AZ59" s="1" t="str">
        <f>IFERROR(ROUND(Backend!$AO59*VLOOKUP($F59,'OH,Profit &amp; Other Base'!$A:$V,Backend!AZ$6,0),5),"")</f>
        <v/>
      </c>
      <c r="BA59" s="1" t="str">
        <f>IFERROR(ROUND(Backend!$AM59*VLOOKUP($F59,'OH,Profit &amp; Other Base'!$A:$V,Backend!BA$6,0),5),"")</f>
        <v/>
      </c>
      <c r="BB59" s="1" t="str">
        <f>IFERROR(ROUND(Backend!$AL59*VLOOKUP($F59,'OH,Profit &amp; Other Base'!$A:$V,Backend!BB$6,0),5),"")</f>
        <v/>
      </c>
      <c r="BC59" s="1" t="str">
        <f>IFERROR(ROUND(Backend!$AO59*VLOOKUP($F59,'OH,Profit &amp; Other Base'!$A:$V,Backend!BC$6,0),5),"")</f>
        <v/>
      </c>
      <c r="BD59" s="1" t="str">
        <f>IFERROR(ROUND(Backend!$AM59*VLOOKUP($F59,'OH,Profit &amp; Other Base'!$A:$V,Backend!BD$6,0),5),"")</f>
        <v/>
      </c>
      <c r="BE59" s="1" t="str">
        <f>IFERROR(ROUND(Backend!$AL59*VLOOKUP($F59,'OH,Profit &amp; Other Base'!$A:$V,Backend!BE$6,0),5),"")</f>
        <v/>
      </c>
      <c r="BF59" s="1" t="str">
        <f>IFERROR(ROUND(Backend!$AO59*VLOOKUP($F59,'OH,Profit &amp; Other Base'!$A:$V,Backend!BF$6,0),5),"")</f>
        <v/>
      </c>
      <c r="BG59" s="1" t="str">
        <f>IFERROR(ROUND(Backend!$AM59*VLOOKUP($F59,'OH,Profit &amp; Other Base'!$A:$V,Backend!BG$6,0),5),"")</f>
        <v/>
      </c>
      <c r="BH59" s="1" t="str">
        <f>IFERROR(ROUND(Backend!$AL59*VLOOKUP($F59,'OH,Profit &amp; Other Base'!$A:$V,Backend!BH$6,0),5),"")</f>
        <v/>
      </c>
      <c r="BI59" s="1" t="str">
        <f>IFERROR(ROUND(Backend!$AO59*VLOOKUP($F59,'OH,Profit &amp; Other Base'!$A:$V,Backend!BI$6,0),5),"")</f>
        <v/>
      </c>
      <c r="BJ59" s="1" t="str">
        <f>IFERROR(ROUND(Backend!$AM59*VLOOKUP($F59,'OH,Profit &amp; Other Base'!$A:$V,Backend!BJ$6,0),5),"")</f>
        <v/>
      </c>
      <c r="BK59" s="3">
        <f>SUM(AN59:BJ59,Backend!O59)</f>
        <v>0</v>
      </c>
    </row>
    <row r="60" spans="1:63">
      <c r="A60" s="1">
        <f>BOM!A55</f>
        <v>0</v>
      </c>
      <c r="B60" s="1">
        <f>BOM!B55</f>
        <v>0</v>
      </c>
      <c r="C60" s="1">
        <f>BOM!C55</f>
        <v>0</v>
      </c>
      <c r="D60" s="1">
        <f>BOM!D55</f>
        <v>0</v>
      </c>
      <c r="E60" s="1">
        <f>BOM!F55</f>
        <v>0</v>
      </c>
      <c r="F60" s="1" t="str">
        <f>IF(H60="CSC",BOM!H55,IF(J60="BOFOthers","Sheet Metal-B",""))</f>
        <v/>
      </c>
      <c r="G60" s="1">
        <f>BOM!I55</f>
        <v>0</v>
      </c>
      <c r="H60" s="1">
        <f>BOM!J55</f>
        <v>0</v>
      </c>
      <c r="I60" s="1" t="str">
        <f t="shared" si="0"/>
        <v>Others</v>
      </c>
      <c r="J60" s="1" t="str">
        <f t="shared" si="1"/>
        <v>0Others</v>
      </c>
      <c r="K60" s="3" t="str">
        <f>IF($J60="InhouseCSC",VLOOKUP($D60,Group!$C:$E,3,0),"")</f>
        <v/>
      </c>
      <c r="L60" s="3" t="str">
        <f>IF(OR($J60="BOSFCSC",$J60="BOFCSC"),VLOOKUP($D60,Group!$C:$E,3,0),"")</f>
        <v/>
      </c>
      <c r="M60" s="3" t="str">
        <f>IF(OR($J60="BOSFCSC",$J60="BOFCSC"),VLOOKUP($D60,Group!$C:$F,4,0),"")</f>
        <v/>
      </c>
      <c r="N60" s="3" t="str">
        <f>IF(OR($J60="InhouseCSC",$J60="BOSFCSC"),VLOOKUP($D60,Group!$C:$G,5,0),"")</f>
        <v/>
      </c>
      <c r="O60" s="3" t="str">
        <f>IF($J60="InhouseCSC",ROUND(VLOOKUP($D60,Group!$C:$H,6,0),5),"")</f>
        <v/>
      </c>
      <c r="P60" s="3" t="str">
        <f>IF(OR($J60="BOSFCSC",$J60="BOFCSC"),VLOOKUP($D60,Group!$C:$H,6,0),"")</f>
        <v/>
      </c>
      <c r="Q60" s="1" t="str">
        <f>IF($J60="Inhouseothers",VLOOKUP($D60,Group!$C:$E,3,0),"")</f>
        <v/>
      </c>
      <c r="R60" s="1" t="str">
        <f>IF($J60="BOSFOthers",VLOOKUP($D60,Group!$C:$E,3,0),"")</f>
        <v/>
      </c>
      <c r="S60" s="3" t="str">
        <f>IF($J60="BOFOthers",VLOOKUP($D60,Group!$C:$E,3,0),"")</f>
        <v/>
      </c>
      <c r="U60" s="1" t="str">
        <f>IFERROR(Backend!$L60*VLOOKUP($F60,'OH,Profit &amp; Other Base'!$A:$V,Backend!U$6,0),"")</f>
        <v/>
      </c>
      <c r="V60" s="1" t="str">
        <f>IFERROR(Backend!$M60*VLOOKUP($F60,'OH,Profit &amp; Other Base'!$A:$V,Backend!V$6,0),"")</f>
        <v/>
      </c>
      <c r="W60" s="1" t="str">
        <f>IFERROR(Backend!$L60*VLOOKUP($F60,'OH,Profit &amp; Other Base'!$A:$V,Backend!W$6,0),"")</f>
        <v/>
      </c>
      <c r="X60" s="1" t="str">
        <f>IFERROR(Backend!$M60*VLOOKUP($F60,'OH,Profit &amp; Other Base'!$A:$V,Backend!X$6,0),"")</f>
        <v/>
      </c>
      <c r="Y60" s="1" t="str">
        <f>IFERROR(Backend!$L60*VLOOKUP($F60,'OH,Profit &amp; Other Base'!$A:$V,Backend!Y$6,0),"")</f>
        <v/>
      </c>
      <c r="Z60" s="1" t="str">
        <f>IFERROR(Backend!$M60*VLOOKUP($F60,'OH,Profit &amp; Other Base'!$A:$V,Backend!Z$6,0),"")</f>
        <v/>
      </c>
      <c r="AA60" s="1" t="str">
        <f>IFERROR(Backend!$L60*VLOOKUP($F60,'OH,Profit &amp; Other Base'!$A:$V,Backend!AA$6,0),"")</f>
        <v/>
      </c>
      <c r="AB60" s="1" t="str">
        <f>IFERROR(Backend!$M60*VLOOKUP($F60,'OH,Profit &amp; Other Base'!$A:$V,Backend!AB$6,0),"")</f>
        <v/>
      </c>
      <c r="AC60" s="1" t="str">
        <f>IFERROR(Backend!$L60*VLOOKUP($F60,'OH,Profit &amp; Other Base'!$A:$V,Backend!AC$6,0),"")</f>
        <v/>
      </c>
      <c r="AD60" s="1" t="str">
        <f>IFERROR(Backend!$M60*VLOOKUP($F60,'OH,Profit &amp; Other Base'!$A:$V,Backend!AD$6,0),"")</f>
        <v/>
      </c>
      <c r="AE60" s="1" t="str">
        <f>IFERROR(Backend!$L60*VLOOKUP($F60,'OH,Profit &amp; Other Base'!$A:$V,Backend!AE$6,0),"")</f>
        <v/>
      </c>
      <c r="AF60" s="1" t="str">
        <f>IFERROR(Backend!$M60*VLOOKUP($F60,'OH,Profit &amp; Other Base'!$A:$V,Backend!AF$6,0),"")</f>
        <v/>
      </c>
      <c r="AG60" s="1" t="str">
        <f>IFERROR(Backend!$L60*VLOOKUP($F60,'OH,Profit &amp; Other Base'!$A:$V,Backend!AG$6,0),"")</f>
        <v/>
      </c>
      <c r="AH60" s="1" t="str">
        <f>IFERROR(Backend!$M60*VLOOKUP($F60,'OH,Profit &amp; Other Base'!$A:$V,Backend!AH$6,0),"")</f>
        <v/>
      </c>
      <c r="AI60" s="3">
        <f t="shared" si="2"/>
        <v>0</v>
      </c>
      <c r="AL60" s="1" t="str">
        <f t="shared" si="3"/>
        <v/>
      </c>
      <c r="AM60" s="1" t="str">
        <f t="shared" si="4"/>
        <v/>
      </c>
      <c r="AN60" s="1" t="str">
        <f t="shared" si="5"/>
        <v/>
      </c>
      <c r="AO60" s="1" t="str">
        <f t="shared" si="6"/>
        <v/>
      </c>
      <c r="AP60" s="1" t="str">
        <f>IFERROR(ROUND(Backend!$AL60*VLOOKUP($F60,'OH,Profit &amp; Other Base'!$A:$V,Backend!AP$6,0),5),"")</f>
        <v/>
      </c>
      <c r="AQ60" s="1" t="str">
        <f>IFERROR(ROUND(Backend!$AO60*VLOOKUP($F60,'OH,Profit &amp; Other Base'!$A:$V,Backend!AQ$6,0),5),"")</f>
        <v/>
      </c>
      <c r="AR60" s="1" t="str">
        <f>IFERROR(ROUND(Backend!$AM60*VLOOKUP($F60,'OH,Profit &amp; Other Base'!$A:$V,Backend!AR$6,0),5),"")</f>
        <v/>
      </c>
      <c r="AS60" s="1" t="str">
        <f>IFERROR(ROUND(Backend!$AL60*VLOOKUP($F60,'OH,Profit &amp; Other Base'!$A:$V,Backend!AS$6,0),5),"")</f>
        <v/>
      </c>
      <c r="AT60" s="1" t="str">
        <f>IFERROR(ROUND(Backend!$AO60*VLOOKUP($F60,'OH,Profit &amp; Other Base'!$A:$V,Backend!AT$6,0),5),"")</f>
        <v/>
      </c>
      <c r="AU60" s="1" t="str">
        <f>IFERROR(ROUND(Backend!$AM60*VLOOKUP($F60,'OH,Profit &amp; Other Base'!$A:$V,Backend!AU$6,0),5),"")</f>
        <v/>
      </c>
      <c r="AV60" s="1" t="str">
        <f>IFERROR(ROUND(Backend!$AL60*VLOOKUP($F60,'OH,Profit &amp; Other Base'!$A:$V,Backend!AV$6,0),5),"")</f>
        <v/>
      </c>
      <c r="AW60" s="1" t="str">
        <f>IFERROR(ROUND(Backend!$AO60*VLOOKUP($F60,'OH,Profit &amp; Other Base'!$A:$V,Backend!AW$6,0),5),"")</f>
        <v/>
      </c>
      <c r="AX60" s="1" t="str">
        <f>IFERROR(ROUND(Backend!$AM60*VLOOKUP($F60,'OH,Profit &amp; Other Base'!$A:$V,Backend!AX$6,0),5),"")</f>
        <v/>
      </c>
      <c r="AY60" s="1" t="str">
        <f>IFERROR(ROUND(Backend!$AL60*VLOOKUP($F60,'OH,Profit &amp; Other Base'!$A:$V,Backend!AY$6,0),5),"")</f>
        <v/>
      </c>
      <c r="AZ60" s="1" t="str">
        <f>IFERROR(ROUND(Backend!$AO60*VLOOKUP($F60,'OH,Profit &amp; Other Base'!$A:$V,Backend!AZ$6,0),5),"")</f>
        <v/>
      </c>
      <c r="BA60" s="1" t="str">
        <f>IFERROR(ROUND(Backend!$AM60*VLOOKUP($F60,'OH,Profit &amp; Other Base'!$A:$V,Backend!BA$6,0),5),"")</f>
        <v/>
      </c>
      <c r="BB60" s="1" t="str">
        <f>IFERROR(ROUND(Backend!$AL60*VLOOKUP($F60,'OH,Profit &amp; Other Base'!$A:$V,Backend!BB$6,0),5),"")</f>
        <v/>
      </c>
      <c r="BC60" s="1" t="str">
        <f>IFERROR(ROUND(Backend!$AO60*VLOOKUP($F60,'OH,Profit &amp; Other Base'!$A:$V,Backend!BC$6,0),5),"")</f>
        <v/>
      </c>
      <c r="BD60" s="1" t="str">
        <f>IFERROR(ROUND(Backend!$AM60*VLOOKUP($F60,'OH,Profit &amp; Other Base'!$A:$V,Backend!BD$6,0),5),"")</f>
        <v/>
      </c>
      <c r="BE60" s="1" t="str">
        <f>IFERROR(ROUND(Backend!$AL60*VLOOKUP($F60,'OH,Profit &amp; Other Base'!$A:$V,Backend!BE$6,0),5),"")</f>
        <v/>
      </c>
      <c r="BF60" s="1" t="str">
        <f>IFERROR(ROUND(Backend!$AO60*VLOOKUP($F60,'OH,Profit &amp; Other Base'!$A:$V,Backend!BF$6,0),5),"")</f>
        <v/>
      </c>
      <c r="BG60" s="1" t="str">
        <f>IFERROR(ROUND(Backend!$AM60*VLOOKUP($F60,'OH,Profit &amp; Other Base'!$A:$V,Backend!BG$6,0),5),"")</f>
        <v/>
      </c>
      <c r="BH60" s="1" t="str">
        <f>IFERROR(ROUND(Backend!$AL60*VLOOKUP($F60,'OH,Profit &amp; Other Base'!$A:$V,Backend!BH$6,0),5),"")</f>
        <v/>
      </c>
      <c r="BI60" s="1" t="str">
        <f>IFERROR(ROUND(Backend!$AO60*VLOOKUP($F60,'OH,Profit &amp; Other Base'!$A:$V,Backend!BI$6,0),5),"")</f>
        <v/>
      </c>
      <c r="BJ60" s="1" t="str">
        <f>IFERROR(ROUND(Backend!$AM60*VLOOKUP($F60,'OH,Profit &amp; Other Base'!$A:$V,Backend!BJ$6,0),5),"")</f>
        <v/>
      </c>
      <c r="BK60" s="3">
        <f>SUM(AN60:BJ60,Backend!O60)</f>
        <v>0</v>
      </c>
    </row>
    <row r="61" spans="1:63">
      <c r="A61" s="1">
        <f>BOM!A56</f>
        <v>0</v>
      </c>
      <c r="B61" s="1">
        <f>BOM!B56</f>
        <v>0</v>
      </c>
      <c r="C61" s="1">
        <f>BOM!C56</f>
        <v>0</v>
      </c>
      <c r="D61" s="1">
        <f>BOM!D56</f>
        <v>0</v>
      </c>
      <c r="E61" s="1">
        <f>BOM!F56</f>
        <v>0</v>
      </c>
      <c r="F61" s="1" t="str">
        <f>IF(H61="CSC",BOM!H56,IF(J61="BOFOthers","Sheet Metal-B",""))</f>
        <v/>
      </c>
      <c r="G61" s="1">
        <f>BOM!I56</f>
        <v>0</v>
      </c>
      <c r="H61" s="1">
        <f>BOM!J56</f>
        <v>0</v>
      </c>
      <c r="I61" s="1" t="str">
        <f t="shared" si="0"/>
        <v>Others</v>
      </c>
      <c r="J61" s="1" t="str">
        <f t="shared" si="1"/>
        <v>0Others</v>
      </c>
      <c r="K61" s="3" t="str">
        <f>IF($J61="InhouseCSC",VLOOKUP($D61,Group!$C:$E,3,0),"")</f>
        <v/>
      </c>
      <c r="L61" s="3" t="str">
        <f>IF(OR($J61="BOSFCSC",$J61="BOFCSC"),VLOOKUP($D61,Group!$C:$E,3,0),"")</f>
        <v/>
      </c>
      <c r="M61" s="3" t="str">
        <f>IF(OR($J61="BOSFCSC",$J61="BOFCSC"),VLOOKUP($D61,Group!$C:$F,4,0),"")</f>
        <v/>
      </c>
      <c r="N61" s="3" t="str">
        <f>IF(OR($J61="InhouseCSC",$J61="BOSFCSC"),VLOOKUP($D61,Group!$C:$G,5,0),"")</f>
        <v/>
      </c>
      <c r="O61" s="3" t="str">
        <f>IF($J61="InhouseCSC",ROUND(VLOOKUP($D61,Group!$C:$H,6,0),5),"")</f>
        <v/>
      </c>
      <c r="P61" s="3" t="str">
        <f>IF(OR($J61="BOSFCSC",$J61="BOFCSC"),VLOOKUP($D61,Group!$C:$H,6,0),"")</f>
        <v/>
      </c>
      <c r="Q61" s="1" t="str">
        <f>IF($J61="Inhouseothers",VLOOKUP($D61,Group!$C:$E,3,0),"")</f>
        <v/>
      </c>
      <c r="R61" s="1" t="str">
        <f>IF($J61="BOSFOthers",VLOOKUP($D61,Group!$C:$E,3,0),"")</f>
        <v/>
      </c>
      <c r="S61" s="3" t="str">
        <f>IF($J61="BOFOthers",VLOOKUP($D61,Group!$C:$E,3,0),"")</f>
        <v/>
      </c>
      <c r="U61" s="1" t="str">
        <f>IFERROR(Backend!$L61*VLOOKUP($F61,'OH,Profit &amp; Other Base'!$A:$V,Backend!U$6,0),"")</f>
        <v/>
      </c>
      <c r="V61" s="1" t="str">
        <f>IFERROR(Backend!$M61*VLOOKUP($F61,'OH,Profit &amp; Other Base'!$A:$V,Backend!V$6,0),"")</f>
        <v/>
      </c>
      <c r="W61" s="1" t="str">
        <f>IFERROR(Backend!$L61*VLOOKUP($F61,'OH,Profit &amp; Other Base'!$A:$V,Backend!W$6,0),"")</f>
        <v/>
      </c>
      <c r="X61" s="1" t="str">
        <f>IFERROR(Backend!$M61*VLOOKUP($F61,'OH,Profit &amp; Other Base'!$A:$V,Backend!X$6,0),"")</f>
        <v/>
      </c>
      <c r="Y61" s="1" t="str">
        <f>IFERROR(Backend!$L61*VLOOKUP($F61,'OH,Profit &amp; Other Base'!$A:$V,Backend!Y$6,0),"")</f>
        <v/>
      </c>
      <c r="Z61" s="1" t="str">
        <f>IFERROR(Backend!$M61*VLOOKUP($F61,'OH,Profit &amp; Other Base'!$A:$V,Backend!Z$6,0),"")</f>
        <v/>
      </c>
      <c r="AA61" s="1" t="str">
        <f>IFERROR(Backend!$L61*VLOOKUP($F61,'OH,Profit &amp; Other Base'!$A:$V,Backend!AA$6,0),"")</f>
        <v/>
      </c>
      <c r="AB61" s="1" t="str">
        <f>IFERROR(Backend!$M61*VLOOKUP($F61,'OH,Profit &amp; Other Base'!$A:$V,Backend!AB$6,0),"")</f>
        <v/>
      </c>
      <c r="AC61" s="1" t="str">
        <f>IFERROR(Backend!$L61*VLOOKUP($F61,'OH,Profit &amp; Other Base'!$A:$V,Backend!AC$6,0),"")</f>
        <v/>
      </c>
      <c r="AD61" s="1" t="str">
        <f>IFERROR(Backend!$M61*VLOOKUP($F61,'OH,Profit &amp; Other Base'!$A:$V,Backend!AD$6,0),"")</f>
        <v/>
      </c>
      <c r="AE61" s="1" t="str">
        <f>IFERROR(Backend!$L61*VLOOKUP($F61,'OH,Profit &amp; Other Base'!$A:$V,Backend!AE$6,0),"")</f>
        <v/>
      </c>
      <c r="AF61" s="1" t="str">
        <f>IFERROR(Backend!$M61*VLOOKUP($F61,'OH,Profit &amp; Other Base'!$A:$V,Backend!AF$6,0),"")</f>
        <v/>
      </c>
      <c r="AG61" s="1" t="str">
        <f>IFERROR(Backend!$L61*VLOOKUP($F61,'OH,Profit &amp; Other Base'!$A:$V,Backend!AG$6,0),"")</f>
        <v/>
      </c>
      <c r="AH61" s="1" t="str">
        <f>IFERROR(Backend!$M61*VLOOKUP($F61,'OH,Profit &amp; Other Base'!$A:$V,Backend!AH$6,0),"")</f>
        <v/>
      </c>
      <c r="AI61" s="3">
        <f t="shared" si="2"/>
        <v>0</v>
      </c>
      <c r="AL61" s="1" t="str">
        <f t="shared" si="3"/>
        <v/>
      </c>
      <c r="AM61" s="1" t="str">
        <f t="shared" si="4"/>
        <v/>
      </c>
      <c r="AN61" s="1" t="str">
        <f t="shared" si="5"/>
        <v/>
      </c>
      <c r="AO61" s="1" t="str">
        <f t="shared" si="6"/>
        <v/>
      </c>
      <c r="AP61" s="1" t="str">
        <f>IFERROR(ROUND(Backend!$AL61*VLOOKUP($F61,'OH,Profit &amp; Other Base'!$A:$V,Backend!AP$6,0),5),"")</f>
        <v/>
      </c>
      <c r="AQ61" s="1" t="str">
        <f>IFERROR(ROUND(Backend!$AO61*VLOOKUP($F61,'OH,Profit &amp; Other Base'!$A:$V,Backend!AQ$6,0),5),"")</f>
        <v/>
      </c>
      <c r="AR61" s="1" t="str">
        <f>IFERROR(ROUND(Backend!$AM61*VLOOKUP($F61,'OH,Profit &amp; Other Base'!$A:$V,Backend!AR$6,0),5),"")</f>
        <v/>
      </c>
      <c r="AS61" s="1" t="str">
        <f>IFERROR(ROUND(Backend!$AL61*VLOOKUP($F61,'OH,Profit &amp; Other Base'!$A:$V,Backend!AS$6,0),5),"")</f>
        <v/>
      </c>
      <c r="AT61" s="1" t="str">
        <f>IFERROR(ROUND(Backend!$AO61*VLOOKUP($F61,'OH,Profit &amp; Other Base'!$A:$V,Backend!AT$6,0),5),"")</f>
        <v/>
      </c>
      <c r="AU61" s="1" t="str">
        <f>IFERROR(ROUND(Backend!$AM61*VLOOKUP($F61,'OH,Profit &amp; Other Base'!$A:$V,Backend!AU$6,0),5),"")</f>
        <v/>
      </c>
      <c r="AV61" s="1" t="str">
        <f>IFERROR(ROUND(Backend!$AL61*VLOOKUP($F61,'OH,Profit &amp; Other Base'!$A:$V,Backend!AV$6,0),5),"")</f>
        <v/>
      </c>
      <c r="AW61" s="1" t="str">
        <f>IFERROR(ROUND(Backend!$AO61*VLOOKUP($F61,'OH,Profit &amp; Other Base'!$A:$V,Backend!AW$6,0),5),"")</f>
        <v/>
      </c>
      <c r="AX61" s="1" t="str">
        <f>IFERROR(ROUND(Backend!$AM61*VLOOKUP($F61,'OH,Profit &amp; Other Base'!$A:$V,Backend!AX$6,0),5),"")</f>
        <v/>
      </c>
      <c r="AY61" s="1" t="str">
        <f>IFERROR(ROUND(Backend!$AL61*VLOOKUP($F61,'OH,Profit &amp; Other Base'!$A:$V,Backend!AY$6,0),5),"")</f>
        <v/>
      </c>
      <c r="AZ61" s="1" t="str">
        <f>IFERROR(ROUND(Backend!$AO61*VLOOKUP($F61,'OH,Profit &amp; Other Base'!$A:$V,Backend!AZ$6,0),5),"")</f>
        <v/>
      </c>
      <c r="BA61" s="1" t="str">
        <f>IFERROR(ROUND(Backend!$AM61*VLOOKUP($F61,'OH,Profit &amp; Other Base'!$A:$V,Backend!BA$6,0),5),"")</f>
        <v/>
      </c>
      <c r="BB61" s="1" t="str">
        <f>IFERROR(ROUND(Backend!$AL61*VLOOKUP($F61,'OH,Profit &amp; Other Base'!$A:$V,Backend!BB$6,0),5),"")</f>
        <v/>
      </c>
      <c r="BC61" s="1" t="str">
        <f>IFERROR(ROUND(Backend!$AO61*VLOOKUP($F61,'OH,Profit &amp; Other Base'!$A:$V,Backend!BC$6,0),5),"")</f>
        <v/>
      </c>
      <c r="BD61" s="1" t="str">
        <f>IFERROR(ROUND(Backend!$AM61*VLOOKUP($F61,'OH,Profit &amp; Other Base'!$A:$V,Backend!BD$6,0),5),"")</f>
        <v/>
      </c>
      <c r="BE61" s="1" t="str">
        <f>IFERROR(ROUND(Backend!$AL61*VLOOKUP($F61,'OH,Profit &amp; Other Base'!$A:$V,Backend!BE$6,0),5),"")</f>
        <v/>
      </c>
      <c r="BF61" s="1" t="str">
        <f>IFERROR(ROUND(Backend!$AO61*VLOOKUP($F61,'OH,Profit &amp; Other Base'!$A:$V,Backend!BF$6,0),5),"")</f>
        <v/>
      </c>
      <c r="BG61" s="1" t="str">
        <f>IFERROR(ROUND(Backend!$AM61*VLOOKUP($F61,'OH,Profit &amp; Other Base'!$A:$V,Backend!BG$6,0),5),"")</f>
        <v/>
      </c>
      <c r="BH61" s="1" t="str">
        <f>IFERROR(ROUND(Backend!$AL61*VLOOKUP($F61,'OH,Profit &amp; Other Base'!$A:$V,Backend!BH$6,0),5),"")</f>
        <v/>
      </c>
      <c r="BI61" s="1" t="str">
        <f>IFERROR(ROUND(Backend!$AO61*VLOOKUP($F61,'OH,Profit &amp; Other Base'!$A:$V,Backend!BI$6,0),5),"")</f>
        <v/>
      </c>
      <c r="BJ61" s="1" t="str">
        <f>IFERROR(ROUND(Backend!$AM61*VLOOKUP($F61,'OH,Profit &amp; Other Base'!$A:$V,Backend!BJ$6,0),5),"")</f>
        <v/>
      </c>
      <c r="BK61" s="3">
        <f>SUM(AN61:BJ61,Backend!O61)</f>
        <v>0</v>
      </c>
    </row>
    <row r="62" spans="1:63">
      <c r="A62" s="1">
        <f>BOM!A57</f>
        <v>0</v>
      </c>
      <c r="B62" s="1">
        <f>BOM!B57</f>
        <v>0</v>
      </c>
      <c r="C62" s="1">
        <f>BOM!C57</f>
        <v>0</v>
      </c>
      <c r="D62" s="1">
        <f>BOM!D57</f>
        <v>0</v>
      </c>
      <c r="E62" s="1">
        <f>BOM!F57</f>
        <v>0</v>
      </c>
      <c r="F62" s="1" t="str">
        <f>IF(H62="CSC",BOM!H57,IF(J62="BOFOthers","Sheet Metal-B",""))</f>
        <v/>
      </c>
      <c r="G62" s="1">
        <f>BOM!I57</f>
        <v>0</v>
      </c>
      <c r="H62" s="1">
        <f>BOM!J57</f>
        <v>0</v>
      </c>
      <c r="I62" s="1" t="str">
        <f t="shared" si="0"/>
        <v>Others</v>
      </c>
      <c r="J62" s="1" t="str">
        <f t="shared" si="1"/>
        <v>0Others</v>
      </c>
      <c r="K62" s="3" t="str">
        <f>IF($J62="InhouseCSC",VLOOKUP($D62,Group!$C:$E,3,0),"")</f>
        <v/>
      </c>
      <c r="L62" s="3" t="str">
        <f>IF(OR($J62="BOSFCSC",$J62="BOFCSC"),VLOOKUP($D62,Group!$C:$E,3,0),"")</f>
        <v/>
      </c>
      <c r="M62" s="3" t="str">
        <f>IF(OR($J62="BOSFCSC",$J62="BOFCSC"),VLOOKUP($D62,Group!$C:$F,4,0),"")</f>
        <v/>
      </c>
      <c r="N62" s="3" t="str">
        <f>IF(OR($J62="InhouseCSC",$J62="BOSFCSC"),VLOOKUP($D62,Group!$C:$G,5,0),"")</f>
        <v/>
      </c>
      <c r="O62" s="3" t="str">
        <f>IF($J62="InhouseCSC",ROUND(VLOOKUP($D62,Group!$C:$H,6,0),5),"")</f>
        <v/>
      </c>
      <c r="P62" s="3" t="str">
        <f>IF(OR($J62="BOSFCSC",$J62="BOFCSC"),VLOOKUP($D62,Group!$C:$H,6,0),"")</f>
        <v/>
      </c>
      <c r="Q62" s="1" t="str">
        <f>IF($J62="Inhouseothers",VLOOKUP($D62,Group!$C:$E,3,0),"")</f>
        <v/>
      </c>
      <c r="R62" s="1" t="str">
        <f>IF($J62="BOSFOthers",VLOOKUP($D62,Group!$C:$E,3,0),"")</f>
        <v/>
      </c>
      <c r="S62" s="3" t="str">
        <f>IF($J62="BOFOthers",VLOOKUP($D62,Group!$C:$E,3,0),"")</f>
        <v/>
      </c>
      <c r="U62" s="1" t="str">
        <f>IFERROR(Backend!$L62*VLOOKUP($F62,'OH,Profit &amp; Other Base'!$A:$V,Backend!U$6,0),"")</f>
        <v/>
      </c>
      <c r="V62" s="1" t="str">
        <f>IFERROR(Backend!$M62*VLOOKUP($F62,'OH,Profit &amp; Other Base'!$A:$V,Backend!V$6,0),"")</f>
        <v/>
      </c>
      <c r="W62" s="1" t="str">
        <f>IFERROR(Backend!$L62*VLOOKUP($F62,'OH,Profit &amp; Other Base'!$A:$V,Backend!W$6,0),"")</f>
        <v/>
      </c>
      <c r="X62" s="1" t="str">
        <f>IFERROR(Backend!$M62*VLOOKUP($F62,'OH,Profit &amp; Other Base'!$A:$V,Backend!X$6,0),"")</f>
        <v/>
      </c>
      <c r="Y62" s="1" t="str">
        <f>IFERROR(Backend!$L62*VLOOKUP($F62,'OH,Profit &amp; Other Base'!$A:$V,Backend!Y$6,0),"")</f>
        <v/>
      </c>
      <c r="Z62" s="1" t="str">
        <f>IFERROR(Backend!$M62*VLOOKUP($F62,'OH,Profit &amp; Other Base'!$A:$V,Backend!Z$6,0),"")</f>
        <v/>
      </c>
      <c r="AA62" s="1" t="str">
        <f>IFERROR(Backend!$L62*VLOOKUP($F62,'OH,Profit &amp; Other Base'!$A:$V,Backend!AA$6,0),"")</f>
        <v/>
      </c>
      <c r="AB62" s="1" t="str">
        <f>IFERROR(Backend!$M62*VLOOKUP($F62,'OH,Profit &amp; Other Base'!$A:$V,Backend!AB$6,0),"")</f>
        <v/>
      </c>
      <c r="AC62" s="1" t="str">
        <f>IFERROR(Backend!$L62*VLOOKUP($F62,'OH,Profit &amp; Other Base'!$A:$V,Backend!AC$6,0),"")</f>
        <v/>
      </c>
      <c r="AD62" s="1" t="str">
        <f>IFERROR(Backend!$M62*VLOOKUP($F62,'OH,Profit &amp; Other Base'!$A:$V,Backend!AD$6,0),"")</f>
        <v/>
      </c>
      <c r="AE62" s="1" t="str">
        <f>IFERROR(Backend!$L62*VLOOKUP($F62,'OH,Profit &amp; Other Base'!$A:$V,Backend!AE$6,0),"")</f>
        <v/>
      </c>
      <c r="AF62" s="1" t="str">
        <f>IFERROR(Backend!$M62*VLOOKUP($F62,'OH,Profit &amp; Other Base'!$A:$V,Backend!AF$6,0),"")</f>
        <v/>
      </c>
      <c r="AG62" s="1" t="str">
        <f>IFERROR(Backend!$L62*VLOOKUP($F62,'OH,Profit &amp; Other Base'!$A:$V,Backend!AG$6,0),"")</f>
        <v/>
      </c>
      <c r="AH62" s="1" t="str">
        <f>IFERROR(Backend!$M62*VLOOKUP($F62,'OH,Profit &amp; Other Base'!$A:$V,Backend!AH$6,0),"")</f>
        <v/>
      </c>
      <c r="AI62" s="3">
        <f t="shared" si="2"/>
        <v>0</v>
      </c>
      <c r="AL62" s="1" t="str">
        <f t="shared" si="3"/>
        <v/>
      </c>
      <c r="AM62" s="1" t="str">
        <f t="shared" si="4"/>
        <v/>
      </c>
      <c r="AN62" s="1" t="str">
        <f t="shared" si="5"/>
        <v/>
      </c>
      <c r="AO62" s="1" t="str">
        <f t="shared" si="6"/>
        <v/>
      </c>
      <c r="AP62" s="1" t="str">
        <f>IFERROR(ROUND(Backend!$AL62*VLOOKUP($F62,'OH,Profit &amp; Other Base'!$A:$V,Backend!AP$6,0),5),"")</f>
        <v/>
      </c>
      <c r="AQ62" s="1" t="str">
        <f>IFERROR(ROUND(Backend!$AO62*VLOOKUP($F62,'OH,Profit &amp; Other Base'!$A:$V,Backend!AQ$6,0),5),"")</f>
        <v/>
      </c>
      <c r="AR62" s="1" t="str">
        <f>IFERROR(ROUND(Backend!$AM62*VLOOKUP($F62,'OH,Profit &amp; Other Base'!$A:$V,Backend!AR$6,0),5),"")</f>
        <v/>
      </c>
      <c r="AS62" s="1" t="str">
        <f>IFERROR(ROUND(Backend!$AL62*VLOOKUP($F62,'OH,Profit &amp; Other Base'!$A:$V,Backend!AS$6,0),5),"")</f>
        <v/>
      </c>
      <c r="AT62" s="1" t="str">
        <f>IFERROR(ROUND(Backend!$AO62*VLOOKUP($F62,'OH,Profit &amp; Other Base'!$A:$V,Backend!AT$6,0),5),"")</f>
        <v/>
      </c>
      <c r="AU62" s="1" t="str">
        <f>IFERROR(ROUND(Backend!$AM62*VLOOKUP($F62,'OH,Profit &amp; Other Base'!$A:$V,Backend!AU$6,0),5),"")</f>
        <v/>
      </c>
      <c r="AV62" s="1" t="str">
        <f>IFERROR(ROUND(Backend!$AL62*VLOOKUP($F62,'OH,Profit &amp; Other Base'!$A:$V,Backend!AV$6,0),5),"")</f>
        <v/>
      </c>
      <c r="AW62" s="1" t="str">
        <f>IFERROR(ROUND(Backend!$AO62*VLOOKUP($F62,'OH,Profit &amp; Other Base'!$A:$V,Backend!AW$6,0),5),"")</f>
        <v/>
      </c>
      <c r="AX62" s="1" t="str">
        <f>IFERROR(ROUND(Backend!$AM62*VLOOKUP($F62,'OH,Profit &amp; Other Base'!$A:$V,Backend!AX$6,0),5),"")</f>
        <v/>
      </c>
      <c r="AY62" s="1" t="str">
        <f>IFERROR(ROUND(Backend!$AL62*VLOOKUP($F62,'OH,Profit &amp; Other Base'!$A:$V,Backend!AY$6,0),5),"")</f>
        <v/>
      </c>
      <c r="AZ62" s="1" t="str">
        <f>IFERROR(ROUND(Backend!$AO62*VLOOKUP($F62,'OH,Profit &amp; Other Base'!$A:$V,Backend!AZ$6,0),5),"")</f>
        <v/>
      </c>
      <c r="BA62" s="1" t="str">
        <f>IFERROR(ROUND(Backend!$AM62*VLOOKUP($F62,'OH,Profit &amp; Other Base'!$A:$V,Backend!BA$6,0),5),"")</f>
        <v/>
      </c>
      <c r="BB62" s="1" t="str">
        <f>IFERROR(ROUND(Backend!$AL62*VLOOKUP($F62,'OH,Profit &amp; Other Base'!$A:$V,Backend!BB$6,0),5),"")</f>
        <v/>
      </c>
      <c r="BC62" s="1" t="str">
        <f>IFERROR(ROUND(Backend!$AO62*VLOOKUP($F62,'OH,Profit &amp; Other Base'!$A:$V,Backend!BC$6,0),5),"")</f>
        <v/>
      </c>
      <c r="BD62" s="1" t="str">
        <f>IFERROR(ROUND(Backend!$AM62*VLOOKUP($F62,'OH,Profit &amp; Other Base'!$A:$V,Backend!BD$6,0),5),"")</f>
        <v/>
      </c>
      <c r="BE62" s="1" t="str">
        <f>IFERROR(ROUND(Backend!$AL62*VLOOKUP($F62,'OH,Profit &amp; Other Base'!$A:$V,Backend!BE$6,0),5),"")</f>
        <v/>
      </c>
      <c r="BF62" s="1" t="str">
        <f>IFERROR(ROUND(Backend!$AO62*VLOOKUP($F62,'OH,Profit &amp; Other Base'!$A:$V,Backend!BF$6,0),5),"")</f>
        <v/>
      </c>
      <c r="BG62" s="1" t="str">
        <f>IFERROR(ROUND(Backend!$AM62*VLOOKUP($F62,'OH,Profit &amp; Other Base'!$A:$V,Backend!BG$6,0),5),"")</f>
        <v/>
      </c>
      <c r="BH62" s="1" t="str">
        <f>IFERROR(ROUND(Backend!$AL62*VLOOKUP($F62,'OH,Profit &amp; Other Base'!$A:$V,Backend!BH$6,0),5),"")</f>
        <v/>
      </c>
      <c r="BI62" s="1" t="str">
        <f>IFERROR(ROUND(Backend!$AO62*VLOOKUP($F62,'OH,Profit &amp; Other Base'!$A:$V,Backend!BI$6,0),5),"")</f>
        <v/>
      </c>
      <c r="BJ62" s="1" t="str">
        <f>IFERROR(ROUND(Backend!$AM62*VLOOKUP($F62,'OH,Profit &amp; Other Base'!$A:$V,Backend!BJ$6,0),5),"")</f>
        <v/>
      </c>
      <c r="BK62" s="3">
        <f>SUM(AN62:BJ62,Backend!O62)</f>
        <v>0</v>
      </c>
    </row>
    <row r="63" spans="1:63">
      <c r="A63" s="1">
        <f>BOM!A58</f>
        <v>0</v>
      </c>
      <c r="B63" s="1">
        <f>BOM!B58</f>
        <v>0</v>
      </c>
      <c r="C63" s="1">
        <f>BOM!C58</f>
        <v>0</v>
      </c>
      <c r="D63" s="1">
        <f>BOM!D58</f>
        <v>0</v>
      </c>
      <c r="E63" s="1">
        <f>BOM!F58</f>
        <v>0</v>
      </c>
      <c r="F63" s="1" t="str">
        <f>IF(H63="CSC",BOM!H58,IF(J63="BOFOthers","Sheet Metal-B",""))</f>
        <v/>
      </c>
      <c r="G63" s="1">
        <f>BOM!I58</f>
        <v>0</v>
      </c>
      <c r="H63" s="1">
        <f>BOM!J58</f>
        <v>0</v>
      </c>
      <c r="I63" s="1" t="str">
        <f t="shared" si="0"/>
        <v>Others</v>
      </c>
      <c r="J63" s="1" t="str">
        <f t="shared" si="1"/>
        <v>0Others</v>
      </c>
      <c r="K63" s="3" t="str">
        <f>IF($J63="InhouseCSC",VLOOKUP($D63,Group!$C:$E,3,0),"")</f>
        <v/>
      </c>
      <c r="L63" s="3" t="str">
        <f>IF(OR($J63="BOSFCSC",$J63="BOFCSC"),VLOOKUP($D63,Group!$C:$E,3,0),"")</f>
        <v/>
      </c>
      <c r="M63" s="3" t="str">
        <f>IF(OR($J63="BOSFCSC",$J63="BOFCSC"),VLOOKUP($D63,Group!$C:$F,4,0),"")</f>
        <v/>
      </c>
      <c r="N63" s="3" t="str">
        <f>IF(OR($J63="InhouseCSC",$J63="BOSFCSC"),VLOOKUP($D63,Group!$C:$G,5,0),"")</f>
        <v/>
      </c>
      <c r="O63" s="3" t="str">
        <f>IF($J63="InhouseCSC",ROUND(VLOOKUP($D63,Group!$C:$H,6,0),5),"")</f>
        <v/>
      </c>
      <c r="P63" s="3" t="str">
        <f>IF(OR($J63="BOSFCSC",$J63="BOFCSC"),VLOOKUP($D63,Group!$C:$H,6,0),"")</f>
        <v/>
      </c>
      <c r="Q63" s="1" t="str">
        <f>IF($J63="Inhouseothers",VLOOKUP($D63,Group!$C:$E,3,0),"")</f>
        <v/>
      </c>
      <c r="R63" s="1" t="str">
        <f>IF($J63="BOSFOthers",VLOOKUP($D63,Group!$C:$E,3,0),"")</f>
        <v/>
      </c>
      <c r="S63" s="3" t="str">
        <f>IF($J63="BOFOthers",VLOOKUP($D63,Group!$C:$E,3,0),"")</f>
        <v/>
      </c>
      <c r="U63" s="1" t="str">
        <f>IFERROR(Backend!$L63*VLOOKUP($F63,'OH,Profit &amp; Other Base'!$A:$V,Backend!U$6,0),"")</f>
        <v/>
      </c>
      <c r="V63" s="1" t="str">
        <f>IFERROR(Backend!$M63*VLOOKUP($F63,'OH,Profit &amp; Other Base'!$A:$V,Backend!V$6,0),"")</f>
        <v/>
      </c>
      <c r="W63" s="1" t="str">
        <f>IFERROR(Backend!$L63*VLOOKUP($F63,'OH,Profit &amp; Other Base'!$A:$V,Backend!W$6,0),"")</f>
        <v/>
      </c>
      <c r="X63" s="1" t="str">
        <f>IFERROR(Backend!$M63*VLOOKUP($F63,'OH,Profit &amp; Other Base'!$A:$V,Backend!X$6,0),"")</f>
        <v/>
      </c>
      <c r="Y63" s="1" t="str">
        <f>IFERROR(Backend!$L63*VLOOKUP($F63,'OH,Profit &amp; Other Base'!$A:$V,Backend!Y$6,0),"")</f>
        <v/>
      </c>
      <c r="Z63" s="1" t="str">
        <f>IFERROR(Backend!$M63*VLOOKUP($F63,'OH,Profit &amp; Other Base'!$A:$V,Backend!Z$6,0),"")</f>
        <v/>
      </c>
      <c r="AA63" s="1" t="str">
        <f>IFERROR(Backend!$L63*VLOOKUP($F63,'OH,Profit &amp; Other Base'!$A:$V,Backend!AA$6,0),"")</f>
        <v/>
      </c>
      <c r="AB63" s="1" t="str">
        <f>IFERROR(Backend!$M63*VLOOKUP($F63,'OH,Profit &amp; Other Base'!$A:$V,Backend!AB$6,0),"")</f>
        <v/>
      </c>
      <c r="AC63" s="1" t="str">
        <f>IFERROR(Backend!$L63*VLOOKUP($F63,'OH,Profit &amp; Other Base'!$A:$V,Backend!AC$6,0),"")</f>
        <v/>
      </c>
      <c r="AD63" s="1" t="str">
        <f>IFERROR(Backend!$M63*VLOOKUP($F63,'OH,Profit &amp; Other Base'!$A:$V,Backend!AD$6,0),"")</f>
        <v/>
      </c>
      <c r="AE63" s="1" t="str">
        <f>IFERROR(Backend!$L63*VLOOKUP($F63,'OH,Profit &amp; Other Base'!$A:$V,Backend!AE$6,0),"")</f>
        <v/>
      </c>
      <c r="AF63" s="1" t="str">
        <f>IFERROR(Backend!$M63*VLOOKUP($F63,'OH,Profit &amp; Other Base'!$A:$V,Backend!AF$6,0),"")</f>
        <v/>
      </c>
      <c r="AG63" s="1" t="str">
        <f>IFERROR(Backend!$L63*VLOOKUP($F63,'OH,Profit &amp; Other Base'!$A:$V,Backend!AG$6,0),"")</f>
        <v/>
      </c>
      <c r="AH63" s="1" t="str">
        <f>IFERROR(Backend!$M63*VLOOKUP($F63,'OH,Profit &amp; Other Base'!$A:$V,Backend!AH$6,0),"")</f>
        <v/>
      </c>
      <c r="AI63" s="3">
        <f t="shared" si="2"/>
        <v>0</v>
      </c>
      <c r="AL63" s="1" t="str">
        <f t="shared" si="3"/>
        <v/>
      </c>
      <c r="AM63" s="1" t="str">
        <f t="shared" si="4"/>
        <v/>
      </c>
      <c r="AN63" s="1" t="str">
        <f t="shared" si="5"/>
        <v/>
      </c>
      <c r="AO63" s="1" t="str">
        <f t="shared" si="6"/>
        <v/>
      </c>
      <c r="AP63" s="1" t="str">
        <f>IFERROR(ROUND(Backend!$AL63*VLOOKUP($F63,'OH,Profit &amp; Other Base'!$A:$V,Backend!AP$6,0),5),"")</f>
        <v/>
      </c>
      <c r="AQ63" s="1" t="str">
        <f>IFERROR(ROUND(Backend!$AO63*VLOOKUP($F63,'OH,Profit &amp; Other Base'!$A:$V,Backend!AQ$6,0),5),"")</f>
        <v/>
      </c>
      <c r="AR63" s="1" t="str">
        <f>IFERROR(ROUND(Backend!$AM63*VLOOKUP($F63,'OH,Profit &amp; Other Base'!$A:$V,Backend!AR$6,0),5),"")</f>
        <v/>
      </c>
      <c r="AS63" s="1" t="str">
        <f>IFERROR(ROUND(Backend!$AL63*VLOOKUP($F63,'OH,Profit &amp; Other Base'!$A:$V,Backend!AS$6,0),5),"")</f>
        <v/>
      </c>
      <c r="AT63" s="1" t="str">
        <f>IFERROR(ROUND(Backend!$AO63*VLOOKUP($F63,'OH,Profit &amp; Other Base'!$A:$V,Backend!AT$6,0),5),"")</f>
        <v/>
      </c>
      <c r="AU63" s="1" t="str">
        <f>IFERROR(ROUND(Backend!$AM63*VLOOKUP($F63,'OH,Profit &amp; Other Base'!$A:$V,Backend!AU$6,0),5),"")</f>
        <v/>
      </c>
      <c r="AV63" s="1" t="str">
        <f>IFERROR(ROUND(Backend!$AL63*VLOOKUP($F63,'OH,Profit &amp; Other Base'!$A:$V,Backend!AV$6,0),5),"")</f>
        <v/>
      </c>
      <c r="AW63" s="1" t="str">
        <f>IFERROR(ROUND(Backend!$AO63*VLOOKUP($F63,'OH,Profit &amp; Other Base'!$A:$V,Backend!AW$6,0),5),"")</f>
        <v/>
      </c>
      <c r="AX63" s="1" t="str">
        <f>IFERROR(ROUND(Backend!$AM63*VLOOKUP($F63,'OH,Profit &amp; Other Base'!$A:$V,Backend!AX$6,0),5),"")</f>
        <v/>
      </c>
      <c r="AY63" s="1" t="str">
        <f>IFERROR(ROUND(Backend!$AL63*VLOOKUP($F63,'OH,Profit &amp; Other Base'!$A:$V,Backend!AY$6,0),5),"")</f>
        <v/>
      </c>
      <c r="AZ63" s="1" t="str">
        <f>IFERROR(ROUND(Backend!$AO63*VLOOKUP($F63,'OH,Profit &amp; Other Base'!$A:$V,Backend!AZ$6,0),5),"")</f>
        <v/>
      </c>
      <c r="BA63" s="1" t="str">
        <f>IFERROR(ROUND(Backend!$AM63*VLOOKUP($F63,'OH,Profit &amp; Other Base'!$A:$V,Backend!BA$6,0),5),"")</f>
        <v/>
      </c>
      <c r="BB63" s="1" t="str">
        <f>IFERROR(ROUND(Backend!$AL63*VLOOKUP($F63,'OH,Profit &amp; Other Base'!$A:$V,Backend!BB$6,0),5),"")</f>
        <v/>
      </c>
      <c r="BC63" s="1" t="str">
        <f>IFERROR(ROUND(Backend!$AO63*VLOOKUP($F63,'OH,Profit &amp; Other Base'!$A:$V,Backend!BC$6,0),5),"")</f>
        <v/>
      </c>
      <c r="BD63" s="1" t="str">
        <f>IFERROR(ROUND(Backend!$AM63*VLOOKUP($F63,'OH,Profit &amp; Other Base'!$A:$V,Backend!BD$6,0),5),"")</f>
        <v/>
      </c>
      <c r="BE63" s="1" t="str">
        <f>IFERROR(ROUND(Backend!$AL63*VLOOKUP($F63,'OH,Profit &amp; Other Base'!$A:$V,Backend!BE$6,0),5),"")</f>
        <v/>
      </c>
      <c r="BF63" s="1" t="str">
        <f>IFERROR(ROUND(Backend!$AO63*VLOOKUP($F63,'OH,Profit &amp; Other Base'!$A:$V,Backend!BF$6,0),5),"")</f>
        <v/>
      </c>
      <c r="BG63" s="1" t="str">
        <f>IFERROR(ROUND(Backend!$AM63*VLOOKUP($F63,'OH,Profit &amp; Other Base'!$A:$V,Backend!BG$6,0),5),"")</f>
        <v/>
      </c>
      <c r="BH63" s="1" t="str">
        <f>IFERROR(ROUND(Backend!$AL63*VLOOKUP($F63,'OH,Profit &amp; Other Base'!$A:$V,Backend!BH$6,0),5),"")</f>
        <v/>
      </c>
      <c r="BI63" s="1" t="str">
        <f>IFERROR(ROUND(Backend!$AO63*VLOOKUP($F63,'OH,Profit &amp; Other Base'!$A:$V,Backend!BI$6,0),5),"")</f>
        <v/>
      </c>
      <c r="BJ63" s="1" t="str">
        <f>IFERROR(ROUND(Backend!$AM63*VLOOKUP($F63,'OH,Profit &amp; Other Base'!$A:$V,Backend!BJ$6,0),5),"")</f>
        <v/>
      </c>
      <c r="BK63" s="3">
        <f>SUM(AN63:BJ63,Backend!O63)</f>
        <v>0</v>
      </c>
    </row>
    <row r="64" spans="1:63">
      <c r="A64" s="1">
        <f>BOM!A59</f>
        <v>0</v>
      </c>
      <c r="B64" s="1">
        <f>BOM!B59</f>
        <v>0</v>
      </c>
      <c r="C64" s="1">
        <f>BOM!C59</f>
        <v>0</v>
      </c>
      <c r="D64" s="1">
        <f>BOM!D59</f>
        <v>0</v>
      </c>
      <c r="E64" s="1">
        <f>BOM!F59</f>
        <v>0</v>
      </c>
      <c r="F64" s="1" t="str">
        <f>IF(H64="CSC",BOM!H59,IF(J64="BOFOthers","Sheet Metal-B",""))</f>
        <v/>
      </c>
      <c r="G64" s="1">
        <f>BOM!I59</f>
        <v>0</v>
      </c>
      <c r="H64" s="1">
        <f>BOM!J59</f>
        <v>0</v>
      </c>
      <c r="I64" s="1" t="str">
        <f t="shared" si="0"/>
        <v>Others</v>
      </c>
      <c r="J64" s="1" t="str">
        <f t="shared" si="1"/>
        <v>0Others</v>
      </c>
      <c r="K64" s="3" t="str">
        <f>IF($J64="InhouseCSC",VLOOKUP($D64,Group!$C:$E,3,0),"")</f>
        <v/>
      </c>
      <c r="L64" s="3" t="str">
        <f>IF(OR($J64="BOSFCSC",$J64="BOFCSC"),VLOOKUP($D64,Group!$C:$E,3,0),"")</f>
        <v/>
      </c>
      <c r="M64" s="3" t="str">
        <f>IF(OR($J64="BOSFCSC",$J64="BOFCSC"),VLOOKUP($D64,Group!$C:$F,4,0),"")</f>
        <v/>
      </c>
      <c r="N64" s="3" t="str">
        <f>IF(OR($J64="InhouseCSC",$J64="BOSFCSC"),VLOOKUP($D64,Group!$C:$G,5,0),"")</f>
        <v/>
      </c>
      <c r="O64" s="3" t="str">
        <f>IF($J64="InhouseCSC",ROUND(VLOOKUP($D64,Group!$C:$H,6,0),5),"")</f>
        <v/>
      </c>
      <c r="P64" s="3" t="str">
        <f>IF(OR($J64="BOSFCSC",$J64="BOFCSC"),VLOOKUP($D64,Group!$C:$H,6,0),"")</f>
        <v/>
      </c>
      <c r="Q64" s="1" t="str">
        <f>IF($J64="Inhouseothers",VLOOKUP($D64,Group!$C:$E,3,0),"")</f>
        <v/>
      </c>
      <c r="R64" s="1" t="str">
        <f>IF($J64="BOSFOthers",VLOOKUP($D64,Group!$C:$E,3,0),"")</f>
        <v/>
      </c>
      <c r="S64" s="3" t="str">
        <f>IF($J64="BOFOthers",VLOOKUP($D64,Group!$C:$E,3,0),"")</f>
        <v/>
      </c>
      <c r="U64" s="1" t="str">
        <f>IFERROR(Backend!$L64*VLOOKUP($F64,'OH,Profit &amp; Other Base'!$A:$V,Backend!U$6,0),"")</f>
        <v/>
      </c>
      <c r="V64" s="1" t="str">
        <f>IFERROR(Backend!$M64*VLOOKUP($F64,'OH,Profit &amp; Other Base'!$A:$V,Backend!V$6,0),"")</f>
        <v/>
      </c>
      <c r="W64" s="1" t="str">
        <f>IFERROR(Backend!$L64*VLOOKUP($F64,'OH,Profit &amp; Other Base'!$A:$V,Backend!W$6,0),"")</f>
        <v/>
      </c>
      <c r="X64" s="1" t="str">
        <f>IFERROR(Backend!$M64*VLOOKUP($F64,'OH,Profit &amp; Other Base'!$A:$V,Backend!X$6,0),"")</f>
        <v/>
      </c>
      <c r="Y64" s="1" t="str">
        <f>IFERROR(Backend!$L64*VLOOKUP($F64,'OH,Profit &amp; Other Base'!$A:$V,Backend!Y$6,0),"")</f>
        <v/>
      </c>
      <c r="Z64" s="1" t="str">
        <f>IFERROR(Backend!$M64*VLOOKUP($F64,'OH,Profit &amp; Other Base'!$A:$V,Backend!Z$6,0),"")</f>
        <v/>
      </c>
      <c r="AA64" s="1" t="str">
        <f>IFERROR(Backend!$L64*VLOOKUP($F64,'OH,Profit &amp; Other Base'!$A:$V,Backend!AA$6,0),"")</f>
        <v/>
      </c>
      <c r="AB64" s="1" t="str">
        <f>IFERROR(Backend!$M64*VLOOKUP($F64,'OH,Profit &amp; Other Base'!$A:$V,Backend!AB$6,0),"")</f>
        <v/>
      </c>
      <c r="AC64" s="1" t="str">
        <f>IFERROR(Backend!$L64*VLOOKUP($F64,'OH,Profit &amp; Other Base'!$A:$V,Backend!AC$6,0),"")</f>
        <v/>
      </c>
      <c r="AD64" s="1" t="str">
        <f>IFERROR(Backend!$M64*VLOOKUP($F64,'OH,Profit &amp; Other Base'!$A:$V,Backend!AD$6,0),"")</f>
        <v/>
      </c>
      <c r="AE64" s="1" t="str">
        <f>IFERROR(Backend!$L64*VLOOKUP($F64,'OH,Profit &amp; Other Base'!$A:$V,Backend!AE$6,0),"")</f>
        <v/>
      </c>
      <c r="AF64" s="1" t="str">
        <f>IFERROR(Backend!$M64*VLOOKUP($F64,'OH,Profit &amp; Other Base'!$A:$V,Backend!AF$6,0),"")</f>
        <v/>
      </c>
      <c r="AG64" s="1" t="str">
        <f>IFERROR(Backend!$L64*VLOOKUP($F64,'OH,Profit &amp; Other Base'!$A:$V,Backend!AG$6,0),"")</f>
        <v/>
      </c>
      <c r="AH64" s="1" t="str">
        <f>IFERROR(Backend!$M64*VLOOKUP($F64,'OH,Profit &amp; Other Base'!$A:$V,Backend!AH$6,0),"")</f>
        <v/>
      </c>
      <c r="AI64" s="3">
        <f t="shared" si="2"/>
        <v>0</v>
      </c>
      <c r="AL64" s="1" t="str">
        <f t="shared" si="3"/>
        <v/>
      </c>
      <c r="AM64" s="1" t="str">
        <f t="shared" si="4"/>
        <v/>
      </c>
      <c r="AN64" s="1" t="str">
        <f t="shared" si="5"/>
        <v/>
      </c>
      <c r="AO64" s="1" t="str">
        <f t="shared" si="6"/>
        <v/>
      </c>
      <c r="AP64" s="1" t="str">
        <f>IFERROR(ROUND(Backend!$AL64*VLOOKUP($F64,'OH,Profit &amp; Other Base'!$A:$V,Backend!AP$6,0),5),"")</f>
        <v/>
      </c>
      <c r="AQ64" s="1" t="str">
        <f>IFERROR(ROUND(Backend!$AO64*VLOOKUP($F64,'OH,Profit &amp; Other Base'!$A:$V,Backend!AQ$6,0),5),"")</f>
        <v/>
      </c>
      <c r="AR64" s="1" t="str">
        <f>IFERROR(ROUND(Backend!$AM64*VLOOKUP($F64,'OH,Profit &amp; Other Base'!$A:$V,Backend!AR$6,0),5),"")</f>
        <v/>
      </c>
      <c r="AS64" s="1" t="str">
        <f>IFERROR(ROUND(Backend!$AL64*VLOOKUP($F64,'OH,Profit &amp; Other Base'!$A:$V,Backend!AS$6,0),5),"")</f>
        <v/>
      </c>
      <c r="AT64" s="1" t="str">
        <f>IFERROR(ROUND(Backend!$AO64*VLOOKUP($F64,'OH,Profit &amp; Other Base'!$A:$V,Backend!AT$6,0),5),"")</f>
        <v/>
      </c>
      <c r="AU64" s="1" t="str">
        <f>IFERROR(ROUND(Backend!$AM64*VLOOKUP($F64,'OH,Profit &amp; Other Base'!$A:$V,Backend!AU$6,0),5),"")</f>
        <v/>
      </c>
      <c r="AV64" s="1" t="str">
        <f>IFERROR(ROUND(Backend!$AL64*VLOOKUP($F64,'OH,Profit &amp; Other Base'!$A:$V,Backend!AV$6,0),5),"")</f>
        <v/>
      </c>
      <c r="AW64" s="1" t="str">
        <f>IFERROR(ROUND(Backend!$AO64*VLOOKUP($F64,'OH,Profit &amp; Other Base'!$A:$V,Backend!AW$6,0),5),"")</f>
        <v/>
      </c>
      <c r="AX64" s="1" t="str">
        <f>IFERROR(ROUND(Backend!$AM64*VLOOKUP($F64,'OH,Profit &amp; Other Base'!$A:$V,Backend!AX$6,0),5),"")</f>
        <v/>
      </c>
      <c r="AY64" s="1" t="str">
        <f>IFERROR(ROUND(Backend!$AL64*VLOOKUP($F64,'OH,Profit &amp; Other Base'!$A:$V,Backend!AY$6,0),5),"")</f>
        <v/>
      </c>
      <c r="AZ64" s="1" t="str">
        <f>IFERROR(ROUND(Backend!$AO64*VLOOKUP($F64,'OH,Profit &amp; Other Base'!$A:$V,Backend!AZ$6,0),5),"")</f>
        <v/>
      </c>
      <c r="BA64" s="1" t="str">
        <f>IFERROR(ROUND(Backend!$AM64*VLOOKUP($F64,'OH,Profit &amp; Other Base'!$A:$V,Backend!BA$6,0),5),"")</f>
        <v/>
      </c>
      <c r="BB64" s="1" t="str">
        <f>IFERROR(ROUND(Backend!$AL64*VLOOKUP($F64,'OH,Profit &amp; Other Base'!$A:$V,Backend!BB$6,0),5),"")</f>
        <v/>
      </c>
      <c r="BC64" s="1" t="str">
        <f>IFERROR(ROUND(Backend!$AO64*VLOOKUP($F64,'OH,Profit &amp; Other Base'!$A:$V,Backend!BC$6,0),5),"")</f>
        <v/>
      </c>
      <c r="BD64" s="1" t="str">
        <f>IFERROR(ROUND(Backend!$AM64*VLOOKUP($F64,'OH,Profit &amp; Other Base'!$A:$V,Backend!BD$6,0),5),"")</f>
        <v/>
      </c>
      <c r="BE64" s="1" t="str">
        <f>IFERROR(ROUND(Backend!$AL64*VLOOKUP($F64,'OH,Profit &amp; Other Base'!$A:$V,Backend!BE$6,0),5),"")</f>
        <v/>
      </c>
      <c r="BF64" s="1" t="str">
        <f>IFERROR(ROUND(Backend!$AO64*VLOOKUP($F64,'OH,Profit &amp; Other Base'!$A:$V,Backend!BF$6,0),5),"")</f>
        <v/>
      </c>
      <c r="BG64" s="1" t="str">
        <f>IFERROR(ROUND(Backend!$AM64*VLOOKUP($F64,'OH,Profit &amp; Other Base'!$A:$V,Backend!BG$6,0),5),"")</f>
        <v/>
      </c>
      <c r="BH64" s="1" t="str">
        <f>IFERROR(ROUND(Backend!$AL64*VLOOKUP($F64,'OH,Profit &amp; Other Base'!$A:$V,Backend!BH$6,0),5),"")</f>
        <v/>
      </c>
      <c r="BI64" s="1" t="str">
        <f>IFERROR(ROUND(Backend!$AO64*VLOOKUP($F64,'OH,Profit &amp; Other Base'!$A:$V,Backend!BI$6,0),5),"")</f>
        <v/>
      </c>
      <c r="BJ64" s="1" t="str">
        <f>IFERROR(ROUND(Backend!$AM64*VLOOKUP($F64,'OH,Profit &amp; Other Base'!$A:$V,Backend!BJ$6,0),5),"")</f>
        <v/>
      </c>
      <c r="BK64" s="3">
        <f>SUM(AN64:BJ64,Backend!O64)</f>
        <v>0</v>
      </c>
    </row>
    <row r="65" spans="1:63">
      <c r="A65" s="1">
        <f>BOM!A60</f>
        <v>0</v>
      </c>
      <c r="B65" s="1">
        <f>BOM!B60</f>
        <v>0</v>
      </c>
      <c r="C65" s="1">
        <f>BOM!C60</f>
        <v>0</v>
      </c>
      <c r="D65" s="1">
        <f>BOM!D60</f>
        <v>0</v>
      </c>
      <c r="E65" s="1">
        <f>BOM!F60</f>
        <v>0</v>
      </c>
      <c r="F65" s="1" t="str">
        <f>IF(H65="CSC",BOM!H60,IF(J65="BOFOthers","Sheet Metal-B",""))</f>
        <v/>
      </c>
      <c r="G65" s="1">
        <f>BOM!I60</f>
        <v>0</v>
      </c>
      <c r="H65" s="1">
        <f>BOM!J60</f>
        <v>0</v>
      </c>
      <c r="I65" s="1" t="str">
        <f t="shared" si="0"/>
        <v>Others</v>
      </c>
      <c r="J65" s="1" t="str">
        <f t="shared" si="1"/>
        <v>0Others</v>
      </c>
      <c r="K65" s="3" t="str">
        <f>IF($J65="InhouseCSC",VLOOKUP($D65,Group!$C:$E,3,0),"")</f>
        <v/>
      </c>
      <c r="L65" s="3" t="str">
        <f>IF(OR($J65="BOSFCSC",$J65="BOFCSC"),VLOOKUP($D65,Group!$C:$E,3,0),"")</f>
        <v/>
      </c>
      <c r="M65" s="3" t="str">
        <f>IF(OR($J65="BOSFCSC",$J65="BOFCSC"),VLOOKUP($D65,Group!$C:$F,4,0),"")</f>
        <v/>
      </c>
      <c r="N65" s="3" t="str">
        <f>IF(OR($J65="InhouseCSC",$J65="BOSFCSC"),VLOOKUP($D65,Group!$C:$G,5,0),"")</f>
        <v/>
      </c>
      <c r="O65" s="3" t="str">
        <f>IF($J65="InhouseCSC",ROUND(VLOOKUP($D65,Group!$C:$H,6,0),5),"")</f>
        <v/>
      </c>
      <c r="P65" s="3" t="str">
        <f>IF(OR($J65="BOSFCSC",$J65="BOFCSC"),VLOOKUP($D65,Group!$C:$H,6,0),"")</f>
        <v/>
      </c>
      <c r="Q65" s="1" t="str">
        <f>IF($J65="Inhouseothers",VLOOKUP($D65,Group!$C:$E,3,0),"")</f>
        <v/>
      </c>
      <c r="R65" s="1" t="str">
        <f>IF($J65="BOSFOthers",VLOOKUP($D65,Group!$C:$E,3,0),"")</f>
        <v/>
      </c>
      <c r="S65" s="3" t="str">
        <f>IF($J65="BOFOthers",VLOOKUP($D65,Group!$C:$E,3,0),"")</f>
        <v/>
      </c>
      <c r="U65" s="1" t="str">
        <f>IFERROR(Backend!$L65*VLOOKUP($F65,'OH,Profit &amp; Other Base'!$A:$V,Backend!U$6,0),"")</f>
        <v/>
      </c>
      <c r="V65" s="1" t="str">
        <f>IFERROR(Backend!$M65*VLOOKUP($F65,'OH,Profit &amp; Other Base'!$A:$V,Backend!V$6,0),"")</f>
        <v/>
      </c>
      <c r="W65" s="1" t="str">
        <f>IFERROR(Backend!$L65*VLOOKUP($F65,'OH,Profit &amp; Other Base'!$A:$V,Backend!W$6,0),"")</f>
        <v/>
      </c>
      <c r="X65" s="1" t="str">
        <f>IFERROR(Backend!$M65*VLOOKUP($F65,'OH,Profit &amp; Other Base'!$A:$V,Backend!X$6,0),"")</f>
        <v/>
      </c>
      <c r="Y65" s="1" t="str">
        <f>IFERROR(Backend!$L65*VLOOKUP($F65,'OH,Profit &amp; Other Base'!$A:$V,Backend!Y$6,0),"")</f>
        <v/>
      </c>
      <c r="Z65" s="1" t="str">
        <f>IFERROR(Backend!$M65*VLOOKUP($F65,'OH,Profit &amp; Other Base'!$A:$V,Backend!Z$6,0),"")</f>
        <v/>
      </c>
      <c r="AA65" s="1" t="str">
        <f>IFERROR(Backend!$L65*VLOOKUP($F65,'OH,Profit &amp; Other Base'!$A:$V,Backend!AA$6,0),"")</f>
        <v/>
      </c>
      <c r="AB65" s="1" t="str">
        <f>IFERROR(Backend!$M65*VLOOKUP($F65,'OH,Profit &amp; Other Base'!$A:$V,Backend!AB$6,0),"")</f>
        <v/>
      </c>
      <c r="AC65" s="1" t="str">
        <f>IFERROR(Backend!$L65*VLOOKUP($F65,'OH,Profit &amp; Other Base'!$A:$V,Backend!AC$6,0),"")</f>
        <v/>
      </c>
      <c r="AD65" s="1" t="str">
        <f>IFERROR(Backend!$M65*VLOOKUP($F65,'OH,Profit &amp; Other Base'!$A:$V,Backend!AD$6,0),"")</f>
        <v/>
      </c>
      <c r="AE65" s="1" t="str">
        <f>IFERROR(Backend!$L65*VLOOKUP($F65,'OH,Profit &amp; Other Base'!$A:$V,Backend!AE$6,0),"")</f>
        <v/>
      </c>
      <c r="AF65" s="1" t="str">
        <f>IFERROR(Backend!$M65*VLOOKUP($F65,'OH,Profit &amp; Other Base'!$A:$V,Backend!AF$6,0),"")</f>
        <v/>
      </c>
      <c r="AG65" s="1" t="str">
        <f>IFERROR(Backend!$L65*VLOOKUP($F65,'OH,Profit &amp; Other Base'!$A:$V,Backend!AG$6,0),"")</f>
        <v/>
      </c>
      <c r="AH65" s="1" t="str">
        <f>IFERROR(Backend!$M65*VLOOKUP($F65,'OH,Profit &amp; Other Base'!$A:$V,Backend!AH$6,0),"")</f>
        <v/>
      </c>
      <c r="AI65" s="3">
        <f t="shared" si="2"/>
        <v>0</v>
      </c>
      <c r="AL65" s="1" t="str">
        <f t="shared" si="3"/>
        <v/>
      </c>
      <c r="AM65" s="1" t="str">
        <f t="shared" si="4"/>
        <v/>
      </c>
      <c r="AN65" s="1" t="str">
        <f t="shared" si="5"/>
        <v/>
      </c>
      <c r="AO65" s="1" t="str">
        <f t="shared" si="6"/>
        <v/>
      </c>
      <c r="AP65" s="1" t="str">
        <f>IFERROR(ROUND(Backend!$AL65*VLOOKUP($F65,'OH,Profit &amp; Other Base'!$A:$V,Backend!AP$6,0),5),"")</f>
        <v/>
      </c>
      <c r="AQ65" s="1" t="str">
        <f>IFERROR(ROUND(Backend!$AO65*VLOOKUP($F65,'OH,Profit &amp; Other Base'!$A:$V,Backend!AQ$6,0),5),"")</f>
        <v/>
      </c>
      <c r="AR65" s="1" t="str">
        <f>IFERROR(ROUND(Backend!$AM65*VLOOKUP($F65,'OH,Profit &amp; Other Base'!$A:$V,Backend!AR$6,0),5),"")</f>
        <v/>
      </c>
      <c r="AS65" s="1" t="str">
        <f>IFERROR(ROUND(Backend!$AL65*VLOOKUP($F65,'OH,Profit &amp; Other Base'!$A:$V,Backend!AS$6,0),5),"")</f>
        <v/>
      </c>
      <c r="AT65" s="1" t="str">
        <f>IFERROR(ROUND(Backend!$AO65*VLOOKUP($F65,'OH,Profit &amp; Other Base'!$A:$V,Backend!AT$6,0),5),"")</f>
        <v/>
      </c>
      <c r="AU65" s="1" t="str">
        <f>IFERROR(ROUND(Backend!$AM65*VLOOKUP($F65,'OH,Profit &amp; Other Base'!$A:$V,Backend!AU$6,0),5),"")</f>
        <v/>
      </c>
      <c r="AV65" s="1" t="str">
        <f>IFERROR(ROUND(Backend!$AL65*VLOOKUP($F65,'OH,Profit &amp; Other Base'!$A:$V,Backend!AV$6,0),5),"")</f>
        <v/>
      </c>
      <c r="AW65" s="1" t="str">
        <f>IFERROR(ROUND(Backend!$AO65*VLOOKUP($F65,'OH,Profit &amp; Other Base'!$A:$V,Backend!AW$6,0),5),"")</f>
        <v/>
      </c>
      <c r="AX65" s="1" t="str">
        <f>IFERROR(ROUND(Backend!$AM65*VLOOKUP($F65,'OH,Profit &amp; Other Base'!$A:$V,Backend!AX$6,0),5),"")</f>
        <v/>
      </c>
      <c r="AY65" s="1" t="str">
        <f>IFERROR(ROUND(Backend!$AL65*VLOOKUP($F65,'OH,Profit &amp; Other Base'!$A:$V,Backend!AY$6,0),5),"")</f>
        <v/>
      </c>
      <c r="AZ65" s="1" t="str">
        <f>IFERROR(ROUND(Backend!$AO65*VLOOKUP($F65,'OH,Profit &amp; Other Base'!$A:$V,Backend!AZ$6,0),5),"")</f>
        <v/>
      </c>
      <c r="BA65" s="1" t="str">
        <f>IFERROR(ROUND(Backend!$AM65*VLOOKUP($F65,'OH,Profit &amp; Other Base'!$A:$V,Backend!BA$6,0),5),"")</f>
        <v/>
      </c>
      <c r="BB65" s="1" t="str">
        <f>IFERROR(ROUND(Backend!$AL65*VLOOKUP($F65,'OH,Profit &amp; Other Base'!$A:$V,Backend!BB$6,0),5),"")</f>
        <v/>
      </c>
      <c r="BC65" s="1" t="str">
        <f>IFERROR(ROUND(Backend!$AO65*VLOOKUP($F65,'OH,Profit &amp; Other Base'!$A:$V,Backend!BC$6,0),5),"")</f>
        <v/>
      </c>
      <c r="BD65" s="1" t="str">
        <f>IFERROR(ROUND(Backend!$AM65*VLOOKUP($F65,'OH,Profit &amp; Other Base'!$A:$V,Backend!BD$6,0),5),"")</f>
        <v/>
      </c>
      <c r="BE65" s="1" t="str">
        <f>IFERROR(ROUND(Backend!$AL65*VLOOKUP($F65,'OH,Profit &amp; Other Base'!$A:$V,Backend!BE$6,0),5),"")</f>
        <v/>
      </c>
      <c r="BF65" s="1" t="str">
        <f>IFERROR(ROUND(Backend!$AO65*VLOOKUP($F65,'OH,Profit &amp; Other Base'!$A:$V,Backend!BF$6,0),5),"")</f>
        <v/>
      </c>
      <c r="BG65" s="1" t="str">
        <f>IFERROR(ROUND(Backend!$AM65*VLOOKUP($F65,'OH,Profit &amp; Other Base'!$A:$V,Backend!BG$6,0),5),"")</f>
        <v/>
      </c>
      <c r="BH65" s="1" t="str">
        <f>IFERROR(ROUND(Backend!$AL65*VLOOKUP($F65,'OH,Profit &amp; Other Base'!$A:$V,Backend!BH$6,0),5),"")</f>
        <v/>
      </c>
      <c r="BI65" s="1" t="str">
        <f>IFERROR(ROUND(Backend!$AO65*VLOOKUP($F65,'OH,Profit &amp; Other Base'!$A:$V,Backend!BI$6,0),5),"")</f>
        <v/>
      </c>
      <c r="BJ65" s="1" t="str">
        <f>IFERROR(ROUND(Backend!$AM65*VLOOKUP($F65,'OH,Profit &amp; Other Base'!$A:$V,Backend!BJ$6,0),5),"")</f>
        <v/>
      </c>
      <c r="BK65" s="3">
        <f>SUM(AN65:BJ65,Backend!O65)</f>
        <v>0</v>
      </c>
    </row>
    <row r="66" spans="1:63">
      <c r="A66" s="1">
        <f>BOM!A61</f>
        <v>0</v>
      </c>
      <c r="B66" s="1">
        <f>BOM!B61</f>
        <v>0</v>
      </c>
      <c r="C66" s="1">
        <f>BOM!C61</f>
        <v>0</v>
      </c>
      <c r="D66" s="1">
        <f>BOM!D61</f>
        <v>0</v>
      </c>
      <c r="E66" s="1">
        <f>BOM!F61</f>
        <v>0</v>
      </c>
      <c r="F66" s="1" t="str">
        <f>IF(H66="CSC",BOM!H61,IF(J66="BOFOthers","Sheet Metal-B",""))</f>
        <v/>
      </c>
      <c r="G66" s="1">
        <f>BOM!I61</f>
        <v>0</v>
      </c>
      <c r="H66" s="1">
        <f>BOM!J61</f>
        <v>0</v>
      </c>
      <c r="I66" s="1" t="str">
        <f t="shared" ref="I66:I129" si="7">IF(G66="Assy","",IF(H66="CSC","CSC","Others"))</f>
        <v>Others</v>
      </c>
      <c r="J66" s="1" t="str">
        <f t="shared" ref="J66:J129" si="8">CONCATENATE(G66,I66)</f>
        <v>0Others</v>
      </c>
      <c r="K66" s="3" t="str">
        <f>IF($J66="InhouseCSC",VLOOKUP($D66,Group!$C:$E,3,0),"")</f>
        <v/>
      </c>
      <c r="L66" s="3" t="str">
        <f>IF(OR($J66="BOSFCSC",$J66="BOFCSC"),VLOOKUP($D66,Group!$C:$E,3,0),"")</f>
        <v/>
      </c>
      <c r="M66" s="3" t="str">
        <f>IF(OR($J66="BOSFCSC",$J66="BOFCSC"),VLOOKUP($D66,Group!$C:$F,4,0),"")</f>
        <v/>
      </c>
      <c r="N66" s="3" t="str">
        <f>IF(OR($J66="InhouseCSC",$J66="BOSFCSC"),VLOOKUP($D66,Group!$C:$G,5,0),"")</f>
        <v/>
      </c>
      <c r="O66" s="3" t="str">
        <f>IF($J66="InhouseCSC",ROUND(VLOOKUP($D66,Group!$C:$H,6,0),5),"")</f>
        <v/>
      </c>
      <c r="P66" s="3" t="str">
        <f>IF(OR($J66="BOSFCSC",$J66="BOFCSC"),VLOOKUP($D66,Group!$C:$H,6,0),"")</f>
        <v/>
      </c>
      <c r="Q66" s="1" t="str">
        <f>IF($J66="Inhouseothers",VLOOKUP($D66,Group!$C:$E,3,0),"")</f>
        <v/>
      </c>
      <c r="R66" s="1" t="str">
        <f>IF($J66="BOSFOthers",VLOOKUP($D66,Group!$C:$E,3,0),"")</f>
        <v/>
      </c>
      <c r="S66" s="3" t="str">
        <f>IF($J66="BOFOthers",VLOOKUP($D66,Group!$C:$E,3,0),"")</f>
        <v/>
      </c>
      <c r="U66" s="1" t="str">
        <f>IFERROR(Backend!$L66*VLOOKUP($F66,'OH,Profit &amp; Other Base'!$A:$V,Backend!U$6,0),"")</f>
        <v/>
      </c>
      <c r="V66" s="1" t="str">
        <f>IFERROR(Backend!$M66*VLOOKUP($F66,'OH,Profit &amp; Other Base'!$A:$V,Backend!V$6,0),"")</f>
        <v/>
      </c>
      <c r="W66" s="1" t="str">
        <f>IFERROR(Backend!$L66*VLOOKUP($F66,'OH,Profit &amp; Other Base'!$A:$V,Backend!W$6,0),"")</f>
        <v/>
      </c>
      <c r="X66" s="1" t="str">
        <f>IFERROR(Backend!$M66*VLOOKUP($F66,'OH,Profit &amp; Other Base'!$A:$V,Backend!X$6,0),"")</f>
        <v/>
      </c>
      <c r="Y66" s="1" t="str">
        <f>IFERROR(Backend!$L66*VLOOKUP($F66,'OH,Profit &amp; Other Base'!$A:$V,Backend!Y$6,0),"")</f>
        <v/>
      </c>
      <c r="Z66" s="1" t="str">
        <f>IFERROR(Backend!$M66*VLOOKUP($F66,'OH,Profit &amp; Other Base'!$A:$V,Backend!Z$6,0),"")</f>
        <v/>
      </c>
      <c r="AA66" s="1" t="str">
        <f>IFERROR(Backend!$L66*VLOOKUP($F66,'OH,Profit &amp; Other Base'!$A:$V,Backend!AA$6,0),"")</f>
        <v/>
      </c>
      <c r="AB66" s="1" t="str">
        <f>IFERROR(Backend!$M66*VLOOKUP($F66,'OH,Profit &amp; Other Base'!$A:$V,Backend!AB$6,0),"")</f>
        <v/>
      </c>
      <c r="AC66" s="1" t="str">
        <f>IFERROR(Backend!$L66*VLOOKUP($F66,'OH,Profit &amp; Other Base'!$A:$V,Backend!AC$6,0),"")</f>
        <v/>
      </c>
      <c r="AD66" s="1" t="str">
        <f>IFERROR(Backend!$M66*VLOOKUP($F66,'OH,Profit &amp; Other Base'!$A:$V,Backend!AD$6,0),"")</f>
        <v/>
      </c>
      <c r="AE66" s="1" t="str">
        <f>IFERROR(Backend!$L66*VLOOKUP($F66,'OH,Profit &amp; Other Base'!$A:$V,Backend!AE$6,0),"")</f>
        <v/>
      </c>
      <c r="AF66" s="1" t="str">
        <f>IFERROR(Backend!$M66*VLOOKUP($F66,'OH,Profit &amp; Other Base'!$A:$V,Backend!AF$6,0),"")</f>
        <v/>
      </c>
      <c r="AG66" s="1" t="str">
        <f>IFERROR(Backend!$L66*VLOOKUP($F66,'OH,Profit &amp; Other Base'!$A:$V,Backend!AG$6,0),"")</f>
        <v/>
      </c>
      <c r="AH66" s="1" t="str">
        <f>IFERROR(Backend!$M66*VLOOKUP($F66,'OH,Profit &amp; Other Base'!$A:$V,Backend!AH$6,0),"")</f>
        <v/>
      </c>
      <c r="AI66" s="3">
        <f t="shared" ref="AI66:AI129" si="9">SUM(L66,M66,P66,U66:AH66)</f>
        <v>0</v>
      </c>
      <c r="AL66" s="1" t="str">
        <f t="shared" ref="AL66:AL129" si="10">IF($J66="InhouseCSC",K66,IF($J66="BOSFCSC",AI66,""))</f>
        <v/>
      </c>
      <c r="AM66" s="1" t="str">
        <f t="shared" ref="AM66:AM129" si="11">IF(J66="BOFCSC",AI66,IF(J66="BOFOthers",S66,""))</f>
        <v/>
      </c>
      <c r="AN66" s="1" t="str">
        <f t="shared" ref="AN66:AN129" si="12">IFERROR(ROUND(IF(OR(J66="InhouseCSC",J66="BOSFCSC"),AL66,IF(OR(J66="BOFCSC",J66="BOFOthers"),AM66,IF(J66="InhouseOthers",Q66,IF(J66="BOSFOthers",R66,"")))),5),"")</f>
        <v/>
      </c>
      <c r="AO66" s="1" t="str">
        <f t="shared" ref="AO66:AO129" si="13">IFERROR(ROUND(IF(OR($J66="InhouseCSC",$J66="BOSFCSC"),N66,""),5),"")</f>
        <v/>
      </c>
      <c r="AP66" s="1" t="str">
        <f>IFERROR(ROUND(Backend!$AL66*VLOOKUP($F66,'OH,Profit &amp; Other Base'!$A:$V,Backend!AP$6,0),5),"")</f>
        <v/>
      </c>
      <c r="AQ66" s="1" t="str">
        <f>IFERROR(ROUND(Backend!$AO66*VLOOKUP($F66,'OH,Profit &amp; Other Base'!$A:$V,Backend!AQ$6,0),5),"")</f>
        <v/>
      </c>
      <c r="AR66" s="1" t="str">
        <f>IFERROR(ROUND(Backend!$AM66*VLOOKUP($F66,'OH,Profit &amp; Other Base'!$A:$V,Backend!AR$6,0),5),"")</f>
        <v/>
      </c>
      <c r="AS66" s="1" t="str">
        <f>IFERROR(ROUND(Backend!$AL66*VLOOKUP($F66,'OH,Profit &amp; Other Base'!$A:$V,Backend!AS$6,0),5),"")</f>
        <v/>
      </c>
      <c r="AT66" s="1" t="str">
        <f>IFERROR(ROUND(Backend!$AO66*VLOOKUP($F66,'OH,Profit &amp; Other Base'!$A:$V,Backend!AT$6,0),5),"")</f>
        <v/>
      </c>
      <c r="AU66" s="1" t="str">
        <f>IFERROR(ROUND(Backend!$AM66*VLOOKUP($F66,'OH,Profit &amp; Other Base'!$A:$V,Backend!AU$6,0),5),"")</f>
        <v/>
      </c>
      <c r="AV66" s="1" t="str">
        <f>IFERROR(ROUND(Backend!$AL66*VLOOKUP($F66,'OH,Profit &amp; Other Base'!$A:$V,Backend!AV$6,0),5),"")</f>
        <v/>
      </c>
      <c r="AW66" s="1" t="str">
        <f>IFERROR(ROUND(Backend!$AO66*VLOOKUP($F66,'OH,Profit &amp; Other Base'!$A:$V,Backend!AW$6,0),5),"")</f>
        <v/>
      </c>
      <c r="AX66" s="1" t="str">
        <f>IFERROR(ROUND(Backend!$AM66*VLOOKUP($F66,'OH,Profit &amp; Other Base'!$A:$V,Backend!AX$6,0),5),"")</f>
        <v/>
      </c>
      <c r="AY66" s="1" t="str">
        <f>IFERROR(ROUND(Backend!$AL66*VLOOKUP($F66,'OH,Profit &amp; Other Base'!$A:$V,Backend!AY$6,0),5),"")</f>
        <v/>
      </c>
      <c r="AZ66" s="1" t="str">
        <f>IFERROR(ROUND(Backend!$AO66*VLOOKUP($F66,'OH,Profit &amp; Other Base'!$A:$V,Backend!AZ$6,0),5),"")</f>
        <v/>
      </c>
      <c r="BA66" s="1" t="str">
        <f>IFERROR(ROUND(Backend!$AM66*VLOOKUP($F66,'OH,Profit &amp; Other Base'!$A:$V,Backend!BA$6,0),5),"")</f>
        <v/>
      </c>
      <c r="BB66" s="1" t="str">
        <f>IFERROR(ROUND(Backend!$AL66*VLOOKUP($F66,'OH,Profit &amp; Other Base'!$A:$V,Backend!BB$6,0),5),"")</f>
        <v/>
      </c>
      <c r="BC66" s="1" t="str">
        <f>IFERROR(ROUND(Backend!$AO66*VLOOKUP($F66,'OH,Profit &amp; Other Base'!$A:$V,Backend!BC$6,0),5),"")</f>
        <v/>
      </c>
      <c r="BD66" s="1" t="str">
        <f>IFERROR(ROUND(Backend!$AM66*VLOOKUP($F66,'OH,Profit &amp; Other Base'!$A:$V,Backend!BD$6,0),5),"")</f>
        <v/>
      </c>
      <c r="BE66" s="1" t="str">
        <f>IFERROR(ROUND(Backend!$AL66*VLOOKUP($F66,'OH,Profit &amp; Other Base'!$A:$V,Backend!BE$6,0),5),"")</f>
        <v/>
      </c>
      <c r="BF66" s="1" t="str">
        <f>IFERROR(ROUND(Backend!$AO66*VLOOKUP($F66,'OH,Profit &amp; Other Base'!$A:$V,Backend!BF$6,0),5),"")</f>
        <v/>
      </c>
      <c r="BG66" s="1" t="str">
        <f>IFERROR(ROUND(Backend!$AM66*VLOOKUP($F66,'OH,Profit &amp; Other Base'!$A:$V,Backend!BG$6,0),5),"")</f>
        <v/>
      </c>
      <c r="BH66" s="1" t="str">
        <f>IFERROR(ROUND(Backend!$AL66*VLOOKUP($F66,'OH,Profit &amp; Other Base'!$A:$V,Backend!BH$6,0),5),"")</f>
        <v/>
      </c>
      <c r="BI66" s="1" t="str">
        <f>IFERROR(ROUND(Backend!$AO66*VLOOKUP($F66,'OH,Profit &amp; Other Base'!$A:$V,Backend!BI$6,0),5),"")</f>
        <v/>
      </c>
      <c r="BJ66" s="1" t="str">
        <f>IFERROR(ROUND(Backend!$AM66*VLOOKUP($F66,'OH,Profit &amp; Other Base'!$A:$V,Backend!BJ$6,0),5),"")</f>
        <v/>
      </c>
      <c r="BK66" s="3">
        <f>SUM(AN66:BJ66,Backend!O66)</f>
        <v>0</v>
      </c>
    </row>
    <row r="67" spans="1:63">
      <c r="A67" s="1">
        <f>BOM!A62</f>
        <v>0</v>
      </c>
      <c r="B67" s="1">
        <f>BOM!B62</f>
        <v>0</v>
      </c>
      <c r="C67" s="1">
        <f>BOM!C62</f>
        <v>0</v>
      </c>
      <c r="D67" s="1">
        <f>BOM!D62</f>
        <v>0</v>
      </c>
      <c r="E67" s="1">
        <f>BOM!F62</f>
        <v>0</v>
      </c>
      <c r="F67" s="1" t="str">
        <f>IF(H67="CSC",BOM!H62,IF(J67="BOFOthers","Sheet Metal-B",""))</f>
        <v/>
      </c>
      <c r="G67" s="1">
        <f>BOM!I62</f>
        <v>0</v>
      </c>
      <c r="H67" s="1">
        <f>BOM!J62</f>
        <v>0</v>
      </c>
      <c r="I67" s="1" t="str">
        <f t="shared" si="7"/>
        <v>Others</v>
      </c>
      <c r="J67" s="1" t="str">
        <f t="shared" si="8"/>
        <v>0Others</v>
      </c>
      <c r="K67" s="3" t="str">
        <f>IF($J67="InhouseCSC",VLOOKUP($D67,Group!$C:$E,3,0),"")</f>
        <v/>
      </c>
      <c r="L67" s="3" t="str">
        <f>IF(OR($J67="BOSFCSC",$J67="BOFCSC"),VLOOKUP($D67,Group!$C:$E,3,0),"")</f>
        <v/>
      </c>
      <c r="M67" s="3" t="str">
        <f>IF(OR($J67="BOSFCSC",$J67="BOFCSC"),VLOOKUP($D67,Group!$C:$F,4,0),"")</f>
        <v/>
      </c>
      <c r="N67" s="3" t="str">
        <f>IF(OR($J67="InhouseCSC",$J67="BOSFCSC"),VLOOKUP($D67,Group!$C:$G,5,0),"")</f>
        <v/>
      </c>
      <c r="O67" s="3" t="str">
        <f>IF($J67="InhouseCSC",ROUND(VLOOKUP($D67,Group!$C:$H,6,0),5),"")</f>
        <v/>
      </c>
      <c r="P67" s="3" t="str">
        <f>IF(OR($J67="BOSFCSC",$J67="BOFCSC"),VLOOKUP($D67,Group!$C:$H,6,0),"")</f>
        <v/>
      </c>
      <c r="Q67" s="1" t="str">
        <f>IF($J67="Inhouseothers",VLOOKUP($D67,Group!$C:$E,3,0),"")</f>
        <v/>
      </c>
      <c r="R67" s="1" t="str">
        <f>IF($J67="BOSFOthers",VLOOKUP($D67,Group!$C:$E,3,0),"")</f>
        <v/>
      </c>
      <c r="S67" s="3" t="str">
        <f>IF($J67="BOFOthers",VLOOKUP($D67,Group!$C:$E,3,0),"")</f>
        <v/>
      </c>
      <c r="U67" s="1" t="str">
        <f>IFERROR(Backend!$L67*VLOOKUP($F67,'OH,Profit &amp; Other Base'!$A:$V,Backend!U$6,0),"")</f>
        <v/>
      </c>
      <c r="V67" s="1" t="str">
        <f>IFERROR(Backend!$M67*VLOOKUP($F67,'OH,Profit &amp; Other Base'!$A:$V,Backend!V$6,0),"")</f>
        <v/>
      </c>
      <c r="W67" s="1" t="str">
        <f>IFERROR(Backend!$L67*VLOOKUP($F67,'OH,Profit &amp; Other Base'!$A:$V,Backend!W$6,0),"")</f>
        <v/>
      </c>
      <c r="X67" s="1" t="str">
        <f>IFERROR(Backend!$M67*VLOOKUP($F67,'OH,Profit &amp; Other Base'!$A:$V,Backend!X$6,0),"")</f>
        <v/>
      </c>
      <c r="Y67" s="1" t="str">
        <f>IFERROR(Backend!$L67*VLOOKUP($F67,'OH,Profit &amp; Other Base'!$A:$V,Backend!Y$6,0),"")</f>
        <v/>
      </c>
      <c r="Z67" s="1" t="str">
        <f>IFERROR(Backend!$M67*VLOOKUP($F67,'OH,Profit &amp; Other Base'!$A:$V,Backend!Z$6,0),"")</f>
        <v/>
      </c>
      <c r="AA67" s="1" t="str">
        <f>IFERROR(Backend!$L67*VLOOKUP($F67,'OH,Profit &amp; Other Base'!$A:$V,Backend!AA$6,0),"")</f>
        <v/>
      </c>
      <c r="AB67" s="1" t="str">
        <f>IFERROR(Backend!$M67*VLOOKUP($F67,'OH,Profit &amp; Other Base'!$A:$V,Backend!AB$6,0),"")</f>
        <v/>
      </c>
      <c r="AC67" s="1" t="str">
        <f>IFERROR(Backend!$L67*VLOOKUP($F67,'OH,Profit &amp; Other Base'!$A:$V,Backend!AC$6,0),"")</f>
        <v/>
      </c>
      <c r="AD67" s="1" t="str">
        <f>IFERROR(Backend!$M67*VLOOKUP($F67,'OH,Profit &amp; Other Base'!$A:$V,Backend!AD$6,0),"")</f>
        <v/>
      </c>
      <c r="AE67" s="1" t="str">
        <f>IFERROR(Backend!$L67*VLOOKUP($F67,'OH,Profit &amp; Other Base'!$A:$V,Backend!AE$6,0),"")</f>
        <v/>
      </c>
      <c r="AF67" s="1" t="str">
        <f>IFERROR(Backend!$M67*VLOOKUP($F67,'OH,Profit &amp; Other Base'!$A:$V,Backend!AF$6,0),"")</f>
        <v/>
      </c>
      <c r="AG67" s="1" t="str">
        <f>IFERROR(Backend!$L67*VLOOKUP($F67,'OH,Profit &amp; Other Base'!$A:$V,Backend!AG$6,0),"")</f>
        <v/>
      </c>
      <c r="AH67" s="1" t="str">
        <f>IFERROR(Backend!$M67*VLOOKUP($F67,'OH,Profit &amp; Other Base'!$A:$V,Backend!AH$6,0),"")</f>
        <v/>
      </c>
      <c r="AI67" s="3">
        <f t="shared" si="9"/>
        <v>0</v>
      </c>
      <c r="AL67" s="1" t="str">
        <f t="shared" si="10"/>
        <v/>
      </c>
      <c r="AM67" s="1" t="str">
        <f t="shared" si="11"/>
        <v/>
      </c>
      <c r="AN67" s="1" t="str">
        <f t="shared" si="12"/>
        <v/>
      </c>
      <c r="AO67" s="1" t="str">
        <f t="shared" si="13"/>
        <v/>
      </c>
      <c r="AP67" s="1" t="str">
        <f>IFERROR(ROUND(Backend!$AL67*VLOOKUP($F67,'OH,Profit &amp; Other Base'!$A:$V,Backend!AP$6,0),5),"")</f>
        <v/>
      </c>
      <c r="AQ67" s="1" t="str">
        <f>IFERROR(ROUND(Backend!$AO67*VLOOKUP($F67,'OH,Profit &amp; Other Base'!$A:$V,Backend!AQ$6,0),5),"")</f>
        <v/>
      </c>
      <c r="AR67" s="1" t="str">
        <f>IFERROR(ROUND(Backend!$AM67*VLOOKUP($F67,'OH,Profit &amp; Other Base'!$A:$V,Backend!AR$6,0),5),"")</f>
        <v/>
      </c>
      <c r="AS67" s="1" t="str">
        <f>IFERROR(ROUND(Backend!$AL67*VLOOKUP($F67,'OH,Profit &amp; Other Base'!$A:$V,Backend!AS$6,0),5),"")</f>
        <v/>
      </c>
      <c r="AT67" s="1" t="str">
        <f>IFERROR(ROUND(Backend!$AO67*VLOOKUP($F67,'OH,Profit &amp; Other Base'!$A:$V,Backend!AT$6,0),5),"")</f>
        <v/>
      </c>
      <c r="AU67" s="1" t="str">
        <f>IFERROR(ROUND(Backend!$AM67*VLOOKUP($F67,'OH,Profit &amp; Other Base'!$A:$V,Backend!AU$6,0),5),"")</f>
        <v/>
      </c>
      <c r="AV67" s="1" t="str">
        <f>IFERROR(ROUND(Backend!$AL67*VLOOKUP($F67,'OH,Profit &amp; Other Base'!$A:$V,Backend!AV$6,0),5),"")</f>
        <v/>
      </c>
      <c r="AW67" s="1" t="str">
        <f>IFERROR(ROUND(Backend!$AO67*VLOOKUP($F67,'OH,Profit &amp; Other Base'!$A:$V,Backend!AW$6,0),5),"")</f>
        <v/>
      </c>
      <c r="AX67" s="1" t="str">
        <f>IFERROR(ROUND(Backend!$AM67*VLOOKUP($F67,'OH,Profit &amp; Other Base'!$A:$V,Backend!AX$6,0),5),"")</f>
        <v/>
      </c>
      <c r="AY67" s="1" t="str">
        <f>IFERROR(ROUND(Backend!$AL67*VLOOKUP($F67,'OH,Profit &amp; Other Base'!$A:$V,Backend!AY$6,0),5),"")</f>
        <v/>
      </c>
      <c r="AZ67" s="1" t="str">
        <f>IFERROR(ROUND(Backend!$AO67*VLOOKUP($F67,'OH,Profit &amp; Other Base'!$A:$V,Backend!AZ$6,0),5),"")</f>
        <v/>
      </c>
      <c r="BA67" s="1" t="str">
        <f>IFERROR(ROUND(Backend!$AM67*VLOOKUP($F67,'OH,Profit &amp; Other Base'!$A:$V,Backend!BA$6,0),5),"")</f>
        <v/>
      </c>
      <c r="BB67" s="1" t="str">
        <f>IFERROR(ROUND(Backend!$AL67*VLOOKUP($F67,'OH,Profit &amp; Other Base'!$A:$V,Backend!BB$6,0),5),"")</f>
        <v/>
      </c>
      <c r="BC67" s="1" t="str">
        <f>IFERROR(ROUND(Backend!$AO67*VLOOKUP($F67,'OH,Profit &amp; Other Base'!$A:$V,Backend!BC$6,0),5),"")</f>
        <v/>
      </c>
      <c r="BD67" s="1" t="str">
        <f>IFERROR(ROUND(Backend!$AM67*VLOOKUP($F67,'OH,Profit &amp; Other Base'!$A:$V,Backend!BD$6,0),5),"")</f>
        <v/>
      </c>
      <c r="BE67" s="1" t="str">
        <f>IFERROR(ROUND(Backend!$AL67*VLOOKUP($F67,'OH,Profit &amp; Other Base'!$A:$V,Backend!BE$6,0),5),"")</f>
        <v/>
      </c>
      <c r="BF67" s="1" t="str">
        <f>IFERROR(ROUND(Backend!$AO67*VLOOKUP($F67,'OH,Profit &amp; Other Base'!$A:$V,Backend!BF$6,0),5),"")</f>
        <v/>
      </c>
      <c r="BG67" s="1" t="str">
        <f>IFERROR(ROUND(Backend!$AM67*VLOOKUP($F67,'OH,Profit &amp; Other Base'!$A:$V,Backend!BG$6,0),5),"")</f>
        <v/>
      </c>
      <c r="BH67" s="1" t="str">
        <f>IFERROR(ROUND(Backend!$AL67*VLOOKUP($F67,'OH,Profit &amp; Other Base'!$A:$V,Backend!BH$6,0),5),"")</f>
        <v/>
      </c>
      <c r="BI67" s="1" t="str">
        <f>IFERROR(ROUND(Backend!$AO67*VLOOKUP($F67,'OH,Profit &amp; Other Base'!$A:$V,Backend!BI$6,0),5),"")</f>
        <v/>
      </c>
      <c r="BJ67" s="1" t="str">
        <f>IFERROR(ROUND(Backend!$AM67*VLOOKUP($F67,'OH,Profit &amp; Other Base'!$A:$V,Backend!BJ$6,0),5),"")</f>
        <v/>
      </c>
      <c r="BK67" s="3">
        <f>SUM(AN67:BJ67,Backend!O67)</f>
        <v>0</v>
      </c>
    </row>
    <row r="68" spans="1:63">
      <c r="A68" s="1">
        <f>BOM!A63</f>
        <v>0</v>
      </c>
      <c r="B68" s="1">
        <f>BOM!B63</f>
        <v>0</v>
      </c>
      <c r="C68" s="1">
        <f>BOM!C63</f>
        <v>0</v>
      </c>
      <c r="D68" s="1">
        <f>BOM!D63</f>
        <v>0</v>
      </c>
      <c r="E68" s="1">
        <f>BOM!F63</f>
        <v>0</v>
      </c>
      <c r="F68" s="1" t="str">
        <f>IF(H68="CSC",BOM!H63,IF(J68="BOFOthers","Sheet Metal-B",""))</f>
        <v/>
      </c>
      <c r="G68" s="1">
        <f>BOM!I63</f>
        <v>0</v>
      </c>
      <c r="H68" s="1">
        <f>BOM!J63</f>
        <v>0</v>
      </c>
      <c r="I68" s="1" t="str">
        <f t="shared" si="7"/>
        <v>Others</v>
      </c>
      <c r="J68" s="1" t="str">
        <f t="shared" si="8"/>
        <v>0Others</v>
      </c>
      <c r="K68" s="3" t="str">
        <f>IF($J68="InhouseCSC",VLOOKUP($D68,Group!$C:$E,3,0),"")</f>
        <v/>
      </c>
      <c r="L68" s="3" t="str">
        <f>IF(OR($J68="BOSFCSC",$J68="BOFCSC"),VLOOKUP($D68,Group!$C:$E,3,0),"")</f>
        <v/>
      </c>
      <c r="M68" s="3" t="str">
        <f>IF(OR($J68="BOSFCSC",$J68="BOFCSC"),VLOOKUP($D68,Group!$C:$F,4,0),"")</f>
        <v/>
      </c>
      <c r="N68" s="3" t="str">
        <f>IF(OR($J68="InhouseCSC",$J68="BOSFCSC"),VLOOKUP($D68,Group!$C:$G,5,0),"")</f>
        <v/>
      </c>
      <c r="O68" s="3" t="str">
        <f>IF($J68="InhouseCSC",ROUND(VLOOKUP($D68,Group!$C:$H,6,0),5),"")</f>
        <v/>
      </c>
      <c r="P68" s="3" t="str">
        <f>IF(OR($J68="BOSFCSC",$J68="BOFCSC"),VLOOKUP($D68,Group!$C:$H,6,0),"")</f>
        <v/>
      </c>
      <c r="Q68" s="1" t="str">
        <f>IF($J68="Inhouseothers",VLOOKUP($D68,Group!$C:$E,3,0),"")</f>
        <v/>
      </c>
      <c r="R68" s="1" t="str">
        <f>IF($J68="BOSFOthers",VLOOKUP($D68,Group!$C:$E,3,0),"")</f>
        <v/>
      </c>
      <c r="S68" s="3" t="str">
        <f>IF($J68="BOFOthers",VLOOKUP($D68,Group!$C:$E,3,0),"")</f>
        <v/>
      </c>
      <c r="U68" s="1" t="str">
        <f>IFERROR(Backend!$L68*VLOOKUP($F68,'OH,Profit &amp; Other Base'!$A:$V,Backend!U$6,0),"")</f>
        <v/>
      </c>
      <c r="V68" s="1" t="str">
        <f>IFERROR(Backend!$M68*VLOOKUP($F68,'OH,Profit &amp; Other Base'!$A:$V,Backend!V$6,0),"")</f>
        <v/>
      </c>
      <c r="W68" s="1" t="str">
        <f>IFERROR(Backend!$L68*VLOOKUP($F68,'OH,Profit &amp; Other Base'!$A:$V,Backend!W$6,0),"")</f>
        <v/>
      </c>
      <c r="X68" s="1" t="str">
        <f>IFERROR(Backend!$M68*VLOOKUP($F68,'OH,Profit &amp; Other Base'!$A:$V,Backend!X$6,0),"")</f>
        <v/>
      </c>
      <c r="Y68" s="1" t="str">
        <f>IFERROR(Backend!$L68*VLOOKUP($F68,'OH,Profit &amp; Other Base'!$A:$V,Backend!Y$6,0),"")</f>
        <v/>
      </c>
      <c r="Z68" s="1" t="str">
        <f>IFERROR(Backend!$M68*VLOOKUP($F68,'OH,Profit &amp; Other Base'!$A:$V,Backend!Z$6,0),"")</f>
        <v/>
      </c>
      <c r="AA68" s="1" t="str">
        <f>IFERROR(Backend!$L68*VLOOKUP($F68,'OH,Profit &amp; Other Base'!$A:$V,Backend!AA$6,0),"")</f>
        <v/>
      </c>
      <c r="AB68" s="1" t="str">
        <f>IFERROR(Backend!$M68*VLOOKUP($F68,'OH,Profit &amp; Other Base'!$A:$V,Backend!AB$6,0),"")</f>
        <v/>
      </c>
      <c r="AC68" s="1" t="str">
        <f>IFERROR(Backend!$L68*VLOOKUP($F68,'OH,Profit &amp; Other Base'!$A:$V,Backend!AC$6,0),"")</f>
        <v/>
      </c>
      <c r="AD68" s="1" t="str">
        <f>IFERROR(Backend!$M68*VLOOKUP($F68,'OH,Profit &amp; Other Base'!$A:$V,Backend!AD$6,0),"")</f>
        <v/>
      </c>
      <c r="AE68" s="1" t="str">
        <f>IFERROR(Backend!$L68*VLOOKUP($F68,'OH,Profit &amp; Other Base'!$A:$V,Backend!AE$6,0),"")</f>
        <v/>
      </c>
      <c r="AF68" s="1" t="str">
        <f>IFERROR(Backend!$M68*VLOOKUP($F68,'OH,Profit &amp; Other Base'!$A:$V,Backend!AF$6,0),"")</f>
        <v/>
      </c>
      <c r="AG68" s="1" t="str">
        <f>IFERROR(Backend!$L68*VLOOKUP($F68,'OH,Profit &amp; Other Base'!$A:$V,Backend!AG$6,0),"")</f>
        <v/>
      </c>
      <c r="AH68" s="1" t="str">
        <f>IFERROR(Backend!$M68*VLOOKUP($F68,'OH,Profit &amp; Other Base'!$A:$V,Backend!AH$6,0),"")</f>
        <v/>
      </c>
      <c r="AI68" s="3">
        <f t="shared" si="9"/>
        <v>0</v>
      </c>
      <c r="AL68" s="1" t="str">
        <f t="shared" si="10"/>
        <v/>
      </c>
      <c r="AM68" s="1" t="str">
        <f t="shared" si="11"/>
        <v/>
      </c>
      <c r="AN68" s="1" t="str">
        <f t="shared" si="12"/>
        <v/>
      </c>
      <c r="AO68" s="1" t="str">
        <f t="shared" si="13"/>
        <v/>
      </c>
      <c r="AP68" s="1" t="str">
        <f>IFERROR(ROUND(Backend!$AL68*VLOOKUP($F68,'OH,Profit &amp; Other Base'!$A:$V,Backend!AP$6,0),5),"")</f>
        <v/>
      </c>
      <c r="AQ68" s="1" t="str">
        <f>IFERROR(ROUND(Backend!$AO68*VLOOKUP($F68,'OH,Profit &amp; Other Base'!$A:$V,Backend!AQ$6,0),5),"")</f>
        <v/>
      </c>
      <c r="AR68" s="1" t="str">
        <f>IFERROR(ROUND(Backend!$AM68*VLOOKUP($F68,'OH,Profit &amp; Other Base'!$A:$V,Backend!AR$6,0),5),"")</f>
        <v/>
      </c>
      <c r="AS68" s="1" t="str">
        <f>IFERROR(ROUND(Backend!$AL68*VLOOKUP($F68,'OH,Profit &amp; Other Base'!$A:$V,Backend!AS$6,0),5),"")</f>
        <v/>
      </c>
      <c r="AT68" s="1" t="str">
        <f>IFERROR(ROUND(Backend!$AO68*VLOOKUP($F68,'OH,Profit &amp; Other Base'!$A:$V,Backend!AT$6,0),5),"")</f>
        <v/>
      </c>
      <c r="AU68" s="1" t="str">
        <f>IFERROR(ROUND(Backend!$AM68*VLOOKUP($F68,'OH,Profit &amp; Other Base'!$A:$V,Backend!AU$6,0),5),"")</f>
        <v/>
      </c>
      <c r="AV68" s="1" t="str">
        <f>IFERROR(ROUND(Backend!$AL68*VLOOKUP($F68,'OH,Profit &amp; Other Base'!$A:$V,Backend!AV$6,0),5),"")</f>
        <v/>
      </c>
      <c r="AW68" s="1" t="str">
        <f>IFERROR(ROUND(Backend!$AO68*VLOOKUP($F68,'OH,Profit &amp; Other Base'!$A:$V,Backend!AW$6,0),5),"")</f>
        <v/>
      </c>
      <c r="AX68" s="1" t="str">
        <f>IFERROR(ROUND(Backend!$AM68*VLOOKUP($F68,'OH,Profit &amp; Other Base'!$A:$V,Backend!AX$6,0),5),"")</f>
        <v/>
      </c>
      <c r="AY68" s="1" t="str">
        <f>IFERROR(ROUND(Backend!$AL68*VLOOKUP($F68,'OH,Profit &amp; Other Base'!$A:$V,Backend!AY$6,0),5),"")</f>
        <v/>
      </c>
      <c r="AZ68" s="1" t="str">
        <f>IFERROR(ROUND(Backend!$AO68*VLOOKUP($F68,'OH,Profit &amp; Other Base'!$A:$V,Backend!AZ$6,0),5),"")</f>
        <v/>
      </c>
      <c r="BA68" s="1" t="str">
        <f>IFERROR(ROUND(Backend!$AM68*VLOOKUP($F68,'OH,Profit &amp; Other Base'!$A:$V,Backend!BA$6,0),5),"")</f>
        <v/>
      </c>
      <c r="BB68" s="1" t="str">
        <f>IFERROR(ROUND(Backend!$AL68*VLOOKUP($F68,'OH,Profit &amp; Other Base'!$A:$V,Backend!BB$6,0),5),"")</f>
        <v/>
      </c>
      <c r="BC68" s="1" t="str">
        <f>IFERROR(ROUND(Backend!$AO68*VLOOKUP($F68,'OH,Profit &amp; Other Base'!$A:$V,Backend!BC$6,0),5),"")</f>
        <v/>
      </c>
      <c r="BD68" s="1" t="str">
        <f>IFERROR(ROUND(Backend!$AM68*VLOOKUP($F68,'OH,Profit &amp; Other Base'!$A:$V,Backend!BD$6,0),5),"")</f>
        <v/>
      </c>
      <c r="BE68" s="1" t="str">
        <f>IFERROR(ROUND(Backend!$AL68*VLOOKUP($F68,'OH,Profit &amp; Other Base'!$A:$V,Backend!BE$6,0),5),"")</f>
        <v/>
      </c>
      <c r="BF68" s="1" t="str">
        <f>IFERROR(ROUND(Backend!$AO68*VLOOKUP($F68,'OH,Profit &amp; Other Base'!$A:$V,Backend!BF$6,0),5),"")</f>
        <v/>
      </c>
      <c r="BG68" s="1" t="str">
        <f>IFERROR(ROUND(Backend!$AM68*VLOOKUP($F68,'OH,Profit &amp; Other Base'!$A:$V,Backend!BG$6,0),5),"")</f>
        <v/>
      </c>
      <c r="BH68" s="1" t="str">
        <f>IFERROR(ROUND(Backend!$AL68*VLOOKUP($F68,'OH,Profit &amp; Other Base'!$A:$V,Backend!BH$6,0),5),"")</f>
        <v/>
      </c>
      <c r="BI68" s="1" t="str">
        <f>IFERROR(ROUND(Backend!$AO68*VLOOKUP($F68,'OH,Profit &amp; Other Base'!$A:$V,Backend!BI$6,0),5),"")</f>
        <v/>
      </c>
      <c r="BJ68" s="1" t="str">
        <f>IFERROR(ROUND(Backend!$AM68*VLOOKUP($F68,'OH,Profit &amp; Other Base'!$A:$V,Backend!BJ$6,0),5),"")</f>
        <v/>
      </c>
      <c r="BK68" s="3">
        <f>SUM(AN68:BJ68,Backend!O68)</f>
        <v>0</v>
      </c>
    </row>
    <row r="69" spans="1:63">
      <c r="A69" s="1">
        <f>BOM!A64</f>
        <v>0</v>
      </c>
      <c r="B69" s="1">
        <f>BOM!B64</f>
        <v>0</v>
      </c>
      <c r="C69" s="1">
        <f>BOM!C64</f>
        <v>0</v>
      </c>
      <c r="D69" s="1">
        <f>BOM!D64</f>
        <v>0</v>
      </c>
      <c r="E69" s="1">
        <f>BOM!F64</f>
        <v>0</v>
      </c>
      <c r="F69" s="1" t="str">
        <f>IF(H69="CSC",BOM!H64,IF(J69="BOFOthers","Sheet Metal-B",""))</f>
        <v/>
      </c>
      <c r="G69" s="1">
        <f>BOM!I64</f>
        <v>0</v>
      </c>
      <c r="H69" s="1">
        <f>BOM!J64</f>
        <v>0</v>
      </c>
      <c r="I69" s="1" t="str">
        <f t="shared" si="7"/>
        <v>Others</v>
      </c>
      <c r="J69" s="1" t="str">
        <f t="shared" si="8"/>
        <v>0Others</v>
      </c>
      <c r="K69" s="3" t="str">
        <f>IF($J69="InhouseCSC",VLOOKUP($D69,Group!$C:$E,3,0),"")</f>
        <v/>
      </c>
      <c r="L69" s="3" t="str">
        <f>IF(OR($J69="BOSFCSC",$J69="BOFCSC"),VLOOKUP($D69,Group!$C:$E,3,0),"")</f>
        <v/>
      </c>
      <c r="M69" s="3" t="str">
        <f>IF(OR($J69="BOSFCSC",$J69="BOFCSC"),VLOOKUP($D69,Group!$C:$F,4,0),"")</f>
        <v/>
      </c>
      <c r="N69" s="3" t="str">
        <f>IF(OR($J69="InhouseCSC",$J69="BOSFCSC"),VLOOKUP($D69,Group!$C:$G,5,0),"")</f>
        <v/>
      </c>
      <c r="O69" s="3" t="str">
        <f>IF($J69="InhouseCSC",ROUND(VLOOKUP($D69,Group!$C:$H,6,0),5),"")</f>
        <v/>
      </c>
      <c r="P69" s="3" t="str">
        <f>IF(OR($J69="BOSFCSC",$J69="BOFCSC"),VLOOKUP($D69,Group!$C:$H,6,0),"")</f>
        <v/>
      </c>
      <c r="Q69" s="1" t="str">
        <f>IF($J69="Inhouseothers",VLOOKUP($D69,Group!$C:$E,3,0),"")</f>
        <v/>
      </c>
      <c r="R69" s="1" t="str">
        <f>IF($J69="BOSFOthers",VLOOKUP($D69,Group!$C:$E,3,0),"")</f>
        <v/>
      </c>
      <c r="S69" s="3" t="str">
        <f>IF($J69="BOFOthers",VLOOKUP($D69,Group!$C:$E,3,0),"")</f>
        <v/>
      </c>
      <c r="U69" s="1" t="str">
        <f>IFERROR(Backend!$L69*VLOOKUP($F69,'OH,Profit &amp; Other Base'!$A:$V,Backend!U$6,0),"")</f>
        <v/>
      </c>
      <c r="V69" s="1" t="str">
        <f>IFERROR(Backend!$M69*VLOOKUP($F69,'OH,Profit &amp; Other Base'!$A:$V,Backend!V$6,0),"")</f>
        <v/>
      </c>
      <c r="W69" s="1" t="str">
        <f>IFERROR(Backend!$L69*VLOOKUP($F69,'OH,Profit &amp; Other Base'!$A:$V,Backend!W$6,0),"")</f>
        <v/>
      </c>
      <c r="X69" s="1" t="str">
        <f>IFERROR(Backend!$M69*VLOOKUP($F69,'OH,Profit &amp; Other Base'!$A:$V,Backend!X$6,0),"")</f>
        <v/>
      </c>
      <c r="Y69" s="1" t="str">
        <f>IFERROR(Backend!$L69*VLOOKUP($F69,'OH,Profit &amp; Other Base'!$A:$V,Backend!Y$6,0),"")</f>
        <v/>
      </c>
      <c r="Z69" s="1" t="str">
        <f>IFERROR(Backend!$M69*VLOOKUP($F69,'OH,Profit &amp; Other Base'!$A:$V,Backend!Z$6,0),"")</f>
        <v/>
      </c>
      <c r="AA69" s="1" t="str">
        <f>IFERROR(Backend!$L69*VLOOKUP($F69,'OH,Profit &amp; Other Base'!$A:$V,Backend!AA$6,0),"")</f>
        <v/>
      </c>
      <c r="AB69" s="1" t="str">
        <f>IFERROR(Backend!$M69*VLOOKUP($F69,'OH,Profit &amp; Other Base'!$A:$V,Backend!AB$6,0),"")</f>
        <v/>
      </c>
      <c r="AC69" s="1" t="str">
        <f>IFERROR(Backend!$L69*VLOOKUP($F69,'OH,Profit &amp; Other Base'!$A:$V,Backend!AC$6,0),"")</f>
        <v/>
      </c>
      <c r="AD69" s="1" t="str">
        <f>IFERROR(Backend!$M69*VLOOKUP($F69,'OH,Profit &amp; Other Base'!$A:$V,Backend!AD$6,0),"")</f>
        <v/>
      </c>
      <c r="AE69" s="1" t="str">
        <f>IFERROR(Backend!$L69*VLOOKUP($F69,'OH,Profit &amp; Other Base'!$A:$V,Backend!AE$6,0),"")</f>
        <v/>
      </c>
      <c r="AF69" s="1" t="str">
        <f>IFERROR(Backend!$M69*VLOOKUP($F69,'OH,Profit &amp; Other Base'!$A:$V,Backend!AF$6,0),"")</f>
        <v/>
      </c>
      <c r="AG69" s="1" t="str">
        <f>IFERROR(Backend!$L69*VLOOKUP($F69,'OH,Profit &amp; Other Base'!$A:$V,Backend!AG$6,0),"")</f>
        <v/>
      </c>
      <c r="AH69" s="1" t="str">
        <f>IFERROR(Backend!$M69*VLOOKUP($F69,'OH,Profit &amp; Other Base'!$A:$V,Backend!AH$6,0),"")</f>
        <v/>
      </c>
      <c r="AI69" s="3">
        <f t="shared" si="9"/>
        <v>0</v>
      </c>
      <c r="AL69" s="1" t="str">
        <f t="shared" si="10"/>
        <v/>
      </c>
      <c r="AM69" s="1" t="str">
        <f t="shared" si="11"/>
        <v/>
      </c>
      <c r="AN69" s="1" t="str">
        <f t="shared" si="12"/>
        <v/>
      </c>
      <c r="AO69" s="1" t="str">
        <f t="shared" si="13"/>
        <v/>
      </c>
      <c r="AP69" s="1" t="str">
        <f>IFERROR(ROUND(Backend!$AL69*VLOOKUP($F69,'OH,Profit &amp; Other Base'!$A:$V,Backend!AP$6,0),5),"")</f>
        <v/>
      </c>
      <c r="AQ69" s="1" t="str">
        <f>IFERROR(ROUND(Backend!$AO69*VLOOKUP($F69,'OH,Profit &amp; Other Base'!$A:$V,Backend!AQ$6,0),5),"")</f>
        <v/>
      </c>
      <c r="AR69" s="1" t="str">
        <f>IFERROR(ROUND(Backend!$AM69*VLOOKUP($F69,'OH,Profit &amp; Other Base'!$A:$V,Backend!AR$6,0),5),"")</f>
        <v/>
      </c>
      <c r="AS69" s="1" t="str">
        <f>IFERROR(ROUND(Backend!$AL69*VLOOKUP($F69,'OH,Profit &amp; Other Base'!$A:$V,Backend!AS$6,0),5),"")</f>
        <v/>
      </c>
      <c r="AT69" s="1" t="str">
        <f>IFERROR(ROUND(Backend!$AO69*VLOOKUP($F69,'OH,Profit &amp; Other Base'!$A:$V,Backend!AT$6,0),5),"")</f>
        <v/>
      </c>
      <c r="AU69" s="1" t="str">
        <f>IFERROR(ROUND(Backend!$AM69*VLOOKUP($F69,'OH,Profit &amp; Other Base'!$A:$V,Backend!AU$6,0),5),"")</f>
        <v/>
      </c>
      <c r="AV69" s="1" t="str">
        <f>IFERROR(ROUND(Backend!$AL69*VLOOKUP($F69,'OH,Profit &amp; Other Base'!$A:$V,Backend!AV$6,0),5),"")</f>
        <v/>
      </c>
      <c r="AW69" s="1" t="str">
        <f>IFERROR(ROUND(Backend!$AO69*VLOOKUP($F69,'OH,Profit &amp; Other Base'!$A:$V,Backend!AW$6,0),5),"")</f>
        <v/>
      </c>
      <c r="AX69" s="1" t="str">
        <f>IFERROR(ROUND(Backend!$AM69*VLOOKUP($F69,'OH,Profit &amp; Other Base'!$A:$V,Backend!AX$6,0),5),"")</f>
        <v/>
      </c>
      <c r="AY69" s="1" t="str">
        <f>IFERROR(ROUND(Backend!$AL69*VLOOKUP($F69,'OH,Profit &amp; Other Base'!$A:$V,Backend!AY$6,0),5),"")</f>
        <v/>
      </c>
      <c r="AZ69" s="1" t="str">
        <f>IFERROR(ROUND(Backend!$AO69*VLOOKUP($F69,'OH,Profit &amp; Other Base'!$A:$V,Backend!AZ$6,0),5),"")</f>
        <v/>
      </c>
      <c r="BA69" s="1" t="str">
        <f>IFERROR(ROUND(Backend!$AM69*VLOOKUP($F69,'OH,Profit &amp; Other Base'!$A:$V,Backend!BA$6,0),5),"")</f>
        <v/>
      </c>
      <c r="BB69" s="1" t="str">
        <f>IFERROR(ROUND(Backend!$AL69*VLOOKUP($F69,'OH,Profit &amp; Other Base'!$A:$V,Backend!BB$6,0),5),"")</f>
        <v/>
      </c>
      <c r="BC69" s="1" t="str">
        <f>IFERROR(ROUND(Backend!$AO69*VLOOKUP($F69,'OH,Profit &amp; Other Base'!$A:$V,Backend!BC$6,0),5),"")</f>
        <v/>
      </c>
      <c r="BD69" s="1" t="str">
        <f>IFERROR(ROUND(Backend!$AM69*VLOOKUP($F69,'OH,Profit &amp; Other Base'!$A:$V,Backend!BD$6,0),5),"")</f>
        <v/>
      </c>
      <c r="BE69" s="1" t="str">
        <f>IFERROR(ROUND(Backend!$AL69*VLOOKUP($F69,'OH,Profit &amp; Other Base'!$A:$V,Backend!BE$6,0),5),"")</f>
        <v/>
      </c>
      <c r="BF69" s="1" t="str">
        <f>IFERROR(ROUND(Backend!$AO69*VLOOKUP($F69,'OH,Profit &amp; Other Base'!$A:$V,Backend!BF$6,0),5),"")</f>
        <v/>
      </c>
      <c r="BG69" s="1" t="str">
        <f>IFERROR(ROUND(Backend!$AM69*VLOOKUP($F69,'OH,Profit &amp; Other Base'!$A:$V,Backend!BG$6,0),5),"")</f>
        <v/>
      </c>
      <c r="BH69" s="1" t="str">
        <f>IFERROR(ROUND(Backend!$AL69*VLOOKUP($F69,'OH,Profit &amp; Other Base'!$A:$V,Backend!BH$6,0),5),"")</f>
        <v/>
      </c>
      <c r="BI69" s="1" t="str">
        <f>IFERROR(ROUND(Backend!$AO69*VLOOKUP($F69,'OH,Profit &amp; Other Base'!$A:$V,Backend!BI$6,0),5),"")</f>
        <v/>
      </c>
      <c r="BJ69" s="1" t="str">
        <f>IFERROR(ROUND(Backend!$AM69*VLOOKUP($F69,'OH,Profit &amp; Other Base'!$A:$V,Backend!BJ$6,0),5),"")</f>
        <v/>
      </c>
      <c r="BK69" s="3">
        <f>SUM(AN69:BJ69,Backend!O69)</f>
        <v>0</v>
      </c>
    </row>
    <row r="70" spans="1:63">
      <c r="A70" s="1">
        <f>BOM!A65</f>
        <v>0</v>
      </c>
      <c r="B70" s="1">
        <f>BOM!B65</f>
        <v>0</v>
      </c>
      <c r="C70" s="1">
        <f>BOM!C65</f>
        <v>0</v>
      </c>
      <c r="D70" s="1">
        <f>BOM!D65</f>
        <v>0</v>
      </c>
      <c r="E70" s="1">
        <f>BOM!F65</f>
        <v>0</v>
      </c>
      <c r="F70" s="1" t="str">
        <f>IF(H70="CSC",BOM!H65,IF(J70="BOFOthers","Sheet Metal-B",""))</f>
        <v/>
      </c>
      <c r="G70" s="1">
        <f>BOM!I65</f>
        <v>0</v>
      </c>
      <c r="H70" s="1">
        <f>BOM!J65</f>
        <v>0</v>
      </c>
      <c r="I70" s="1" t="str">
        <f t="shared" si="7"/>
        <v>Others</v>
      </c>
      <c r="J70" s="1" t="str">
        <f t="shared" si="8"/>
        <v>0Others</v>
      </c>
      <c r="K70" s="3" t="str">
        <f>IF($J70="InhouseCSC",VLOOKUP($D70,Group!$C:$E,3,0),"")</f>
        <v/>
      </c>
      <c r="L70" s="3" t="str">
        <f>IF(OR($J70="BOSFCSC",$J70="BOFCSC"),VLOOKUP($D70,Group!$C:$E,3,0),"")</f>
        <v/>
      </c>
      <c r="M70" s="3" t="str">
        <f>IF(OR($J70="BOSFCSC",$J70="BOFCSC"),VLOOKUP($D70,Group!$C:$F,4,0),"")</f>
        <v/>
      </c>
      <c r="N70" s="3" t="str">
        <f>IF(OR($J70="InhouseCSC",$J70="BOSFCSC"),VLOOKUP($D70,Group!$C:$G,5,0),"")</f>
        <v/>
      </c>
      <c r="O70" s="3" t="str">
        <f>IF($J70="InhouseCSC",ROUND(VLOOKUP($D70,Group!$C:$H,6,0),5),"")</f>
        <v/>
      </c>
      <c r="P70" s="3" t="str">
        <f>IF(OR($J70="BOSFCSC",$J70="BOFCSC"),VLOOKUP($D70,Group!$C:$H,6,0),"")</f>
        <v/>
      </c>
      <c r="Q70" s="1" t="str">
        <f>IF($J70="Inhouseothers",VLOOKUP($D70,Group!$C:$E,3,0),"")</f>
        <v/>
      </c>
      <c r="R70" s="1" t="str">
        <f>IF($J70="BOSFOthers",VLOOKUP($D70,Group!$C:$E,3,0),"")</f>
        <v/>
      </c>
      <c r="S70" s="3" t="str">
        <f>IF($J70="BOFOthers",VLOOKUP($D70,Group!$C:$E,3,0),"")</f>
        <v/>
      </c>
      <c r="U70" s="1" t="str">
        <f>IFERROR(Backend!$L70*VLOOKUP($F70,'OH,Profit &amp; Other Base'!$A:$V,Backend!U$6,0),"")</f>
        <v/>
      </c>
      <c r="V70" s="1" t="str">
        <f>IFERROR(Backend!$M70*VLOOKUP($F70,'OH,Profit &amp; Other Base'!$A:$V,Backend!V$6,0),"")</f>
        <v/>
      </c>
      <c r="W70" s="1" t="str">
        <f>IFERROR(Backend!$L70*VLOOKUP($F70,'OH,Profit &amp; Other Base'!$A:$V,Backend!W$6,0),"")</f>
        <v/>
      </c>
      <c r="X70" s="1" t="str">
        <f>IFERROR(Backend!$M70*VLOOKUP($F70,'OH,Profit &amp; Other Base'!$A:$V,Backend!X$6,0),"")</f>
        <v/>
      </c>
      <c r="Y70" s="1" t="str">
        <f>IFERROR(Backend!$L70*VLOOKUP($F70,'OH,Profit &amp; Other Base'!$A:$V,Backend!Y$6,0),"")</f>
        <v/>
      </c>
      <c r="Z70" s="1" t="str">
        <f>IFERROR(Backend!$M70*VLOOKUP($F70,'OH,Profit &amp; Other Base'!$A:$V,Backend!Z$6,0),"")</f>
        <v/>
      </c>
      <c r="AA70" s="1" t="str">
        <f>IFERROR(Backend!$L70*VLOOKUP($F70,'OH,Profit &amp; Other Base'!$A:$V,Backend!AA$6,0),"")</f>
        <v/>
      </c>
      <c r="AB70" s="1" t="str">
        <f>IFERROR(Backend!$M70*VLOOKUP($F70,'OH,Profit &amp; Other Base'!$A:$V,Backend!AB$6,0),"")</f>
        <v/>
      </c>
      <c r="AC70" s="1" t="str">
        <f>IFERROR(Backend!$L70*VLOOKUP($F70,'OH,Profit &amp; Other Base'!$A:$V,Backend!AC$6,0),"")</f>
        <v/>
      </c>
      <c r="AD70" s="1" t="str">
        <f>IFERROR(Backend!$M70*VLOOKUP($F70,'OH,Profit &amp; Other Base'!$A:$V,Backend!AD$6,0),"")</f>
        <v/>
      </c>
      <c r="AE70" s="1" t="str">
        <f>IFERROR(Backend!$L70*VLOOKUP($F70,'OH,Profit &amp; Other Base'!$A:$V,Backend!AE$6,0),"")</f>
        <v/>
      </c>
      <c r="AF70" s="1" t="str">
        <f>IFERROR(Backend!$M70*VLOOKUP($F70,'OH,Profit &amp; Other Base'!$A:$V,Backend!AF$6,0),"")</f>
        <v/>
      </c>
      <c r="AG70" s="1" t="str">
        <f>IFERROR(Backend!$L70*VLOOKUP($F70,'OH,Profit &amp; Other Base'!$A:$V,Backend!AG$6,0),"")</f>
        <v/>
      </c>
      <c r="AH70" s="1" t="str">
        <f>IFERROR(Backend!$M70*VLOOKUP($F70,'OH,Profit &amp; Other Base'!$A:$V,Backend!AH$6,0),"")</f>
        <v/>
      </c>
      <c r="AI70" s="3">
        <f t="shared" si="9"/>
        <v>0</v>
      </c>
      <c r="AL70" s="1" t="str">
        <f t="shared" si="10"/>
        <v/>
      </c>
      <c r="AM70" s="1" t="str">
        <f t="shared" si="11"/>
        <v/>
      </c>
      <c r="AN70" s="1" t="str">
        <f t="shared" si="12"/>
        <v/>
      </c>
      <c r="AO70" s="1" t="str">
        <f t="shared" si="13"/>
        <v/>
      </c>
      <c r="AP70" s="1" t="str">
        <f>IFERROR(ROUND(Backend!$AL70*VLOOKUP($F70,'OH,Profit &amp; Other Base'!$A:$V,Backend!AP$6,0),5),"")</f>
        <v/>
      </c>
      <c r="AQ70" s="1" t="str">
        <f>IFERROR(ROUND(Backend!$AO70*VLOOKUP($F70,'OH,Profit &amp; Other Base'!$A:$V,Backend!AQ$6,0),5),"")</f>
        <v/>
      </c>
      <c r="AR70" s="1" t="str">
        <f>IFERROR(ROUND(Backend!$AM70*VLOOKUP($F70,'OH,Profit &amp; Other Base'!$A:$V,Backend!AR$6,0),5),"")</f>
        <v/>
      </c>
      <c r="AS70" s="1" t="str">
        <f>IFERROR(ROUND(Backend!$AL70*VLOOKUP($F70,'OH,Profit &amp; Other Base'!$A:$V,Backend!AS$6,0),5),"")</f>
        <v/>
      </c>
      <c r="AT70" s="1" t="str">
        <f>IFERROR(ROUND(Backend!$AO70*VLOOKUP($F70,'OH,Profit &amp; Other Base'!$A:$V,Backend!AT$6,0),5),"")</f>
        <v/>
      </c>
      <c r="AU70" s="1" t="str">
        <f>IFERROR(ROUND(Backend!$AM70*VLOOKUP($F70,'OH,Profit &amp; Other Base'!$A:$V,Backend!AU$6,0),5),"")</f>
        <v/>
      </c>
      <c r="AV70" s="1" t="str">
        <f>IFERROR(ROUND(Backend!$AL70*VLOOKUP($F70,'OH,Profit &amp; Other Base'!$A:$V,Backend!AV$6,0),5),"")</f>
        <v/>
      </c>
      <c r="AW70" s="1" t="str">
        <f>IFERROR(ROUND(Backend!$AO70*VLOOKUP($F70,'OH,Profit &amp; Other Base'!$A:$V,Backend!AW$6,0),5),"")</f>
        <v/>
      </c>
      <c r="AX70" s="1" t="str">
        <f>IFERROR(ROUND(Backend!$AM70*VLOOKUP($F70,'OH,Profit &amp; Other Base'!$A:$V,Backend!AX$6,0),5),"")</f>
        <v/>
      </c>
      <c r="AY70" s="1" t="str">
        <f>IFERROR(ROUND(Backend!$AL70*VLOOKUP($F70,'OH,Profit &amp; Other Base'!$A:$V,Backend!AY$6,0),5),"")</f>
        <v/>
      </c>
      <c r="AZ70" s="1" t="str">
        <f>IFERROR(ROUND(Backend!$AO70*VLOOKUP($F70,'OH,Profit &amp; Other Base'!$A:$V,Backend!AZ$6,0),5),"")</f>
        <v/>
      </c>
      <c r="BA70" s="1" t="str">
        <f>IFERROR(ROUND(Backend!$AM70*VLOOKUP($F70,'OH,Profit &amp; Other Base'!$A:$V,Backend!BA$6,0),5),"")</f>
        <v/>
      </c>
      <c r="BB70" s="1" t="str">
        <f>IFERROR(ROUND(Backend!$AL70*VLOOKUP($F70,'OH,Profit &amp; Other Base'!$A:$V,Backend!BB$6,0),5),"")</f>
        <v/>
      </c>
      <c r="BC70" s="1" t="str">
        <f>IFERROR(ROUND(Backend!$AO70*VLOOKUP($F70,'OH,Profit &amp; Other Base'!$A:$V,Backend!BC$6,0),5),"")</f>
        <v/>
      </c>
      <c r="BD70" s="1" t="str">
        <f>IFERROR(ROUND(Backend!$AM70*VLOOKUP($F70,'OH,Profit &amp; Other Base'!$A:$V,Backend!BD$6,0),5),"")</f>
        <v/>
      </c>
      <c r="BE70" s="1" t="str">
        <f>IFERROR(ROUND(Backend!$AL70*VLOOKUP($F70,'OH,Profit &amp; Other Base'!$A:$V,Backend!BE$6,0),5),"")</f>
        <v/>
      </c>
      <c r="BF70" s="1" t="str">
        <f>IFERROR(ROUND(Backend!$AO70*VLOOKUP($F70,'OH,Profit &amp; Other Base'!$A:$V,Backend!BF$6,0),5),"")</f>
        <v/>
      </c>
      <c r="BG70" s="1" t="str">
        <f>IFERROR(ROUND(Backend!$AM70*VLOOKUP($F70,'OH,Profit &amp; Other Base'!$A:$V,Backend!BG$6,0),5),"")</f>
        <v/>
      </c>
      <c r="BH70" s="1" t="str">
        <f>IFERROR(ROUND(Backend!$AL70*VLOOKUP($F70,'OH,Profit &amp; Other Base'!$A:$V,Backend!BH$6,0),5),"")</f>
        <v/>
      </c>
      <c r="BI70" s="1" t="str">
        <f>IFERROR(ROUND(Backend!$AO70*VLOOKUP($F70,'OH,Profit &amp; Other Base'!$A:$V,Backend!BI$6,0),5),"")</f>
        <v/>
      </c>
      <c r="BJ70" s="1" t="str">
        <f>IFERROR(ROUND(Backend!$AM70*VLOOKUP($F70,'OH,Profit &amp; Other Base'!$A:$V,Backend!BJ$6,0),5),"")</f>
        <v/>
      </c>
      <c r="BK70" s="3">
        <f>SUM(AN70:BJ70,Backend!O70)</f>
        <v>0</v>
      </c>
    </row>
    <row r="71" spans="1:63">
      <c r="A71" s="1">
        <f>BOM!A66</f>
        <v>0</v>
      </c>
      <c r="B71" s="1">
        <f>BOM!B66</f>
        <v>0</v>
      </c>
      <c r="C71" s="1">
        <f>BOM!C66</f>
        <v>0</v>
      </c>
      <c r="D71" s="1">
        <f>BOM!D66</f>
        <v>0</v>
      </c>
      <c r="E71" s="1">
        <f>BOM!F66</f>
        <v>0</v>
      </c>
      <c r="F71" s="1" t="str">
        <f>IF(H71="CSC",BOM!H66,IF(J71="BOFOthers","Sheet Metal-B",""))</f>
        <v/>
      </c>
      <c r="G71" s="1">
        <f>BOM!I66</f>
        <v>0</v>
      </c>
      <c r="H71" s="1">
        <f>BOM!J66</f>
        <v>0</v>
      </c>
      <c r="I71" s="1" t="str">
        <f t="shared" si="7"/>
        <v>Others</v>
      </c>
      <c r="J71" s="1" t="str">
        <f t="shared" si="8"/>
        <v>0Others</v>
      </c>
      <c r="K71" s="3" t="str">
        <f>IF($J71="InhouseCSC",VLOOKUP($D71,Group!$C:$E,3,0),"")</f>
        <v/>
      </c>
      <c r="L71" s="3" t="str">
        <f>IF(OR($J71="BOSFCSC",$J71="BOFCSC"),VLOOKUP($D71,Group!$C:$E,3,0),"")</f>
        <v/>
      </c>
      <c r="M71" s="3" t="str">
        <f>IF(OR($J71="BOSFCSC",$J71="BOFCSC"),VLOOKUP($D71,Group!$C:$F,4,0),"")</f>
        <v/>
      </c>
      <c r="N71" s="3" t="str">
        <f>IF(OR($J71="InhouseCSC",$J71="BOSFCSC"),VLOOKUP($D71,Group!$C:$G,5,0),"")</f>
        <v/>
      </c>
      <c r="O71" s="3" t="str">
        <f>IF($J71="InhouseCSC",ROUND(VLOOKUP($D71,Group!$C:$H,6,0),5),"")</f>
        <v/>
      </c>
      <c r="P71" s="3" t="str">
        <f>IF(OR($J71="BOSFCSC",$J71="BOFCSC"),VLOOKUP($D71,Group!$C:$H,6,0),"")</f>
        <v/>
      </c>
      <c r="Q71" s="1" t="str">
        <f>IF($J71="Inhouseothers",VLOOKUP($D71,Group!$C:$E,3,0),"")</f>
        <v/>
      </c>
      <c r="R71" s="1" t="str">
        <f>IF($J71="BOSFOthers",VLOOKUP($D71,Group!$C:$E,3,0),"")</f>
        <v/>
      </c>
      <c r="S71" s="3" t="str">
        <f>IF($J71="BOFOthers",VLOOKUP($D71,Group!$C:$E,3,0),"")</f>
        <v/>
      </c>
      <c r="U71" s="1" t="str">
        <f>IFERROR(Backend!$L71*VLOOKUP($F71,'OH,Profit &amp; Other Base'!$A:$V,Backend!U$6,0),"")</f>
        <v/>
      </c>
      <c r="V71" s="1" t="str">
        <f>IFERROR(Backend!$M71*VLOOKUP($F71,'OH,Profit &amp; Other Base'!$A:$V,Backend!V$6,0),"")</f>
        <v/>
      </c>
      <c r="W71" s="1" t="str">
        <f>IFERROR(Backend!$L71*VLOOKUP($F71,'OH,Profit &amp; Other Base'!$A:$V,Backend!W$6,0),"")</f>
        <v/>
      </c>
      <c r="X71" s="1" t="str">
        <f>IFERROR(Backend!$M71*VLOOKUP($F71,'OH,Profit &amp; Other Base'!$A:$V,Backend!X$6,0),"")</f>
        <v/>
      </c>
      <c r="Y71" s="1" t="str">
        <f>IFERROR(Backend!$L71*VLOOKUP($F71,'OH,Profit &amp; Other Base'!$A:$V,Backend!Y$6,0),"")</f>
        <v/>
      </c>
      <c r="Z71" s="1" t="str">
        <f>IFERROR(Backend!$M71*VLOOKUP($F71,'OH,Profit &amp; Other Base'!$A:$V,Backend!Z$6,0),"")</f>
        <v/>
      </c>
      <c r="AA71" s="1" t="str">
        <f>IFERROR(Backend!$L71*VLOOKUP($F71,'OH,Profit &amp; Other Base'!$A:$V,Backend!AA$6,0),"")</f>
        <v/>
      </c>
      <c r="AB71" s="1" t="str">
        <f>IFERROR(Backend!$M71*VLOOKUP($F71,'OH,Profit &amp; Other Base'!$A:$V,Backend!AB$6,0),"")</f>
        <v/>
      </c>
      <c r="AC71" s="1" t="str">
        <f>IFERROR(Backend!$L71*VLOOKUP($F71,'OH,Profit &amp; Other Base'!$A:$V,Backend!AC$6,0),"")</f>
        <v/>
      </c>
      <c r="AD71" s="1" t="str">
        <f>IFERROR(Backend!$M71*VLOOKUP($F71,'OH,Profit &amp; Other Base'!$A:$V,Backend!AD$6,0),"")</f>
        <v/>
      </c>
      <c r="AE71" s="1" t="str">
        <f>IFERROR(Backend!$L71*VLOOKUP($F71,'OH,Profit &amp; Other Base'!$A:$V,Backend!AE$6,0),"")</f>
        <v/>
      </c>
      <c r="AF71" s="1" t="str">
        <f>IFERROR(Backend!$M71*VLOOKUP($F71,'OH,Profit &amp; Other Base'!$A:$V,Backend!AF$6,0),"")</f>
        <v/>
      </c>
      <c r="AG71" s="1" t="str">
        <f>IFERROR(Backend!$L71*VLOOKUP($F71,'OH,Profit &amp; Other Base'!$A:$V,Backend!AG$6,0),"")</f>
        <v/>
      </c>
      <c r="AH71" s="1" t="str">
        <f>IFERROR(Backend!$M71*VLOOKUP($F71,'OH,Profit &amp; Other Base'!$A:$V,Backend!AH$6,0),"")</f>
        <v/>
      </c>
      <c r="AI71" s="3">
        <f t="shared" si="9"/>
        <v>0</v>
      </c>
      <c r="AL71" s="1" t="str">
        <f t="shared" si="10"/>
        <v/>
      </c>
      <c r="AM71" s="1" t="str">
        <f t="shared" si="11"/>
        <v/>
      </c>
      <c r="AN71" s="1" t="str">
        <f t="shared" si="12"/>
        <v/>
      </c>
      <c r="AO71" s="1" t="str">
        <f t="shared" si="13"/>
        <v/>
      </c>
      <c r="AP71" s="1" t="str">
        <f>IFERROR(ROUND(Backend!$AL71*VLOOKUP($F71,'OH,Profit &amp; Other Base'!$A:$V,Backend!AP$6,0),5),"")</f>
        <v/>
      </c>
      <c r="AQ71" s="1" t="str">
        <f>IFERROR(ROUND(Backend!$AO71*VLOOKUP($F71,'OH,Profit &amp; Other Base'!$A:$V,Backend!AQ$6,0),5),"")</f>
        <v/>
      </c>
      <c r="AR71" s="1" t="str">
        <f>IFERROR(ROUND(Backend!$AM71*VLOOKUP($F71,'OH,Profit &amp; Other Base'!$A:$V,Backend!AR$6,0),5),"")</f>
        <v/>
      </c>
      <c r="AS71" s="1" t="str">
        <f>IFERROR(ROUND(Backend!$AL71*VLOOKUP($F71,'OH,Profit &amp; Other Base'!$A:$V,Backend!AS$6,0),5),"")</f>
        <v/>
      </c>
      <c r="AT71" s="1" t="str">
        <f>IFERROR(ROUND(Backend!$AO71*VLOOKUP($F71,'OH,Profit &amp; Other Base'!$A:$V,Backend!AT$6,0),5),"")</f>
        <v/>
      </c>
      <c r="AU71" s="1" t="str">
        <f>IFERROR(ROUND(Backend!$AM71*VLOOKUP($F71,'OH,Profit &amp; Other Base'!$A:$V,Backend!AU$6,0),5),"")</f>
        <v/>
      </c>
      <c r="AV71" s="1" t="str">
        <f>IFERROR(ROUND(Backend!$AL71*VLOOKUP($F71,'OH,Profit &amp; Other Base'!$A:$V,Backend!AV$6,0),5),"")</f>
        <v/>
      </c>
      <c r="AW71" s="1" t="str">
        <f>IFERROR(ROUND(Backend!$AO71*VLOOKUP($F71,'OH,Profit &amp; Other Base'!$A:$V,Backend!AW$6,0),5),"")</f>
        <v/>
      </c>
      <c r="AX71" s="1" t="str">
        <f>IFERROR(ROUND(Backend!$AM71*VLOOKUP($F71,'OH,Profit &amp; Other Base'!$A:$V,Backend!AX$6,0),5),"")</f>
        <v/>
      </c>
      <c r="AY71" s="1" t="str">
        <f>IFERROR(ROUND(Backend!$AL71*VLOOKUP($F71,'OH,Profit &amp; Other Base'!$A:$V,Backend!AY$6,0),5),"")</f>
        <v/>
      </c>
      <c r="AZ71" s="1" t="str">
        <f>IFERROR(ROUND(Backend!$AO71*VLOOKUP($F71,'OH,Profit &amp; Other Base'!$A:$V,Backend!AZ$6,0),5),"")</f>
        <v/>
      </c>
      <c r="BA71" s="1" t="str">
        <f>IFERROR(ROUND(Backend!$AM71*VLOOKUP($F71,'OH,Profit &amp; Other Base'!$A:$V,Backend!BA$6,0),5),"")</f>
        <v/>
      </c>
      <c r="BB71" s="1" t="str">
        <f>IFERROR(ROUND(Backend!$AL71*VLOOKUP($F71,'OH,Profit &amp; Other Base'!$A:$V,Backend!BB$6,0),5),"")</f>
        <v/>
      </c>
      <c r="BC71" s="1" t="str">
        <f>IFERROR(ROUND(Backend!$AO71*VLOOKUP($F71,'OH,Profit &amp; Other Base'!$A:$V,Backend!BC$6,0),5),"")</f>
        <v/>
      </c>
      <c r="BD71" s="1" t="str">
        <f>IFERROR(ROUND(Backend!$AM71*VLOOKUP($F71,'OH,Profit &amp; Other Base'!$A:$V,Backend!BD$6,0),5),"")</f>
        <v/>
      </c>
      <c r="BE71" s="1" t="str">
        <f>IFERROR(ROUND(Backend!$AL71*VLOOKUP($F71,'OH,Profit &amp; Other Base'!$A:$V,Backend!BE$6,0),5),"")</f>
        <v/>
      </c>
      <c r="BF71" s="1" t="str">
        <f>IFERROR(ROUND(Backend!$AO71*VLOOKUP($F71,'OH,Profit &amp; Other Base'!$A:$V,Backend!BF$6,0),5),"")</f>
        <v/>
      </c>
      <c r="BG71" s="1" t="str">
        <f>IFERROR(ROUND(Backend!$AM71*VLOOKUP($F71,'OH,Profit &amp; Other Base'!$A:$V,Backend!BG$6,0),5),"")</f>
        <v/>
      </c>
      <c r="BH71" s="1" t="str">
        <f>IFERROR(ROUND(Backend!$AL71*VLOOKUP($F71,'OH,Profit &amp; Other Base'!$A:$V,Backend!BH$6,0),5),"")</f>
        <v/>
      </c>
      <c r="BI71" s="1" t="str">
        <f>IFERROR(ROUND(Backend!$AO71*VLOOKUP($F71,'OH,Profit &amp; Other Base'!$A:$V,Backend!BI$6,0),5),"")</f>
        <v/>
      </c>
      <c r="BJ71" s="1" t="str">
        <f>IFERROR(ROUND(Backend!$AM71*VLOOKUP($F71,'OH,Profit &amp; Other Base'!$A:$V,Backend!BJ$6,0),5),"")</f>
        <v/>
      </c>
      <c r="BK71" s="3">
        <f>SUM(AN71:BJ71,Backend!O71)</f>
        <v>0</v>
      </c>
    </row>
    <row r="72" spans="1:63">
      <c r="A72" s="1">
        <f>BOM!A67</f>
        <v>0</v>
      </c>
      <c r="B72" s="1">
        <f>BOM!B67</f>
        <v>0</v>
      </c>
      <c r="C72" s="1">
        <f>BOM!C67</f>
        <v>0</v>
      </c>
      <c r="D72" s="1">
        <f>BOM!D67</f>
        <v>0</v>
      </c>
      <c r="E72" s="1">
        <f>BOM!F67</f>
        <v>0</v>
      </c>
      <c r="F72" s="1" t="str">
        <f>IF(H72="CSC",BOM!H67,IF(J72="BOFOthers","Sheet Metal-B",""))</f>
        <v/>
      </c>
      <c r="G72" s="1">
        <f>BOM!I67</f>
        <v>0</v>
      </c>
      <c r="H72" s="1">
        <f>BOM!J67</f>
        <v>0</v>
      </c>
      <c r="I72" s="1" t="str">
        <f t="shared" si="7"/>
        <v>Others</v>
      </c>
      <c r="J72" s="1" t="str">
        <f t="shared" si="8"/>
        <v>0Others</v>
      </c>
      <c r="K72" s="3" t="str">
        <f>IF($J72="InhouseCSC",VLOOKUP($D72,Group!$C:$E,3,0),"")</f>
        <v/>
      </c>
      <c r="L72" s="3" t="str">
        <f>IF(OR($J72="BOSFCSC",$J72="BOFCSC"),VLOOKUP($D72,Group!$C:$E,3,0),"")</f>
        <v/>
      </c>
      <c r="M72" s="3" t="str">
        <f>IF(OR($J72="BOSFCSC",$J72="BOFCSC"),VLOOKUP($D72,Group!$C:$F,4,0),"")</f>
        <v/>
      </c>
      <c r="N72" s="3" t="str">
        <f>IF(OR($J72="InhouseCSC",$J72="BOSFCSC"),VLOOKUP($D72,Group!$C:$G,5,0),"")</f>
        <v/>
      </c>
      <c r="O72" s="3" t="str">
        <f>IF($J72="InhouseCSC",ROUND(VLOOKUP($D72,Group!$C:$H,6,0),5),"")</f>
        <v/>
      </c>
      <c r="P72" s="3" t="str">
        <f>IF(OR($J72="BOSFCSC",$J72="BOFCSC"),VLOOKUP($D72,Group!$C:$H,6,0),"")</f>
        <v/>
      </c>
      <c r="Q72" s="1" t="str">
        <f>IF($J72="Inhouseothers",VLOOKUP($D72,Group!$C:$E,3,0),"")</f>
        <v/>
      </c>
      <c r="R72" s="1" t="str">
        <f>IF($J72="BOSFOthers",VLOOKUP($D72,Group!$C:$E,3,0),"")</f>
        <v/>
      </c>
      <c r="S72" s="3" t="str">
        <f>IF($J72="BOFOthers",VLOOKUP($D72,Group!$C:$E,3,0),"")</f>
        <v/>
      </c>
      <c r="U72" s="1" t="str">
        <f>IFERROR(Backend!$L72*VLOOKUP($F72,'OH,Profit &amp; Other Base'!$A:$V,Backend!U$6,0),"")</f>
        <v/>
      </c>
      <c r="V72" s="1" t="str">
        <f>IFERROR(Backend!$M72*VLOOKUP($F72,'OH,Profit &amp; Other Base'!$A:$V,Backend!V$6,0),"")</f>
        <v/>
      </c>
      <c r="W72" s="1" t="str">
        <f>IFERROR(Backend!$L72*VLOOKUP($F72,'OH,Profit &amp; Other Base'!$A:$V,Backend!W$6,0),"")</f>
        <v/>
      </c>
      <c r="X72" s="1" t="str">
        <f>IFERROR(Backend!$M72*VLOOKUP($F72,'OH,Profit &amp; Other Base'!$A:$V,Backend!X$6,0),"")</f>
        <v/>
      </c>
      <c r="Y72" s="1" t="str">
        <f>IFERROR(Backend!$L72*VLOOKUP($F72,'OH,Profit &amp; Other Base'!$A:$V,Backend!Y$6,0),"")</f>
        <v/>
      </c>
      <c r="Z72" s="1" t="str">
        <f>IFERROR(Backend!$M72*VLOOKUP($F72,'OH,Profit &amp; Other Base'!$A:$V,Backend!Z$6,0),"")</f>
        <v/>
      </c>
      <c r="AA72" s="1" t="str">
        <f>IFERROR(Backend!$L72*VLOOKUP($F72,'OH,Profit &amp; Other Base'!$A:$V,Backend!AA$6,0),"")</f>
        <v/>
      </c>
      <c r="AB72" s="1" t="str">
        <f>IFERROR(Backend!$M72*VLOOKUP($F72,'OH,Profit &amp; Other Base'!$A:$V,Backend!AB$6,0),"")</f>
        <v/>
      </c>
      <c r="AC72" s="1" t="str">
        <f>IFERROR(Backend!$L72*VLOOKUP($F72,'OH,Profit &amp; Other Base'!$A:$V,Backend!AC$6,0),"")</f>
        <v/>
      </c>
      <c r="AD72" s="1" t="str">
        <f>IFERROR(Backend!$M72*VLOOKUP($F72,'OH,Profit &amp; Other Base'!$A:$V,Backend!AD$6,0),"")</f>
        <v/>
      </c>
      <c r="AE72" s="1" t="str">
        <f>IFERROR(Backend!$L72*VLOOKUP($F72,'OH,Profit &amp; Other Base'!$A:$V,Backend!AE$6,0),"")</f>
        <v/>
      </c>
      <c r="AF72" s="1" t="str">
        <f>IFERROR(Backend!$M72*VLOOKUP($F72,'OH,Profit &amp; Other Base'!$A:$V,Backend!AF$6,0),"")</f>
        <v/>
      </c>
      <c r="AG72" s="1" t="str">
        <f>IFERROR(Backend!$L72*VLOOKUP($F72,'OH,Profit &amp; Other Base'!$A:$V,Backend!AG$6,0),"")</f>
        <v/>
      </c>
      <c r="AH72" s="1" t="str">
        <f>IFERROR(Backend!$M72*VLOOKUP($F72,'OH,Profit &amp; Other Base'!$A:$V,Backend!AH$6,0),"")</f>
        <v/>
      </c>
      <c r="AI72" s="3">
        <f t="shared" si="9"/>
        <v>0</v>
      </c>
      <c r="AL72" s="1" t="str">
        <f t="shared" si="10"/>
        <v/>
      </c>
      <c r="AM72" s="1" t="str">
        <f t="shared" si="11"/>
        <v/>
      </c>
      <c r="AN72" s="1" t="str">
        <f t="shared" si="12"/>
        <v/>
      </c>
      <c r="AO72" s="1" t="str">
        <f t="shared" si="13"/>
        <v/>
      </c>
      <c r="AP72" s="1" t="str">
        <f>IFERROR(ROUND(Backend!$AL72*VLOOKUP($F72,'OH,Profit &amp; Other Base'!$A:$V,Backend!AP$6,0),5),"")</f>
        <v/>
      </c>
      <c r="AQ72" s="1" t="str">
        <f>IFERROR(ROUND(Backend!$AO72*VLOOKUP($F72,'OH,Profit &amp; Other Base'!$A:$V,Backend!AQ$6,0),5),"")</f>
        <v/>
      </c>
      <c r="AR72" s="1" t="str">
        <f>IFERROR(ROUND(Backend!$AM72*VLOOKUP($F72,'OH,Profit &amp; Other Base'!$A:$V,Backend!AR$6,0),5),"")</f>
        <v/>
      </c>
      <c r="AS72" s="1" t="str">
        <f>IFERROR(ROUND(Backend!$AL72*VLOOKUP($F72,'OH,Profit &amp; Other Base'!$A:$V,Backend!AS$6,0),5),"")</f>
        <v/>
      </c>
      <c r="AT72" s="1" t="str">
        <f>IFERROR(ROUND(Backend!$AO72*VLOOKUP($F72,'OH,Profit &amp; Other Base'!$A:$V,Backend!AT$6,0),5),"")</f>
        <v/>
      </c>
      <c r="AU72" s="1" t="str">
        <f>IFERROR(ROUND(Backend!$AM72*VLOOKUP($F72,'OH,Profit &amp; Other Base'!$A:$V,Backend!AU$6,0),5),"")</f>
        <v/>
      </c>
      <c r="AV72" s="1" t="str">
        <f>IFERROR(ROUND(Backend!$AL72*VLOOKUP($F72,'OH,Profit &amp; Other Base'!$A:$V,Backend!AV$6,0),5),"")</f>
        <v/>
      </c>
      <c r="AW72" s="1" t="str">
        <f>IFERROR(ROUND(Backend!$AO72*VLOOKUP($F72,'OH,Profit &amp; Other Base'!$A:$V,Backend!AW$6,0),5),"")</f>
        <v/>
      </c>
      <c r="AX72" s="1" t="str">
        <f>IFERROR(ROUND(Backend!$AM72*VLOOKUP($F72,'OH,Profit &amp; Other Base'!$A:$V,Backend!AX$6,0),5),"")</f>
        <v/>
      </c>
      <c r="AY72" s="1" t="str">
        <f>IFERROR(ROUND(Backend!$AL72*VLOOKUP($F72,'OH,Profit &amp; Other Base'!$A:$V,Backend!AY$6,0),5),"")</f>
        <v/>
      </c>
      <c r="AZ72" s="1" t="str">
        <f>IFERROR(ROUND(Backend!$AO72*VLOOKUP($F72,'OH,Profit &amp; Other Base'!$A:$V,Backend!AZ$6,0),5),"")</f>
        <v/>
      </c>
      <c r="BA72" s="1" t="str">
        <f>IFERROR(ROUND(Backend!$AM72*VLOOKUP($F72,'OH,Profit &amp; Other Base'!$A:$V,Backend!BA$6,0),5),"")</f>
        <v/>
      </c>
      <c r="BB72" s="1" t="str">
        <f>IFERROR(ROUND(Backend!$AL72*VLOOKUP($F72,'OH,Profit &amp; Other Base'!$A:$V,Backend!BB$6,0),5),"")</f>
        <v/>
      </c>
      <c r="BC72" s="1" t="str">
        <f>IFERROR(ROUND(Backend!$AO72*VLOOKUP($F72,'OH,Profit &amp; Other Base'!$A:$V,Backend!BC$6,0),5),"")</f>
        <v/>
      </c>
      <c r="BD72" s="1" t="str">
        <f>IFERROR(ROUND(Backend!$AM72*VLOOKUP($F72,'OH,Profit &amp; Other Base'!$A:$V,Backend!BD$6,0),5),"")</f>
        <v/>
      </c>
      <c r="BE72" s="1" t="str">
        <f>IFERROR(ROUND(Backend!$AL72*VLOOKUP($F72,'OH,Profit &amp; Other Base'!$A:$V,Backend!BE$6,0),5),"")</f>
        <v/>
      </c>
      <c r="BF72" s="1" t="str">
        <f>IFERROR(ROUND(Backend!$AO72*VLOOKUP($F72,'OH,Profit &amp; Other Base'!$A:$V,Backend!BF$6,0),5),"")</f>
        <v/>
      </c>
      <c r="BG72" s="1" t="str">
        <f>IFERROR(ROUND(Backend!$AM72*VLOOKUP($F72,'OH,Profit &amp; Other Base'!$A:$V,Backend!BG$6,0),5),"")</f>
        <v/>
      </c>
      <c r="BH72" s="1" t="str">
        <f>IFERROR(ROUND(Backend!$AL72*VLOOKUP($F72,'OH,Profit &amp; Other Base'!$A:$V,Backend!BH$6,0),5),"")</f>
        <v/>
      </c>
      <c r="BI72" s="1" t="str">
        <f>IFERROR(ROUND(Backend!$AO72*VLOOKUP($F72,'OH,Profit &amp; Other Base'!$A:$V,Backend!BI$6,0),5),"")</f>
        <v/>
      </c>
      <c r="BJ72" s="1" t="str">
        <f>IFERROR(ROUND(Backend!$AM72*VLOOKUP($F72,'OH,Profit &amp; Other Base'!$A:$V,Backend!BJ$6,0),5),"")</f>
        <v/>
      </c>
      <c r="BK72" s="3">
        <f>SUM(AN72:BJ72,Backend!O72)</f>
        <v>0</v>
      </c>
    </row>
    <row r="73" spans="1:63">
      <c r="A73" s="1">
        <f>BOM!A68</f>
        <v>0</v>
      </c>
      <c r="B73" s="1">
        <f>BOM!B68</f>
        <v>0</v>
      </c>
      <c r="C73" s="1">
        <f>BOM!C68</f>
        <v>0</v>
      </c>
      <c r="D73" s="1">
        <f>BOM!D68</f>
        <v>0</v>
      </c>
      <c r="E73" s="1">
        <f>BOM!F68</f>
        <v>0</v>
      </c>
      <c r="F73" s="1" t="str">
        <f>IF(H73="CSC",BOM!H68,IF(J73="BOFOthers","Sheet Metal-B",""))</f>
        <v/>
      </c>
      <c r="G73" s="1">
        <f>BOM!I68</f>
        <v>0</v>
      </c>
      <c r="H73" s="1">
        <f>BOM!J68</f>
        <v>0</v>
      </c>
      <c r="I73" s="1" t="str">
        <f t="shared" si="7"/>
        <v>Others</v>
      </c>
      <c r="J73" s="1" t="str">
        <f t="shared" si="8"/>
        <v>0Others</v>
      </c>
      <c r="K73" s="3" t="str">
        <f>IF($J73="InhouseCSC",VLOOKUP($D73,Group!$C:$E,3,0),"")</f>
        <v/>
      </c>
      <c r="L73" s="3" t="str">
        <f>IF(OR($J73="BOSFCSC",$J73="BOFCSC"),VLOOKUP($D73,Group!$C:$E,3,0),"")</f>
        <v/>
      </c>
      <c r="M73" s="3" t="str">
        <f>IF(OR($J73="BOSFCSC",$J73="BOFCSC"),VLOOKUP($D73,Group!$C:$F,4,0),"")</f>
        <v/>
      </c>
      <c r="N73" s="3" t="str">
        <f>IF(OR($J73="InhouseCSC",$J73="BOSFCSC"),VLOOKUP($D73,Group!$C:$G,5,0),"")</f>
        <v/>
      </c>
      <c r="O73" s="3" t="str">
        <f>IF($J73="InhouseCSC",ROUND(VLOOKUP($D73,Group!$C:$H,6,0),5),"")</f>
        <v/>
      </c>
      <c r="P73" s="3" t="str">
        <f>IF(OR($J73="BOSFCSC",$J73="BOFCSC"),VLOOKUP($D73,Group!$C:$H,6,0),"")</f>
        <v/>
      </c>
      <c r="Q73" s="1" t="str">
        <f>IF($J73="Inhouseothers",VLOOKUP($D73,Group!$C:$E,3,0),"")</f>
        <v/>
      </c>
      <c r="R73" s="1" t="str">
        <f>IF($J73="BOSFOthers",VLOOKUP($D73,Group!$C:$E,3,0),"")</f>
        <v/>
      </c>
      <c r="S73" s="3" t="str">
        <f>IF($J73="BOFOthers",VLOOKUP($D73,Group!$C:$E,3,0),"")</f>
        <v/>
      </c>
      <c r="U73" s="1" t="str">
        <f>IFERROR(Backend!$L73*VLOOKUP($F73,'OH,Profit &amp; Other Base'!$A:$V,Backend!U$6,0),"")</f>
        <v/>
      </c>
      <c r="V73" s="1" t="str">
        <f>IFERROR(Backend!$M73*VLOOKUP($F73,'OH,Profit &amp; Other Base'!$A:$V,Backend!V$6,0),"")</f>
        <v/>
      </c>
      <c r="W73" s="1" t="str">
        <f>IFERROR(Backend!$L73*VLOOKUP($F73,'OH,Profit &amp; Other Base'!$A:$V,Backend!W$6,0),"")</f>
        <v/>
      </c>
      <c r="X73" s="1" t="str">
        <f>IFERROR(Backend!$M73*VLOOKUP($F73,'OH,Profit &amp; Other Base'!$A:$V,Backend!X$6,0),"")</f>
        <v/>
      </c>
      <c r="Y73" s="1" t="str">
        <f>IFERROR(Backend!$L73*VLOOKUP($F73,'OH,Profit &amp; Other Base'!$A:$V,Backend!Y$6,0),"")</f>
        <v/>
      </c>
      <c r="Z73" s="1" t="str">
        <f>IFERROR(Backend!$M73*VLOOKUP($F73,'OH,Profit &amp; Other Base'!$A:$V,Backend!Z$6,0),"")</f>
        <v/>
      </c>
      <c r="AA73" s="1" t="str">
        <f>IFERROR(Backend!$L73*VLOOKUP($F73,'OH,Profit &amp; Other Base'!$A:$V,Backend!AA$6,0),"")</f>
        <v/>
      </c>
      <c r="AB73" s="1" t="str">
        <f>IFERROR(Backend!$M73*VLOOKUP($F73,'OH,Profit &amp; Other Base'!$A:$V,Backend!AB$6,0),"")</f>
        <v/>
      </c>
      <c r="AC73" s="1" t="str">
        <f>IFERROR(Backend!$L73*VLOOKUP($F73,'OH,Profit &amp; Other Base'!$A:$V,Backend!AC$6,0),"")</f>
        <v/>
      </c>
      <c r="AD73" s="1" t="str">
        <f>IFERROR(Backend!$M73*VLOOKUP($F73,'OH,Profit &amp; Other Base'!$A:$V,Backend!AD$6,0),"")</f>
        <v/>
      </c>
      <c r="AE73" s="1" t="str">
        <f>IFERROR(Backend!$L73*VLOOKUP($F73,'OH,Profit &amp; Other Base'!$A:$V,Backend!AE$6,0),"")</f>
        <v/>
      </c>
      <c r="AF73" s="1" t="str">
        <f>IFERROR(Backend!$M73*VLOOKUP($F73,'OH,Profit &amp; Other Base'!$A:$V,Backend!AF$6,0),"")</f>
        <v/>
      </c>
      <c r="AG73" s="1" t="str">
        <f>IFERROR(Backend!$L73*VLOOKUP($F73,'OH,Profit &amp; Other Base'!$A:$V,Backend!AG$6,0),"")</f>
        <v/>
      </c>
      <c r="AH73" s="1" t="str">
        <f>IFERROR(Backend!$M73*VLOOKUP($F73,'OH,Profit &amp; Other Base'!$A:$V,Backend!AH$6,0),"")</f>
        <v/>
      </c>
      <c r="AI73" s="3">
        <f t="shared" si="9"/>
        <v>0</v>
      </c>
      <c r="AL73" s="1" t="str">
        <f t="shared" si="10"/>
        <v/>
      </c>
      <c r="AM73" s="1" t="str">
        <f t="shared" si="11"/>
        <v/>
      </c>
      <c r="AN73" s="1" t="str">
        <f t="shared" si="12"/>
        <v/>
      </c>
      <c r="AO73" s="1" t="str">
        <f t="shared" si="13"/>
        <v/>
      </c>
      <c r="AP73" s="1" t="str">
        <f>IFERROR(ROUND(Backend!$AL73*VLOOKUP($F73,'OH,Profit &amp; Other Base'!$A:$V,Backend!AP$6,0),5),"")</f>
        <v/>
      </c>
      <c r="AQ73" s="1" t="str">
        <f>IFERROR(ROUND(Backend!$AO73*VLOOKUP($F73,'OH,Profit &amp; Other Base'!$A:$V,Backend!AQ$6,0),5),"")</f>
        <v/>
      </c>
      <c r="AR73" s="1" t="str">
        <f>IFERROR(ROUND(Backend!$AM73*VLOOKUP($F73,'OH,Profit &amp; Other Base'!$A:$V,Backend!AR$6,0),5),"")</f>
        <v/>
      </c>
      <c r="AS73" s="1" t="str">
        <f>IFERROR(ROUND(Backend!$AL73*VLOOKUP($F73,'OH,Profit &amp; Other Base'!$A:$V,Backend!AS$6,0),5),"")</f>
        <v/>
      </c>
      <c r="AT73" s="1" t="str">
        <f>IFERROR(ROUND(Backend!$AO73*VLOOKUP($F73,'OH,Profit &amp; Other Base'!$A:$V,Backend!AT$6,0),5),"")</f>
        <v/>
      </c>
      <c r="AU73" s="1" t="str">
        <f>IFERROR(ROUND(Backend!$AM73*VLOOKUP($F73,'OH,Profit &amp; Other Base'!$A:$V,Backend!AU$6,0),5),"")</f>
        <v/>
      </c>
      <c r="AV73" s="1" t="str">
        <f>IFERROR(ROUND(Backend!$AL73*VLOOKUP($F73,'OH,Profit &amp; Other Base'!$A:$V,Backend!AV$6,0),5),"")</f>
        <v/>
      </c>
      <c r="AW73" s="1" t="str">
        <f>IFERROR(ROUND(Backend!$AO73*VLOOKUP($F73,'OH,Profit &amp; Other Base'!$A:$V,Backend!AW$6,0),5),"")</f>
        <v/>
      </c>
      <c r="AX73" s="1" t="str">
        <f>IFERROR(ROUND(Backend!$AM73*VLOOKUP($F73,'OH,Profit &amp; Other Base'!$A:$V,Backend!AX$6,0),5),"")</f>
        <v/>
      </c>
      <c r="AY73" s="1" t="str">
        <f>IFERROR(ROUND(Backend!$AL73*VLOOKUP($F73,'OH,Profit &amp; Other Base'!$A:$V,Backend!AY$6,0),5),"")</f>
        <v/>
      </c>
      <c r="AZ73" s="1" t="str">
        <f>IFERROR(ROUND(Backend!$AO73*VLOOKUP($F73,'OH,Profit &amp; Other Base'!$A:$V,Backend!AZ$6,0),5),"")</f>
        <v/>
      </c>
      <c r="BA73" s="1" t="str">
        <f>IFERROR(ROUND(Backend!$AM73*VLOOKUP($F73,'OH,Profit &amp; Other Base'!$A:$V,Backend!BA$6,0),5),"")</f>
        <v/>
      </c>
      <c r="BB73" s="1" t="str">
        <f>IFERROR(ROUND(Backend!$AL73*VLOOKUP($F73,'OH,Profit &amp; Other Base'!$A:$V,Backend!BB$6,0),5),"")</f>
        <v/>
      </c>
      <c r="BC73" s="1" t="str">
        <f>IFERROR(ROUND(Backend!$AO73*VLOOKUP($F73,'OH,Profit &amp; Other Base'!$A:$V,Backend!BC$6,0),5),"")</f>
        <v/>
      </c>
      <c r="BD73" s="1" t="str">
        <f>IFERROR(ROUND(Backend!$AM73*VLOOKUP($F73,'OH,Profit &amp; Other Base'!$A:$V,Backend!BD$6,0),5),"")</f>
        <v/>
      </c>
      <c r="BE73" s="1" t="str">
        <f>IFERROR(ROUND(Backend!$AL73*VLOOKUP($F73,'OH,Profit &amp; Other Base'!$A:$V,Backend!BE$6,0),5),"")</f>
        <v/>
      </c>
      <c r="BF73" s="1" t="str">
        <f>IFERROR(ROUND(Backend!$AO73*VLOOKUP($F73,'OH,Profit &amp; Other Base'!$A:$V,Backend!BF$6,0),5),"")</f>
        <v/>
      </c>
      <c r="BG73" s="1" t="str">
        <f>IFERROR(ROUND(Backend!$AM73*VLOOKUP($F73,'OH,Profit &amp; Other Base'!$A:$V,Backend!BG$6,0),5),"")</f>
        <v/>
      </c>
      <c r="BH73" s="1" t="str">
        <f>IFERROR(ROUND(Backend!$AL73*VLOOKUP($F73,'OH,Profit &amp; Other Base'!$A:$V,Backend!BH$6,0),5),"")</f>
        <v/>
      </c>
      <c r="BI73" s="1" t="str">
        <f>IFERROR(ROUND(Backend!$AO73*VLOOKUP($F73,'OH,Profit &amp; Other Base'!$A:$V,Backend!BI$6,0),5),"")</f>
        <v/>
      </c>
      <c r="BJ73" s="1" t="str">
        <f>IFERROR(ROUND(Backend!$AM73*VLOOKUP($F73,'OH,Profit &amp; Other Base'!$A:$V,Backend!BJ$6,0),5),"")</f>
        <v/>
      </c>
      <c r="BK73" s="3">
        <f>SUM(AN73:BJ73,Backend!O73)</f>
        <v>0</v>
      </c>
    </row>
    <row r="74" spans="1:63">
      <c r="A74" s="1">
        <f>BOM!A69</f>
        <v>0</v>
      </c>
      <c r="B74" s="1">
        <f>BOM!B69</f>
        <v>0</v>
      </c>
      <c r="C74" s="1">
        <f>BOM!C69</f>
        <v>0</v>
      </c>
      <c r="D74" s="1">
        <f>BOM!D69</f>
        <v>0</v>
      </c>
      <c r="E74" s="1">
        <f>BOM!F69</f>
        <v>0</v>
      </c>
      <c r="F74" s="1" t="str">
        <f>IF(H74="CSC",BOM!H69,IF(J74="BOFOthers","Sheet Metal-B",""))</f>
        <v/>
      </c>
      <c r="G74" s="1">
        <f>BOM!I69</f>
        <v>0</v>
      </c>
      <c r="H74" s="1">
        <f>BOM!J69</f>
        <v>0</v>
      </c>
      <c r="I74" s="1" t="str">
        <f t="shared" si="7"/>
        <v>Others</v>
      </c>
      <c r="J74" s="1" t="str">
        <f t="shared" si="8"/>
        <v>0Others</v>
      </c>
      <c r="K74" s="3" t="str">
        <f>IF($J74="InhouseCSC",VLOOKUP($D74,Group!$C:$E,3,0),"")</f>
        <v/>
      </c>
      <c r="L74" s="3" t="str">
        <f>IF(OR($J74="BOSFCSC",$J74="BOFCSC"),VLOOKUP($D74,Group!$C:$E,3,0),"")</f>
        <v/>
      </c>
      <c r="M74" s="3" t="str">
        <f>IF(OR($J74="BOSFCSC",$J74="BOFCSC"),VLOOKUP($D74,Group!$C:$F,4,0),"")</f>
        <v/>
      </c>
      <c r="N74" s="3" t="str">
        <f>IF(OR($J74="InhouseCSC",$J74="BOSFCSC"),VLOOKUP($D74,Group!$C:$G,5,0),"")</f>
        <v/>
      </c>
      <c r="O74" s="3" t="str">
        <f>IF($J74="InhouseCSC",ROUND(VLOOKUP($D74,Group!$C:$H,6,0),5),"")</f>
        <v/>
      </c>
      <c r="P74" s="3" t="str">
        <f>IF(OR($J74="BOSFCSC",$J74="BOFCSC"),VLOOKUP($D74,Group!$C:$H,6,0),"")</f>
        <v/>
      </c>
      <c r="Q74" s="1" t="str">
        <f>IF($J74="Inhouseothers",VLOOKUP($D74,Group!$C:$E,3,0),"")</f>
        <v/>
      </c>
      <c r="R74" s="1" t="str">
        <f>IF($J74="BOSFOthers",VLOOKUP($D74,Group!$C:$E,3,0),"")</f>
        <v/>
      </c>
      <c r="S74" s="3" t="str">
        <f>IF($J74="BOFOthers",VLOOKUP($D74,Group!$C:$E,3,0),"")</f>
        <v/>
      </c>
      <c r="U74" s="1" t="str">
        <f>IFERROR(Backend!$L74*VLOOKUP($F74,'OH,Profit &amp; Other Base'!$A:$V,Backend!U$6,0),"")</f>
        <v/>
      </c>
      <c r="V74" s="1" t="str">
        <f>IFERROR(Backend!$M74*VLOOKUP($F74,'OH,Profit &amp; Other Base'!$A:$V,Backend!V$6,0),"")</f>
        <v/>
      </c>
      <c r="W74" s="1" t="str">
        <f>IFERROR(Backend!$L74*VLOOKUP($F74,'OH,Profit &amp; Other Base'!$A:$V,Backend!W$6,0),"")</f>
        <v/>
      </c>
      <c r="X74" s="1" t="str">
        <f>IFERROR(Backend!$M74*VLOOKUP($F74,'OH,Profit &amp; Other Base'!$A:$V,Backend!X$6,0),"")</f>
        <v/>
      </c>
      <c r="Y74" s="1" t="str">
        <f>IFERROR(Backend!$L74*VLOOKUP($F74,'OH,Profit &amp; Other Base'!$A:$V,Backend!Y$6,0),"")</f>
        <v/>
      </c>
      <c r="Z74" s="1" t="str">
        <f>IFERROR(Backend!$M74*VLOOKUP($F74,'OH,Profit &amp; Other Base'!$A:$V,Backend!Z$6,0),"")</f>
        <v/>
      </c>
      <c r="AA74" s="1" t="str">
        <f>IFERROR(Backend!$L74*VLOOKUP($F74,'OH,Profit &amp; Other Base'!$A:$V,Backend!AA$6,0),"")</f>
        <v/>
      </c>
      <c r="AB74" s="1" t="str">
        <f>IFERROR(Backend!$M74*VLOOKUP($F74,'OH,Profit &amp; Other Base'!$A:$V,Backend!AB$6,0),"")</f>
        <v/>
      </c>
      <c r="AC74" s="1" t="str">
        <f>IFERROR(Backend!$L74*VLOOKUP($F74,'OH,Profit &amp; Other Base'!$A:$V,Backend!AC$6,0),"")</f>
        <v/>
      </c>
      <c r="AD74" s="1" t="str">
        <f>IFERROR(Backend!$M74*VLOOKUP($F74,'OH,Profit &amp; Other Base'!$A:$V,Backend!AD$6,0),"")</f>
        <v/>
      </c>
      <c r="AE74" s="1" t="str">
        <f>IFERROR(Backend!$L74*VLOOKUP($F74,'OH,Profit &amp; Other Base'!$A:$V,Backend!AE$6,0),"")</f>
        <v/>
      </c>
      <c r="AF74" s="1" t="str">
        <f>IFERROR(Backend!$M74*VLOOKUP($F74,'OH,Profit &amp; Other Base'!$A:$V,Backend!AF$6,0),"")</f>
        <v/>
      </c>
      <c r="AG74" s="1" t="str">
        <f>IFERROR(Backend!$L74*VLOOKUP($F74,'OH,Profit &amp; Other Base'!$A:$V,Backend!AG$6,0),"")</f>
        <v/>
      </c>
      <c r="AH74" s="1" t="str">
        <f>IFERROR(Backend!$M74*VLOOKUP($F74,'OH,Profit &amp; Other Base'!$A:$V,Backend!AH$6,0),"")</f>
        <v/>
      </c>
      <c r="AI74" s="3">
        <f t="shared" si="9"/>
        <v>0</v>
      </c>
      <c r="AL74" s="1" t="str">
        <f t="shared" si="10"/>
        <v/>
      </c>
      <c r="AM74" s="1" t="str">
        <f t="shared" si="11"/>
        <v/>
      </c>
      <c r="AN74" s="1" t="str">
        <f t="shared" si="12"/>
        <v/>
      </c>
      <c r="AO74" s="1" t="str">
        <f t="shared" si="13"/>
        <v/>
      </c>
      <c r="AP74" s="1" t="str">
        <f>IFERROR(ROUND(Backend!$AL74*VLOOKUP($F74,'OH,Profit &amp; Other Base'!$A:$V,Backend!AP$6,0),5),"")</f>
        <v/>
      </c>
      <c r="AQ74" s="1" t="str">
        <f>IFERROR(ROUND(Backend!$AO74*VLOOKUP($F74,'OH,Profit &amp; Other Base'!$A:$V,Backend!AQ$6,0),5),"")</f>
        <v/>
      </c>
      <c r="AR74" s="1" t="str">
        <f>IFERROR(ROUND(Backend!$AM74*VLOOKUP($F74,'OH,Profit &amp; Other Base'!$A:$V,Backend!AR$6,0),5),"")</f>
        <v/>
      </c>
      <c r="AS74" s="1" t="str">
        <f>IFERROR(ROUND(Backend!$AL74*VLOOKUP($F74,'OH,Profit &amp; Other Base'!$A:$V,Backend!AS$6,0),5),"")</f>
        <v/>
      </c>
      <c r="AT74" s="1" t="str">
        <f>IFERROR(ROUND(Backend!$AO74*VLOOKUP($F74,'OH,Profit &amp; Other Base'!$A:$V,Backend!AT$6,0),5),"")</f>
        <v/>
      </c>
      <c r="AU74" s="1" t="str">
        <f>IFERROR(ROUND(Backend!$AM74*VLOOKUP($F74,'OH,Profit &amp; Other Base'!$A:$V,Backend!AU$6,0),5),"")</f>
        <v/>
      </c>
      <c r="AV74" s="1" t="str">
        <f>IFERROR(ROUND(Backend!$AL74*VLOOKUP($F74,'OH,Profit &amp; Other Base'!$A:$V,Backend!AV$6,0),5),"")</f>
        <v/>
      </c>
      <c r="AW74" s="1" t="str">
        <f>IFERROR(ROUND(Backend!$AO74*VLOOKUP($F74,'OH,Profit &amp; Other Base'!$A:$V,Backend!AW$6,0),5),"")</f>
        <v/>
      </c>
      <c r="AX74" s="1" t="str">
        <f>IFERROR(ROUND(Backend!$AM74*VLOOKUP($F74,'OH,Profit &amp; Other Base'!$A:$V,Backend!AX$6,0),5),"")</f>
        <v/>
      </c>
      <c r="AY74" s="1" t="str">
        <f>IFERROR(ROUND(Backend!$AL74*VLOOKUP($F74,'OH,Profit &amp; Other Base'!$A:$V,Backend!AY$6,0),5),"")</f>
        <v/>
      </c>
      <c r="AZ74" s="1" t="str">
        <f>IFERROR(ROUND(Backend!$AO74*VLOOKUP($F74,'OH,Profit &amp; Other Base'!$A:$V,Backend!AZ$6,0),5),"")</f>
        <v/>
      </c>
      <c r="BA74" s="1" t="str">
        <f>IFERROR(ROUND(Backend!$AM74*VLOOKUP($F74,'OH,Profit &amp; Other Base'!$A:$V,Backend!BA$6,0),5),"")</f>
        <v/>
      </c>
      <c r="BB74" s="1" t="str">
        <f>IFERROR(ROUND(Backend!$AL74*VLOOKUP($F74,'OH,Profit &amp; Other Base'!$A:$V,Backend!BB$6,0),5),"")</f>
        <v/>
      </c>
      <c r="BC74" s="1" t="str">
        <f>IFERROR(ROUND(Backend!$AO74*VLOOKUP($F74,'OH,Profit &amp; Other Base'!$A:$V,Backend!BC$6,0),5),"")</f>
        <v/>
      </c>
      <c r="BD74" s="1" t="str">
        <f>IFERROR(ROUND(Backend!$AM74*VLOOKUP($F74,'OH,Profit &amp; Other Base'!$A:$V,Backend!BD$6,0),5),"")</f>
        <v/>
      </c>
      <c r="BE74" s="1" t="str">
        <f>IFERROR(ROUND(Backend!$AL74*VLOOKUP($F74,'OH,Profit &amp; Other Base'!$A:$V,Backend!BE$6,0),5),"")</f>
        <v/>
      </c>
      <c r="BF74" s="1" t="str">
        <f>IFERROR(ROUND(Backend!$AO74*VLOOKUP($F74,'OH,Profit &amp; Other Base'!$A:$V,Backend!BF$6,0),5),"")</f>
        <v/>
      </c>
      <c r="BG74" s="1" t="str">
        <f>IFERROR(ROUND(Backend!$AM74*VLOOKUP($F74,'OH,Profit &amp; Other Base'!$A:$V,Backend!BG$6,0),5),"")</f>
        <v/>
      </c>
      <c r="BH74" s="1" t="str">
        <f>IFERROR(ROUND(Backend!$AL74*VLOOKUP($F74,'OH,Profit &amp; Other Base'!$A:$V,Backend!BH$6,0),5),"")</f>
        <v/>
      </c>
      <c r="BI74" s="1" t="str">
        <f>IFERROR(ROUND(Backend!$AO74*VLOOKUP($F74,'OH,Profit &amp; Other Base'!$A:$V,Backend!BI$6,0),5),"")</f>
        <v/>
      </c>
      <c r="BJ74" s="1" t="str">
        <f>IFERROR(ROUND(Backend!$AM74*VLOOKUP($F74,'OH,Profit &amp; Other Base'!$A:$V,Backend!BJ$6,0),5),"")</f>
        <v/>
      </c>
      <c r="BK74" s="3">
        <f>SUM(AN74:BJ74,Backend!O74)</f>
        <v>0</v>
      </c>
    </row>
    <row r="75" spans="1:63">
      <c r="A75" s="1">
        <f>BOM!A70</f>
        <v>0</v>
      </c>
      <c r="B75" s="1">
        <f>BOM!B70</f>
        <v>0</v>
      </c>
      <c r="C75" s="1">
        <f>BOM!C70</f>
        <v>0</v>
      </c>
      <c r="D75" s="1">
        <f>BOM!D70</f>
        <v>0</v>
      </c>
      <c r="E75" s="1">
        <f>BOM!F70</f>
        <v>0</v>
      </c>
      <c r="F75" s="1" t="str">
        <f>IF(H75="CSC",BOM!H70,IF(J75="BOFOthers","Sheet Metal-B",""))</f>
        <v/>
      </c>
      <c r="G75" s="1">
        <f>BOM!I70</f>
        <v>0</v>
      </c>
      <c r="H75" s="1">
        <f>BOM!J70</f>
        <v>0</v>
      </c>
      <c r="I75" s="1" t="str">
        <f t="shared" si="7"/>
        <v>Others</v>
      </c>
      <c r="J75" s="1" t="str">
        <f t="shared" si="8"/>
        <v>0Others</v>
      </c>
      <c r="K75" s="3" t="str">
        <f>IF($J75="InhouseCSC",VLOOKUP($D75,Group!$C:$E,3,0),"")</f>
        <v/>
      </c>
      <c r="L75" s="3" t="str">
        <f>IF(OR($J75="BOSFCSC",$J75="BOFCSC"),VLOOKUP($D75,Group!$C:$E,3,0),"")</f>
        <v/>
      </c>
      <c r="M75" s="3" t="str">
        <f>IF(OR($J75="BOSFCSC",$J75="BOFCSC"),VLOOKUP($D75,Group!$C:$F,4,0),"")</f>
        <v/>
      </c>
      <c r="N75" s="3" t="str">
        <f>IF(OR($J75="InhouseCSC",$J75="BOSFCSC"),VLOOKUP($D75,Group!$C:$G,5,0),"")</f>
        <v/>
      </c>
      <c r="O75" s="3" t="str">
        <f>IF($J75="InhouseCSC",ROUND(VLOOKUP($D75,Group!$C:$H,6,0),5),"")</f>
        <v/>
      </c>
      <c r="P75" s="3" t="str">
        <f>IF(OR($J75="BOSFCSC",$J75="BOFCSC"),VLOOKUP($D75,Group!$C:$H,6,0),"")</f>
        <v/>
      </c>
      <c r="Q75" s="1" t="str">
        <f>IF($J75="Inhouseothers",VLOOKUP($D75,Group!$C:$E,3,0),"")</f>
        <v/>
      </c>
      <c r="R75" s="1" t="str">
        <f>IF($J75="BOSFOthers",VLOOKUP($D75,Group!$C:$E,3,0),"")</f>
        <v/>
      </c>
      <c r="S75" s="3" t="str">
        <f>IF($J75="BOFOthers",VLOOKUP($D75,Group!$C:$E,3,0),"")</f>
        <v/>
      </c>
      <c r="U75" s="1" t="str">
        <f>IFERROR(Backend!$L75*VLOOKUP($F75,'OH,Profit &amp; Other Base'!$A:$V,Backend!U$6,0),"")</f>
        <v/>
      </c>
      <c r="V75" s="1" t="str">
        <f>IFERROR(Backend!$M75*VLOOKUP($F75,'OH,Profit &amp; Other Base'!$A:$V,Backend!V$6,0),"")</f>
        <v/>
      </c>
      <c r="W75" s="1" t="str">
        <f>IFERROR(Backend!$L75*VLOOKUP($F75,'OH,Profit &amp; Other Base'!$A:$V,Backend!W$6,0),"")</f>
        <v/>
      </c>
      <c r="X75" s="1" t="str">
        <f>IFERROR(Backend!$M75*VLOOKUP($F75,'OH,Profit &amp; Other Base'!$A:$V,Backend!X$6,0),"")</f>
        <v/>
      </c>
      <c r="Y75" s="1" t="str">
        <f>IFERROR(Backend!$L75*VLOOKUP($F75,'OH,Profit &amp; Other Base'!$A:$V,Backend!Y$6,0),"")</f>
        <v/>
      </c>
      <c r="Z75" s="1" t="str">
        <f>IFERROR(Backend!$M75*VLOOKUP($F75,'OH,Profit &amp; Other Base'!$A:$V,Backend!Z$6,0),"")</f>
        <v/>
      </c>
      <c r="AA75" s="1" t="str">
        <f>IFERROR(Backend!$L75*VLOOKUP($F75,'OH,Profit &amp; Other Base'!$A:$V,Backend!AA$6,0),"")</f>
        <v/>
      </c>
      <c r="AB75" s="1" t="str">
        <f>IFERROR(Backend!$M75*VLOOKUP($F75,'OH,Profit &amp; Other Base'!$A:$V,Backend!AB$6,0),"")</f>
        <v/>
      </c>
      <c r="AC75" s="1" t="str">
        <f>IFERROR(Backend!$L75*VLOOKUP($F75,'OH,Profit &amp; Other Base'!$A:$V,Backend!AC$6,0),"")</f>
        <v/>
      </c>
      <c r="AD75" s="1" t="str">
        <f>IFERROR(Backend!$M75*VLOOKUP($F75,'OH,Profit &amp; Other Base'!$A:$V,Backend!AD$6,0),"")</f>
        <v/>
      </c>
      <c r="AE75" s="1" t="str">
        <f>IFERROR(Backend!$L75*VLOOKUP($F75,'OH,Profit &amp; Other Base'!$A:$V,Backend!AE$6,0),"")</f>
        <v/>
      </c>
      <c r="AF75" s="1" t="str">
        <f>IFERROR(Backend!$M75*VLOOKUP($F75,'OH,Profit &amp; Other Base'!$A:$V,Backend!AF$6,0),"")</f>
        <v/>
      </c>
      <c r="AG75" s="1" t="str">
        <f>IFERROR(Backend!$L75*VLOOKUP($F75,'OH,Profit &amp; Other Base'!$A:$V,Backend!AG$6,0),"")</f>
        <v/>
      </c>
      <c r="AH75" s="1" t="str">
        <f>IFERROR(Backend!$M75*VLOOKUP($F75,'OH,Profit &amp; Other Base'!$A:$V,Backend!AH$6,0),"")</f>
        <v/>
      </c>
      <c r="AI75" s="3">
        <f t="shared" si="9"/>
        <v>0</v>
      </c>
      <c r="AL75" s="1" t="str">
        <f t="shared" si="10"/>
        <v/>
      </c>
      <c r="AM75" s="1" t="str">
        <f t="shared" si="11"/>
        <v/>
      </c>
      <c r="AN75" s="1" t="str">
        <f t="shared" si="12"/>
        <v/>
      </c>
      <c r="AO75" s="1" t="str">
        <f t="shared" si="13"/>
        <v/>
      </c>
      <c r="AP75" s="1" t="str">
        <f>IFERROR(ROUND(Backend!$AL75*VLOOKUP($F75,'OH,Profit &amp; Other Base'!$A:$V,Backend!AP$6,0),5),"")</f>
        <v/>
      </c>
      <c r="AQ75" s="1" t="str">
        <f>IFERROR(ROUND(Backend!$AO75*VLOOKUP($F75,'OH,Profit &amp; Other Base'!$A:$V,Backend!AQ$6,0),5),"")</f>
        <v/>
      </c>
      <c r="AR75" s="1" t="str">
        <f>IFERROR(ROUND(Backend!$AM75*VLOOKUP($F75,'OH,Profit &amp; Other Base'!$A:$V,Backend!AR$6,0),5),"")</f>
        <v/>
      </c>
      <c r="AS75" s="1" t="str">
        <f>IFERROR(ROUND(Backend!$AL75*VLOOKUP($F75,'OH,Profit &amp; Other Base'!$A:$V,Backend!AS$6,0),5),"")</f>
        <v/>
      </c>
      <c r="AT75" s="1" t="str">
        <f>IFERROR(ROUND(Backend!$AO75*VLOOKUP($F75,'OH,Profit &amp; Other Base'!$A:$V,Backend!AT$6,0),5),"")</f>
        <v/>
      </c>
      <c r="AU75" s="1" t="str">
        <f>IFERROR(ROUND(Backend!$AM75*VLOOKUP($F75,'OH,Profit &amp; Other Base'!$A:$V,Backend!AU$6,0),5),"")</f>
        <v/>
      </c>
      <c r="AV75" s="1" t="str">
        <f>IFERROR(ROUND(Backend!$AL75*VLOOKUP($F75,'OH,Profit &amp; Other Base'!$A:$V,Backend!AV$6,0),5),"")</f>
        <v/>
      </c>
      <c r="AW75" s="1" t="str">
        <f>IFERROR(ROUND(Backend!$AO75*VLOOKUP($F75,'OH,Profit &amp; Other Base'!$A:$V,Backend!AW$6,0),5),"")</f>
        <v/>
      </c>
      <c r="AX75" s="1" t="str">
        <f>IFERROR(ROUND(Backend!$AM75*VLOOKUP($F75,'OH,Profit &amp; Other Base'!$A:$V,Backend!AX$6,0),5),"")</f>
        <v/>
      </c>
      <c r="AY75" s="1" t="str">
        <f>IFERROR(ROUND(Backend!$AL75*VLOOKUP($F75,'OH,Profit &amp; Other Base'!$A:$V,Backend!AY$6,0),5),"")</f>
        <v/>
      </c>
      <c r="AZ75" s="1" t="str">
        <f>IFERROR(ROUND(Backend!$AO75*VLOOKUP($F75,'OH,Profit &amp; Other Base'!$A:$V,Backend!AZ$6,0),5),"")</f>
        <v/>
      </c>
      <c r="BA75" s="1" t="str">
        <f>IFERROR(ROUND(Backend!$AM75*VLOOKUP($F75,'OH,Profit &amp; Other Base'!$A:$V,Backend!BA$6,0),5),"")</f>
        <v/>
      </c>
      <c r="BB75" s="1" t="str">
        <f>IFERROR(ROUND(Backend!$AL75*VLOOKUP($F75,'OH,Profit &amp; Other Base'!$A:$V,Backend!BB$6,0),5),"")</f>
        <v/>
      </c>
      <c r="BC75" s="1" t="str">
        <f>IFERROR(ROUND(Backend!$AO75*VLOOKUP($F75,'OH,Profit &amp; Other Base'!$A:$V,Backend!BC$6,0),5),"")</f>
        <v/>
      </c>
      <c r="BD75" s="1" t="str">
        <f>IFERROR(ROUND(Backend!$AM75*VLOOKUP($F75,'OH,Profit &amp; Other Base'!$A:$V,Backend!BD$6,0),5),"")</f>
        <v/>
      </c>
      <c r="BE75" s="1" t="str">
        <f>IFERROR(ROUND(Backend!$AL75*VLOOKUP($F75,'OH,Profit &amp; Other Base'!$A:$V,Backend!BE$6,0),5),"")</f>
        <v/>
      </c>
      <c r="BF75" s="1" t="str">
        <f>IFERROR(ROUND(Backend!$AO75*VLOOKUP($F75,'OH,Profit &amp; Other Base'!$A:$V,Backend!BF$6,0),5),"")</f>
        <v/>
      </c>
      <c r="BG75" s="1" t="str">
        <f>IFERROR(ROUND(Backend!$AM75*VLOOKUP($F75,'OH,Profit &amp; Other Base'!$A:$V,Backend!BG$6,0),5),"")</f>
        <v/>
      </c>
      <c r="BH75" s="1" t="str">
        <f>IFERROR(ROUND(Backend!$AL75*VLOOKUP($F75,'OH,Profit &amp; Other Base'!$A:$V,Backend!BH$6,0),5),"")</f>
        <v/>
      </c>
      <c r="BI75" s="1" t="str">
        <f>IFERROR(ROUND(Backend!$AO75*VLOOKUP($F75,'OH,Profit &amp; Other Base'!$A:$V,Backend!BI$6,0),5),"")</f>
        <v/>
      </c>
      <c r="BJ75" s="1" t="str">
        <f>IFERROR(ROUND(Backend!$AM75*VLOOKUP($F75,'OH,Profit &amp; Other Base'!$A:$V,Backend!BJ$6,0),5),"")</f>
        <v/>
      </c>
      <c r="BK75" s="3">
        <f>SUM(AN75:BJ75,Backend!O75)</f>
        <v>0</v>
      </c>
    </row>
    <row r="76" spans="1:63">
      <c r="A76" s="1">
        <f>BOM!A71</f>
        <v>0</v>
      </c>
      <c r="B76" s="1">
        <f>BOM!B71</f>
        <v>0</v>
      </c>
      <c r="C76" s="1">
        <f>BOM!C71</f>
        <v>0</v>
      </c>
      <c r="D76" s="1">
        <f>BOM!D71</f>
        <v>0</v>
      </c>
      <c r="E76" s="1">
        <f>BOM!F71</f>
        <v>0</v>
      </c>
      <c r="F76" s="1" t="str">
        <f>IF(H76="CSC",BOM!H71,IF(J76="BOFOthers","Sheet Metal-B",""))</f>
        <v/>
      </c>
      <c r="G76" s="1">
        <f>BOM!I71</f>
        <v>0</v>
      </c>
      <c r="H76" s="1">
        <f>BOM!J71</f>
        <v>0</v>
      </c>
      <c r="I76" s="1" t="str">
        <f t="shared" si="7"/>
        <v>Others</v>
      </c>
      <c r="J76" s="1" t="str">
        <f t="shared" si="8"/>
        <v>0Others</v>
      </c>
      <c r="K76" s="3" t="str">
        <f>IF($J76="InhouseCSC",VLOOKUP($D76,Group!$C:$E,3,0),"")</f>
        <v/>
      </c>
      <c r="L76" s="3" t="str">
        <f>IF(OR($J76="BOSFCSC",$J76="BOFCSC"),VLOOKUP($D76,Group!$C:$E,3,0),"")</f>
        <v/>
      </c>
      <c r="M76" s="3" t="str">
        <f>IF(OR($J76="BOSFCSC",$J76="BOFCSC"),VLOOKUP($D76,Group!$C:$F,4,0),"")</f>
        <v/>
      </c>
      <c r="N76" s="3" t="str">
        <f>IF(OR($J76="InhouseCSC",$J76="BOSFCSC"),VLOOKUP($D76,Group!$C:$G,5,0),"")</f>
        <v/>
      </c>
      <c r="O76" s="3" t="str">
        <f>IF($J76="InhouseCSC",ROUND(VLOOKUP($D76,Group!$C:$H,6,0),5),"")</f>
        <v/>
      </c>
      <c r="P76" s="3" t="str">
        <f>IF(OR($J76="BOSFCSC",$J76="BOFCSC"),VLOOKUP($D76,Group!$C:$H,6,0),"")</f>
        <v/>
      </c>
      <c r="Q76" s="1" t="str">
        <f>IF($J76="Inhouseothers",VLOOKUP($D76,Group!$C:$E,3,0),"")</f>
        <v/>
      </c>
      <c r="R76" s="1" t="str">
        <f>IF($J76="BOSFOthers",VLOOKUP($D76,Group!$C:$E,3,0),"")</f>
        <v/>
      </c>
      <c r="S76" s="3" t="str">
        <f>IF($J76="BOFOthers",VLOOKUP($D76,Group!$C:$E,3,0),"")</f>
        <v/>
      </c>
      <c r="U76" s="1" t="str">
        <f>IFERROR(Backend!$L76*VLOOKUP($F76,'OH,Profit &amp; Other Base'!$A:$V,Backend!U$6,0),"")</f>
        <v/>
      </c>
      <c r="V76" s="1" t="str">
        <f>IFERROR(Backend!$M76*VLOOKUP($F76,'OH,Profit &amp; Other Base'!$A:$V,Backend!V$6,0),"")</f>
        <v/>
      </c>
      <c r="W76" s="1" t="str">
        <f>IFERROR(Backend!$L76*VLOOKUP($F76,'OH,Profit &amp; Other Base'!$A:$V,Backend!W$6,0),"")</f>
        <v/>
      </c>
      <c r="X76" s="1" t="str">
        <f>IFERROR(Backend!$M76*VLOOKUP($F76,'OH,Profit &amp; Other Base'!$A:$V,Backend!X$6,0),"")</f>
        <v/>
      </c>
      <c r="Y76" s="1" t="str">
        <f>IFERROR(Backend!$L76*VLOOKUP($F76,'OH,Profit &amp; Other Base'!$A:$V,Backend!Y$6,0),"")</f>
        <v/>
      </c>
      <c r="Z76" s="1" t="str">
        <f>IFERROR(Backend!$M76*VLOOKUP($F76,'OH,Profit &amp; Other Base'!$A:$V,Backend!Z$6,0),"")</f>
        <v/>
      </c>
      <c r="AA76" s="1" t="str">
        <f>IFERROR(Backend!$L76*VLOOKUP($F76,'OH,Profit &amp; Other Base'!$A:$V,Backend!AA$6,0),"")</f>
        <v/>
      </c>
      <c r="AB76" s="1" t="str">
        <f>IFERROR(Backend!$M76*VLOOKUP($F76,'OH,Profit &amp; Other Base'!$A:$V,Backend!AB$6,0),"")</f>
        <v/>
      </c>
      <c r="AC76" s="1" t="str">
        <f>IFERROR(Backend!$L76*VLOOKUP($F76,'OH,Profit &amp; Other Base'!$A:$V,Backend!AC$6,0),"")</f>
        <v/>
      </c>
      <c r="AD76" s="1" t="str">
        <f>IFERROR(Backend!$M76*VLOOKUP($F76,'OH,Profit &amp; Other Base'!$A:$V,Backend!AD$6,0),"")</f>
        <v/>
      </c>
      <c r="AE76" s="1" t="str">
        <f>IFERROR(Backend!$L76*VLOOKUP($F76,'OH,Profit &amp; Other Base'!$A:$V,Backend!AE$6,0),"")</f>
        <v/>
      </c>
      <c r="AF76" s="1" t="str">
        <f>IFERROR(Backend!$M76*VLOOKUP($F76,'OH,Profit &amp; Other Base'!$A:$V,Backend!AF$6,0),"")</f>
        <v/>
      </c>
      <c r="AG76" s="1" t="str">
        <f>IFERROR(Backend!$L76*VLOOKUP($F76,'OH,Profit &amp; Other Base'!$A:$V,Backend!AG$6,0),"")</f>
        <v/>
      </c>
      <c r="AH76" s="1" t="str">
        <f>IFERROR(Backend!$M76*VLOOKUP($F76,'OH,Profit &amp; Other Base'!$A:$V,Backend!AH$6,0),"")</f>
        <v/>
      </c>
      <c r="AI76" s="3">
        <f t="shared" si="9"/>
        <v>0</v>
      </c>
      <c r="AL76" s="1" t="str">
        <f t="shared" si="10"/>
        <v/>
      </c>
      <c r="AM76" s="1" t="str">
        <f t="shared" si="11"/>
        <v/>
      </c>
      <c r="AN76" s="1" t="str">
        <f t="shared" si="12"/>
        <v/>
      </c>
      <c r="AO76" s="1" t="str">
        <f t="shared" si="13"/>
        <v/>
      </c>
      <c r="AP76" s="1" t="str">
        <f>IFERROR(ROUND(Backend!$AL76*VLOOKUP($F76,'OH,Profit &amp; Other Base'!$A:$V,Backend!AP$6,0),5),"")</f>
        <v/>
      </c>
      <c r="AQ76" s="1" t="str">
        <f>IFERROR(ROUND(Backend!$AO76*VLOOKUP($F76,'OH,Profit &amp; Other Base'!$A:$V,Backend!AQ$6,0),5),"")</f>
        <v/>
      </c>
      <c r="AR76" s="1" t="str">
        <f>IFERROR(ROUND(Backend!$AM76*VLOOKUP($F76,'OH,Profit &amp; Other Base'!$A:$V,Backend!AR$6,0),5),"")</f>
        <v/>
      </c>
      <c r="AS76" s="1" t="str">
        <f>IFERROR(ROUND(Backend!$AL76*VLOOKUP($F76,'OH,Profit &amp; Other Base'!$A:$V,Backend!AS$6,0),5),"")</f>
        <v/>
      </c>
      <c r="AT76" s="1" t="str">
        <f>IFERROR(ROUND(Backend!$AO76*VLOOKUP($F76,'OH,Profit &amp; Other Base'!$A:$V,Backend!AT$6,0),5),"")</f>
        <v/>
      </c>
      <c r="AU76" s="1" t="str">
        <f>IFERROR(ROUND(Backend!$AM76*VLOOKUP($F76,'OH,Profit &amp; Other Base'!$A:$V,Backend!AU$6,0),5),"")</f>
        <v/>
      </c>
      <c r="AV76" s="1" t="str">
        <f>IFERROR(ROUND(Backend!$AL76*VLOOKUP($F76,'OH,Profit &amp; Other Base'!$A:$V,Backend!AV$6,0),5),"")</f>
        <v/>
      </c>
      <c r="AW76" s="1" t="str">
        <f>IFERROR(ROUND(Backend!$AO76*VLOOKUP($F76,'OH,Profit &amp; Other Base'!$A:$V,Backend!AW$6,0),5),"")</f>
        <v/>
      </c>
      <c r="AX76" s="1" t="str">
        <f>IFERROR(ROUND(Backend!$AM76*VLOOKUP($F76,'OH,Profit &amp; Other Base'!$A:$V,Backend!AX$6,0),5),"")</f>
        <v/>
      </c>
      <c r="AY76" s="1" t="str">
        <f>IFERROR(ROUND(Backend!$AL76*VLOOKUP($F76,'OH,Profit &amp; Other Base'!$A:$V,Backend!AY$6,0),5),"")</f>
        <v/>
      </c>
      <c r="AZ76" s="1" t="str">
        <f>IFERROR(ROUND(Backend!$AO76*VLOOKUP($F76,'OH,Profit &amp; Other Base'!$A:$V,Backend!AZ$6,0),5),"")</f>
        <v/>
      </c>
      <c r="BA76" s="1" t="str">
        <f>IFERROR(ROUND(Backend!$AM76*VLOOKUP($F76,'OH,Profit &amp; Other Base'!$A:$V,Backend!BA$6,0),5),"")</f>
        <v/>
      </c>
      <c r="BB76" s="1" t="str">
        <f>IFERROR(ROUND(Backend!$AL76*VLOOKUP($F76,'OH,Profit &amp; Other Base'!$A:$V,Backend!BB$6,0),5),"")</f>
        <v/>
      </c>
      <c r="BC76" s="1" t="str">
        <f>IFERROR(ROUND(Backend!$AO76*VLOOKUP($F76,'OH,Profit &amp; Other Base'!$A:$V,Backend!BC$6,0),5),"")</f>
        <v/>
      </c>
      <c r="BD76" s="1" t="str">
        <f>IFERROR(ROUND(Backend!$AM76*VLOOKUP($F76,'OH,Profit &amp; Other Base'!$A:$V,Backend!BD$6,0),5),"")</f>
        <v/>
      </c>
      <c r="BE76" s="1" t="str">
        <f>IFERROR(ROUND(Backend!$AL76*VLOOKUP($F76,'OH,Profit &amp; Other Base'!$A:$V,Backend!BE$6,0),5),"")</f>
        <v/>
      </c>
      <c r="BF76" s="1" t="str">
        <f>IFERROR(ROUND(Backend!$AO76*VLOOKUP($F76,'OH,Profit &amp; Other Base'!$A:$V,Backend!BF$6,0),5),"")</f>
        <v/>
      </c>
      <c r="BG76" s="1" t="str">
        <f>IFERROR(ROUND(Backend!$AM76*VLOOKUP($F76,'OH,Profit &amp; Other Base'!$A:$V,Backend!BG$6,0),5),"")</f>
        <v/>
      </c>
      <c r="BH76" s="1" t="str">
        <f>IFERROR(ROUND(Backend!$AL76*VLOOKUP($F76,'OH,Profit &amp; Other Base'!$A:$V,Backend!BH$6,0),5),"")</f>
        <v/>
      </c>
      <c r="BI76" s="1" t="str">
        <f>IFERROR(ROUND(Backend!$AO76*VLOOKUP($F76,'OH,Profit &amp; Other Base'!$A:$V,Backend!BI$6,0),5),"")</f>
        <v/>
      </c>
      <c r="BJ76" s="1" t="str">
        <f>IFERROR(ROUND(Backend!$AM76*VLOOKUP($F76,'OH,Profit &amp; Other Base'!$A:$V,Backend!BJ$6,0),5),"")</f>
        <v/>
      </c>
      <c r="BK76" s="3">
        <f>SUM(AN76:BJ76,Backend!O76)</f>
        <v>0</v>
      </c>
    </row>
    <row r="77" spans="1:63">
      <c r="A77" s="1">
        <f>BOM!A72</f>
        <v>0</v>
      </c>
      <c r="B77" s="1">
        <f>BOM!B72</f>
        <v>0</v>
      </c>
      <c r="C77" s="1">
        <f>BOM!C72</f>
        <v>0</v>
      </c>
      <c r="D77" s="1">
        <f>BOM!D72</f>
        <v>0</v>
      </c>
      <c r="E77" s="1">
        <f>BOM!F72</f>
        <v>0</v>
      </c>
      <c r="F77" s="1" t="str">
        <f>IF(H77="CSC",BOM!H72,IF(J77="BOFOthers","Sheet Metal-B",""))</f>
        <v/>
      </c>
      <c r="G77" s="1">
        <f>BOM!I72</f>
        <v>0</v>
      </c>
      <c r="H77" s="1">
        <f>BOM!J72</f>
        <v>0</v>
      </c>
      <c r="I77" s="1" t="str">
        <f t="shared" si="7"/>
        <v>Others</v>
      </c>
      <c r="J77" s="1" t="str">
        <f t="shared" si="8"/>
        <v>0Others</v>
      </c>
      <c r="K77" s="3" t="str">
        <f>IF($J77="InhouseCSC",VLOOKUP($D77,Group!$C:$E,3,0),"")</f>
        <v/>
      </c>
      <c r="L77" s="3" t="str">
        <f>IF(OR($J77="BOSFCSC",$J77="BOFCSC"),VLOOKUP($D77,Group!$C:$E,3,0),"")</f>
        <v/>
      </c>
      <c r="M77" s="3" t="str">
        <f>IF(OR($J77="BOSFCSC",$J77="BOFCSC"),VLOOKUP($D77,Group!$C:$F,4,0),"")</f>
        <v/>
      </c>
      <c r="N77" s="3" t="str">
        <f>IF(OR($J77="InhouseCSC",$J77="BOSFCSC"),VLOOKUP($D77,Group!$C:$G,5,0),"")</f>
        <v/>
      </c>
      <c r="O77" s="3" t="str">
        <f>IF($J77="InhouseCSC",ROUND(VLOOKUP($D77,Group!$C:$H,6,0),5),"")</f>
        <v/>
      </c>
      <c r="P77" s="3" t="str">
        <f>IF(OR($J77="BOSFCSC",$J77="BOFCSC"),VLOOKUP($D77,Group!$C:$H,6,0),"")</f>
        <v/>
      </c>
      <c r="Q77" s="1" t="str">
        <f>IF($J77="Inhouseothers",VLOOKUP($D77,Group!$C:$E,3,0),"")</f>
        <v/>
      </c>
      <c r="R77" s="1" t="str">
        <f>IF($J77="BOSFOthers",VLOOKUP($D77,Group!$C:$E,3,0),"")</f>
        <v/>
      </c>
      <c r="S77" s="3" t="str">
        <f>IF($J77="BOFOthers",VLOOKUP($D77,Group!$C:$E,3,0),"")</f>
        <v/>
      </c>
      <c r="U77" s="1" t="str">
        <f>IFERROR(Backend!$L77*VLOOKUP($F77,'OH,Profit &amp; Other Base'!$A:$V,Backend!U$6,0),"")</f>
        <v/>
      </c>
      <c r="V77" s="1" t="str">
        <f>IFERROR(Backend!$M77*VLOOKUP($F77,'OH,Profit &amp; Other Base'!$A:$V,Backend!V$6,0),"")</f>
        <v/>
      </c>
      <c r="W77" s="1" t="str">
        <f>IFERROR(Backend!$L77*VLOOKUP($F77,'OH,Profit &amp; Other Base'!$A:$V,Backend!W$6,0),"")</f>
        <v/>
      </c>
      <c r="X77" s="1" t="str">
        <f>IFERROR(Backend!$M77*VLOOKUP($F77,'OH,Profit &amp; Other Base'!$A:$V,Backend!X$6,0),"")</f>
        <v/>
      </c>
      <c r="Y77" s="1" t="str">
        <f>IFERROR(Backend!$L77*VLOOKUP($F77,'OH,Profit &amp; Other Base'!$A:$V,Backend!Y$6,0),"")</f>
        <v/>
      </c>
      <c r="Z77" s="1" t="str">
        <f>IFERROR(Backend!$M77*VLOOKUP($F77,'OH,Profit &amp; Other Base'!$A:$V,Backend!Z$6,0),"")</f>
        <v/>
      </c>
      <c r="AA77" s="1" t="str">
        <f>IFERROR(Backend!$L77*VLOOKUP($F77,'OH,Profit &amp; Other Base'!$A:$V,Backend!AA$6,0),"")</f>
        <v/>
      </c>
      <c r="AB77" s="1" t="str">
        <f>IFERROR(Backend!$M77*VLOOKUP($F77,'OH,Profit &amp; Other Base'!$A:$V,Backend!AB$6,0),"")</f>
        <v/>
      </c>
      <c r="AC77" s="1" t="str">
        <f>IFERROR(Backend!$L77*VLOOKUP($F77,'OH,Profit &amp; Other Base'!$A:$V,Backend!AC$6,0),"")</f>
        <v/>
      </c>
      <c r="AD77" s="1" t="str">
        <f>IFERROR(Backend!$M77*VLOOKUP($F77,'OH,Profit &amp; Other Base'!$A:$V,Backend!AD$6,0),"")</f>
        <v/>
      </c>
      <c r="AE77" s="1" t="str">
        <f>IFERROR(Backend!$L77*VLOOKUP($F77,'OH,Profit &amp; Other Base'!$A:$V,Backend!AE$6,0),"")</f>
        <v/>
      </c>
      <c r="AF77" s="1" t="str">
        <f>IFERROR(Backend!$M77*VLOOKUP($F77,'OH,Profit &amp; Other Base'!$A:$V,Backend!AF$6,0),"")</f>
        <v/>
      </c>
      <c r="AG77" s="1" t="str">
        <f>IFERROR(Backend!$L77*VLOOKUP($F77,'OH,Profit &amp; Other Base'!$A:$V,Backend!AG$6,0),"")</f>
        <v/>
      </c>
      <c r="AH77" s="1" t="str">
        <f>IFERROR(Backend!$M77*VLOOKUP($F77,'OH,Profit &amp; Other Base'!$A:$V,Backend!AH$6,0),"")</f>
        <v/>
      </c>
      <c r="AI77" s="3">
        <f t="shared" si="9"/>
        <v>0</v>
      </c>
      <c r="AL77" s="1" t="str">
        <f t="shared" si="10"/>
        <v/>
      </c>
      <c r="AM77" s="1" t="str">
        <f t="shared" si="11"/>
        <v/>
      </c>
      <c r="AN77" s="1" t="str">
        <f t="shared" si="12"/>
        <v/>
      </c>
      <c r="AO77" s="1" t="str">
        <f t="shared" si="13"/>
        <v/>
      </c>
      <c r="AP77" s="1" t="str">
        <f>IFERROR(ROUND(Backend!$AL77*VLOOKUP($F77,'OH,Profit &amp; Other Base'!$A:$V,Backend!AP$6,0),5),"")</f>
        <v/>
      </c>
      <c r="AQ77" s="1" t="str">
        <f>IFERROR(ROUND(Backend!$AO77*VLOOKUP($F77,'OH,Profit &amp; Other Base'!$A:$V,Backend!AQ$6,0),5),"")</f>
        <v/>
      </c>
      <c r="AR77" s="1" t="str">
        <f>IFERROR(ROUND(Backend!$AM77*VLOOKUP($F77,'OH,Profit &amp; Other Base'!$A:$V,Backend!AR$6,0),5),"")</f>
        <v/>
      </c>
      <c r="AS77" s="1" t="str">
        <f>IFERROR(ROUND(Backend!$AL77*VLOOKUP($F77,'OH,Profit &amp; Other Base'!$A:$V,Backend!AS$6,0),5),"")</f>
        <v/>
      </c>
      <c r="AT77" s="1" t="str">
        <f>IFERROR(ROUND(Backend!$AO77*VLOOKUP($F77,'OH,Profit &amp; Other Base'!$A:$V,Backend!AT$6,0),5),"")</f>
        <v/>
      </c>
      <c r="AU77" s="1" t="str">
        <f>IFERROR(ROUND(Backend!$AM77*VLOOKUP($F77,'OH,Profit &amp; Other Base'!$A:$V,Backend!AU$6,0),5),"")</f>
        <v/>
      </c>
      <c r="AV77" s="1" t="str">
        <f>IFERROR(ROUND(Backend!$AL77*VLOOKUP($F77,'OH,Profit &amp; Other Base'!$A:$V,Backend!AV$6,0),5),"")</f>
        <v/>
      </c>
      <c r="AW77" s="1" t="str">
        <f>IFERROR(ROUND(Backend!$AO77*VLOOKUP($F77,'OH,Profit &amp; Other Base'!$A:$V,Backend!AW$6,0),5),"")</f>
        <v/>
      </c>
      <c r="AX77" s="1" t="str">
        <f>IFERROR(ROUND(Backend!$AM77*VLOOKUP($F77,'OH,Profit &amp; Other Base'!$A:$V,Backend!AX$6,0),5),"")</f>
        <v/>
      </c>
      <c r="AY77" s="1" t="str">
        <f>IFERROR(ROUND(Backend!$AL77*VLOOKUP($F77,'OH,Profit &amp; Other Base'!$A:$V,Backend!AY$6,0),5),"")</f>
        <v/>
      </c>
      <c r="AZ77" s="1" t="str">
        <f>IFERROR(ROUND(Backend!$AO77*VLOOKUP($F77,'OH,Profit &amp; Other Base'!$A:$V,Backend!AZ$6,0),5),"")</f>
        <v/>
      </c>
      <c r="BA77" s="1" t="str">
        <f>IFERROR(ROUND(Backend!$AM77*VLOOKUP($F77,'OH,Profit &amp; Other Base'!$A:$V,Backend!BA$6,0),5),"")</f>
        <v/>
      </c>
      <c r="BB77" s="1" t="str">
        <f>IFERROR(ROUND(Backend!$AL77*VLOOKUP($F77,'OH,Profit &amp; Other Base'!$A:$V,Backend!BB$6,0),5),"")</f>
        <v/>
      </c>
      <c r="BC77" s="1" t="str">
        <f>IFERROR(ROUND(Backend!$AO77*VLOOKUP($F77,'OH,Profit &amp; Other Base'!$A:$V,Backend!BC$6,0),5),"")</f>
        <v/>
      </c>
      <c r="BD77" s="1" t="str">
        <f>IFERROR(ROUND(Backend!$AM77*VLOOKUP($F77,'OH,Profit &amp; Other Base'!$A:$V,Backend!BD$6,0),5),"")</f>
        <v/>
      </c>
      <c r="BE77" s="1" t="str">
        <f>IFERROR(ROUND(Backend!$AL77*VLOOKUP($F77,'OH,Profit &amp; Other Base'!$A:$V,Backend!BE$6,0),5),"")</f>
        <v/>
      </c>
      <c r="BF77" s="1" t="str">
        <f>IFERROR(ROUND(Backend!$AO77*VLOOKUP($F77,'OH,Profit &amp; Other Base'!$A:$V,Backend!BF$6,0),5),"")</f>
        <v/>
      </c>
      <c r="BG77" s="1" t="str">
        <f>IFERROR(ROUND(Backend!$AM77*VLOOKUP($F77,'OH,Profit &amp; Other Base'!$A:$V,Backend!BG$6,0),5),"")</f>
        <v/>
      </c>
      <c r="BH77" s="1" t="str">
        <f>IFERROR(ROUND(Backend!$AL77*VLOOKUP($F77,'OH,Profit &amp; Other Base'!$A:$V,Backend!BH$6,0),5),"")</f>
        <v/>
      </c>
      <c r="BI77" s="1" t="str">
        <f>IFERROR(ROUND(Backend!$AO77*VLOOKUP($F77,'OH,Profit &amp; Other Base'!$A:$V,Backend!BI$6,0),5),"")</f>
        <v/>
      </c>
      <c r="BJ77" s="1" t="str">
        <f>IFERROR(ROUND(Backend!$AM77*VLOOKUP($F77,'OH,Profit &amp; Other Base'!$A:$V,Backend!BJ$6,0),5),"")</f>
        <v/>
      </c>
      <c r="BK77" s="3">
        <f>SUM(AN77:BJ77,Backend!O77)</f>
        <v>0</v>
      </c>
    </row>
    <row r="78" spans="1:63">
      <c r="A78" s="1">
        <f>BOM!A73</f>
        <v>0</v>
      </c>
      <c r="B78" s="1">
        <f>BOM!B73</f>
        <v>0</v>
      </c>
      <c r="C78" s="1">
        <f>BOM!C73</f>
        <v>0</v>
      </c>
      <c r="D78" s="1">
        <f>BOM!D73</f>
        <v>0</v>
      </c>
      <c r="E78" s="1">
        <f>BOM!F73</f>
        <v>0</v>
      </c>
      <c r="F78" s="1" t="str">
        <f>IF(H78="CSC",BOM!H73,IF(J78="BOFOthers","Sheet Metal-B",""))</f>
        <v/>
      </c>
      <c r="G78" s="1">
        <f>BOM!I73</f>
        <v>0</v>
      </c>
      <c r="H78" s="1">
        <f>BOM!J73</f>
        <v>0</v>
      </c>
      <c r="I78" s="1" t="str">
        <f t="shared" si="7"/>
        <v>Others</v>
      </c>
      <c r="J78" s="1" t="str">
        <f t="shared" si="8"/>
        <v>0Others</v>
      </c>
      <c r="K78" s="3" t="str">
        <f>IF($J78="InhouseCSC",VLOOKUP($D78,Group!$C:$E,3,0),"")</f>
        <v/>
      </c>
      <c r="L78" s="3" t="str">
        <f>IF(OR($J78="BOSFCSC",$J78="BOFCSC"),VLOOKUP($D78,Group!$C:$E,3,0),"")</f>
        <v/>
      </c>
      <c r="M78" s="3" t="str">
        <f>IF(OR($J78="BOSFCSC",$J78="BOFCSC"),VLOOKUP($D78,Group!$C:$F,4,0),"")</f>
        <v/>
      </c>
      <c r="N78" s="3" t="str">
        <f>IF(OR($J78="InhouseCSC",$J78="BOSFCSC"),VLOOKUP($D78,Group!$C:$G,5,0),"")</f>
        <v/>
      </c>
      <c r="O78" s="3" t="str">
        <f>IF($J78="InhouseCSC",ROUND(VLOOKUP($D78,Group!$C:$H,6,0),5),"")</f>
        <v/>
      </c>
      <c r="P78" s="3" t="str">
        <f>IF(OR($J78="BOSFCSC",$J78="BOFCSC"),VLOOKUP($D78,Group!$C:$H,6,0),"")</f>
        <v/>
      </c>
      <c r="Q78" s="1" t="str">
        <f>IF($J78="Inhouseothers",VLOOKUP($D78,Group!$C:$E,3,0),"")</f>
        <v/>
      </c>
      <c r="R78" s="1" t="str">
        <f>IF($J78="BOSFOthers",VLOOKUP($D78,Group!$C:$E,3,0),"")</f>
        <v/>
      </c>
      <c r="S78" s="3" t="str">
        <f>IF($J78="BOFOthers",VLOOKUP($D78,Group!$C:$E,3,0),"")</f>
        <v/>
      </c>
      <c r="U78" s="1" t="str">
        <f>IFERROR(Backend!$L78*VLOOKUP($F78,'OH,Profit &amp; Other Base'!$A:$V,Backend!U$6,0),"")</f>
        <v/>
      </c>
      <c r="V78" s="1" t="str">
        <f>IFERROR(Backend!$M78*VLOOKUP($F78,'OH,Profit &amp; Other Base'!$A:$V,Backend!V$6,0),"")</f>
        <v/>
      </c>
      <c r="W78" s="1" t="str">
        <f>IFERROR(Backend!$L78*VLOOKUP($F78,'OH,Profit &amp; Other Base'!$A:$V,Backend!W$6,0),"")</f>
        <v/>
      </c>
      <c r="X78" s="1" t="str">
        <f>IFERROR(Backend!$M78*VLOOKUP($F78,'OH,Profit &amp; Other Base'!$A:$V,Backend!X$6,0),"")</f>
        <v/>
      </c>
      <c r="Y78" s="1" t="str">
        <f>IFERROR(Backend!$L78*VLOOKUP($F78,'OH,Profit &amp; Other Base'!$A:$V,Backend!Y$6,0),"")</f>
        <v/>
      </c>
      <c r="Z78" s="1" t="str">
        <f>IFERROR(Backend!$M78*VLOOKUP($F78,'OH,Profit &amp; Other Base'!$A:$V,Backend!Z$6,0),"")</f>
        <v/>
      </c>
      <c r="AA78" s="1" t="str">
        <f>IFERROR(Backend!$L78*VLOOKUP($F78,'OH,Profit &amp; Other Base'!$A:$V,Backend!AA$6,0),"")</f>
        <v/>
      </c>
      <c r="AB78" s="1" t="str">
        <f>IFERROR(Backend!$M78*VLOOKUP($F78,'OH,Profit &amp; Other Base'!$A:$V,Backend!AB$6,0),"")</f>
        <v/>
      </c>
      <c r="AC78" s="1" t="str">
        <f>IFERROR(Backend!$L78*VLOOKUP($F78,'OH,Profit &amp; Other Base'!$A:$V,Backend!AC$6,0),"")</f>
        <v/>
      </c>
      <c r="AD78" s="1" t="str">
        <f>IFERROR(Backend!$M78*VLOOKUP($F78,'OH,Profit &amp; Other Base'!$A:$V,Backend!AD$6,0),"")</f>
        <v/>
      </c>
      <c r="AE78" s="1" t="str">
        <f>IFERROR(Backend!$L78*VLOOKUP($F78,'OH,Profit &amp; Other Base'!$A:$V,Backend!AE$6,0),"")</f>
        <v/>
      </c>
      <c r="AF78" s="1" t="str">
        <f>IFERROR(Backend!$M78*VLOOKUP($F78,'OH,Profit &amp; Other Base'!$A:$V,Backend!AF$6,0),"")</f>
        <v/>
      </c>
      <c r="AG78" s="1" t="str">
        <f>IFERROR(Backend!$L78*VLOOKUP($F78,'OH,Profit &amp; Other Base'!$A:$V,Backend!AG$6,0),"")</f>
        <v/>
      </c>
      <c r="AH78" s="1" t="str">
        <f>IFERROR(Backend!$M78*VLOOKUP($F78,'OH,Profit &amp; Other Base'!$A:$V,Backend!AH$6,0),"")</f>
        <v/>
      </c>
      <c r="AI78" s="3">
        <f t="shared" si="9"/>
        <v>0</v>
      </c>
      <c r="AL78" s="1" t="str">
        <f t="shared" si="10"/>
        <v/>
      </c>
      <c r="AM78" s="1" t="str">
        <f t="shared" si="11"/>
        <v/>
      </c>
      <c r="AN78" s="1" t="str">
        <f t="shared" si="12"/>
        <v/>
      </c>
      <c r="AO78" s="1" t="str">
        <f t="shared" si="13"/>
        <v/>
      </c>
      <c r="AP78" s="1" t="str">
        <f>IFERROR(ROUND(Backend!$AL78*VLOOKUP($F78,'OH,Profit &amp; Other Base'!$A:$V,Backend!AP$6,0),5),"")</f>
        <v/>
      </c>
      <c r="AQ78" s="1" t="str">
        <f>IFERROR(ROUND(Backend!$AO78*VLOOKUP($F78,'OH,Profit &amp; Other Base'!$A:$V,Backend!AQ$6,0),5),"")</f>
        <v/>
      </c>
      <c r="AR78" s="1" t="str">
        <f>IFERROR(ROUND(Backend!$AM78*VLOOKUP($F78,'OH,Profit &amp; Other Base'!$A:$V,Backend!AR$6,0),5),"")</f>
        <v/>
      </c>
      <c r="AS78" s="1" t="str">
        <f>IFERROR(ROUND(Backend!$AL78*VLOOKUP($F78,'OH,Profit &amp; Other Base'!$A:$V,Backend!AS$6,0),5),"")</f>
        <v/>
      </c>
      <c r="AT78" s="1" t="str">
        <f>IFERROR(ROUND(Backend!$AO78*VLOOKUP($F78,'OH,Profit &amp; Other Base'!$A:$V,Backend!AT$6,0),5),"")</f>
        <v/>
      </c>
      <c r="AU78" s="1" t="str">
        <f>IFERROR(ROUND(Backend!$AM78*VLOOKUP($F78,'OH,Profit &amp; Other Base'!$A:$V,Backend!AU$6,0),5),"")</f>
        <v/>
      </c>
      <c r="AV78" s="1" t="str">
        <f>IFERROR(ROUND(Backend!$AL78*VLOOKUP($F78,'OH,Profit &amp; Other Base'!$A:$V,Backend!AV$6,0),5),"")</f>
        <v/>
      </c>
      <c r="AW78" s="1" t="str">
        <f>IFERROR(ROUND(Backend!$AO78*VLOOKUP($F78,'OH,Profit &amp; Other Base'!$A:$V,Backend!AW$6,0),5),"")</f>
        <v/>
      </c>
      <c r="AX78" s="1" t="str">
        <f>IFERROR(ROUND(Backend!$AM78*VLOOKUP($F78,'OH,Profit &amp; Other Base'!$A:$V,Backend!AX$6,0),5),"")</f>
        <v/>
      </c>
      <c r="AY78" s="1" t="str">
        <f>IFERROR(ROUND(Backend!$AL78*VLOOKUP($F78,'OH,Profit &amp; Other Base'!$A:$V,Backend!AY$6,0),5),"")</f>
        <v/>
      </c>
      <c r="AZ78" s="1" t="str">
        <f>IFERROR(ROUND(Backend!$AO78*VLOOKUP($F78,'OH,Profit &amp; Other Base'!$A:$V,Backend!AZ$6,0),5),"")</f>
        <v/>
      </c>
      <c r="BA78" s="1" t="str">
        <f>IFERROR(ROUND(Backend!$AM78*VLOOKUP($F78,'OH,Profit &amp; Other Base'!$A:$V,Backend!BA$6,0),5),"")</f>
        <v/>
      </c>
      <c r="BB78" s="1" t="str">
        <f>IFERROR(ROUND(Backend!$AL78*VLOOKUP($F78,'OH,Profit &amp; Other Base'!$A:$V,Backend!BB$6,0),5),"")</f>
        <v/>
      </c>
      <c r="BC78" s="1" t="str">
        <f>IFERROR(ROUND(Backend!$AO78*VLOOKUP($F78,'OH,Profit &amp; Other Base'!$A:$V,Backend!BC$6,0),5),"")</f>
        <v/>
      </c>
      <c r="BD78" s="1" t="str">
        <f>IFERROR(ROUND(Backend!$AM78*VLOOKUP($F78,'OH,Profit &amp; Other Base'!$A:$V,Backend!BD$6,0),5),"")</f>
        <v/>
      </c>
      <c r="BE78" s="1" t="str">
        <f>IFERROR(ROUND(Backend!$AL78*VLOOKUP($F78,'OH,Profit &amp; Other Base'!$A:$V,Backend!BE$6,0),5),"")</f>
        <v/>
      </c>
      <c r="BF78" s="1" t="str">
        <f>IFERROR(ROUND(Backend!$AO78*VLOOKUP($F78,'OH,Profit &amp; Other Base'!$A:$V,Backend!BF$6,0),5),"")</f>
        <v/>
      </c>
      <c r="BG78" s="1" t="str">
        <f>IFERROR(ROUND(Backend!$AM78*VLOOKUP($F78,'OH,Profit &amp; Other Base'!$A:$V,Backend!BG$6,0),5),"")</f>
        <v/>
      </c>
      <c r="BH78" s="1" t="str">
        <f>IFERROR(ROUND(Backend!$AL78*VLOOKUP($F78,'OH,Profit &amp; Other Base'!$A:$V,Backend!BH$6,0),5),"")</f>
        <v/>
      </c>
      <c r="BI78" s="1" t="str">
        <f>IFERROR(ROUND(Backend!$AO78*VLOOKUP($F78,'OH,Profit &amp; Other Base'!$A:$V,Backend!BI$6,0),5),"")</f>
        <v/>
      </c>
      <c r="BJ78" s="1" t="str">
        <f>IFERROR(ROUND(Backend!$AM78*VLOOKUP($F78,'OH,Profit &amp; Other Base'!$A:$V,Backend!BJ$6,0),5),"")</f>
        <v/>
      </c>
      <c r="BK78" s="3">
        <f>SUM(AN78:BJ78,Backend!O78)</f>
        <v>0</v>
      </c>
    </row>
    <row r="79" spans="1:63">
      <c r="A79" s="1">
        <f>BOM!A74</f>
        <v>0</v>
      </c>
      <c r="B79" s="1">
        <f>BOM!B74</f>
        <v>0</v>
      </c>
      <c r="C79" s="1">
        <f>BOM!C74</f>
        <v>0</v>
      </c>
      <c r="D79" s="1">
        <f>BOM!D74</f>
        <v>0</v>
      </c>
      <c r="E79" s="1">
        <f>BOM!F74</f>
        <v>0</v>
      </c>
      <c r="F79" s="1" t="str">
        <f>IF(H79="CSC",BOM!H74,IF(J79="BOFOthers","Sheet Metal-B",""))</f>
        <v/>
      </c>
      <c r="G79" s="1">
        <f>BOM!I74</f>
        <v>0</v>
      </c>
      <c r="H79" s="1">
        <f>BOM!J74</f>
        <v>0</v>
      </c>
      <c r="I79" s="1" t="str">
        <f t="shared" si="7"/>
        <v>Others</v>
      </c>
      <c r="J79" s="1" t="str">
        <f t="shared" si="8"/>
        <v>0Others</v>
      </c>
      <c r="K79" s="3" t="str">
        <f>IF($J79="InhouseCSC",VLOOKUP($D79,Group!$C:$E,3,0),"")</f>
        <v/>
      </c>
      <c r="L79" s="3" t="str">
        <f>IF(OR($J79="BOSFCSC",$J79="BOFCSC"),VLOOKUP($D79,Group!$C:$E,3,0),"")</f>
        <v/>
      </c>
      <c r="M79" s="3" t="str">
        <f>IF(OR($J79="BOSFCSC",$J79="BOFCSC"),VLOOKUP($D79,Group!$C:$F,4,0),"")</f>
        <v/>
      </c>
      <c r="N79" s="3" t="str">
        <f>IF(OR($J79="InhouseCSC",$J79="BOSFCSC"),VLOOKUP($D79,Group!$C:$G,5,0),"")</f>
        <v/>
      </c>
      <c r="O79" s="3" t="str">
        <f>IF($J79="InhouseCSC",ROUND(VLOOKUP($D79,Group!$C:$H,6,0),5),"")</f>
        <v/>
      </c>
      <c r="P79" s="3" t="str">
        <f>IF(OR($J79="BOSFCSC",$J79="BOFCSC"),VLOOKUP($D79,Group!$C:$H,6,0),"")</f>
        <v/>
      </c>
      <c r="Q79" s="1" t="str">
        <f>IF($J79="Inhouseothers",VLOOKUP($D79,Group!$C:$E,3,0),"")</f>
        <v/>
      </c>
      <c r="R79" s="1" t="str">
        <f>IF($J79="BOSFOthers",VLOOKUP($D79,Group!$C:$E,3,0),"")</f>
        <v/>
      </c>
      <c r="S79" s="3" t="str">
        <f>IF($J79="BOFOthers",VLOOKUP($D79,Group!$C:$E,3,0),"")</f>
        <v/>
      </c>
      <c r="U79" s="1" t="str">
        <f>IFERROR(Backend!$L79*VLOOKUP($F79,'OH,Profit &amp; Other Base'!$A:$V,Backend!U$6,0),"")</f>
        <v/>
      </c>
      <c r="V79" s="1" t="str">
        <f>IFERROR(Backend!$M79*VLOOKUP($F79,'OH,Profit &amp; Other Base'!$A:$V,Backend!V$6,0),"")</f>
        <v/>
      </c>
      <c r="W79" s="1" t="str">
        <f>IFERROR(Backend!$L79*VLOOKUP($F79,'OH,Profit &amp; Other Base'!$A:$V,Backend!W$6,0),"")</f>
        <v/>
      </c>
      <c r="X79" s="1" t="str">
        <f>IFERROR(Backend!$M79*VLOOKUP($F79,'OH,Profit &amp; Other Base'!$A:$V,Backend!X$6,0),"")</f>
        <v/>
      </c>
      <c r="Y79" s="1" t="str">
        <f>IFERROR(Backend!$L79*VLOOKUP($F79,'OH,Profit &amp; Other Base'!$A:$V,Backend!Y$6,0),"")</f>
        <v/>
      </c>
      <c r="Z79" s="1" t="str">
        <f>IFERROR(Backend!$M79*VLOOKUP($F79,'OH,Profit &amp; Other Base'!$A:$V,Backend!Z$6,0),"")</f>
        <v/>
      </c>
      <c r="AA79" s="1" t="str">
        <f>IFERROR(Backend!$L79*VLOOKUP($F79,'OH,Profit &amp; Other Base'!$A:$V,Backend!AA$6,0),"")</f>
        <v/>
      </c>
      <c r="AB79" s="1" t="str">
        <f>IFERROR(Backend!$M79*VLOOKUP($F79,'OH,Profit &amp; Other Base'!$A:$V,Backend!AB$6,0),"")</f>
        <v/>
      </c>
      <c r="AC79" s="1" t="str">
        <f>IFERROR(Backend!$L79*VLOOKUP($F79,'OH,Profit &amp; Other Base'!$A:$V,Backend!AC$6,0),"")</f>
        <v/>
      </c>
      <c r="AD79" s="1" t="str">
        <f>IFERROR(Backend!$M79*VLOOKUP($F79,'OH,Profit &amp; Other Base'!$A:$V,Backend!AD$6,0),"")</f>
        <v/>
      </c>
      <c r="AE79" s="1" t="str">
        <f>IFERROR(Backend!$L79*VLOOKUP($F79,'OH,Profit &amp; Other Base'!$A:$V,Backend!AE$6,0),"")</f>
        <v/>
      </c>
      <c r="AF79" s="1" t="str">
        <f>IFERROR(Backend!$M79*VLOOKUP($F79,'OH,Profit &amp; Other Base'!$A:$V,Backend!AF$6,0),"")</f>
        <v/>
      </c>
      <c r="AG79" s="1" t="str">
        <f>IFERROR(Backend!$L79*VLOOKUP($F79,'OH,Profit &amp; Other Base'!$A:$V,Backend!AG$6,0),"")</f>
        <v/>
      </c>
      <c r="AH79" s="1" t="str">
        <f>IFERROR(Backend!$M79*VLOOKUP($F79,'OH,Profit &amp; Other Base'!$A:$V,Backend!AH$6,0),"")</f>
        <v/>
      </c>
      <c r="AI79" s="3">
        <f t="shared" si="9"/>
        <v>0</v>
      </c>
      <c r="AL79" s="1" t="str">
        <f t="shared" si="10"/>
        <v/>
      </c>
      <c r="AM79" s="1" t="str">
        <f t="shared" si="11"/>
        <v/>
      </c>
      <c r="AN79" s="1" t="str">
        <f t="shared" si="12"/>
        <v/>
      </c>
      <c r="AO79" s="1" t="str">
        <f t="shared" si="13"/>
        <v/>
      </c>
      <c r="AP79" s="1" t="str">
        <f>IFERROR(ROUND(Backend!$AL79*VLOOKUP($F79,'OH,Profit &amp; Other Base'!$A:$V,Backend!AP$6,0),5),"")</f>
        <v/>
      </c>
      <c r="AQ79" s="1" t="str">
        <f>IFERROR(ROUND(Backend!$AO79*VLOOKUP($F79,'OH,Profit &amp; Other Base'!$A:$V,Backend!AQ$6,0),5),"")</f>
        <v/>
      </c>
      <c r="AR79" s="1" t="str">
        <f>IFERROR(ROUND(Backend!$AM79*VLOOKUP($F79,'OH,Profit &amp; Other Base'!$A:$V,Backend!AR$6,0),5),"")</f>
        <v/>
      </c>
      <c r="AS79" s="1" t="str">
        <f>IFERROR(ROUND(Backend!$AL79*VLOOKUP($F79,'OH,Profit &amp; Other Base'!$A:$V,Backend!AS$6,0),5),"")</f>
        <v/>
      </c>
      <c r="AT79" s="1" t="str">
        <f>IFERROR(ROUND(Backend!$AO79*VLOOKUP($F79,'OH,Profit &amp; Other Base'!$A:$V,Backend!AT$6,0),5),"")</f>
        <v/>
      </c>
      <c r="AU79" s="1" t="str">
        <f>IFERROR(ROUND(Backend!$AM79*VLOOKUP($F79,'OH,Profit &amp; Other Base'!$A:$V,Backend!AU$6,0),5),"")</f>
        <v/>
      </c>
      <c r="AV79" s="1" t="str">
        <f>IFERROR(ROUND(Backend!$AL79*VLOOKUP($F79,'OH,Profit &amp; Other Base'!$A:$V,Backend!AV$6,0),5),"")</f>
        <v/>
      </c>
      <c r="AW79" s="1" t="str">
        <f>IFERROR(ROUND(Backend!$AO79*VLOOKUP($F79,'OH,Profit &amp; Other Base'!$A:$V,Backend!AW$6,0),5),"")</f>
        <v/>
      </c>
      <c r="AX79" s="1" t="str">
        <f>IFERROR(ROUND(Backend!$AM79*VLOOKUP($F79,'OH,Profit &amp; Other Base'!$A:$V,Backend!AX$6,0),5),"")</f>
        <v/>
      </c>
      <c r="AY79" s="1" t="str">
        <f>IFERROR(ROUND(Backend!$AL79*VLOOKUP($F79,'OH,Profit &amp; Other Base'!$A:$V,Backend!AY$6,0),5),"")</f>
        <v/>
      </c>
      <c r="AZ79" s="1" t="str">
        <f>IFERROR(ROUND(Backend!$AO79*VLOOKUP($F79,'OH,Profit &amp; Other Base'!$A:$V,Backend!AZ$6,0),5),"")</f>
        <v/>
      </c>
      <c r="BA79" s="1" t="str">
        <f>IFERROR(ROUND(Backend!$AM79*VLOOKUP($F79,'OH,Profit &amp; Other Base'!$A:$V,Backend!BA$6,0),5),"")</f>
        <v/>
      </c>
      <c r="BB79" s="1" t="str">
        <f>IFERROR(ROUND(Backend!$AL79*VLOOKUP($F79,'OH,Profit &amp; Other Base'!$A:$V,Backend!BB$6,0),5),"")</f>
        <v/>
      </c>
      <c r="BC79" s="1" t="str">
        <f>IFERROR(ROUND(Backend!$AO79*VLOOKUP($F79,'OH,Profit &amp; Other Base'!$A:$V,Backend!BC$6,0),5),"")</f>
        <v/>
      </c>
      <c r="BD79" s="1" t="str">
        <f>IFERROR(ROUND(Backend!$AM79*VLOOKUP($F79,'OH,Profit &amp; Other Base'!$A:$V,Backend!BD$6,0),5),"")</f>
        <v/>
      </c>
      <c r="BE79" s="1" t="str">
        <f>IFERROR(ROUND(Backend!$AL79*VLOOKUP($F79,'OH,Profit &amp; Other Base'!$A:$V,Backend!BE$6,0),5),"")</f>
        <v/>
      </c>
      <c r="BF79" s="1" t="str">
        <f>IFERROR(ROUND(Backend!$AO79*VLOOKUP($F79,'OH,Profit &amp; Other Base'!$A:$V,Backend!BF$6,0),5),"")</f>
        <v/>
      </c>
      <c r="BG79" s="1" t="str">
        <f>IFERROR(ROUND(Backend!$AM79*VLOOKUP($F79,'OH,Profit &amp; Other Base'!$A:$V,Backend!BG$6,0),5),"")</f>
        <v/>
      </c>
      <c r="BH79" s="1" t="str">
        <f>IFERROR(ROUND(Backend!$AL79*VLOOKUP($F79,'OH,Profit &amp; Other Base'!$A:$V,Backend!BH$6,0),5),"")</f>
        <v/>
      </c>
      <c r="BI79" s="1" t="str">
        <f>IFERROR(ROUND(Backend!$AO79*VLOOKUP($F79,'OH,Profit &amp; Other Base'!$A:$V,Backend!BI$6,0),5),"")</f>
        <v/>
      </c>
      <c r="BJ79" s="1" t="str">
        <f>IFERROR(ROUND(Backend!$AM79*VLOOKUP($F79,'OH,Profit &amp; Other Base'!$A:$V,Backend!BJ$6,0),5),"")</f>
        <v/>
      </c>
      <c r="BK79" s="3">
        <f>SUM(AN79:BJ79,Backend!O79)</f>
        <v>0</v>
      </c>
    </row>
    <row r="80" spans="1:63">
      <c r="A80" s="1">
        <f>BOM!A75</f>
        <v>0</v>
      </c>
      <c r="B80" s="1">
        <f>BOM!B75</f>
        <v>0</v>
      </c>
      <c r="C80" s="1">
        <f>BOM!C75</f>
        <v>0</v>
      </c>
      <c r="D80" s="1">
        <f>BOM!D75</f>
        <v>0</v>
      </c>
      <c r="E80" s="1">
        <f>BOM!F75</f>
        <v>0</v>
      </c>
      <c r="F80" s="1" t="str">
        <f>IF(H80="CSC",BOM!H75,IF(J80="BOFOthers","Sheet Metal-B",""))</f>
        <v/>
      </c>
      <c r="G80" s="1">
        <f>BOM!I75</f>
        <v>0</v>
      </c>
      <c r="H80" s="1">
        <f>BOM!J75</f>
        <v>0</v>
      </c>
      <c r="I80" s="1" t="str">
        <f t="shared" si="7"/>
        <v>Others</v>
      </c>
      <c r="J80" s="1" t="str">
        <f t="shared" si="8"/>
        <v>0Others</v>
      </c>
      <c r="K80" s="3" t="str">
        <f>IF($J80="InhouseCSC",VLOOKUP($D80,Group!$C:$E,3,0),"")</f>
        <v/>
      </c>
      <c r="L80" s="3" t="str">
        <f>IF(OR($J80="BOSFCSC",$J80="BOFCSC"),VLOOKUP($D80,Group!$C:$E,3,0),"")</f>
        <v/>
      </c>
      <c r="M80" s="3" t="str">
        <f>IF(OR($J80="BOSFCSC",$J80="BOFCSC"),VLOOKUP($D80,Group!$C:$F,4,0),"")</f>
        <v/>
      </c>
      <c r="N80" s="3" t="str">
        <f>IF(OR($J80="InhouseCSC",$J80="BOSFCSC"),VLOOKUP($D80,Group!$C:$G,5,0),"")</f>
        <v/>
      </c>
      <c r="O80" s="3" t="str">
        <f>IF($J80="InhouseCSC",ROUND(VLOOKUP($D80,Group!$C:$H,6,0),5),"")</f>
        <v/>
      </c>
      <c r="P80" s="3" t="str">
        <f>IF(OR($J80="BOSFCSC",$J80="BOFCSC"),VLOOKUP($D80,Group!$C:$H,6,0),"")</f>
        <v/>
      </c>
      <c r="Q80" s="1" t="str">
        <f>IF($J80="Inhouseothers",VLOOKUP($D80,Group!$C:$E,3,0),"")</f>
        <v/>
      </c>
      <c r="R80" s="1" t="str">
        <f>IF($J80="BOSFOthers",VLOOKUP($D80,Group!$C:$E,3,0),"")</f>
        <v/>
      </c>
      <c r="S80" s="3" t="str">
        <f>IF($J80="BOFOthers",VLOOKUP($D80,Group!$C:$E,3,0),"")</f>
        <v/>
      </c>
      <c r="U80" s="1" t="str">
        <f>IFERROR(Backend!$L80*VLOOKUP($F80,'OH,Profit &amp; Other Base'!$A:$V,Backend!U$6,0),"")</f>
        <v/>
      </c>
      <c r="V80" s="1" t="str">
        <f>IFERROR(Backend!$M80*VLOOKUP($F80,'OH,Profit &amp; Other Base'!$A:$V,Backend!V$6,0),"")</f>
        <v/>
      </c>
      <c r="W80" s="1" t="str">
        <f>IFERROR(Backend!$L80*VLOOKUP($F80,'OH,Profit &amp; Other Base'!$A:$V,Backend!W$6,0),"")</f>
        <v/>
      </c>
      <c r="X80" s="1" t="str">
        <f>IFERROR(Backend!$M80*VLOOKUP($F80,'OH,Profit &amp; Other Base'!$A:$V,Backend!X$6,0),"")</f>
        <v/>
      </c>
      <c r="Y80" s="1" t="str">
        <f>IFERROR(Backend!$L80*VLOOKUP($F80,'OH,Profit &amp; Other Base'!$A:$V,Backend!Y$6,0),"")</f>
        <v/>
      </c>
      <c r="Z80" s="1" t="str">
        <f>IFERROR(Backend!$M80*VLOOKUP($F80,'OH,Profit &amp; Other Base'!$A:$V,Backend!Z$6,0),"")</f>
        <v/>
      </c>
      <c r="AA80" s="1" t="str">
        <f>IFERROR(Backend!$L80*VLOOKUP($F80,'OH,Profit &amp; Other Base'!$A:$V,Backend!AA$6,0),"")</f>
        <v/>
      </c>
      <c r="AB80" s="1" t="str">
        <f>IFERROR(Backend!$M80*VLOOKUP($F80,'OH,Profit &amp; Other Base'!$A:$V,Backend!AB$6,0),"")</f>
        <v/>
      </c>
      <c r="AC80" s="1" t="str">
        <f>IFERROR(Backend!$L80*VLOOKUP($F80,'OH,Profit &amp; Other Base'!$A:$V,Backend!AC$6,0),"")</f>
        <v/>
      </c>
      <c r="AD80" s="1" t="str">
        <f>IFERROR(Backend!$M80*VLOOKUP($F80,'OH,Profit &amp; Other Base'!$A:$V,Backend!AD$6,0),"")</f>
        <v/>
      </c>
      <c r="AE80" s="1" t="str">
        <f>IFERROR(Backend!$L80*VLOOKUP($F80,'OH,Profit &amp; Other Base'!$A:$V,Backend!AE$6,0),"")</f>
        <v/>
      </c>
      <c r="AF80" s="1" t="str">
        <f>IFERROR(Backend!$M80*VLOOKUP($F80,'OH,Profit &amp; Other Base'!$A:$V,Backend!AF$6,0),"")</f>
        <v/>
      </c>
      <c r="AG80" s="1" t="str">
        <f>IFERROR(Backend!$L80*VLOOKUP($F80,'OH,Profit &amp; Other Base'!$A:$V,Backend!AG$6,0),"")</f>
        <v/>
      </c>
      <c r="AH80" s="1" t="str">
        <f>IFERROR(Backend!$M80*VLOOKUP($F80,'OH,Profit &amp; Other Base'!$A:$V,Backend!AH$6,0),"")</f>
        <v/>
      </c>
      <c r="AI80" s="3">
        <f t="shared" si="9"/>
        <v>0</v>
      </c>
      <c r="AL80" s="1" t="str">
        <f t="shared" si="10"/>
        <v/>
      </c>
      <c r="AM80" s="1" t="str">
        <f t="shared" si="11"/>
        <v/>
      </c>
      <c r="AN80" s="1" t="str">
        <f t="shared" si="12"/>
        <v/>
      </c>
      <c r="AO80" s="1" t="str">
        <f t="shared" si="13"/>
        <v/>
      </c>
      <c r="AP80" s="1" t="str">
        <f>IFERROR(ROUND(Backend!$AL80*VLOOKUP($F80,'OH,Profit &amp; Other Base'!$A:$V,Backend!AP$6,0),5),"")</f>
        <v/>
      </c>
      <c r="AQ80" s="1" t="str">
        <f>IFERROR(ROUND(Backend!$AO80*VLOOKUP($F80,'OH,Profit &amp; Other Base'!$A:$V,Backend!AQ$6,0),5),"")</f>
        <v/>
      </c>
      <c r="AR80" s="1" t="str">
        <f>IFERROR(ROUND(Backend!$AM80*VLOOKUP($F80,'OH,Profit &amp; Other Base'!$A:$V,Backend!AR$6,0),5),"")</f>
        <v/>
      </c>
      <c r="AS80" s="1" t="str">
        <f>IFERROR(ROUND(Backend!$AL80*VLOOKUP($F80,'OH,Profit &amp; Other Base'!$A:$V,Backend!AS$6,0),5),"")</f>
        <v/>
      </c>
      <c r="AT80" s="1" t="str">
        <f>IFERROR(ROUND(Backend!$AO80*VLOOKUP($F80,'OH,Profit &amp; Other Base'!$A:$V,Backend!AT$6,0),5),"")</f>
        <v/>
      </c>
      <c r="AU80" s="1" t="str">
        <f>IFERROR(ROUND(Backend!$AM80*VLOOKUP($F80,'OH,Profit &amp; Other Base'!$A:$V,Backend!AU$6,0),5),"")</f>
        <v/>
      </c>
      <c r="AV80" s="1" t="str">
        <f>IFERROR(ROUND(Backend!$AL80*VLOOKUP($F80,'OH,Profit &amp; Other Base'!$A:$V,Backend!AV$6,0),5),"")</f>
        <v/>
      </c>
      <c r="AW80" s="1" t="str">
        <f>IFERROR(ROUND(Backend!$AO80*VLOOKUP($F80,'OH,Profit &amp; Other Base'!$A:$V,Backend!AW$6,0),5),"")</f>
        <v/>
      </c>
      <c r="AX80" s="1" t="str">
        <f>IFERROR(ROUND(Backend!$AM80*VLOOKUP($F80,'OH,Profit &amp; Other Base'!$A:$V,Backend!AX$6,0),5),"")</f>
        <v/>
      </c>
      <c r="AY80" s="1" t="str">
        <f>IFERROR(ROUND(Backend!$AL80*VLOOKUP($F80,'OH,Profit &amp; Other Base'!$A:$V,Backend!AY$6,0),5),"")</f>
        <v/>
      </c>
      <c r="AZ80" s="1" t="str">
        <f>IFERROR(ROUND(Backend!$AO80*VLOOKUP($F80,'OH,Profit &amp; Other Base'!$A:$V,Backend!AZ$6,0),5),"")</f>
        <v/>
      </c>
      <c r="BA80" s="1" t="str">
        <f>IFERROR(ROUND(Backend!$AM80*VLOOKUP($F80,'OH,Profit &amp; Other Base'!$A:$V,Backend!BA$6,0),5),"")</f>
        <v/>
      </c>
      <c r="BB80" s="1" t="str">
        <f>IFERROR(ROUND(Backend!$AL80*VLOOKUP($F80,'OH,Profit &amp; Other Base'!$A:$V,Backend!BB$6,0),5),"")</f>
        <v/>
      </c>
      <c r="BC80" s="1" t="str">
        <f>IFERROR(ROUND(Backend!$AO80*VLOOKUP($F80,'OH,Profit &amp; Other Base'!$A:$V,Backend!BC$6,0),5),"")</f>
        <v/>
      </c>
      <c r="BD80" s="1" t="str">
        <f>IFERROR(ROUND(Backend!$AM80*VLOOKUP($F80,'OH,Profit &amp; Other Base'!$A:$V,Backend!BD$6,0),5),"")</f>
        <v/>
      </c>
      <c r="BE80" s="1" t="str">
        <f>IFERROR(ROUND(Backend!$AL80*VLOOKUP($F80,'OH,Profit &amp; Other Base'!$A:$V,Backend!BE$6,0),5),"")</f>
        <v/>
      </c>
      <c r="BF80" s="1" t="str">
        <f>IFERROR(ROUND(Backend!$AO80*VLOOKUP($F80,'OH,Profit &amp; Other Base'!$A:$V,Backend!BF$6,0),5),"")</f>
        <v/>
      </c>
      <c r="BG80" s="1" t="str">
        <f>IFERROR(ROUND(Backend!$AM80*VLOOKUP($F80,'OH,Profit &amp; Other Base'!$A:$V,Backend!BG$6,0),5),"")</f>
        <v/>
      </c>
      <c r="BH80" s="1" t="str">
        <f>IFERROR(ROUND(Backend!$AL80*VLOOKUP($F80,'OH,Profit &amp; Other Base'!$A:$V,Backend!BH$6,0),5),"")</f>
        <v/>
      </c>
      <c r="BI80" s="1" t="str">
        <f>IFERROR(ROUND(Backend!$AO80*VLOOKUP($F80,'OH,Profit &amp; Other Base'!$A:$V,Backend!BI$6,0),5),"")</f>
        <v/>
      </c>
      <c r="BJ80" s="1" t="str">
        <f>IFERROR(ROUND(Backend!$AM80*VLOOKUP($F80,'OH,Profit &amp; Other Base'!$A:$V,Backend!BJ$6,0),5),"")</f>
        <v/>
      </c>
      <c r="BK80" s="3">
        <f>SUM(AN80:BJ80,Backend!O80)</f>
        <v>0</v>
      </c>
    </row>
    <row r="81" spans="1:63">
      <c r="A81" s="1">
        <f>BOM!A76</f>
        <v>0</v>
      </c>
      <c r="B81" s="1">
        <f>BOM!B76</f>
        <v>0</v>
      </c>
      <c r="C81" s="1">
        <f>BOM!C76</f>
        <v>0</v>
      </c>
      <c r="D81" s="1">
        <f>BOM!D76</f>
        <v>0</v>
      </c>
      <c r="E81" s="1">
        <f>BOM!F76</f>
        <v>0</v>
      </c>
      <c r="F81" s="1" t="str">
        <f>IF(H81="CSC",BOM!H76,IF(J81="BOFOthers","Sheet Metal-B",""))</f>
        <v/>
      </c>
      <c r="G81" s="1">
        <f>BOM!I76</f>
        <v>0</v>
      </c>
      <c r="H81" s="1">
        <f>BOM!J76</f>
        <v>0</v>
      </c>
      <c r="I81" s="1" t="str">
        <f t="shared" si="7"/>
        <v>Others</v>
      </c>
      <c r="J81" s="1" t="str">
        <f t="shared" si="8"/>
        <v>0Others</v>
      </c>
      <c r="K81" s="3" t="str">
        <f>IF($J81="InhouseCSC",VLOOKUP($D81,Group!$C:$E,3,0),"")</f>
        <v/>
      </c>
      <c r="L81" s="3" t="str">
        <f>IF(OR($J81="BOSFCSC",$J81="BOFCSC"),VLOOKUP($D81,Group!$C:$E,3,0),"")</f>
        <v/>
      </c>
      <c r="M81" s="3" t="str">
        <f>IF(OR($J81="BOSFCSC",$J81="BOFCSC"),VLOOKUP($D81,Group!$C:$F,4,0),"")</f>
        <v/>
      </c>
      <c r="N81" s="3" t="str">
        <f>IF(OR($J81="InhouseCSC",$J81="BOSFCSC"),VLOOKUP($D81,Group!$C:$G,5,0),"")</f>
        <v/>
      </c>
      <c r="O81" s="3" t="str">
        <f>IF($J81="InhouseCSC",ROUND(VLOOKUP($D81,Group!$C:$H,6,0),5),"")</f>
        <v/>
      </c>
      <c r="P81" s="3" t="str">
        <f>IF(OR($J81="BOSFCSC",$J81="BOFCSC"),VLOOKUP($D81,Group!$C:$H,6,0),"")</f>
        <v/>
      </c>
      <c r="Q81" s="1" t="str">
        <f>IF($J81="Inhouseothers",VLOOKUP($D81,Group!$C:$E,3,0),"")</f>
        <v/>
      </c>
      <c r="R81" s="1" t="str">
        <f>IF($J81="BOSFOthers",VLOOKUP($D81,Group!$C:$E,3,0),"")</f>
        <v/>
      </c>
      <c r="S81" s="3" t="str">
        <f>IF($J81="BOFOthers",VLOOKUP($D81,Group!$C:$E,3,0),"")</f>
        <v/>
      </c>
      <c r="U81" s="1" t="str">
        <f>IFERROR(Backend!$L81*VLOOKUP($F81,'OH,Profit &amp; Other Base'!$A:$V,Backend!U$6,0),"")</f>
        <v/>
      </c>
      <c r="V81" s="1" t="str">
        <f>IFERROR(Backend!$M81*VLOOKUP($F81,'OH,Profit &amp; Other Base'!$A:$V,Backend!V$6,0),"")</f>
        <v/>
      </c>
      <c r="W81" s="1" t="str">
        <f>IFERROR(Backend!$L81*VLOOKUP($F81,'OH,Profit &amp; Other Base'!$A:$V,Backend!W$6,0),"")</f>
        <v/>
      </c>
      <c r="X81" s="1" t="str">
        <f>IFERROR(Backend!$M81*VLOOKUP($F81,'OH,Profit &amp; Other Base'!$A:$V,Backend!X$6,0),"")</f>
        <v/>
      </c>
      <c r="Y81" s="1" t="str">
        <f>IFERROR(Backend!$L81*VLOOKUP($F81,'OH,Profit &amp; Other Base'!$A:$V,Backend!Y$6,0),"")</f>
        <v/>
      </c>
      <c r="Z81" s="1" t="str">
        <f>IFERROR(Backend!$M81*VLOOKUP($F81,'OH,Profit &amp; Other Base'!$A:$V,Backend!Z$6,0),"")</f>
        <v/>
      </c>
      <c r="AA81" s="1" t="str">
        <f>IFERROR(Backend!$L81*VLOOKUP($F81,'OH,Profit &amp; Other Base'!$A:$V,Backend!AA$6,0),"")</f>
        <v/>
      </c>
      <c r="AB81" s="1" t="str">
        <f>IFERROR(Backend!$M81*VLOOKUP($F81,'OH,Profit &amp; Other Base'!$A:$V,Backend!AB$6,0),"")</f>
        <v/>
      </c>
      <c r="AC81" s="1" t="str">
        <f>IFERROR(Backend!$L81*VLOOKUP($F81,'OH,Profit &amp; Other Base'!$A:$V,Backend!AC$6,0),"")</f>
        <v/>
      </c>
      <c r="AD81" s="1" t="str">
        <f>IFERROR(Backend!$M81*VLOOKUP($F81,'OH,Profit &amp; Other Base'!$A:$V,Backend!AD$6,0),"")</f>
        <v/>
      </c>
      <c r="AE81" s="1" t="str">
        <f>IFERROR(Backend!$L81*VLOOKUP($F81,'OH,Profit &amp; Other Base'!$A:$V,Backend!AE$6,0),"")</f>
        <v/>
      </c>
      <c r="AF81" s="1" t="str">
        <f>IFERROR(Backend!$M81*VLOOKUP($F81,'OH,Profit &amp; Other Base'!$A:$V,Backend!AF$6,0),"")</f>
        <v/>
      </c>
      <c r="AG81" s="1" t="str">
        <f>IFERROR(Backend!$L81*VLOOKUP($F81,'OH,Profit &amp; Other Base'!$A:$V,Backend!AG$6,0),"")</f>
        <v/>
      </c>
      <c r="AH81" s="1" t="str">
        <f>IFERROR(Backend!$M81*VLOOKUP($F81,'OH,Profit &amp; Other Base'!$A:$V,Backend!AH$6,0),"")</f>
        <v/>
      </c>
      <c r="AI81" s="3">
        <f t="shared" si="9"/>
        <v>0</v>
      </c>
      <c r="AL81" s="1" t="str">
        <f t="shared" si="10"/>
        <v/>
      </c>
      <c r="AM81" s="1" t="str">
        <f t="shared" si="11"/>
        <v/>
      </c>
      <c r="AN81" s="1" t="str">
        <f t="shared" si="12"/>
        <v/>
      </c>
      <c r="AO81" s="1" t="str">
        <f t="shared" si="13"/>
        <v/>
      </c>
      <c r="AP81" s="1" t="str">
        <f>IFERROR(ROUND(Backend!$AL81*VLOOKUP($F81,'OH,Profit &amp; Other Base'!$A:$V,Backend!AP$6,0),5),"")</f>
        <v/>
      </c>
      <c r="AQ81" s="1" t="str">
        <f>IFERROR(ROUND(Backend!$AO81*VLOOKUP($F81,'OH,Profit &amp; Other Base'!$A:$V,Backend!AQ$6,0),5),"")</f>
        <v/>
      </c>
      <c r="AR81" s="1" t="str">
        <f>IFERROR(ROUND(Backend!$AM81*VLOOKUP($F81,'OH,Profit &amp; Other Base'!$A:$V,Backend!AR$6,0),5),"")</f>
        <v/>
      </c>
      <c r="AS81" s="1" t="str">
        <f>IFERROR(ROUND(Backend!$AL81*VLOOKUP($F81,'OH,Profit &amp; Other Base'!$A:$V,Backend!AS$6,0),5),"")</f>
        <v/>
      </c>
      <c r="AT81" s="1" t="str">
        <f>IFERROR(ROUND(Backend!$AO81*VLOOKUP($F81,'OH,Profit &amp; Other Base'!$A:$V,Backend!AT$6,0),5),"")</f>
        <v/>
      </c>
      <c r="AU81" s="1" t="str">
        <f>IFERROR(ROUND(Backend!$AM81*VLOOKUP($F81,'OH,Profit &amp; Other Base'!$A:$V,Backend!AU$6,0),5),"")</f>
        <v/>
      </c>
      <c r="AV81" s="1" t="str">
        <f>IFERROR(ROUND(Backend!$AL81*VLOOKUP($F81,'OH,Profit &amp; Other Base'!$A:$V,Backend!AV$6,0),5),"")</f>
        <v/>
      </c>
      <c r="AW81" s="1" t="str">
        <f>IFERROR(ROUND(Backend!$AO81*VLOOKUP($F81,'OH,Profit &amp; Other Base'!$A:$V,Backend!AW$6,0),5),"")</f>
        <v/>
      </c>
      <c r="AX81" s="1" t="str">
        <f>IFERROR(ROUND(Backend!$AM81*VLOOKUP($F81,'OH,Profit &amp; Other Base'!$A:$V,Backend!AX$6,0),5),"")</f>
        <v/>
      </c>
      <c r="AY81" s="1" t="str">
        <f>IFERROR(ROUND(Backend!$AL81*VLOOKUP($F81,'OH,Profit &amp; Other Base'!$A:$V,Backend!AY$6,0),5),"")</f>
        <v/>
      </c>
      <c r="AZ81" s="1" t="str">
        <f>IFERROR(ROUND(Backend!$AO81*VLOOKUP($F81,'OH,Profit &amp; Other Base'!$A:$V,Backend!AZ$6,0),5),"")</f>
        <v/>
      </c>
      <c r="BA81" s="1" t="str">
        <f>IFERROR(ROUND(Backend!$AM81*VLOOKUP($F81,'OH,Profit &amp; Other Base'!$A:$V,Backend!BA$6,0),5),"")</f>
        <v/>
      </c>
      <c r="BB81" s="1" t="str">
        <f>IFERROR(ROUND(Backend!$AL81*VLOOKUP($F81,'OH,Profit &amp; Other Base'!$A:$V,Backend!BB$6,0),5),"")</f>
        <v/>
      </c>
      <c r="BC81" s="1" t="str">
        <f>IFERROR(ROUND(Backend!$AO81*VLOOKUP($F81,'OH,Profit &amp; Other Base'!$A:$V,Backend!BC$6,0),5),"")</f>
        <v/>
      </c>
      <c r="BD81" s="1" t="str">
        <f>IFERROR(ROUND(Backend!$AM81*VLOOKUP($F81,'OH,Profit &amp; Other Base'!$A:$V,Backend!BD$6,0),5),"")</f>
        <v/>
      </c>
      <c r="BE81" s="1" t="str">
        <f>IFERROR(ROUND(Backend!$AL81*VLOOKUP($F81,'OH,Profit &amp; Other Base'!$A:$V,Backend!BE$6,0),5),"")</f>
        <v/>
      </c>
      <c r="BF81" s="1" t="str">
        <f>IFERROR(ROUND(Backend!$AO81*VLOOKUP($F81,'OH,Profit &amp; Other Base'!$A:$V,Backend!BF$6,0),5),"")</f>
        <v/>
      </c>
      <c r="BG81" s="1" t="str">
        <f>IFERROR(ROUND(Backend!$AM81*VLOOKUP($F81,'OH,Profit &amp; Other Base'!$A:$V,Backend!BG$6,0),5),"")</f>
        <v/>
      </c>
      <c r="BH81" s="1" t="str">
        <f>IFERROR(ROUND(Backend!$AL81*VLOOKUP($F81,'OH,Profit &amp; Other Base'!$A:$V,Backend!BH$6,0),5),"")</f>
        <v/>
      </c>
      <c r="BI81" s="1" t="str">
        <f>IFERROR(ROUND(Backend!$AO81*VLOOKUP($F81,'OH,Profit &amp; Other Base'!$A:$V,Backend!BI$6,0),5),"")</f>
        <v/>
      </c>
      <c r="BJ81" s="1" t="str">
        <f>IFERROR(ROUND(Backend!$AM81*VLOOKUP($F81,'OH,Profit &amp; Other Base'!$A:$V,Backend!BJ$6,0),5),"")</f>
        <v/>
      </c>
      <c r="BK81" s="3">
        <f>SUM(AN81:BJ81,Backend!O81)</f>
        <v>0</v>
      </c>
    </row>
    <row r="82" spans="1:63">
      <c r="A82" s="1">
        <f>BOM!A77</f>
        <v>0</v>
      </c>
      <c r="B82" s="1">
        <f>BOM!B77</f>
        <v>0</v>
      </c>
      <c r="C82" s="1">
        <f>BOM!C77</f>
        <v>0</v>
      </c>
      <c r="D82" s="1">
        <f>BOM!D77</f>
        <v>0</v>
      </c>
      <c r="E82" s="1">
        <f>BOM!F77</f>
        <v>0</v>
      </c>
      <c r="F82" s="1" t="str">
        <f>IF(H82="CSC",BOM!H77,IF(J82="BOFOthers","Sheet Metal-B",""))</f>
        <v/>
      </c>
      <c r="G82" s="1">
        <f>BOM!I77</f>
        <v>0</v>
      </c>
      <c r="H82" s="1">
        <f>BOM!J77</f>
        <v>0</v>
      </c>
      <c r="I82" s="1" t="str">
        <f t="shared" si="7"/>
        <v>Others</v>
      </c>
      <c r="J82" s="1" t="str">
        <f t="shared" si="8"/>
        <v>0Others</v>
      </c>
      <c r="K82" s="3" t="str">
        <f>IF($J82="InhouseCSC",VLOOKUP($D82,Group!$C:$E,3,0),"")</f>
        <v/>
      </c>
      <c r="L82" s="3" t="str">
        <f>IF(OR($J82="BOSFCSC",$J82="BOFCSC"),VLOOKUP($D82,Group!$C:$E,3,0),"")</f>
        <v/>
      </c>
      <c r="M82" s="3" t="str">
        <f>IF(OR($J82="BOSFCSC",$J82="BOFCSC"),VLOOKUP($D82,Group!$C:$F,4,0),"")</f>
        <v/>
      </c>
      <c r="N82" s="3" t="str">
        <f>IF(OR($J82="InhouseCSC",$J82="BOSFCSC"),VLOOKUP($D82,Group!$C:$G,5,0),"")</f>
        <v/>
      </c>
      <c r="O82" s="3" t="str">
        <f>IF($J82="InhouseCSC",ROUND(VLOOKUP($D82,Group!$C:$H,6,0),5),"")</f>
        <v/>
      </c>
      <c r="P82" s="3" t="str">
        <f>IF(OR($J82="BOSFCSC",$J82="BOFCSC"),VLOOKUP($D82,Group!$C:$H,6,0),"")</f>
        <v/>
      </c>
      <c r="Q82" s="1" t="str">
        <f>IF($J82="Inhouseothers",VLOOKUP($D82,Group!$C:$E,3,0),"")</f>
        <v/>
      </c>
      <c r="R82" s="1" t="str">
        <f>IF($J82="BOSFOthers",VLOOKUP($D82,Group!$C:$E,3,0),"")</f>
        <v/>
      </c>
      <c r="S82" s="3" t="str">
        <f>IF($J82="BOFOthers",VLOOKUP($D82,Group!$C:$E,3,0),"")</f>
        <v/>
      </c>
      <c r="U82" s="1" t="str">
        <f>IFERROR(Backend!$L82*VLOOKUP($F82,'OH,Profit &amp; Other Base'!$A:$V,Backend!U$6,0),"")</f>
        <v/>
      </c>
      <c r="V82" s="1" t="str">
        <f>IFERROR(Backend!$M82*VLOOKUP($F82,'OH,Profit &amp; Other Base'!$A:$V,Backend!V$6,0),"")</f>
        <v/>
      </c>
      <c r="W82" s="1" t="str">
        <f>IFERROR(Backend!$L82*VLOOKUP($F82,'OH,Profit &amp; Other Base'!$A:$V,Backend!W$6,0),"")</f>
        <v/>
      </c>
      <c r="X82" s="1" t="str">
        <f>IFERROR(Backend!$M82*VLOOKUP($F82,'OH,Profit &amp; Other Base'!$A:$V,Backend!X$6,0),"")</f>
        <v/>
      </c>
      <c r="Y82" s="1" t="str">
        <f>IFERROR(Backend!$L82*VLOOKUP($F82,'OH,Profit &amp; Other Base'!$A:$V,Backend!Y$6,0),"")</f>
        <v/>
      </c>
      <c r="Z82" s="1" t="str">
        <f>IFERROR(Backend!$M82*VLOOKUP($F82,'OH,Profit &amp; Other Base'!$A:$V,Backend!Z$6,0),"")</f>
        <v/>
      </c>
      <c r="AA82" s="1" t="str">
        <f>IFERROR(Backend!$L82*VLOOKUP($F82,'OH,Profit &amp; Other Base'!$A:$V,Backend!AA$6,0),"")</f>
        <v/>
      </c>
      <c r="AB82" s="1" t="str">
        <f>IFERROR(Backend!$M82*VLOOKUP($F82,'OH,Profit &amp; Other Base'!$A:$V,Backend!AB$6,0),"")</f>
        <v/>
      </c>
      <c r="AC82" s="1" t="str">
        <f>IFERROR(Backend!$L82*VLOOKUP($F82,'OH,Profit &amp; Other Base'!$A:$V,Backend!AC$6,0),"")</f>
        <v/>
      </c>
      <c r="AD82" s="1" t="str">
        <f>IFERROR(Backend!$M82*VLOOKUP($F82,'OH,Profit &amp; Other Base'!$A:$V,Backend!AD$6,0),"")</f>
        <v/>
      </c>
      <c r="AE82" s="1" t="str">
        <f>IFERROR(Backend!$L82*VLOOKUP($F82,'OH,Profit &amp; Other Base'!$A:$V,Backend!AE$6,0),"")</f>
        <v/>
      </c>
      <c r="AF82" s="1" t="str">
        <f>IFERROR(Backend!$M82*VLOOKUP($F82,'OH,Profit &amp; Other Base'!$A:$V,Backend!AF$6,0),"")</f>
        <v/>
      </c>
      <c r="AG82" s="1" t="str">
        <f>IFERROR(Backend!$L82*VLOOKUP($F82,'OH,Profit &amp; Other Base'!$A:$V,Backend!AG$6,0),"")</f>
        <v/>
      </c>
      <c r="AH82" s="1" t="str">
        <f>IFERROR(Backend!$M82*VLOOKUP($F82,'OH,Profit &amp; Other Base'!$A:$V,Backend!AH$6,0),"")</f>
        <v/>
      </c>
      <c r="AI82" s="3">
        <f t="shared" si="9"/>
        <v>0</v>
      </c>
      <c r="AL82" s="1" t="str">
        <f t="shared" si="10"/>
        <v/>
      </c>
      <c r="AM82" s="1" t="str">
        <f t="shared" si="11"/>
        <v/>
      </c>
      <c r="AN82" s="1" t="str">
        <f t="shared" si="12"/>
        <v/>
      </c>
      <c r="AO82" s="1" t="str">
        <f t="shared" si="13"/>
        <v/>
      </c>
      <c r="AP82" s="1" t="str">
        <f>IFERROR(ROUND(Backend!$AL82*VLOOKUP($F82,'OH,Profit &amp; Other Base'!$A:$V,Backend!AP$6,0),5),"")</f>
        <v/>
      </c>
      <c r="AQ82" s="1" t="str">
        <f>IFERROR(ROUND(Backend!$AO82*VLOOKUP($F82,'OH,Profit &amp; Other Base'!$A:$V,Backend!AQ$6,0),5),"")</f>
        <v/>
      </c>
      <c r="AR82" s="1" t="str">
        <f>IFERROR(ROUND(Backend!$AM82*VLOOKUP($F82,'OH,Profit &amp; Other Base'!$A:$V,Backend!AR$6,0),5),"")</f>
        <v/>
      </c>
      <c r="AS82" s="1" t="str">
        <f>IFERROR(ROUND(Backend!$AL82*VLOOKUP($F82,'OH,Profit &amp; Other Base'!$A:$V,Backend!AS$6,0),5),"")</f>
        <v/>
      </c>
      <c r="AT82" s="1" t="str">
        <f>IFERROR(ROUND(Backend!$AO82*VLOOKUP($F82,'OH,Profit &amp; Other Base'!$A:$V,Backend!AT$6,0),5),"")</f>
        <v/>
      </c>
      <c r="AU82" s="1" t="str">
        <f>IFERROR(ROUND(Backend!$AM82*VLOOKUP($F82,'OH,Profit &amp; Other Base'!$A:$V,Backend!AU$6,0),5),"")</f>
        <v/>
      </c>
      <c r="AV82" s="1" t="str">
        <f>IFERROR(ROUND(Backend!$AL82*VLOOKUP($F82,'OH,Profit &amp; Other Base'!$A:$V,Backend!AV$6,0),5),"")</f>
        <v/>
      </c>
      <c r="AW82" s="1" t="str">
        <f>IFERROR(ROUND(Backend!$AO82*VLOOKUP($F82,'OH,Profit &amp; Other Base'!$A:$V,Backend!AW$6,0),5),"")</f>
        <v/>
      </c>
      <c r="AX82" s="1" t="str">
        <f>IFERROR(ROUND(Backend!$AM82*VLOOKUP($F82,'OH,Profit &amp; Other Base'!$A:$V,Backend!AX$6,0),5),"")</f>
        <v/>
      </c>
      <c r="AY82" s="1" t="str">
        <f>IFERROR(ROUND(Backend!$AL82*VLOOKUP($F82,'OH,Profit &amp; Other Base'!$A:$V,Backend!AY$6,0),5),"")</f>
        <v/>
      </c>
      <c r="AZ82" s="1" t="str">
        <f>IFERROR(ROUND(Backend!$AO82*VLOOKUP($F82,'OH,Profit &amp; Other Base'!$A:$V,Backend!AZ$6,0),5),"")</f>
        <v/>
      </c>
      <c r="BA82" s="1" t="str">
        <f>IFERROR(ROUND(Backend!$AM82*VLOOKUP($F82,'OH,Profit &amp; Other Base'!$A:$V,Backend!BA$6,0),5),"")</f>
        <v/>
      </c>
      <c r="BB82" s="1" t="str">
        <f>IFERROR(ROUND(Backend!$AL82*VLOOKUP($F82,'OH,Profit &amp; Other Base'!$A:$V,Backend!BB$6,0),5),"")</f>
        <v/>
      </c>
      <c r="BC82" s="1" t="str">
        <f>IFERROR(ROUND(Backend!$AO82*VLOOKUP($F82,'OH,Profit &amp; Other Base'!$A:$V,Backend!BC$6,0),5),"")</f>
        <v/>
      </c>
      <c r="BD82" s="1" t="str">
        <f>IFERROR(ROUND(Backend!$AM82*VLOOKUP($F82,'OH,Profit &amp; Other Base'!$A:$V,Backend!BD$6,0),5),"")</f>
        <v/>
      </c>
      <c r="BE82" s="1" t="str">
        <f>IFERROR(ROUND(Backend!$AL82*VLOOKUP($F82,'OH,Profit &amp; Other Base'!$A:$V,Backend!BE$6,0),5),"")</f>
        <v/>
      </c>
      <c r="BF82" s="1" t="str">
        <f>IFERROR(ROUND(Backend!$AO82*VLOOKUP($F82,'OH,Profit &amp; Other Base'!$A:$V,Backend!BF$6,0),5),"")</f>
        <v/>
      </c>
      <c r="BG82" s="1" t="str">
        <f>IFERROR(ROUND(Backend!$AM82*VLOOKUP($F82,'OH,Profit &amp; Other Base'!$A:$V,Backend!BG$6,0),5),"")</f>
        <v/>
      </c>
      <c r="BH82" s="1" t="str">
        <f>IFERROR(ROUND(Backend!$AL82*VLOOKUP($F82,'OH,Profit &amp; Other Base'!$A:$V,Backend!BH$6,0),5),"")</f>
        <v/>
      </c>
      <c r="BI82" s="1" t="str">
        <f>IFERROR(ROUND(Backend!$AO82*VLOOKUP($F82,'OH,Profit &amp; Other Base'!$A:$V,Backend!BI$6,0),5),"")</f>
        <v/>
      </c>
      <c r="BJ82" s="1" t="str">
        <f>IFERROR(ROUND(Backend!$AM82*VLOOKUP($F82,'OH,Profit &amp; Other Base'!$A:$V,Backend!BJ$6,0),5),"")</f>
        <v/>
      </c>
      <c r="BK82" s="3">
        <f>SUM(AN82:BJ82,Backend!O82)</f>
        <v>0</v>
      </c>
    </row>
    <row r="83" spans="1:63">
      <c r="A83" s="1">
        <f>BOM!A78</f>
        <v>0</v>
      </c>
      <c r="B83" s="1">
        <f>BOM!B78</f>
        <v>0</v>
      </c>
      <c r="C83" s="1">
        <f>BOM!C78</f>
        <v>0</v>
      </c>
      <c r="D83" s="1">
        <f>BOM!D78</f>
        <v>0</v>
      </c>
      <c r="E83" s="1">
        <f>BOM!F78</f>
        <v>0</v>
      </c>
      <c r="F83" s="1" t="str">
        <f>IF(H83="CSC",BOM!H78,IF(J83="BOFOthers","Sheet Metal-B",""))</f>
        <v/>
      </c>
      <c r="G83" s="1">
        <f>BOM!I78</f>
        <v>0</v>
      </c>
      <c r="H83" s="1">
        <f>BOM!J78</f>
        <v>0</v>
      </c>
      <c r="I83" s="1" t="str">
        <f t="shared" si="7"/>
        <v>Others</v>
      </c>
      <c r="J83" s="1" t="str">
        <f t="shared" si="8"/>
        <v>0Others</v>
      </c>
      <c r="K83" s="3" t="str">
        <f>IF($J83="InhouseCSC",VLOOKUP($D83,Group!$C:$E,3,0),"")</f>
        <v/>
      </c>
      <c r="L83" s="3" t="str">
        <f>IF(OR($J83="BOSFCSC",$J83="BOFCSC"),VLOOKUP($D83,Group!$C:$E,3,0),"")</f>
        <v/>
      </c>
      <c r="M83" s="3" t="str">
        <f>IF(OR($J83="BOSFCSC",$J83="BOFCSC"),VLOOKUP($D83,Group!$C:$F,4,0),"")</f>
        <v/>
      </c>
      <c r="N83" s="3" t="str">
        <f>IF(OR($J83="InhouseCSC",$J83="BOSFCSC"),VLOOKUP($D83,Group!$C:$G,5,0),"")</f>
        <v/>
      </c>
      <c r="O83" s="3" t="str">
        <f>IF($J83="InhouseCSC",ROUND(VLOOKUP($D83,Group!$C:$H,6,0),5),"")</f>
        <v/>
      </c>
      <c r="P83" s="3" t="str">
        <f>IF(OR($J83="BOSFCSC",$J83="BOFCSC"),VLOOKUP($D83,Group!$C:$H,6,0),"")</f>
        <v/>
      </c>
      <c r="Q83" s="1" t="str">
        <f>IF($J83="Inhouseothers",VLOOKUP($D83,Group!$C:$E,3,0),"")</f>
        <v/>
      </c>
      <c r="R83" s="1" t="str">
        <f>IF($J83="BOSFOthers",VLOOKUP($D83,Group!$C:$E,3,0),"")</f>
        <v/>
      </c>
      <c r="S83" s="3" t="str">
        <f>IF($J83="BOFOthers",VLOOKUP($D83,Group!$C:$E,3,0),"")</f>
        <v/>
      </c>
      <c r="U83" s="1" t="str">
        <f>IFERROR(Backend!$L83*VLOOKUP($F83,'OH,Profit &amp; Other Base'!$A:$V,Backend!U$6,0),"")</f>
        <v/>
      </c>
      <c r="V83" s="1" t="str">
        <f>IFERROR(Backend!$M83*VLOOKUP($F83,'OH,Profit &amp; Other Base'!$A:$V,Backend!V$6,0),"")</f>
        <v/>
      </c>
      <c r="W83" s="1" t="str">
        <f>IFERROR(Backend!$L83*VLOOKUP($F83,'OH,Profit &amp; Other Base'!$A:$V,Backend!W$6,0),"")</f>
        <v/>
      </c>
      <c r="X83" s="1" t="str">
        <f>IFERROR(Backend!$M83*VLOOKUP($F83,'OH,Profit &amp; Other Base'!$A:$V,Backend!X$6,0),"")</f>
        <v/>
      </c>
      <c r="Y83" s="1" t="str">
        <f>IFERROR(Backend!$L83*VLOOKUP($F83,'OH,Profit &amp; Other Base'!$A:$V,Backend!Y$6,0),"")</f>
        <v/>
      </c>
      <c r="Z83" s="1" t="str">
        <f>IFERROR(Backend!$M83*VLOOKUP($F83,'OH,Profit &amp; Other Base'!$A:$V,Backend!Z$6,0),"")</f>
        <v/>
      </c>
      <c r="AA83" s="1" t="str">
        <f>IFERROR(Backend!$L83*VLOOKUP($F83,'OH,Profit &amp; Other Base'!$A:$V,Backend!AA$6,0),"")</f>
        <v/>
      </c>
      <c r="AB83" s="1" t="str">
        <f>IFERROR(Backend!$M83*VLOOKUP($F83,'OH,Profit &amp; Other Base'!$A:$V,Backend!AB$6,0),"")</f>
        <v/>
      </c>
      <c r="AC83" s="1" t="str">
        <f>IFERROR(Backend!$L83*VLOOKUP($F83,'OH,Profit &amp; Other Base'!$A:$V,Backend!AC$6,0),"")</f>
        <v/>
      </c>
      <c r="AD83" s="1" t="str">
        <f>IFERROR(Backend!$M83*VLOOKUP($F83,'OH,Profit &amp; Other Base'!$A:$V,Backend!AD$6,0),"")</f>
        <v/>
      </c>
      <c r="AE83" s="1" t="str">
        <f>IFERROR(Backend!$L83*VLOOKUP($F83,'OH,Profit &amp; Other Base'!$A:$V,Backend!AE$6,0),"")</f>
        <v/>
      </c>
      <c r="AF83" s="1" t="str">
        <f>IFERROR(Backend!$M83*VLOOKUP($F83,'OH,Profit &amp; Other Base'!$A:$V,Backend!AF$6,0),"")</f>
        <v/>
      </c>
      <c r="AG83" s="1" t="str">
        <f>IFERROR(Backend!$L83*VLOOKUP($F83,'OH,Profit &amp; Other Base'!$A:$V,Backend!AG$6,0),"")</f>
        <v/>
      </c>
      <c r="AH83" s="1" t="str">
        <f>IFERROR(Backend!$M83*VLOOKUP($F83,'OH,Profit &amp; Other Base'!$A:$V,Backend!AH$6,0),"")</f>
        <v/>
      </c>
      <c r="AI83" s="3">
        <f t="shared" si="9"/>
        <v>0</v>
      </c>
      <c r="AL83" s="1" t="str">
        <f t="shared" si="10"/>
        <v/>
      </c>
      <c r="AM83" s="1" t="str">
        <f t="shared" si="11"/>
        <v/>
      </c>
      <c r="AN83" s="1" t="str">
        <f t="shared" si="12"/>
        <v/>
      </c>
      <c r="AO83" s="1" t="str">
        <f t="shared" si="13"/>
        <v/>
      </c>
      <c r="AP83" s="1" t="str">
        <f>IFERROR(ROUND(Backend!$AL83*VLOOKUP($F83,'OH,Profit &amp; Other Base'!$A:$V,Backend!AP$6,0),5),"")</f>
        <v/>
      </c>
      <c r="AQ83" s="1" t="str">
        <f>IFERROR(ROUND(Backend!$AO83*VLOOKUP($F83,'OH,Profit &amp; Other Base'!$A:$V,Backend!AQ$6,0),5),"")</f>
        <v/>
      </c>
      <c r="AR83" s="1" t="str">
        <f>IFERROR(ROUND(Backend!$AM83*VLOOKUP($F83,'OH,Profit &amp; Other Base'!$A:$V,Backend!AR$6,0),5),"")</f>
        <v/>
      </c>
      <c r="AS83" s="1" t="str">
        <f>IFERROR(ROUND(Backend!$AL83*VLOOKUP($F83,'OH,Profit &amp; Other Base'!$A:$V,Backend!AS$6,0),5),"")</f>
        <v/>
      </c>
      <c r="AT83" s="1" t="str">
        <f>IFERROR(ROUND(Backend!$AO83*VLOOKUP($F83,'OH,Profit &amp; Other Base'!$A:$V,Backend!AT$6,0),5),"")</f>
        <v/>
      </c>
      <c r="AU83" s="1" t="str">
        <f>IFERROR(ROUND(Backend!$AM83*VLOOKUP($F83,'OH,Profit &amp; Other Base'!$A:$V,Backend!AU$6,0),5),"")</f>
        <v/>
      </c>
      <c r="AV83" s="1" t="str">
        <f>IFERROR(ROUND(Backend!$AL83*VLOOKUP($F83,'OH,Profit &amp; Other Base'!$A:$V,Backend!AV$6,0),5),"")</f>
        <v/>
      </c>
      <c r="AW83" s="1" t="str">
        <f>IFERROR(ROUND(Backend!$AO83*VLOOKUP($F83,'OH,Profit &amp; Other Base'!$A:$V,Backend!AW$6,0),5),"")</f>
        <v/>
      </c>
      <c r="AX83" s="1" t="str">
        <f>IFERROR(ROUND(Backend!$AM83*VLOOKUP($F83,'OH,Profit &amp; Other Base'!$A:$V,Backend!AX$6,0),5),"")</f>
        <v/>
      </c>
      <c r="AY83" s="1" t="str">
        <f>IFERROR(ROUND(Backend!$AL83*VLOOKUP($F83,'OH,Profit &amp; Other Base'!$A:$V,Backend!AY$6,0),5),"")</f>
        <v/>
      </c>
      <c r="AZ83" s="1" t="str">
        <f>IFERROR(ROUND(Backend!$AO83*VLOOKUP($F83,'OH,Profit &amp; Other Base'!$A:$V,Backend!AZ$6,0),5),"")</f>
        <v/>
      </c>
      <c r="BA83" s="1" t="str">
        <f>IFERROR(ROUND(Backend!$AM83*VLOOKUP($F83,'OH,Profit &amp; Other Base'!$A:$V,Backend!BA$6,0),5),"")</f>
        <v/>
      </c>
      <c r="BB83" s="1" t="str">
        <f>IFERROR(ROUND(Backend!$AL83*VLOOKUP($F83,'OH,Profit &amp; Other Base'!$A:$V,Backend!BB$6,0),5),"")</f>
        <v/>
      </c>
      <c r="BC83" s="1" t="str">
        <f>IFERROR(ROUND(Backend!$AO83*VLOOKUP($F83,'OH,Profit &amp; Other Base'!$A:$V,Backend!BC$6,0),5),"")</f>
        <v/>
      </c>
      <c r="BD83" s="1" t="str">
        <f>IFERROR(ROUND(Backend!$AM83*VLOOKUP($F83,'OH,Profit &amp; Other Base'!$A:$V,Backend!BD$6,0),5),"")</f>
        <v/>
      </c>
      <c r="BE83" s="1" t="str">
        <f>IFERROR(ROUND(Backend!$AL83*VLOOKUP($F83,'OH,Profit &amp; Other Base'!$A:$V,Backend!BE$6,0),5),"")</f>
        <v/>
      </c>
      <c r="BF83" s="1" t="str">
        <f>IFERROR(ROUND(Backend!$AO83*VLOOKUP($F83,'OH,Profit &amp; Other Base'!$A:$V,Backend!BF$6,0),5),"")</f>
        <v/>
      </c>
      <c r="BG83" s="1" t="str">
        <f>IFERROR(ROUND(Backend!$AM83*VLOOKUP($F83,'OH,Profit &amp; Other Base'!$A:$V,Backend!BG$6,0),5),"")</f>
        <v/>
      </c>
      <c r="BH83" s="1" t="str">
        <f>IFERROR(ROUND(Backend!$AL83*VLOOKUP($F83,'OH,Profit &amp; Other Base'!$A:$V,Backend!BH$6,0),5),"")</f>
        <v/>
      </c>
      <c r="BI83" s="1" t="str">
        <f>IFERROR(ROUND(Backend!$AO83*VLOOKUP($F83,'OH,Profit &amp; Other Base'!$A:$V,Backend!BI$6,0),5),"")</f>
        <v/>
      </c>
      <c r="BJ83" s="1" t="str">
        <f>IFERROR(ROUND(Backend!$AM83*VLOOKUP($F83,'OH,Profit &amp; Other Base'!$A:$V,Backend!BJ$6,0),5),"")</f>
        <v/>
      </c>
      <c r="BK83" s="3">
        <f>SUM(AN83:BJ83,Backend!O83)</f>
        <v>0</v>
      </c>
    </row>
    <row r="84" spans="1:63">
      <c r="A84" s="1">
        <f>BOM!A79</f>
        <v>0</v>
      </c>
      <c r="B84" s="1">
        <f>BOM!B79</f>
        <v>0</v>
      </c>
      <c r="C84" s="1">
        <f>BOM!C79</f>
        <v>0</v>
      </c>
      <c r="D84" s="1">
        <f>BOM!D79</f>
        <v>0</v>
      </c>
      <c r="E84" s="1">
        <f>BOM!F79</f>
        <v>0</v>
      </c>
      <c r="F84" s="1" t="str">
        <f>IF(H84="CSC",BOM!H79,IF(J84="BOFOthers","Sheet Metal-B",""))</f>
        <v/>
      </c>
      <c r="G84" s="1">
        <f>BOM!I79</f>
        <v>0</v>
      </c>
      <c r="H84" s="1">
        <f>BOM!J79</f>
        <v>0</v>
      </c>
      <c r="I84" s="1" t="str">
        <f t="shared" si="7"/>
        <v>Others</v>
      </c>
      <c r="J84" s="1" t="str">
        <f t="shared" si="8"/>
        <v>0Others</v>
      </c>
      <c r="K84" s="3" t="str">
        <f>IF($J84="InhouseCSC",VLOOKUP($D84,Group!$C:$E,3,0),"")</f>
        <v/>
      </c>
      <c r="L84" s="3" t="str">
        <f>IF(OR($J84="BOSFCSC",$J84="BOFCSC"),VLOOKUP($D84,Group!$C:$E,3,0),"")</f>
        <v/>
      </c>
      <c r="M84" s="3" t="str">
        <f>IF(OR($J84="BOSFCSC",$J84="BOFCSC"),VLOOKUP($D84,Group!$C:$F,4,0),"")</f>
        <v/>
      </c>
      <c r="N84" s="3" t="str">
        <f>IF(OR($J84="InhouseCSC",$J84="BOSFCSC"),VLOOKUP($D84,Group!$C:$G,5,0),"")</f>
        <v/>
      </c>
      <c r="O84" s="3" t="str">
        <f>IF($J84="InhouseCSC",ROUND(VLOOKUP($D84,Group!$C:$H,6,0),5),"")</f>
        <v/>
      </c>
      <c r="P84" s="3" t="str">
        <f>IF(OR($J84="BOSFCSC",$J84="BOFCSC"),VLOOKUP($D84,Group!$C:$H,6,0),"")</f>
        <v/>
      </c>
      <c r="Q84" s="1" t="str">
        <f>IF($J84="Inhouseothers",VLOOKUP($D84,Group!$C:$E,3,0),"")</f>
        <v/>
      </c>
      <c r="R84" s="1" t="str">
        <f>IF($J84="BOSFOthers",VLOOKUP($D84,Group!$C:$E,3,0),"")</f>
        <v/>
      </c>
      <c r="S84" s="3" t="str">
        <f>IF($J84="BOFOthers",VLOOKUP($D84,Group!$C:$E,3,0),"")</f>
        <v/>
      </c>
      <c r="U84" s="1" t="str">
        <f>IFERROR(Backend!$L84*VLOOKUP($F84,'OH,Profit &amp; Other Base'!$A:$V,Backend!U$6,0),"")</f>
        <v/>
      </c>
      <c r="V84" s="1" t="str">
        <f>IFERROR(Backend!$M84*VLOOKUP($F84,'OH,Profit &amp; Other Base'!$A:$V,Backend!V$6,0),"")</f>
        <v/>
      </c>
      <c r="W84" s="1" t="str">
        <f>IFERROR(Backend!$L84*VLOOKUP($F84,'OH,Profit &amp; Other Base'!$A:$V,Backend!W$6,0),"")</f>
        <v/>
      </c>
      <c r="X84" s="1" t="str">
        <f>IFERROR(Backend!$M84*VLOOKUP($F84,'OH,Profit &amp; Other Base'!$A:$V,Backend!X$6,0),"")</f>
        <v/>
      </c>
      <c r="Y84" s="1" t="str">
        <f>IFERROR(Backend!$L84*VLOOKUP($F84,'OH,Profit &amp; Other Base'!$A:$V,Backend!Y$6,0),"")</f>
        <v/>
      </c>
      <c r="Z84" s="1" t="str">
        <f>IFERROR(Backend!$M84*VLOOKUP($F84,'OH,Profit &amp; Other Base'!$A:$V,Backend!Z$6,0),"")</f>
        <v/>
      </c>
      <c r="AA84" s="1" t="str">
        <f>IFERROR(Backend!$L84*VLOOKUP($F84,'OH,Profit &amp; Other Base'!$A:$V,Backend!AA$6,0),"")</f>
        <v/>
      </c>
      <c r="AB84" s="1" t="str">
        <f>IFERROR(Backend!$M84*VLOOKUP($F84,'OH,Profit &amp; Other Base'!$A:$V,Backend!AB$6,0),"")</f>
        <v/>
      </c>
      <c r="AC84" s="1" t="str">
        <f>IFERROR(Backend!$L84*VLOOKUP($F84,'OH,Profit &amp; Other Base'!$A:$V,Backend!AC$6,0),"")</f>
        <v/>
      </c>
      <c r="AD84" s="1" t="str">
        <f>IFERROR(Backend!$M84*VLOOKUP($F84,'OH,Profit &amp; Other Base'!$A:$V,Backend!AD$6,0),"")</f>
        <v/>
      </c>
      <c r="AE84" s="1" t="str">
        <f>IFERROR(Backend!$L84*VLOOKUP($F84,'OH,Profit &amp; Other Base'!$A:$V,Backend!AE$6,0),"")</f>
        <v/>
      </c>
      <c r="AF84" s="1" t="str">
        <f>IFERROR(Backend!$M84*VLOOKUP($F84,'OH,Profit &amp; Other Base'!$A:$V,Backend!AF$6,0),"")</f>
        <v/>
      </c>
      <c r="AG84" s="1" t="str">
        <f>IFERROR(Backend!$L84*VLOOKUP($F84,'OH,Profit &amp; Other Base'!$A:$V,Backend!AG$6,0),"")</f>
        <v/>
      </c>
      <c r="AH84" s="1" t="str">
        <f>IFERROR(Backend!$M84*VLOOKUP($F84,'OH,Profit &amp; Other Base'!$A:$V,Backend!AH$6,0),"")</f>
        <v/>
      </c>
      <c r="AI84" s="3">
        <f t="shared" si="9"/>
        <v>0</v>
      </c>
      <c r="AL84" s="1" t="str">
        <f t="shared" si="10"/>
        <v/>
      </c>
      <c r="AM84" s="1" t="str">
        <f t="shared" si="11"/>
        <v/>
      </c>
      <c r="AN84" s="1" t="str">
        <f t="shared" si="12"/>
        <v/>
      </c>
      <c r="AO84" s="1" t="str">
        <f t="shared" si="13"/>
        <v/>
      </c>
      <c r="AP84" s="1" t="str">
        <f>IFERROR(ROUND(Backend!$AL84*VLOOKUP($F84,'OH,Profit &amp; Other Base'!$A:$V,Backend!AP$6,0),5),"")</f>
        <v/>
      </c>
      <c r="AQ84" s="1" t="str">
        <f>IFERROR(ROUND(Backend!$AO84*VLOOKUP($F84,'OH,Profit &amp; Other Base'!$A:$V,Backend!AQ$6,0),5),"")</f>
        <v/>
      </c>
      <c r="AR84" s="1" t="str">
        <f>IFERROR(ROUND(Backend!$AM84*VLOOKUP($F84,'OH,Profit &amp; Other Base'!$A:$V,Backend!AR$6,0),5),"")</f>
        <v/>
      </c>
      <c r="AS84" s="1" t="str">
        <f>IFERROR(ROUND(Backend!$AL84*VLOOKUP($F84,'OH,Profit &amp; Other Base'!$A:$V,Backend!AS$6,0),5),"")</f>
        <v/>
      </c>
      <c r="AT84" s="1" t="str">
        <f>IFERROR(ROUND(Backend!$AO84*VLOOKUP($F84,'OH,Profit &amp; Other Base'!$A:$V,Backend!AT$6,0),5),"")</f>
        <v/>
      </c>
      <c r="AU84" s="1" t="str">
        <f>IFERROR(ROUND(Backend!$AM84*VLOOKUP($F84,'OH,Profit &amp; Other Base'!$A:$V,Backend!AU$6,0),5),"")</f>
        <v/>
      </c>
      <c r="AV84" s="1" t="str">
        <f>IFERROR(ROUND(Backend!$AL84*VLOOKUP($F84,'OH,Profit &amp; Other Base'!$A:$V,Backend!AV$6,0),5),"")</f>
        <v/>
      </c>
      <c r="AW84" s="1" t="str">
        <f>IFERROR(ROUND(Backend!$AO84*VLOOKUP($F84,'OH,Profit &amp; Other Base'!$A:$V,Backend!AW$6,0),5),"")</f>
        <v/>
      </c>
      <c r="AX84" s="1" t="str">
        <f>IFERROR(ROUND(Backend!$AM84*VLOOKUP($F84,'OH,Profit &amp; Other Base'!$A:$V,Backend!AX$6,0),5),"")</f>
        <v/>
      </c>
      <c r="AY84" s="1" t="str">
        <f>IFERROR(ROUND(Backend!$AL84*VLOOKUP($F84,'OH,Profit &amp; Other Base'!$A:$V,Backend!AY$6,0),5),"")</f>
        <v/>
      </c>
      <c r="AZ84" s="1" t="str">
        <f>IFERROR(ROUND(Backend!$AO84*VLOOKUP($F84,'OH,Profit &amp; Other Base'!$A:$V,Backend!AZ$6,0),5),"")</f>
        <v/>
      </c>
      <c r="BA84" s="1" t="str">
        <f>IFERROR(ROUND(Backend!$AM84*VLOOKUP($F84,'OH,Profit &amp; Other Base'!$A:$V,Backend!BA$6,0),5),"")</f>
        <v/>
      </c>
      <c r="BB84" s="1" t="str">
        <f>IFERROR(ROUND(Backend!$AL84*VLOOKUP($F84,'OH,Profit &amp; Other Base'!$A:$V,Backend!BB$6,0),5),"")</f>
        <v/>
      </c>
      <c r="BC84" s="1" t="str">
        <f>IFERROR(ROUND(Backend!$AO84*VLOOKUP($F84,'OH,Profit &amp; Other Base'!$A:$V,Backend!BC$6,0),5),"")</f>
        <v/>
      </c>
      <c r="BD84" s="1" t="str">
        <f>IFERROR(ROUND(Backend!$AM84*VLOOKUP($F84,'OH,Profit &amp; Other Base'!$A:$V,Backend!BD$6,0),5),"")</f>
        <v/>
      </c>
      <c r="BE84" s="1" t="str">
        <f>IFERROR(ROUND(Backend!$AL84*VLOOKUP($F84,'OH,Profit &amp; Other Base'!$A:$V,Backend!BE$6,0),5),"")</f>
        <v/>
      </c>
      <c r="BF84" s="1" t="str">
        <f>IFERROR(ROUND(Backend!$AO84*VLOOKUP($F84,'OH,Profit &amp; Other Base'!$A:$V,Backend!BF$6,0),5),"")</f>
        <v/>
      </c>
      <c r="BG84" s="1" t="str">
        <f>IFERROR(ROUND(Backend!$AM84*VLOOKUP($F84,'OH,Profit &amp; Other Base'!$A:$V,Backend!BG$6,0),5),"")</f>
        <v/>
      </c>
      <c r="BH84" s="1" t="str">
        <f>IFERROR(ROUND(Backend!$AL84*VLOOKUP($F84,'OH,Profit &amp; Other Base'!$A:$V,Backend!BH$6,0),5),"")</f>
        <v/>
      </c>
      <c r="BI84" s="1" t="str">
        <f>IFERROR(ROUND(Backend!$AO84*VLOOKUP($F84,'OH,Profit &amp; Other Base'!$A:$V,Backend!BI$6,0),5),"")</f>
        <v/>
      </c>
      <c r="BJ84" s="1" t="str">
        <f>IFERROR(ROUND(Backend!$AM84*VLOOKUP($F84,'OH,Profit &amp; Other Base'!$A:$V,Backend!BJ$6,0),5),"")</f>
        <v/>
      </c>
      <c r="BK84" s="3">
        <f>SUM(AN84:BJ84,Backend!O84)</f>
        <v>0</v>
      </c>
    </row>
    <row r="85" spans="1:63">
      <c r="A85" s="1">
        <f>BOM!A80</f>
        <v>0</v>
      </c>
      <c r="B85" s="1">
        <f>BOM!B80</f>
        <v>0</v>
      </c>
      <c r="C85" s="1">
        <f>BOM!C80</f>
        <v>0</v>
      </c>
      <c r="D85" s="1">
        <f>BOM!D80</f>
        <v>0</v>
      </c>
      <c r="E85" s="1">
        <f>BOM!F80</f>
        <v>0</v>
      </c>
      <c r="F85" s="1" t="str">
        <f>IF(H85="CSC",BOM!H80,IF(J85="BOFOthers","Sheet Metal-B",""))</f>
        <v/>
      </c>
      <c r="G85" s="1">
        <f>BOM!I80</f>
        <v>0</v>
      </c>
      <c r="H85" s="1">
        <f>BOM!J80</f>
        <v>0</v>
      </c>
      <c r="I85" s="1" t="str">
        <f t="shared" si="7"/>
        <v>Others</v>
      </c>
      <c r="J85" s="1" t="str">
        <f t="shared" si="8"/>
        <v>0Others</v>
      </c>
      <c r="K85" s="3" t="str">
        <f>IF($J85="InhouseCSC",VLOOKUP($D85,Group!$C:$E,3,0),"")</f>
        <v/>
      </c>
      <c r="L85" s="3" t="str">
        <f>IF(OR($J85="BOSFCSC",$J85="BOFCSC"),VLOOKUP($D85,Group!$C:$E,3,0),"")</f>
        <v/>
      </c>
      <c r="M85" s="3" t="str">
        <f>IF(OR($J85="BOSFCSC",$J85="BOFCSC"),VLOOKUP($D85,Group!$C:$F,4,0),"")</f>
        <v/>
      </c>
      <c r="N85" s="3" t="str">
        <f>IF(OR($J85="InhouseCSC",$J85="BOSFCSC"),VLOOKUP($D85,Group!$C:$G,5,0),"")</f>
        <v/>
      </c>
      <c r="O85" s="3" t="str">
        <f>IF($J85="InhouseCSC",ROUND(VLOOKUP($D85,Group!$C:$H,6,0),5),"")</f>
        <v/>
      </c>
      <c r="P85" s="3" t="str">
        <f>IF(OR($J85="BOSFCSC",$J85="BOFCSC"),VLOOKUP($D85,Group!$C:$H,6,0),"")</f>
        <v/>
      </c>
      <c r="Q85" s="1" t="str">
        <f>IF($J85="Inhouseothers",VLOOKUP($D85,Group!$C:$E,3,0),"")</f>
        <v/>
      </c>
      <c r="R85" s="1" t="str">
        <f>IF($J85="BOSFOthers",VLOOKUP($D85,Group!$C:$E,3,0),"")</f>
        <v/>
      </c>
      <c r="S85" s="3" t="str">
        <f>IF($J85="BOFOthers",VLOOKUP($D85,Group!$C:$E,3,0),"")</f>
        <v/>
      </c>
      <c r="U85" s="1" t="str">
        <f>IFERROR(Backend!$L85*VLOOKUP($F85,'OH,Profit &amp; Other Base'!$A:$V,Backend!U$6,0),"")</f>
        <v/>
      </c>
      <c r="V85" s="1" t="str">
        <f>IFERROR(Backend!$M85*VLOOKUP($F85,'OH,Profit &amp; Other Base'!$A:$V,Backend!V$6,0),"")</f>
        <v/>
      </c>
      <c r="W85" s="1" t="str">
        <f>IFERROR(Backend!$L85*VLOOKUP($F85,'OH,Profit &amp; Other Base'!$A:$V,Backend!W$6,0),"")</f>
        <v/>
      </c>
      <c r="X85" s="1" t="str">
        <f>IFERROR(Backend!$M85*VLOOKUP($F85,'OH,Profit &amp; Other Base'!$A:$V,Backend!X$6,0),"")</f>
        <v/>
      </c>
      <c r="Y85" s="1" t="str">
        <f>IFERROR(Backend!$L85*VLOOKUP($F85,'OH,Profit &amp; Other Base'!$A:$V,Backend!Y$6,0),"")</f>
        <v/>
      </c>
      <c r="Z85" s="1" t="str">
        <f>IFERROR(Backend!$M85*VLOOKUP($F85,'OH,Profit &amp; Other Base'!$A:$V,Backend!Z$6,0),"")</f>
        <v/>
      </c>
      <c r="AA85" s="1" t="str">
        <f>IFERROR(Backend!$L85*VLOOKUP($F85,'OH,Profit &amp; Other Base'!$A:$V,Backend!AA$6,0),"")</f>
        <v/>
      </c>
      <c r="AB85" s="1" t="str">
        <f>IFERROR(Backend!$M85*VLOOKUP($F85,'OH,Profit &amp; Other Base'!$A:$V,Backend!AB$6,0),"")</f>
        <v/>
      </c>
      <c r="AC85" s="1" t="str">
        <f>IFERROR(Backend!$L85*VLOOKUP($F85,'OH,Profit &amp; Other Base'!$A:$V,Backend!AC$6,0),"")</f>
        <v/>
      </c>
      <c r="AD85" s="1" t="str">
        <f>IFERROR(Backend!$M85*VLOOKUP($F85,'OH,Profit &amp; Other Base'!$A:$V,Backend!AD$6,0),"")</f>
        <v/>
      </c>
      <c r="AE85" s="1" t="str">
        <f>IFERROR(Backend!$L85*VLOOKUP($F85,'OH,Profit &amp; Other Base'!$A:$V,Backend!AE$6,0),"")</f>
        <v/>
      </c>
      <c r="AF85" s="1" t="str">
        <f>IFERROR(Backend!$M85*VLOOKUP($F85,'OH,Profit &amp; Other Base'!$A:$V,Backend!AF$6,0),"")</f>
        <v/>
      </c>
      <c r="AG85" s="1" t="str">
        <f>IFERROR(Backend!$L85*VLOOKUP($F85,'OH,Profit &amp; Other Base'!$A:$V,Backend!AG$6,0),"")</f>
        <v/>
      </c>
      <c r="AH85" s="1" t="str">
        <f>IFERROR(Backend!$M85*VLOOKUP($F85,'OH,Profit &amp; Other Base'!$A:$V,Backend!AH$6,0),"")</f>
        <v/>
      </c>
      <c r="AI85" s="3">
        <f t="shared" si="9"/>
        <v>0</v>
      </c>
      <c r="AL85" s="1" t="str">
        <f t="shared" si="10"/>
        <v/>
      </c>
      <c r="AM85" s="1" t="str">
        <f t="shared" si="11"/>
        <v/>
      </c>
      <c r="AN85" s="1" t="str">
        <f t="shared" si="12"/>
        <v/>
      </c>
      <c r="AO85" s="1" t="str">
        <f t="shared" si="13"/>
        <v/>
      </c>
      <c r="AP85" s="1" t="str">
        <f>IFERROR(ROUND(Backend!$AL85*VLOOKUP($F85,'OH,Profit &amp; Other Base'!$A:$V,Backend!AP$6,0),5),"")</f>
        <v/>
      </c>
      <c r="AQ85" s="1" t="str">
        <f>IFERROR(ROUND(Backend!$AO85*VLOOKUP($F85,'OH,Profit &amp; Other Base'!$A:$V,Backend!AQ$6,0),5),"")</f>
        <v/>
      </c>
      <c r="AR85" s="1" t="str">
        <f>IFERROR(ROUND(Backend!$AM85*VLOOKUP($F85,'OH,Profit &amp; Other Base'!$A:$V,Backend!AR$6,0),5),"")</f>
        <v/>
      </c>
      <c r="AS85" s="1" t="str">
        <f>IFERROR(ROUND(Backend!$AL85*VLOOKUP($F85,'OH,Profit &amp; Other Base'!$A:$V,Backend!AS$6,0),5),"")</f>
        <v/>
      </c>
      <c r="AT85" s="1" t="str">
        <f>IFERROR(ROUND(Backend!$AO85*VLOOKUP($F85,'OH,Profit &amp; Other Base'!$A:$V,Backend!AT$6,0),5),"")</f>
        <v/>
      </c>
      <c r="AU85" s="1" t="str">
        <f>IFERROR(ROUND(Backend!$AM85*VLOOKUP($F85,'OH,Profit &amp; Other Base'!$A:$V,Backend!AU$6,0),5),"")</f>
        <v/>
      </c>
      <c r="AV85" s="1" t="str">
        <f>IFERROR(ROUND(Backend!$AL85*VLOOKUP($F85,'OH,Profit &amp; Other Base'!$A:$V,Backend!AV$6,0),5),"")</f>
        <v/>
      </c>
      <c r="AW85" s="1" t="str">
        <f>IFERROR(ROUND(Backend!$AO85*VLOOKUP($F85,'OH,Profit &amp; Other Base'!$A:$V,Backend!AW$6,0),5),"")</f>
        <v/>
      </c>
      <c r="AX85" s="1" t="str">
        <f>IFERROR(ROUND(Backend!$AM85*VLOOKUP($F85,'OH,Profit &amp; Other Base'!$A:$V,Backend!AX$6,0),5),"")</f>
        <v/>
      </c>
      <c r="AY85" s="1" t="str">
        <f>IFERROR(ROUND(Backend!$AL85*VLOOKUP($F85,'OH,Profit &amp; Other Base'!$A:$V,Backend!AY$6,0),5),"")</f>
        <v/>
      </c>
      <c r="AZ85" s="1" t="str">
        <f>IFERROR(ROUND(Backend!$AO85*VLOOKUP($F85,'OH,Profit &amp; Other Base'!$A:$V,Backend!AZ$6,0),5),"")</f>
        <v/>
      </c>
      <c r="BA85" s="1" t="str">
        <f>IFERROR(ROUND(Backend!$AM85*VLOOKUP($F85,'OH,Profit &amp; Other Base'!$A:$V,Backend!BA$6,0),5),"")</f>
        <v/>
      </c>
      <c r="BB85" s="1" t="str">
        <f>IFERROR(ROUND(Backend!$AL85*VLOOKUP($F85,'OH,Profit &amp; Other Base'!$A:$V,Backend!BB$6,0),5),"")</f>
        <v/>
      </c>
      <c r="BC85" s="1" t="str">
        <f>IFERROR(ROUND(Backend!$AO85*VLOOKUP($F85,'OH,Profit &amp; Other Base'!$A:$V,Backend!BC$6,0),5),"")</f>
        <v/>
      </c>
      <c r="BD85" s="1" t="str">
        <f>IFERROR(ROUND(Backend!$AM85*VLOOKUP($F85,'OH,Profit &amp; Other Base'!$A:$V,Backend!BD$6,0),5),"")</f>
        <v/>
      </c>
      <c r="BE85" s="1" t="str">
        <f>IFERROR(ROUND(Backend!$AL85*VLOOKUP($F85,'OH,Profit &amp; Other Base'!$A:$V,Backend!BE$6,0),5),"")</f>
        <v/>
      </c>
      <c r="BF85" s="1" t="str">
        <f>IFERROR(ROUND(Backend!$AO85*VLOOKUP($F85,'OH,Profit &amp; Other Base'!$A:$V,Backend!BF$6,0),5),"")</f>
        <v/>
      </c>
      <c r="BG85" s="1" t="str">
        <f>IFERROR(ROUND(Backend!$AM85*VLOOKUP($F85,'OH,Profit &amp; Other Base'!$A:$V,Backend!BG$6,0),5),"")</f>
        <v/>
      </c>
      <c r="BH85" s="1" t="str">
        <f>IFERROR(ROUND(Backend!$AL85*VLOOKUP($F85,'OH,Profit &amp; Other Base'!$A:$V,Backend!BH$6,0),5),"")</f>
        <v/>
      </c>
      <c r="BI85" s="1" t="str">
        <f>IFERROR(ROUND(Backend!$AO85*VLOOKUP($F85,'OH,Profit &amp; Other Base'!$A:$V,Backend!BI$6,0),5),"")</f>
        <v/>
      </c>
      <c r="BJ85" s="1" t="str">
        <f>IFERROR(ROUND(Backend!$AM85*VLOOKUP($F85,'OH,Profit &amp; Other Base'!$A:$V,Backend!BJ$6,0),5),"")</f>
        <v/>
      </c>
      <c r="BK85" s="3">
        <f>SUM(AN85:BJ85,Backend!O85)</f>
        <v>0</v>
      </c>
    </row>
    <row r="86" spans="1:63">
      <c r="A86" s="1">
        <f>BOM!A81</f>
        <v>0</v>
      </c>
      <c r="B86" s="1">
        <f>BOM!B81</f>
        <v>0</v>
      </c>
      <c r="C86" s="1">
        <f>BOM!C81</f>
        <v>0</v>
      </c>
      <c r="D86" s="1">
        <f>BOM!D81</f>
        <v>0</v>
      </c>
      <c r="E86" s="1">
        <f>BOM!F81</f>
        <v>0</v>
      </c>
      <c r="F86" s="1" t="str">
        <f>IF(H86="CSC",BOM!H81,IF(J86="BOFOthers","Sheet Metal-B",""))</f>
        <v/>
      </c>
      <c r="G86" s="1">
        <f>BOM!I81</f>
        <v>0</v>
      </c>
      <c r="H86" s="1">
        <f>BOM!J81</f>
        <v>0</v>
      </c>
      <c r="I86" s="1" t="str">
        <f t="shared" si="7"/>
        <v>Others</v>
      </c>
      <c r="J86" s="1" t="str">
        <f t="shared" si="8"/>
        <v>0Others</v>
      </c>
      <c r="K86" s="3" t="str">
        <f>IF($J86="InhouseCSC",VLOOKUP($D86,Group!$C:$E,3,0),"")</f>
        <v/>
      </c>
      <c r="L86" s="3" t="str">
        <f>IF(OR($J86="BOSFCSC",$J86="BOFCSC"),VLOOKUP($D86,Group!$C:$E,3,0),"")</f>
        <v/>
      </c>
      <c r="M86" s="3" t="str">
        <f>IF(OR($J86="BOSFCSC",$J86="BOFCSC"),VLOOKUP($D86,Group!$C:$F,4,0),"")</f>
        <v/>
      </c>
      <c r="N86" s="3" t="str">
        <f>IF(OR($J86="InhouseCSC",$J86="BOSFCSC"),VLOOKUP($D86,Group!$C:$G,5,0),"")</f>
        <v/>
      </c>
      <c r="O86" s="3" t="str">
        <f>IF($J86="InhouseCSC",ROUND(VLOOKUP($D86,Group!$C:$H,6,0),5),"")</f>
        <v/>
      </c>
      <c r="P86" s="3" t="str">
        <f>IF(OR($J86="BOSFCSC",$J86="BOFCSC"),VLOOKUP($D86,Group!$C:$H,6,0),"")</f>
        <v/>
      </c>
      <c r="Q86" s="1" t="str">
        <f>IF($J86="Inhouseothers",VLOOKUP($D86,Group!$C:$E,3,0),"")</f>
        <v/>
      </c>
      <c r="R86" s="1" t="str">
        <f>IF($J86="BOSFOthers",VLOOKUP($D86,Group!$C:$E,3,0),"")</f>
        <v/>
      </c>
      <c r="S86" s="3" t="str">
        <f>IF($J86="BOFOthers",VLOOKUP($D86,Group!$C:$E,3,0),"")</f>
        <v/>
      </c>
      <c r="U86" s="1" t="str">
        <f>IFERROR(Backend!$L86*VLOOKUP($F86,'OH,Profit &amp; Other Base'!$A:$V,Backend!U$6,0),"")</f>
        <v/>
      </c>
      <c r="V86" s="1" t="str">
        <f>IFERROR(Backend!$M86*VLOOKUP($F86,'OH,Profit &amp; Other Base'!$A:$V,Backend!V$6,0),"")</f>
        <v/>
      </c>
      <c r="W86" s="1" t="str">
        <f>IFERROR(Backend!$L86*VLOOKUP($F86,'OH,Profit &amp; Other Base'!$A:$V,Backend!W$6,0),"")</f>
        <v/>
      </c>
      <c r="X86" s="1" t="str">
        <f>IFERROR(Backend!$M86*VLOOKUP($F86,'OH,Profit &amp; Other Base'!$A:$V,Backend!X$6,0),"")</f>
        <v/>
      </c>
      <c r="Y86" s="1" t="str">
        <f>IFERROR(Backend!$L86*VLOOKUP($F86,'OH,Profit &amp; Other Base'!$A:$V,Backend!Y$6,0),"")</f>
        <v/>
      </c>
      <c r="Z86" s="1" t="str">
        <f>IFERROR(Backend!$M86*VLOOKUP($F86,'OH,Profit &amp; Other Base'!$A:$V,Backend!Z$6,0),"")</f>
        <v/>
      </c>
      <c r="AA86" s="1" t="str">
        <f>IFERROR(Backend!$L86*VLOOKUP($F86,'OH,Profit &amp; Other Base'!$A:$V,Backend!AA$6,0),"")</f>
        <v/>
      </c>
      <c r="AB86" s="1" t="str">
        <f>IFERROR(Backend!$M86*VLOOKUP($F86,'OH,Profit &amp; Other Base'!$A:$V,Backend!AB$6,0),"")</f>
        <v/>
      </c>
      <c r="AC86" s="1" t="str">
        <f>IFERROR(Backend!$L86*VLOOKUP($F86,'OH,Profit &amp; Other Base'!$A:$V,Backend!AC$6,0),"")</f>
        <v/>
      </c>
      <c r="AD86" s="1" t="str">
        <f>IFERROR(Backend!$M86*VLOOKUP($F86,'OH,Profit &amp; Other Base'!$A:$V,Backend!AD$6,0),"")</f>
        <v/>
      </c>
      <c r="AE86" s="1" t="str">
        <f>IFERROR(Backend!$L86*VLOOKUP($F86,'OH,Profit &amp; Other Base'!$A:$V,Backend!AE$6,0),"")</f>
        <v/>
      </c>
      <c r="AF86" s="1" t="str">
        <f>IFERROR(Backend!$M86*VLOOKUP($F86,'OH,Profit &amp; Other Base'!$A:$V,Backend!AF$6,0),"")</f>
        <v/>
      </c>
      <c r="AG86" s="1" t="str">
        <f>IFERROR(Backend!$L86*VLOOKUP($F86,'OH,Profit &amp; Other Base'!$A:$V,Backend!AG$6,0),"")</f>
        <v/>
      </c>
      <c r="AH86" s="1" t="str">
        <f>IFERROR(Backend!$M86*VLOOKUP($F86,'OH,Profit &amp; Other Base'!$A:$V,Backend!AH$6,0),"")</f>
        <v/>
      </c>
      <c r="AI86" s="3">
        <f t="shared" si="9"/>
        <v>0</v>
      </c>
      <c r="AL86" s="1" t="str">
        <f t="shared" si="10"/>
        <v/>
      </c>
      <c r="AM86" s="1" t="str">
        <f t="shared" si="11"/>
        <v/>
      </c>
      <c r="AN86" s="1" t="str">
        <f t="shared" si="12"/>
        <v/>
      </c>
      <c r="AO86" s="1" t="str">
        <f t="shared" si="13"/>
        <v/>
      </c>
      <c r="AP86" s="1" t="str">
        <f>IFERROR(ROUND(Backend!$AL86*VLOOKUP($F86,'OH,Profit &amp; Other Base'!$A:$V,Backend!AP$6,0),5),"")</f>
        <v/>
      </c>
      <c r="AQ86" s="1" t="str">
        <f>IFERROR(ROUND(Backend!$AO86*VLOOKUP($F86,'OH,Profit &amp; Other Base'!$A:$V,Backend!AQ$6,0),5),"")</f>
        <v/>
      </c>
      <c r="AR86" s="1" t="str">
        <f>IFERROR(ROUND(Backend!$AM86*VLOOKUP($F86,'OH,Profit &amp; Other Base'!$A:$V,Backend!AR$6,0),5),"")</f>
        <v/>
      </c>
      <c r="AS86" s="1" t="str">
        <f>IFERROR(ROUND(Backend!$AL86*VLOOKUP($F86,'OH,Profit &amp; Other Base'!$A:$V,Backend!AS$6,0),5),"")</f>
        <v/>
      </c>
      <c r="AT86" s="1" t="str">
        <f>IFERROR(ROUND(Backend!$AO86*VLOOKUP($F86,'OH,Profit &amp; Other Base'!$A:$V,Backend!AT$6,0),5),"")</f>
        <v/>
      </c>
      <c r="AU86" s="1" t="str">
        <f>IFERROR(ROUND(Backend!$AM86*VLOOKUP($F86,'OH,Profit &amp; Other Base'!$A:$V,Backend!AU$6,0),5),"")</f>
        <v/>
      </c>
      <c r="AV86" s="1" t="str">
        <f>IFERROR(ROUND(Backend!$AL86*VLOOKUP($F86,'OH,Profit &amp; Other Base'!$A:$V,Backend!AV$6,0),5),"")</f>
        <v/>
      </c>
      <c r="AW86" s="1" t="str">
        <f>IFERROR(ROUND(Backend!$AO86*VLOOKUP($F86,'OH,Profit &amp; Other Base'!$A:$V,Backend!AW$6,0),5),"")</f>
        <v/>
      </c>
      <c r="AX86" s="1" t="str">
        <f>IFERROR(ROUND(Backend!$AM86*VLOOKUP($F86,'OH,Profit &amp; Other Base'!$A:$V,Backend!AX$6,0),5),"")</f>
        <v/>
      </c>
      <c r="AY86" s="1" t="str">
        <f>IFERROR(ROUND(Backend!$AL86*VLOOKUP($F86,'OH,Profit &amp; Other Base'!$A:$V,Backend!AY$6,0),5),"")</f>
        <v/>
      </c>
      <c r="AZ86" s="1" t="str">
        <f>IFERROR(ROUND(Backend!$AO86*VLOOKUP($F86,'OH,Profit &amp; Other Base'!$A:$V,Backend!AZ$6,0),5),"")</f>
        <v/>
      </c>
      <c r="BA86" s="1" t="str">
        <f>IFERROR(ROUND(Backend!$AM86*VLOOKUP($F86,'OH,Profit &amp; Other Base'!$A:$V,Backend!BA$6,0),5),"")</f>
        <v/>
      </c>
      <c r="BB86" s="1" t="str">
        <f>IFERROR(ROUND(Backend!$AL86*VLOOKUP($F86,'OH,Profit &amp; Other Base'!$A:$V,Backend!BB$6,0),5),"")</f>
        <v/>
      </c>
      <c r="BC86" s="1" t="str">
        <f>IFERROR(ROUND(Backend!$AO86*VLOOKUP($F86,'OH,Profit &amp; Other Base'!$A:$V,Backend!BC$6,0),5),"")</f>
        <v/>
      </c>
      <c r="BD86" s="1" t="str">
        <f>IFERROR(ROUND(Backend!$AM86*VLOOKUP($F86,'OH,Profit &amp; Other Base'!$A:$V,Backend!BD$6,0),5),"")</f>
        <v/>
      </c>
      <c r="BE86" s="1" t="str">
        <f>IFERROR(ROUND(Backend!$AL86*VLOOKUP($F86,'OH,Profit &amp; Other Base'!$A:$V,Backend!BE$6,0),5),"")</f>
        <v/>
      </c>
      <c r="BF86" s="1" t="str">
        <f>IFERROR(ROUND(Backend!$AO86*VLOOKUP($F86,'OH,Profit &amp; Other Base'!$A:$V,Backend!BF$6,0),5),"")</f>
        <v/>
      </c>
      <c r="BG86" s="1" t="str">
        <f>IFERROR(ROUND(Backend!$AM86*VLOOKUP($F86,'OH,Profit &amp; Other Base'!$A:$V,Backend!BG$6,0),5),"")</f>
        <v/>
      </c>
      <c r="BH86" s="1" t="str">
        <f>IFERROR(ROUND(Backend!$AL86*VLOOKUP($F86,'OH,Profit &amp; Other Base'!$A:$V,Backend!BH$6,0),5),"")</f>
        <v/>
      </c>
      <c r="BI86" s="1" t="str">
        <f>IFERROR(ROUND(Backend!$AO86*VLOOKUP($F86,'OH,Profit &amp; Other Base'!$A:$V,Backend!BI$6,0),5),"")</f>
        <v/>
      </c>
      <c r="BJ86" s="1" t="str">
        <f>IFERROR(ROUND(Backend!$AM86*VLOOKUP($F86,'OH,Profit &amp; Other Base'!$A:$V,Backend!BJ$6,0),5),"")</f>
        <v/>
      </c>
      <c r="BK86" s="3">
        <f>SUM(AN86:BJ86,Backend!O86)</f>
        <v>0</v>
      </c>
    </row>
    <row r="87" spans="1:63">
      <c r="A87" s="1">
        <f>BOM!A82</f>
        <v>0</v>
      </c>
      <c r="B87" s="1">
        <f>BOM!B82</f>
        <v>0</v>
      </c>
      <c r="C87" s="1">
        <f>BOM!C82</f>
        <v>0</v>
      </c>
      <c r="D87" s="1">
        <f>BOM!D82</f>
        <v>0</v>
      </c>
      <c r="E87" s="1">
        <f>BOM!F82</f>
        <v>0</v>
      </c>
      <c r="F87" s="1" t="str">
        <f>IF(H87="CSC",BOM!H82,IF(J87="BOFOthers","Sheet Metal-B",""))</f>
        <v/>
      </c>
      <c r="G87" s="1">
        <f>BOM!I82</f>
        <v>0</v>
      </c>
      <c r="H87" s="1">
        <f>BOM!J82</f>
        <v>0</v>
      </c>
      <c r="I87" s="1" t="str">
        <f t="shared" si="7"/>
        <v>Others</v>
      </c>
      <c r="J87" s="1" t="str">
        <f t="shared" si="8"/>
        <v>0Others</v>
      </c>
      <c r="K87" s="3" t="str">
        <f>IF($J87="InhouseCSC",VLOOKUP($D87,Group!$C:$E,3,0),"")</f>
        <v/>
      </c>
      <c r="L87" s="3" t="str">
        <f>IF(OR($J87="BOSFCSC",$J87="BOFCSC"),VLOOKUP($D87,Group!$C:$E,3,0),"")</f>
        <v/>
      </c>
      <c r="M87" s="3" t="str">
        <f>IF(OR($J87="BOSFCSC",$J87="BOFCSC"),VLOOKUP($D87,Group!$C:$F,4,0),"")</f>
        <v/>
      </c>
      <c r="N87" s="3" t="str">
        <f>IF(OR($J87="InhouseCSC",$J87="BOSFCSC"),VLOOKUP($D87,Group!$C:$G,5,0),"")</f>
        <v/>
      </c>
      <c r="O87" s="3" t="str">
        <f>IF($J87="InhouseCSC",ROUND(VLOOKUP($D87,Group!$C:$H,6,0),5),"")</f>
        <v/>
      </c>
      <c r="P87" s="3" t="str">
        <f>IF(OR($J87="BOSFCSC",$J87="BOFCSC"),VLOOKUP($D87,Group!$C:$H,6,0),"")</f>
        <v/>
      </c>
      <c r="Q87" s="1" t="str">
        <f>IF($J87="Inhouseothers",VLOOKUP($D87,Group!$C:$E,3,0),"")</f>
        <v/>
      </c>
      <c r="R87" s="1" t="str">
        <f>IF($J87="BOSFOthers",VLOOKUP($D87,Group!$C:$E,3,0),"")</f>
        <v/>
      </c>
      <c r="S87" s="3" t="str">
        <f>IF($J87="BOFOthers",VLOOKUP($D87,Group!$C:$E,3,0),"")</f>
        <v/>
      </c>
      <c r="U87" s="1" t="str">
        <f>IFERROR(Backend!$L87*VLOOKUP($F87,'OH,Profit &amp; Other Base'!$A:$V,Backend!U$6,0),"")</f>
        <v/>
      </c>
      <c r="V87" s="1" t="str">
        <f>IFERROR(Backend!$M87*VLOOKUP($F87,'OH,Profit &amp; Other Base'!$A:$V,Backend!V$6,0),"")</f>
        <v/>
      </c>
      <c r="W87" s="1" t="str">
        <f>IFERROR(Backend!$L87*VLOOKUP($F87,'OH,Profit &amp; Other Base'!$A:$V,Backend!W$6,0),"")</f>
        <v/>
      </c>
      <c r="X87" s="1" t="str">
        <f>IFERROR(Backend!$M87*VLOOKUP($F87,'OH,Profit &amp; Other Base'!$A:$V,Backend!X$6,0),"")</f>
        <v/>
      </c>
      <c r="Y87" s="1" t="str">
        <f>IFERROR(Backend!$L87*VLOOKUP($F87,'OH,Profit &amp; Other Base'!$A:$V,Backend!Y$6,0),"")</f>
        <v/>
      </c>
      <c r="Z87" s="1" t="str">
        <f>IFERROR(Backend!$M87*VLOOKUP($F87,'OH,Profit &amp; Other Base'!$A:$V,Backend!Z$6,0),"")</f>
        <v/>
      </c>
      <c r="AA87" s="1" t="str">
        <f>IFERROR(Backend!$L87*VLOOKUP($F87,'OH,Profit &amp; Other Base'!$A:$V,Backend!AA$6,0),"")</f>
        <v/>
      </c>
      <c r="AB87" s="1" t="str">
        <f>IFERROR(Backend!$M87*VLOOKUP($F87,'OH,Profit &amp; Other Base'!$A:$V,Backend!AB$6,0),"")</f>
        <v/>
      </c>
      <c r="AC87" s="1" t="str">
        <f>IFERROR(Backend!$L87*VLOOKUP($F87,'OH,Profit &amp; Other Base'!$A:$V,Backend!AC$6,0),"")</f>
        <v/>
      </c>
      <c r="AD87" s="1" t="str">
        <f>IFERROR(Backend!$M87*VLOOKUP($F87,'OH,Profit &amp; Other Base'!$A:$V,Backend!AD$6,0),"")</f>
        <v/>
      </c>
      <c r="AE87" s="1" t="str">
        <f>IFERROR(Backend!$L87*VLOOKUP($F87,'OH,Profit &amp; Other Base'!$A:$V,Backend!AE$6,0),"")</f>
        <v/>
      </c>
      <c r="AF87" s="1" t="str">
        <f>IFERROR(Backend!$M87*VLOOKUP($F87,'OH,Profit &amp; Other Base'!$A:$V,Backend!AF$6,0),"")</f>
        <v/>
      </c>
      <c r="AG87" s="1" t="str">
        <f>IFERROR(Backend!$L87*VLOOKUP($F87,'OH,Profit &amp; Other Base'!$A:$V,Backend!AG$6,0),"")</f>
        <v/>
      </c>
      <c r="AH87" s="1" t="str">
        <f>IFERROR(Backend!$M87*VLOOKUP($F87,'OH,Profit &amp; Other Base'!$A:$V,Backend!AH$6,0),"")</f>
        <v/>
      </c>
      <c r="AI87" s="3">
        <f t="shared" si="9"/>
        <v>0</v>
      </c>
      <c r="AL87" s="1" t="str">
        <f t="shared" si="10"/>
        <v/>
      </c>
      <c r="AM87" s="1" t="str">
        <f t="shared" si="11"/>
        <v/>
      </c>
      <c r="AN87" s="1" t="str">
        <f t="shared" si="12"/>
        <v/>
      </c>
      <c r="AO87" s="1" t="str">
        <f t="shared" si="13"/>
        <v/>
      </c>
      <c r="AP87" s="1" t="str">
        <f>IFERROR(ROUND(Backend!$AL87*VLOOKUP($F87,'OH,Profit &amp; Other Base'!$A:$V,Backend!AP$6,0),5),"")</f>
        <v/>
      </c>
      <c r="AQ87" s="1" t="str">
        <f>IFERROR(ROUND(Backend!$AO87*VLOOKUP($F87,'OH,Profit &amp; Other Base'!$A:$V,Backend!AQ$6,0),5),"")</f>
        <v/>
      </c>
      <c r="AR87" s="1" t="str">
        <f>IFERROR(ROUND(Backend!$AM87*VLOOKUP($F87,'OH,Profit &amp; Other Base'!$A:$V,Backend!AR$6,0),5),"")</f>
        <v/>
      </c>
      <c r="AS87" s="1" t="str">
        <f>IFERROR(ROUND(Backend!$AL87*VLOOKUP($F87,'OH,Profit &amp; Other Base'!$A:$V,Backend!AS$6,0),5),"")</f>
        <v/>
      </c>
      <c r="AT87" s="1" t="str">
        <f>IFERROR(ROUND(Backend!$AO87*VLOOKUP($F87,'OH,Profit &amp; Other Base'!$A:$V,Backend!AT$6,0),5),"")</f>
        <v/>
      </c>
      <c r="AU87" s="1" t="str">
        <f>IFERROR(ROUND(Backend!$AM87*VLOOKUP($F87,'OH,Profit &amp; Other Base'!$A:$V,Backend!AU$6,0),5),"")</f>
        <v/>
      </c>
      <c r="AV87" s="1" t="str">
        <f>IFERROR(ROUND(Backend!$AL87*VLOOKUP($F87,'OH,Profit &amp; Other Base'!$A:$V,Backend!AV$6,0),5),"")</f>
        <v/>
      </c>
      <c r="AW87" s="1" t="str">
        <f>IFERROR(ROUND(Backend!$AO87*VLOOKUP($F87,'OH,Profit &amp; Other Base'!$A:$V,Backend!AW$6,0),5),"")</f>
        <v/>
      </c>
      <c r="AX87" s="1" t="str">
        <f>IFERROR(ROUND(Backend!$AM87*VLOOKUP($F87,'OH,Profit &amp; Other Base'!$A:$V,Backend!AX$6,0),5),"")</f>
        <v/>
      </c>
      <c r="AY87" s="1" t="str">
        <f>IFERROR(ROUND(Backend!$AL87*VLOOKUP($F87,'OH,Profit &amp; Other Base'!$A:$V,Backend!AY$6,0),5),"")</f>
        <v/>
      </c>
      <c r="AZ87" s="1" t="str">
        <f>IFERROR(ROUND(Backend!$AO87*VLOOKUP($F87,'OH,Profit &amp; Other Base'!$A:$V,Backend!AZ$6,0),5),"")</f>
        <v/>
      </c>
      <c r="BA87" s="1" t="str">
        <f>IFERROR(ROUND(Backend!$AM87*VLOOKUP($F87,'OH,Profit &amp; Other Base'!$A:$V,Backend!BA$6,0),5),"")</f>
        <v/>
      </c>
      <c r="BB87" s="1" t="str">
        <f>IFERROR(ROUND(Backend!$AL87*VLOOKUP($F87,'OH,Profit &amp; Other Base'!$A:$V,Backend!BB$6,0),5),"")</f>
        <v/>
      </c>
      <c r="BC87" s="1" t="str">
        <f>IFERROR(ROUND(Backend!$AO87*VLOOKUP($F87,'OH,Profit &amp; Other Base'!$A:$V,Backend!BC$6,0),5),"")</f>
        <v/>
      </c>
      <c r="BD87" s="1" t="str">
        <f>IFERROR(ROUND(Backend!$AM87*VLOOKUP($F87,'OH,Profit &amp; Other Base'!$A:$V,Backend!BD$6,0),5),"")</f>
        <v/>
      </c>
      <c r="BE87" s="1" t="str">
        <f>IFERROR(ROUND(Backend!$AL87*VLOOKUP($F87,'OH,Profit &amp; Other Base'!$A:$V,Backend!BE$6,0),5),"")</f>
        <v/>
      </c>
      <c r="BF87" s="1" t="str">
        <f>IFERROR(ROUND(Backend!$AO87*VLOOKUP($F87,'OH,Profit &amp; Other Base'!$A:$V,Backend!BF$6,0),5),"")</f>
        <v/>
      </c>
      <c r="BG87" s="1" t="str">
        <f>IFERROR(ROUND(Backend!$AM87*VLOOKUP($F87,'OH,Profit &amp; Other Base'!$A:$V,Backend!BG$6,0),5),"")</f>
        <v/>
      </c>
      <c r="BH87" s="1" t="str">
        <f>IFERROR(ROUND(Backend!$AL87*VLOOKUP($F87,'OH,Profit &amp; Other Base'!$A:$V,Backend!BH$6,0),5),"")</f>
        <v/>
      </c>
      <c r="BI87" s="1" t="str">
        <f>IFERROR(ROUND(Backend!$AO87*VLOOKUP($F87,'OH,Profit &amp; Other Base'!$A:$V,Backend!BI$6,0),5),"")</f>
        <v/>
      </c>
      <c r="BJ87" s="1" t="str">
        <f>IFERROR(ROUND(Backend!$AM87*VLOOKUP($F87,'OH,Profit &amp; Other Base'!$A:$V,Backend!BJ$6,0),5),"")</f>
        <v/>
      </c>
      <c r="BK87" s="3">
        <f>SUM(AN87:BJ87,Backend!O87)</f>
        <v>0</v>
      </c>
    </row>
    <row r="88" spans="1:63">
      <c r="A88" s="1">
        <f>BOM!A83</f>
        <v>0</v>
      </c>
      <c r="B88" s="1">
        <f>BOM!B83</f>
        <v>0</v>
      </c>
      <c r="C88" s="1">
        <f>BOM!C83</f>
        <v>0</v>
      </c>
      <c r="D88" s="1">
        <f>BOM!D83</f>
        <v>0</v>
      </c>
      <c r="E88" s="1">
        <f>BOM!F83</f>
        <v>0</v>
      </c>
      <c r="F88" s="1" t="str">
        <f>IF(H88="CSC",BOM!H83,IF(J88="BOFOthers","Sheet Metal-B",""))</f>
        <v/>
      </c>
      <c r="G88" s="1">
        <f>BOM!I83</f>
        <v>0</v>
      </c>
      <c r="H88" s="1">
        <f>BOM!J83</f>
        <v>0</v>
      </c>
      <c r="I88" s="1" t="str">
        <f t="shared" si="7"/>
        <v>Others</v>
      </c>
      <c r="J88" s="1" t="str">
        <f t="shared" si="8"/>
        <v>0Others</v>
      </c>
      <c r="K88" s="3" t="str">
        <f>IF($J88="InhouseCSC",VLOOKUP($D88,Group!$C:$E,3,0),"")</f>
        <v/>
      </c>
      <c r="L88" s="3" t="str">
        <f>IF(OR($J88="BOSFCSC",$J88="BOFCSC"),VLOOKUP($D88,Group!$C:$E,3,0),"")</f>
        <v/>
      </c>
      <c r="M88" s="3" t="str">
        <f>IF(OR($J88="BOSFCSC",$J88="BOFCSC"),VLOOKUP($D88,Group!$C:$F,4,0),"")</f>
        <v/>
      </c>
      <c r="N88" s="3" t="str">
        <f>IF(OR($J88="InhouseCSC",$J88="BOSFCSC"),VLOOKUP($D88,Group!$C:$G,5,0),"")</f>
        <v/>
      </c>
      <c r="O88" s="3" t="str">
        <f>IF($J88="InhouseCSC",ROUND(VLOOKUP($D88,Group!$C:$H,6,0),5),"")</f>
        <v/>
      </c>
      <c r="P88" s="3" t="str">
        <f>IF(OR($J88="BOSFCSC",$J88="BOFCSC"),VLOOKUP($D88,Group!$C:$H,6,0),"")</f>
        <v/>
      </c>
      <c r="Q88" s="1" t="str">
        <f>IF($J88="Inhouseothers",VLOOKUP($D88,Group!$C:$E,3,0),"")</f>
        <v/>
      </c>
      <c r="R88" s="1" t="str">
        <f>IF($J88="BOSFOthers",VLOOKUP($D88,Group!$C:$E,3,0),"")</f>
        <v/>
      </c>
      <c r="S88" s="3" t="str">
        <f>IF($J88="BOFOthers",VLOOKUP($D88,Group!$C:$E,3,0),"")</f>
        <v/>
      </c>
      <c r="U88" s="1" t="str">
        <f>IFERROR(Backend!$L88*VLOOKUP($F88,'OH,Profit &amp; Other Base'!$A:$V,Backend!U$6,0),"")</f>
        <v/>
      </c>
      <c r="V88" s="1" t="str">
        <f>IFERROR(Backend!$M88*VLOOKUP($F88,'OH,Profit &amp; Other Base'!$A:$V,Backend!V$6,0),"")</f>
        <v/>
      </c>
      <c r="W88" s="1" t="str">
        <f>IFERROR(Backend!$L88*VLOOKUP($F88,'OH,Profit &amp; Other Base'!$A:$V,Backend!W$6,0),"")</f>
        <v/>
      </c>
      <c r="X88" s="1" t="str">
        <f>IFERROR(Backend!$M88*VLOOKUP($F88,'OH,Profit &amp; Other Base'!$A:$V,Backend!X$6,0),"")</f>
        <v/>
      </c>
      <c r="Y88" s="1" t="str">
        <f>IFERROR(Backend!$L88*VLOOKUP($F88,'OH,Profit &amp; Other Base'!$A:$V,Backend!Y$6,0),"")</f>
        <v/>
      </c>
      <c r="Z88" s="1" t="str">
        <f>IFERROR(Backend!$M88*VLOOKUP($F88,'OH,Profit &amp; Other Base'!$A:$V,Backend!Z$6,0),"")</f>
        <v/>
      </c>
      <c r="AA88" s="1" t="str">
        <f>IFERROR(Backend!$L88*VLOOKUP($F88,'OH,Profit &amp; Other Base'!$A:$V,Backend!AA$6,0),"")</f>
        <v/>
      </c>
      <c r="AB88" s="1" t="str">
        <f>IFERROR(Backend!$M88*VLOOKUP($F88,'OH,Profit &amp; Other Base'!$A:$V,Backend!AB$6,0),"")</f>
        <v/>
      </c>
      <c r="AC88" s="1" t="str">
        <f>IFERROR(Backend!$L88*VLOOKUP($F88,'OH,Profit &amp; Other Base'!$A:$V,Backend!AC$6,0),"")</f>
        <v/>
      </c>
      <c r="AD88" s="1" t="str">
        <f>IFERROR(Backend!$M88*VLOOKUP($F88,'OH,Profit &amp; Other Base'!$A:$V,Backend!AD$6,0),"")</f>
        <v/>
      </c>
      <c r="AE88" s="1" t="str">
        <f>IFERROR(Backend!$L88*VLOOKUP($F88,'OH,Profit &amp; Other Base'!$A:$V,Backend!AE$6,0),"")</f>
        <v/>
      </c>
      <c r="AF88" s="1" t="str">
        <f>IFERROR(Backend!$M88*VLOOKUP($F88,'OH,Profit &amp; Other Base'!$A:$V,Backend!AF$6,0),"")</f>
        <v/>
      </c>
      <c r="AG88" s="1" t="str">
        <f>IFERROR(Backend!$L88*VLOOKUP($F88,'OH,Profit &amp; Other Base'!$A:$V,Backend!AG$6,0),"")</f>
        <v/>
      </c>
      <c r="AH88" s="1" t="str">
        <f>IFERROR(Backend!$M88*VLOOKUP($F88,'OH,Profit &amp; Other Base'!$A:$V,Backend!AH$6,0),"")</f>
        <v/>
      </c>
      <c r="AI88" s="3">
        <f t="shared" si="9"/>
        <v>0</v>
      </c>
      <c r="AL88" s="1" t="str">
        <f t="shared" si="10"/>
        <v/>
      </c>
      <c r="AM88" s="1" t="str">
        <f t="shared" si="11"/>
        <v/>
      </c>
      <c r="AN88" s="1" t="str">
        <f t="shared" si="12"/>
        <v/>
      </c>
      <c r="AO88" s="1" t="str">
        <f t="shared" si="13"/>
        <v/>
      </c>
      <c r="AP88" s="1" t="str">
        <f>IFERROR(ROUND(Backend!$AL88*VLOOKUP($F88,'OH,Profit &amp; Other Base'!$A:$V,Backend!AP$6,0),5),"")</f>
        <v/>
      </c>
      <c r="AQ88" s="1" t="str">
        <f>IFERROR(ROUND(Backend!$AO88*VLOOKUP($F88,'OH,Profit &amp; Other Base'!$A:$V,Backend!AQ$6,0),5),"")</f>
        <v/>
      </c>
      <c r="AR88" s="1" t="str">
        <f>IFERROR(ROUND(Backend!$AM88*VLOOKUP($F88,'OH,Profit &amp; Other Base'!$A:$V,Backend!AR$6,0),5),"")</f>
        <v/>
      </c>
      <c r="AS88" s="1" t="str">
        <f>IFERROR(ROUND(Backend!$AL88*VLOOKUP($F88,'OH,Profit &amp; Other Base'!$A:$V,Backend!AS$6,0),5),"")</f>
        <v/>
      </c>
      <c r="AT88" s="1" t="str">
        <f>IFERROR(ROUND(Backend!$AO88*VLOOKUP($F88,'OH,Profit &amp; Other Base'!$A:$V,Backend!AT$6,0),5),"")</f>
        <v/>
      </c>
      <c r="AU88" s="1" t="str">
        <f>IFERROR(ROUND(Backend!$AM88*VLOOKUP($F88,'OH,Profit &amp; Other Base'!$A:$V,Backend!AU$6,0),5),"")</f>
        <v/>
      </c>
      <c r="AV88" s="1" t="str">
        <f>IFERROR(ROUND(Backend!$AL88*VLOOKUP($F88,'OH,Profit &amp; Other Base'!$A:$V,Backend!AV$6,0),5),"")</f>
        <v/>
      </c>
      <c r="AW88" s="1" t="str">
        <f>IFERROR(ROUND(Backend!$AO88*VLOOKUP($F88,'OH,Profit &amp; Other Base'!$A:$V,Backend!AW$6,0),5),"")</f>
        <v/>
      </c>
      <c r="AX88" s="1" t="str">
        <f>IFERROR(ROUND(Backend!$AM88*VLOOKUP($F88,'OH,Profit &amp; Other Base'!$A:$V,Backend!AX$6,0),5),"")</f>
        <v/>
      </c>
      <c r="AY88" s="1" t="str">
        <f>IFERROR(ROUND(Backend!$AL88*VLOOKUP($F88,'OH,Profit &amp; Other Base'!$A:$V,Backend!AY$6,0),5),"")</f>
        <v/>
      </c>
      <c r="AZ88" s="1" t="str">
        <f>IFERROR(ROUND(Backend!$AO88*VLOOKUP($F88,'OH,Profit &amp; Other Base'!$A:$V,Backend!AZ$6,0),5),"")</f>
        <v/>
      </c>
      <c r="BA88" s="1" t="str">
        <f>IFERROR(ROUND(Backend!$AM88*VLOOKUP($F88,'OH,Profit &amp; Other Base'!$A:$V,Backend!BA$6,0),5),"")</f>
        <v/>
      </c>
      <c r="BB88" s="1" t="str">
        <f>IFERROR(ROUND(Backend!$AL88*VLOOKUP($F88,'OH,Profit &amp; Other Base'!$A:$V,Backend!BB$6,0),5),"")</f>
        <v/>
      </c>
      <c r="BC88" s="1" t="str">
        <f>IFERROR(ROUND(Backend!$AO88*VLOOKUP($F88,'OH,Profit &amp; Other Base'!$A:$V,Backend!BC$6,0),5),"")</f>
        <v/>
      </c>
      <c r="BD88" s="1" t="str">
        <f>IFERROR(ROUND(Backend!$AM88*VLOOKUP($F88,'OH,Profit &amp; Other Base'!$A:$V,Backend!BD$6,0),5),"")</f>
        <v/>
      </c>
      <c r="BE88" s="1" t="str">
        <f>IFERROR(ROUND(Backend!$AL88*VLOOKUP($F88,'OH,Profit &amp; Other Base'!$A:$V,Backend!BE$6,0),5),"")</f>
        <v/>
      </c>
      <c r="BF88" s="1" t="str">
        <f>IFERROR(ROUND(Backend!$AO88*VLOOKUP($F88,'OH,Profit &amp; Other Base'!$A:$V,Backend!BF$6,0),5),"")</f>
        <v/>
      </c>
      <c r="BG88" s="1" t="str">
        <f>IFERROR(ROUND(Backend!$AM88*VLOOKUP($F88,'OH,Profit &amp; Other Base'!$A:$V,Backend!BG$6,0),5),"")</f>
        <v/>
      </c>
      <c r="BH88" s="1" t="str">
        <f>IFERROR(ROUND(Backend!$AL88*VLOOKUP($F88,'OH,Profit &amp; Other Base'!$A:$V,Backend!BH$6,0),5),"")</f>
        <v/>
      </c>
      <c r="BI88" s="1" t="str">
        <f>IFERROR(ROUND(Backend!$AO88*VLOOKUP($F88,'OH,Profit &amp; Other Base'!$A:$V,Backend!BI$6,0),5),"")</f>
        <v/>
      </c>
      <c r="BJ88" s="1" t="str">
        <f>IFERROR(ROUND(Backend!$AM88*VLOOKUP($F88,'OH,Profit &amp; Other Base'!$A:$V,Backend!BJ$6,0),5),"")</f>
        <v/>
      </c>
      <c r="BK88" s="3">
        <f>SUM(AN88:BJ88,Backend!O88)</f>
        <v>0</v>
      </c>
    </row>
    <row r="89" spans="1:63">
      <c r="A89" s="1">
        <f>BOM!A84</f>
        <v>0</v>
      </c>
      <c r="B89" s="1">
        <f>BOM!B84</f>
        <v>0</v>
      </c>
      <c r="C89" s="1">
        <f>BOM!C84</f>
        <v>0</v>
      </c>
      <c r="D89" s="1">
        <f>BOM!D84</f>
        <v>0</v>
      </c>
      <c r="E89" s="1">
        <f>BOM!F84</f>
        <v>0</v>
      </c>
      <c r="F89" s="1" t="str">
        <f>IF(H89="CSC",BOM!H84,IF(J89="BOFOthers","Sheet Metal-B",""))</f>
        <v/>
      </c>
      <c r="G89" s="1">
        <f>BOM!I84</f>
        <v>0</v>
      </c>
      <c r="H89" s="1">
        <f>BOM!J84</f>
        <v>0</v>
      </c>
      <c r="I89" s="1" t="str">
        <f t="shared" si="7"/>
        <v>Others</v>
      </c>
      <c r="J89" s="1" t="str">
        <f t="shared" si="8"/>
        <v>0Others</v>
      </c>
      <c r="K89" s="3" t="str">
        <f>IF($J89="InhouseCSC",VLOOKUP($D89,Group!$C:$E,3,0),"")</f>
        <v/>
      </c>
      <c r="L89" s="3" t="str">
        <f>IF(OR($J89="BOSFCSC",$J89="BOFCSC"),VLOOKUP($D89,Group!$C:$E,3,0),"")</f>
        <v/>
      </c>
      <c r="M89" s="3" t="str">
        <f>IF(OR($J89="BOSFCSC",$J89="BOFCSC"),VLOOKUP($D89,Group!$C:$F,4,0),"")</f>
        <v/>
      </c>
      <c r="N89" s="3" t="str">
        <f>IF(OR($J89="InhouseCSC",$J89="BOSFCSC"),VLOOKUP($D89,Group!$C:$G,5,0),"")</f>
        <v/>
      </c>
      <c r="O89" s="3" t="str">
        <f>IF($J89="InhouseCSC",ROUND(VLOOKUP($D89,Group!$C:$H,6,0),5),"")</f>
        <v/>
      </c>
      <c r="P89" s="3" t="str">
        <f>IF(OR($J89="BOSFCSC",$J89="BOFCSC"),VLOOKUP($D89,Group!$C:$H,6,0),"")</f>
        <v/>
      </c>
      <c r="Q89" s="1" t="str">
        <f>IF($J89="Inhouseothers",VLOOKUP($D89,Group!$C:$E,3,0),"")</f>
        <v/>
      </c>
      <c r="R89" s="1" t="str">
        <f>IF($J89="BOSFOthers",VLOOKUP($D89,Group!$C:$E,3,0),"")</f>
        <v/>
      </c>
      <c r="S89" s="3" t="str">
        <f>IF($J89="BOFOthers",VLOOKUP($D89,Group!$C:$E,3,0),"")</f>
        <v/>
      </c>
      <c r="U89" s="1" t="str">
        <f>IFERROR(Backend!$L89*VLOOKUP($F89,'OH,Profit &amp; Other Base'!$A:$V,Backend!U$6,0),"")</f>
        <v/>
      </c>
      <c r="V89" s="1" t="str">
        <f>IFERROR(Backend!$M89*VLOOKUP($F89,'OH,Profit &amp; Other Base'!$A:$V,Backend!V$6,0),"")</f>
        <v/>
      </c>
      <c r="W89" s="1" t="str">
        <f>IFERROR(Backend!$L89*VLOOKUP($F89,'OH,Profit &amp; Other Base'!$A:$V,Backend!W$6,0),"")</f>
        <v/>
      </c>
      <c r="X89" s="1" t="str">
        <f>IFERROR(Backend!$M89*VLOOKUP($F89,'OH,Profit &amp; Other Base'!$A:$V,Backend!X$6,0),"")</f>
        <v/>
      </c>
      <c r="Y89" s="1" t="str">
        <f>IFERROR(Backend!$L89*VLOOKUP($F89,'OH,Profit &amp; Other Base'!$A:$V,Backend!Y$6,0),"")</f>
        <v/>
      </c>
      <c r="Z89" s="1" t="str">
        <f>IFERROR(Backend!$M89*VLOOKUP($F89,'OH,Profit &amp; Other Base'!$A:$V,Backend!Z$6,0),"")</f>
        <v/>
      </c>
      <c r="AA89" s="1" t="str">
        <f>IFERROR(Backend!$L89*VLOOKUP($F89,'OH,Profit &amp; Other Base'!$A:$V,Backend!AA$6,0),"")</f>
        <v/>
      </c>
      <c r="AB89" s="1" t="str">
        <f>IFERROR(Backend!$M89*VLOOKUP($F89,'OH,Profit &amp; Other Base'!$A:$V,Backend!AB$6,0),"")</f>
        <v/>
      </c>
      <c r="AC89" s="1" t="str">
        <f>IFERROR(Backend!$L89*VLOOKUP($F89,'OH,Profit &amp; Other Base'!$A:$V,Backend!AC$6,0),"")</f>
        <v/>
      </c>
      <c r="AD89" s="1" t="str">
        <f>IFERROR(Backend!$M89*VLOOKUP($F89,'OH,Profit &amp; Other Base'!$A:$V,Backend!AD$6,0),"")</f>
        <v/>
      </c>
      <c r="AE89" s="1" t="str">
        <f>IFERROR(Backend!$L89*VLOOKUP($F89,'OH,Profit &amp; Other Base'!$A:$V,Backend!AE$6,0),"")</f>
        <v/>
      </c>
      <c r="AF89" s="1" t="str">
        <f>IFERROR(Backend!$M89*VLOOKUP($F89,'OH,Profit &amp; Other Base'!$A:$V,Backend!AF$6,0),"")</f>
        <v/>
      </c>
      <c r="AG89" s="1" t="str">
        <f>IFERROR(Backend!$L89*VLOOKUP($F89,'OH,Profit &amp; Other Base'!$A:$V,Backend!AG$6,0),"")</f>
        <v/>
      </c>
      <c r="AH89" s="1" t="str">
        <f>IFERROR(Backend!$M89*VLOOKUP($F89,'OH,Profit &amp; Other Base'!$A:$V,Backend!AH$6,0),"")</f>
        <v/>
      </c>
      <c r="AI89" s="3">
        <f t="shared" si="9"/>
        <v>0</v>
      </c>
      <c r="AL89" s="1" t="str">
        <f t="shared" si="10"/>
        <v/>
      </c>
      <c r="AM89" s="1" t="str">
        <f t="shared" si="11"/>
        <v/>
      </c>
      <c r="AN89" s="1" t="str">
        <f t="shared" si="12"/>
        <v/>
      </c>
      <c r="AO89" s="1" t="str">
        <f t="shared" si="13"/>
        <v/>
      </c>
      <c r="AP89" s="1" t="str">
        <f>IFERROR(ROUND(Backend!$AL89*VLOOKUP($F89,'OH,Profit &amp; Other Base'!$A:$V,Backend!AP$6,0),5),"")</f>
        <v/>
      </c>
      <c r="AQ89" s="1" t="str">
        <f>IFERROR(ROUND(Backend!$AO89*VLOOKUP($F89,'OH,Profit &amp; Other Base'!$A:$V,Backend!AQ$6,0),5),"")</f>
        <v/>
      </c>
      <c r="AR89" s="1" t="str">
        <f>IFERROR(ROUND(Backend!$AM89*VLOOKUP($F89,'OH,Profit &amp; Other Base'!$A:$V,Backend!AR$6,0),5),"")</f>
        <v/>
      </c>
      <c r="AS89" s="1" t="str">
        <f>IFERROR(ROUND(Backend!$AL89*VLOOKUP($F89,'OH,Profit &amp; Other Base'!$A:$V,Backend!AS$6,0),5),"")</f>
        <v/>
      </c>
      <c r="AT89" s="1" t="str">
        <f>IFERROR(ROUND(Backend!$AO89*VLOOKUP($F89,'OH,Profit &amp; Other Base'!$A:$V,Backend!AT$6,0),5),"")</f>
        <v/>
      </c>
      <c r="AU89" s="1" t="str">
        <f>IFERROR(ROUND(Backend!$AM89*VLOOKUP($F89,'OH,Profit &amp; Other Base'!$A:$V,Backend!AU$6,0),5),"")</f>
        <v/>
      </c>
      <c r="AV89" s="1" t="str">
        <f>IFERROR(ROUND(Backend!$AL89*VLOOKUP($F89,'OH,Profit &amp; Other Base'!$A:$V,Backend!AV$6,0),5),"")</f>
        <v/>
      </c>
      <c r="AW89" s="1" t="str">
        <f>IFERROR(ROUND(Backend!$AO89*VLOOKUP($F89,'OH,Profit &amp; Other Base'!$A:$V,Backend!AW$6,0),5),"")</f>
        <v/>
      </c>
      <c r="AX89" s="1" t="str">
        <f>IFERROR(ROUND(Backend!$AM89*VLOOKUP($F89,'OH,Profit &amp; Other Base'!$A:$V,Backend!AX$6,0),5),"")</f>
        <v/>
      </c>
      <c r="AY89" s="1" t="str">
        <f>IFERROR(ROUND(Backend!$AL89*VLOOKUP($F89,'OH,Profit &amp; Other Base'!$A:$V,Backend!AY$6,0),5),"")</f>
        <v/>
      </c>
      <c r="AZ89" s="1" t="str">
        <f>IFERROR(ROUND(Backend!$AO89*VLOOKUP($F89,'OH,Profit &amp; Other Base'!$A:$V,Backend!AZ$6,0),5),"")</f>
        <v/>
      </c>
      <c r="BA89" s="1" t="str">
        <f>IFERROR(ROUND(Backend!$AM89*VLOOKUP($F89,'OH,Profit &amp; Other Base'!$A:$V,Backend!BA$6,0),5),"")</f>
        <v/>
      </c>
      <c r="BB89" s="1" t="str">
        <f>IFERROR(ROUND(Backend!$AL89*VLOOKUP($F89,'OH,Profit &amp; Other Base'!$A:$V,Backend!BB$6,0),5),"")</f>
        <v/>
      </c>
      <c r="BC89" s="1" t="str">
        <f>IFERROR(ROUND(Backend!$AO89*VLOOKUP($F89,'OH,Profit &amp; Other Base'!$A:$V,Backend!BC$6,0),5),"")</f>
        <v/>
      </c>
      <c r="BD89" s="1" t="str">
        <f>IFERROR(ROUND(Backend!$AM89*VLOOKUP($F89,'OH,Profit &amp; Other Base'!$A:$V,Backend!BD$6,0),5),"")</f>
        <v/>
      </c>
      <c r="BE89" s="1" t="str">
        <f>IFERROR(ROUND(Backend!$AL89*VLOOKUP($F89,'OH,Profit &amp; Other Base'!$A:$V,Backend!BE$6,0),5),"")</f>
        <v/>
      </c>
      <c r="BF89" s="1" t="str">
        <f>IFERROR(ROUND(Backend!$AO89*VLOOKUP($F89,'OH,Profit &amp; Other Base'!$A:$V,Backend!BF$6,0),5),"")</f>
        <v/>
      </c>
      <c r="BG89" s="1" t="str">
        <f>IFERROR(ROUND(Backend!$AM89*VLOOKUP($F89,'OH,Profit &amp; Other Base'!$A:$V,Backend!BG$6,0),5),"")</f>
        <v/>
      </c>
      <c r="BH89" s="1" t="str">
        <f>IFERROR(ROUND(Backend!$AL89*VLOOKUP($F89,'OH,Profit &amp; Other Base'!$A:$V,Backend!BH$6,0),5),"")</f>
        <v/>
      </c>
      <c r="BI89" s="1" t="str">
        <f>IFERROR(ROUND(Backend!$AO89*VLOOKUP($F89,'OH,Profit &amp; Other Base'!$A:$V,Backend!BI$6,0),5),"")</f>
        <v/>
      </c>
      <c r="BJ89" s="1" t="str">
        <f>IFERROR(ROUND(Backend!$AM89*VLOOKUP($F89,'OH,Profit &amp; Other Base'!$A:$V,Backend!BJ$6,0),5),"")</f>
        <v/>
      </c>
      <c r="BK89" s="3">
        <f>SUM(AN89:BJ89,Backend!O89)</f>
        <v>0</v>
      </c>
    </row>
    <row r="90" spans="1:63">
      <c r="A90" s="1">
        <f>BOM!A85</f>
        <v>0</v>
      </c>
      <c r="B90" s="1">
        <f>BOM!B85</f>
        <v>0</v>
      </c>
      <c r="C90" s="1">
        <f>BOM!C85</f>
        <v>0</v>
      </c>
      <c r="D90" s="1">
        <f>BOM!D85</f>
        <v>0</v>
      </c>
      <c r="E90" s="1">
        <f>BOM!F85</f>
        <v>0</v>
      </c>
      <c r="F90" s="1" t="str">
        <f>IF(H90="CSC",BOM!H85,IF(J90="BOFOthers","Sheet Metal-B",""))</f>
        <v/>
      </c>
      <c r="G90" s="1">
        <f>BOM!I85</f>
        <v>0</v>
      </c>
      <c r="H90" s="1">
        <f>BOM!J85</f>
        <v>0</v>
      </c>
      <c r="I90" s="1" t="str">
        <f t="shared" si="7"/>
        <v>Others</v>
      </c>
      <c r="J90" s="1" t="str">
        <f t="shared" si="8"/>
        <v>0Others</v>
      </c>
      <c r="K90" s="3" t="str">
        <f>IF($J90="InhouseCSC",VLOOKUP($D90,Group!$C:$E,3,0),"")</f>
        <v/>
      </c>
      <c r="L90" s="3" t="str">
        <f>IF(OR($J90="BOSFCSC",$J90="BOFCSC"),VLOOKUP($D90,Group!$C:$E,3,0),"")</f>
        <v/>
      </c>
      <c r="M90" s="3" t="str">
        <f>IF(OR($J90="BOSFCSC",$J90="BOFCSC"),VLOOKUP($D90,Group!$C:$F,4,0),"")</f>
        <v/>
      </c>
      <c r="N90" s="3" t="str">
        <f>IF(OR($J90="InhouseCSC",$J90="BOSFCSC"),VLOOKUP($D90,Group!$C:$G,5,0),"")</f>
        <v/>
      </c>
      <c r="O90" s="3" t="str">
        <f>IF($J90="InhouseCSC",ROUND(VLOOKUP($D90,Group!$C:$H,6,0),5),"")</f>
        <v/>
      </c>
      <c r="P90" s="3" t="str">
        <f>IF(OR($J90="BOSFCSC",$J90="BOFCSC"),VLOOKUP($D90,Group!$C:$H,6,0),"")</f>
        <v/>
      </c>
      <c r="Q90" s="1" t="str">
        <f>IF($J90="Inhouseothers",VLOOKUP($D90,Group!$C:$E,3,0),"")</f>
        <v/>
      </c>
      <c r="R90" s="1" t="str">
        <f>IF($J90="BOSFOthers",VLOOKUP($D90,Group!$C:$E,3,0),"")</f>
        <v/>
      </c>
      <c r="S90" s="3" t="str">
        <f>IF($J90="BOFOthers",VLOOKUP($D90,Group!$C:$E,3,0),"")</f>
        <v/>
      </c>
      <c r="U90" s="1" t="str">
        <f>IFERROR(Backend!$L90*VLOOKUP($F90,'OH,Profit &amp; Other Base'!$A:$V,Backend!U$6,0),"")</f>
        <v/>
      </c>
      <c r="V90" s="1" t="str">
        <f>IFERROR(Backend!$M90*VLOOKUP($F90,'OH,Profit &amp; Other Base'!$A:$V,Backend!V$6,0),"")</f>
        <v/>
      </c>
      <c r="W90" s="1" t="str">
        <f>IFERROR(Backend!$L90*VLOOKUP($F90,'OH,Profit &amp; Other Base'!$A:$V,Backend!W$6,0),"")</f>
        <v/>
      </c>
      <c r="X90" s="1" t="str">
        <f>IFERROR(Backend!$M90*VLOOKUP($F90,'OH,Profit &amp; Other Base'!$A:$V,Backend!X$6,0),"")</f>
        <v/>
      </c>
      <c r="Y90" s="1" t="str">
        <f>IFERROR(Backend!$L90*VLOOKUP($F90,'OH,Profit &amp; Other Base'!$A:$V,Backend!Y$6,0),"")</f>
        <v/>
      </c>
      <c r="Z90" s="1" t="str">
        <f>IFERROR(Backend!$M90*VLOOKUP($F90,'OH,Profit &amp; Other Base'!$A:$V,Backend!Z$6,0),"")</f>
        <v/>
      </c>
      <c r="AA90" s="1" t="str">
        <f>IFERROR(Backend!$L90*VLOOKUP($F90,'OH,Profit &amp; Other Base'!$A:$V,Backend!AA$6,0),"")</f>
        <v/>
      </c>
      <c r="AB90" s="1" t="str">
        <f>IFERROR(Backend!$M90*VLOOKUP($F90,'OH,Profit &amp; Other Base'!$A:$V,Backend!AB$6,0),"")</f>
        <v/>
      </c>
      <c r="AC90" s="1" t="str">
        <f>IFERROR(Backend!$L90*VLOOKUP($F90,'OH,Profit &amp; Other Base'!$A:$V,Backend!AC$6,0),"")</f>
        <v/>
      </c>
      <c r="AD90" s="1" t="str">
        <f>IFERROR(Backend!$M90*VLOOKUP($F90,'OH,Profit &amp; Other Base'!$A:$V,Backend!AD$6,0),"")</f>
        <v/>
      </c>
      <c r="AE90" s="1" t="str">
        <f>IFERROR(Backend!$L90*VLOOKUP($F90,'OH,Profit &amp; Other Base'!$A:$V,Backend!AE$6,0),"")</f>
        <v/>
      </c>
      <c r="AF90" s="1" t="str">
        <f>IFERROR(Backend!$M90*VLOOKUP($F90,'OH,Profit &amp; Other Base'!$A:$V,Backend!AF$6,0),"")</f>
        <v/>
      </c>
      <c r="AG90" s="1" t="str">
        <f>IFERROR(Backend!$L90*VLOOKUP($F90,'OH,Profit &amp; Other Base'!$A:$V,Backend!AG$6,0),"")</f>
        <v/>
      </c>
      <c r="AH90" s="1" t="str">
        <f>IFERROR(Backend!$M90*VLOOKUP($F90,'OH,Profit &amp; Other Base'!$A:$V,Backend!AH$6,0),"")</f>
        <v/>
      </c>
      <c r="AI90" s="3">
        <f t="shared" si="9"/>
        <v>0</v>
      </c>
      <c r="AL90" s="1" t="str">
        <f t="shared" si="10"/>
        <v/>
      </c>
      <c r="AM90" s="1" t="str">
        <f t="shared" si="11"/>
        <v/>
      </c>
      <c r="AN90" s="1" t="str">
        <f t="shared" si="12"/>
        <v/>
      </c>
      <c r="AO90" s="1" t="str">
        <f t="shared" si="13"/>
        <v/>
      </c>
      <c r="AP90" s="1" t="str">
        <f>IFERROR(ROUND(Backend!$AL90*VLOOKUP($F90,'OH,Profit &amp; Other Base'!$A:$V,Backend!AP$6,0),5),"")</f>
        <v/>
      </c>
      <c r="AQ90" s="1" t="str">
        <f>IFERROR(ROUND(Backend!$AO90*VLOOKUP($F90,'OH,Profit &amp; Other Base'!$A:$V,Backend!AQ$6,0),5),"")</f>
        <v/>
      </c>
      <c r="AR90" s="1" t="str">
        <f>IFERROR(ROUND(Backend!$AM90*VLOOKUP($F90,'OH,Profit &amp; Other Base'!$A:$V,Backend!AR$6,0),5),"")</f>
        <v/>
      </c>
      <c r="AS90" s="1" t="str">
        <f>IFERROR(ROUND(Backend!$AL90*VLOOKUP($F90,'OH,Profit &amp; Other Base'!$A:$V,Backend!AS$6,0),5),"")</f>
        <v/>
      </c>
      <c r="AT90" s="1" t="str">
        <f>IFERROR(ROUND(Backend!$AO90*VLOOKUP($F90,'OH,Profit &amp; Other Base'!$A:$V,Backend!AT$6,0),5),"")</f>
        <v/>
      </c>
      <c r="AU90" s="1" t="str">
        <f>IFERROR(ROUND(Backend!$AM90*VLOOKUP($F90,'OH,Profit &amp; Other Base'!$A:$V,Backend!AU$6,0),5),"")</f>
        <v/>
      </c>
      <c r="AV90" s="1" t="str">
        <f>IFERROR(ROUND(Backend!$AL90*VLOOKUP($F90,'OH,Profit &amp; Other Base'!$A:$V,Backend!AV$6,0),5),"")</f>
        <v/>
      </c>
      <c r="AW90" s="1" t="str">
        <f>IFERROR(ROUND(Backend!$AO90*VLOOKUP($F90,'OH,Profit &amp; Other Base'!$A:$V,Backend!AW$6,0),5),"")</f>
        <v/>
      </c>
      <c r="AX90" s="1" t="str">
        <f>IFERROR(ROUND(Backend!$AM90*VLOOKUP($F90,'OH,Profit &amp; Other Base'!$A:$V,Backend!AX$6,0),5),"")</f>
        <v/>
      </c>
      <c r="AY90" s="1" t="str">
        <f>IFERROR(ROUND(Backend!$AL90*VLOOKUP($F90,'OH,Profit &amp; Other Base'!$A:$V,Backend!AY$6,0),5),"")</f>
        <v/>
      </c>
      <c r="AZ90" s="1" t="str">
        <f>IFERROR(ROUND(Backend!$AO90*VLOOKUP($F90,'OH,Profit &amp; Other Base'!$A:$V,Backend!AZ$6,0),5),"")</f>
        <v/>
      </c>
      <c r="BA90" s="1" t="str">
        <f>IFERROR(ROUND(Backend!$AM90*VLOOKUP($F90,'OH,Profit &amp; Other Base'!$A:$V,Backend!BA$6,0),5),"")</f>
        <v/>
      </c>
      <c r="BB90" s="1" t="str">
        <f>IFERROR(ROUND(Backend!$AL90*VLOOKUP($F90,'OH,Profit &amp; Other Base'!$A:$V,Backend!BB$6,0),5),"")</f>
        <v/>
      </c>
      <c r="BC90" s="1" t="str">
        <f>IFERROR(ROUND(Backend!$AO90*VLOOKUP($F90,'OH,Profit &amp; Other Base'!$A:$V,Backend!BC$6,0),5),"")</f>
        <v/>
      </c>
      <c r="BD90" s="1" t="str">
        <f>IFERROR(ROUND(Backend!$AM90*VLOOKUP($F90,'OH,Profit &amp; Other Base'!$A:$V,Backend!BD$6,0),5),"")</f>
        <v/>
      </c>
      <c r="BE90" s="1" t="str">
        <f>IFERROR(ROUND(Backend!$AL90*VLOOKUP($F90,'OH,Profit &amp; Other Base'!$A:$V,Backend!BE$6,0),5),"")</f>
        <v/>
      </c>
      <c r="BF90" s="1" t="str">
        <f>IFERROR(ROUND(Backend!$AO90*VLOOKUP($F90,'OH,Profit &amp; Other Base'!$A:$V,Backend!BF$6,0),5),"")</f>
        <v/>
      </c>
      <c r="BG90" s="1" t="str">
        <f>IFERROR(ROUND(Backend!$AM90*VLOOKUP($F90,'OH,Profit &amp; Other Base'!$A:$V,Backend!BG$6,0),5),"")</f>
        <v/>
      </c>
      <c r="BH90" s="1" t="str">
        <f>IFERROR(ROUND(Backend!$AL90*VLOOKUP($F90,'OH,Profit &amp; Other Base'!$A:$V,Backend!BH$6,0),5),"")</f>
        <v/>
      </c>
      <c r="BI90" s="1" t="str">
        <f>IFERROR(ROUND(Backend!$AO90*VLOOKUP($F90,'OH,Profit &amp; Other Base'!$A:$V,Backend!BI$6,0),5),"")</f>
        <v/>
      </c>
      <c r="BJ90" s="1" t="str">
        <f>IFERROR(ROUND(Backend!$AM90*VLOOKUP($F90,'OH,Profit &amp; Other Base'!$A:$V,Backend!BJ$6,0),5),"")</f>
        <v/>
      </c>
      <c r="BK90" s="3">
        <f>SUM(AN90:BJ90,Backend!O90)</f>
        <v>0</v>
      </c>
    </row>
    <row r="91" spans="1:63">
      <c r="A91" s="1">
        <f>BOM!A86</f>
        <v>0</v>
      </c>
      <c r="B91" s="1">
        <f>BOM!B86</f>
        <v>0</v>
      </c>
      <c r="C91" s="1">
        <f>BOM!C86</f>
        <v>0</v>
      </c>
      <c r="D91" s="1">
        <f>BOM!D86</f>
        <v>0</v>
      </c>
      <c r="E91" s="1">
        <f>BOM!F86</f>
        <v>0</v>
      </c>
      <c r="F91" s="1" t="str">
        <f>IF(H91="CSC",BOM!H86,IF(J91="BOFOthers","Sheet Metal-B",""))</f>
        <v/>
      </c>
      <c r="G91" s="1">
        <f>BOM!I86</f>
        <v>0</v>
      </c>
      <c r="H91" s="1">
        <f>BOM!J86</f>
        <v>0</v>
      </c>
      <c r="I91" s="1" t="str">
        <f t="shared" si="7"/>
        <v>Others</v>
      </c>
      <c r="J91" s="1" t="str">
        <f t="shared" si="8"/>
        <v>0Others</v>
      </c>
      <c r="K91" s="3" t="str">
        <f>IF($J91="InhouseCSC",VLOOKUP($D91,Group!$C:$E,3,0),"")</f>
        <v/>
      </c>
      <c r="L91" s="3" t="str">
        <f>IF(OR($J91="BOSFCSC",$J91="BOFCSC"),VLOOKUP($D91,Group!$C:$E,3,0),"")</f>
        <v/>
      </c>
      <c r="M91" s="3" t="str">
        <f>IF(OR($J91="BOSFCSC",$J91="BOFCSC"),VLOOKUP($D91,Group!$C:$F,4,0),"")</f>
        <v/>
      </c>
      <c r="N91" s="3" t="str">
        <f>IF(OR($J91="InhouseCSC",$J91="BOSFCSC"),VLOOKUP($D91,Group!$C:$G,5,0),"")</f>
        <v/>
      </c>
      <c r="O91" s="3" t="str">
        <f>IF($J91="InhouseCSC",ROUND(VLOOKUP($D91,Group!$C:$H,6,0),5),"")</f>
        <v/>
      </c>
      <c r="P91" s="3" t="str">
        <f>IF(OR($J91="BOSFCSC",$J91="BOFCSC"),VLOOKUP($D91,Group!$C:$H,6,0),"")</f>
        <v/>
      </c>
      <c r="Q91" s="1" t="str">
        <f>IF($J91="Inhouseothers",VLOOKUP($D91,Group!$C:$E,3,0),"")</f>
        <v/>
      </c>
      <c r="R91" s="1" t="str">
        <f>IF($J91="BOSFOthers",VLOOKUP($D91,Group!$C:$E,3,0),"")</f>
        <v/>
      </c>
      <c r="S91" s="3" t="str">
        <f>IF($J91="BOFOthers",VLOOKUP($D91,Group!$C:$E,3,0),"")</f>
        <v/>
      </c>
      <c r="U91" s="1" t="str">
        <f>IFERROR(Backend!$L91*VLOOKUP($F91,'OH,Profit &amp; Other Base'!$A:$V,Backend!U$6,0),"")</f>
        <v/>
      </c>
      <c r="V91" s="1" t="str">
        <f>IFERROR(Backend!$M91*VLOOKUP($F91,'OH,Profit &amp; Other Base'!$A:$V,Backend!V$6,0),"")</f>
        <v/>
      </c>
      <c r="W91" s="1" t="str">
        <f>IFERROR(Backend!$L91*VLOOKUP($F91,'OH,Profit &amp; Other Base'!$A:$V,Backend!W$6,0),"")</f>
        <v/>
      </c>
      <c r="X91" s="1" t="str">
        <f>IFERROR(Backend!$M91*VLOOKUP($F91,'OH,Profit &amp; Other Base'!$A:$V,Backend!X$6,0),"")</f>
        <v/>
      </c>
      <c r="Y91" s="1" t="str">
        <f>IFERROR(Backend!$L91*VLOOKUP($F91,'OH,Profit &amp; Other Base'!$A:$V,Backend!Y$6,0),"")</f>
        <v/>
      </c>
      <c r="Z91" s="1" t="str">
        <f>IFERROR(Backend!$M91*VLOOKUP($F91,'OH,Profit &amp; Other Base'!$A:$V,Backend!Z$6,0),"")</f>
        <v/>
      </c>
      <c r="AA91" s="1" t="str">
        <f>IFERROR(Backend!$L91*VLOOKUP($F91,'OH,Profit &amp; Other Base'!$A:$V,Backend!AA$6,0),"")</f>
        <v/>
      </c>
      <c r="AB91" s="1" t="str">
        <f>IFERROR(Backend!$M91*VLOOKUP($F91,'OH,Profit &amp; Other Base'!$A:$V,Backend!AB$6,0),"")</f>
        <v/>
      </c>
      <c r="AC91" s="1" t="str">
        <f>IFERROR(Backend!$L91*VLOOKUP($F91,'OH,Profit &amp; Other Base'!$A:$V,Backend!AC$6,0),"")</f>
        <v/>
      </c>
      <c r="AD91" s="1" t="str">
        <f>IFERROR(Backend!$M91*VLOOKUP($F91,'OH,Profit &amp; Other Base'!$A:$V,Backend!AD$6,0),"")</f>
        <v/>
      </c>
      <c r="AE91" s="1" t="str">
        <f>IFERROR(Backend!$L91*VLOOKUP($F91,'OH,Profit &amp; Other Base'!$A:$V,Backend!AE$6,0),"")</f>
        <v/>
      </c>
      <c r="AF91" s="1" t="str">
        <f>IFERROR(Backend!$M91*VLOOKUP($F91,'OH,Profit &amp; Other Base'!$A:$V,Backend!AF$6,0),"")</f>
        <v/>
      </c>
      <c r="AG91" s="1" t="str">
        <f>IFERROR(Backend!$L91*VLOOKUP($F91,'OH,Profit &amp; Other Base'!$A:$V,Backend!AG$6,0),"")</f>
        <v/>
      </c>
      <c r="AH91" s="1" t="str">
        <f>IFERROR(Backend!$M91*VLOOKUP($F91,'OH,Profit &amp; Other Base'!$A:$V,Backend!AH$6,0),"")</f>
        <v/>
      </c>
      <c r="AI91" s="3">
        <f t="shared" si="9"/>
        <v>0</v>
      </c>
      <c r="AL91" s="1" t="str">
        <f t="shared" si="10"/>
        <v/>
      </c>
      <c r="AM91" s="1" t="str">
        <f t="shared" si="11"/>
        <v/>
      </c>
      <c r="AN91" s="1" t="str">
        <f t="shared" si="12"/>
        <v/>
      </c>
      <c r="AO91" s="1" t="str">
        <f t="shared" si="13"/>
        <v/>
      </c>
      <c r="AP91" s="1" t="str">
        <f>IFERROR(ROUND(Backend!$AL91*VLOOKUP($F91,'OH,Profit &amp; Other Base'!$A:$V,Backend!AP$6,0),5),"")</f>
        <v/>
      </c>
      <c r="AQ91" s="1" t="str">
        <f>IFERROR(ROUND(Backend!$AO91*VLOOKUP($F91,'OH,Profit &amp; Other Base'!$A:$V,Backend!AQ$6,0),5),"")</f>
        <v/>
      </c>
      <c r="AR91" s="1" t="str">
        <f>IFERROR(ROUND(Backend!$AM91*VLOOKUP($F91,'OH,Profit &amp; Other Base'!$A:$V,Backend!AR$6,0),5),"")</f>
        <v/>
      </c>
      <c r="AS91" s="1" t="str">
        <f>IFERROR(ROUND(Backend!$AL91*VLOOKUP($F91,'OH,Profit &amp; Other Base'!$A:$V,Backend!AS$6,0),5),"")</f>
        <v/>
      </c>
      <c r="AT91" s="1" t="str">
        <f>IFERROR(ROUND(Backend!$AO91*VLOOKUP($F91,'OH,Profit &amp; Other Base'!$A:$V,Backend!AT$6,0),5),"")</f>
        <v/>
      </c>
      <c r="AU91" s="1" t="str">
        <f>IFERROR(ROUND(Backend!$AM91*VLOOKUP($F91,'OH,Profit &amp; Other Base'!$A:$V,Backend!AU$6,0),5),"")</f>
        <v/>
      </c>
      <c r="AV91" s="1" t="str">
        <f>IFERROR(ROUND(Backend!$AL91*VLOOKUP($F91,'OH,Profit &amp; Other Base'!$A:$V,Backend!AV$6,0),5),"")</f>
        <v/>
      </c>
      <c r="AW91" s="1" t="str">
        <f>IFERROR(ROUND(Backend!$AO91*VLOOKUP($F91,'OH,Profit &amp; Other Base'!$A:$V,Backend!AW$6,0),5),"")</f>
        <v/>
      </c>
      <c r="AX91" s="1" t="str">
        <f>IFERROR(ROUND(Backend!$AM91*VLOOKUP($F91,'OH,Profit &amp; Other Base'!$A:$V,Backend!AX$6,0),5),"")</f>
        <v/>
      </c>
      <c r="AY91" s="1" t="str">
        <f>IFERROR(ROUND(Backend!$AL91*VLOOKUP($F91,'OH,Profit &amp; Other Base'!$A:$V,Backend!AY$6,0),5),"")</f>
        <v/>
      </c>
      <c r="AZ91" s="1" t="str">
        <f>IFERROR(ROUND(Backend!$AO91*VLOOKUP($F91,'OH,Profit &amp; Other Base'!$A:$V,Backend!AZ$6,0),5),"")</f>
        <v/>
      </c>
      <c r="BA91" s="1" t="str">
        <f>IFERROR(ROUND(Backend!$AM91*VLOOKUP($F91,'OH,Profit &amp; Other Base'!$A:$V,Backend!BA$6,0),5),"")</f>
        <v/>
      </c>
      <c r="BB91" s="1" t="str">
        <f>IFERROR(ROUND(Backend!$AL91*VLOOKUP($F91,'OH,Profit &amp; Other Base'!$A:$V,Backend!BB$6,0),5),"")</f>
        <v/>
      </c>
      <c r="BC91" s="1" t="str">
        <f>IFERROR(ROUND(Backend!$AO91*VLOOKUP($F91,'OH,Profit &amp; Other Base'!$A:$V,Backend!BC$6,0),5),"")</f>
        <v/>
      </c>
      <c r="BD91" s="1" t="str">
        <f>IFERROR(ROUND(Backend!$AM91*VLOOKUP($F91,'OH,Profit &amp; Other Base'!$A:$V,Backend!BD$6,0),5),"")</f>
        <v/>
      </c>
      <c r="BE91" s="1" t="str">
        <f>IFERROR(ROUND(Backend!$AL91*VLOOKUP($F91,'OH,Profit &amp; Other Base'!$A:$V,Backend!BE$6,0),5),"")</f>
        <v/>
      </c>
      <c r="BF91" s="1" t="str">
        <f>IFERROR(ROUND(Backend!$AO91*VLOOKUP($F91,'OH,Profit &amp; Other Base'!$A:$V,Backend!BF$6,0),5),"")</f>
        <v/>
      </c>
      <c r="BG91" s="1" t="str">
        <f>IFERROR(ROUND(Backend!$AM91*VLOOKUP($F91,'OH,Profit &amp; Other Base'!$A:$V,Backend!BG$6,0),5),"")</f>
        <v/>
      </c>
      <c r="BH91" s="1" t="str">
        <f>IFERROR(ROUND(Backend!$AL91*VLOOKUP($F91,'OH,Profit &amp; Other Base'!$A:$V,Backend!BH$6,0),5),"")</f>
        <v/>
      </c>
      <c r="BI91" s="1" t="str">
        <f>IFERROR(ROUND(Backend!$AO91*VLOOKUP($F91,'OH,Profit &amp; Other Base'!$A:$V,Backend!BI$6,0),5),"")</f>
        <v/>
      </c>
      <c r="BJ91" s="1" t="str">
        <f>IFERROR(ROUND(Backend!$AM91*VLOOKUP($F91,'OH,Profit &amp; Other Base'!$A:$V,Backend!BJ$6,0),5),"")</f>
        <v/>
      </c>
      <c r="BK91" s="3">
        <f>SUM(AN91:BJ91,Backend!O91)</f>
        <v>0</v>
      </c>
    </row>
    <row r="92" spans="1:63">
      <c r="A92" s="1">
        <f>BOM!A87</f>
        <v>0</v>
      </c>
      <c r="B92" s="1">
        <f>BOM!B87</f>
        <v>0</v>
      </c>
      <c r="C92" s="1">
        <f>BOM!C87</f>
        <v>0</v>
      </c>
      <c r="D92" s="1">
        <f>BOM!D87</f>
        <v>0</v>
      </c>
      <c r="E92" s="1">
        <f>BOM!F87</f>
        <v>0</v>
      </c>
      <c r="F92" s="1" t="str">
        <f>IF(H92="CSC",BOM!H87,IF(J92="BOFOthers","Sheet Metal-B",""))</f>
        <v/>
      </c>
      <c r="G92" s="1">
        <f>BOM!I87</f>
        <v>0</v>
      </c>
      <c r="H92" s="1">
        <f>BOM!J87</f>
        <v>0</v>
      </c>
      <c r="I92" s="1" t="str">
        <f t="shared" si="7"/>
        <v>Others</v>
      </c>
      <c r="J92" s="1" t="str">
        <f t="shared" si="8"/>
        <v>0Others</v>
      </c>
      <c r="K92" s="3" t="str">
        <f>IF($J92="InhouseCSC",VLOOKUP($D92,Group!$C:$E,3,0),"")</f>
        <v/>
      </c>
      <c r="L92" s="3" t="str">
        <f>IF(OR($J92="BOSFCSC",$J92="BOFCSC"),VLOOKUP($D92,Group!$C:$E,3,0),"")</f>
        <v/>
      </c>
      <c r="M92" s="3" t="str">
        <f>IF(OR($J92="BOSFCSC",$J92="BOFCSC"),VLOOKUP($D92,Group!$C:$F,4,0),"")</f>
        <v/>
      </c>
      <c r="N92" s="3" t="str">
        <f>IF(OR($J92="InhouseCSC",$J92="BOSFCSC"),VLOOKUP($D92,Group!$C:$G,5,0),"")</f>
        <v/>
      </c>
      <c r="O92" s="3" t="str">
        <f>IF($J92="InhouseCSC",ROUND(VLOOKUP($D92,Group!$C:$H,6,0),5),"")</f>
        <v/>
      </c>
      <c r="P92" s="3" t="str">
        <f>IF(OR($J92="BOSFCSC",$J92="BOFCSC"),VLOOKUP($D92,Group!$C:$H,6,0),"")</f>
        <v/>
      </c>
      <c r="Q92" s="1" t="str">
        <f>IF($J92="Inhouseothers",VLOOKUP($D92,Group!$C:$E,3,0),"")</f>
        <v/>
      </c>
      <c r="R92" s="1" t="str">
        <f>IF($J92="BOSFOthers",VLOOKUP($D92,Group!$C:$E,3,0),"")</f>
        <v/>
      </c>
      <c r="S92" s="3" t="str">
        <f>IF($J92="BOFOthers",VLOOKUP($D92,Group!$C:$E,3,0),"")</f>
        <v/>
      </c>
      <c r="U92" s="1" t="str">
        <f>IFERROR(Backend!$L92*VLOOKUP($F92,'OH,Profit &amp; Other Base'!$A:$V,Backend!U$6,0),"")</f>
        <v/>
      </c>
      <c r="V92" s="1" t="str">
        <f>IFERROR(Backend!$M92*VLOOKUP($F92,'OH,Profit &amp; Other Base'!$A:$V,Backend!V$6,0),"")</f>
        <v/>
      </c>
      <c r="W92" s="1" t="str">
        <f>IFERROR(Backend!$L92*VLOOKUP($F92,'OH,Profit &amp; Other Base'!$A:$V,Backend!W$6,0),"")</f>
        <v/>
      </c>
      <c r="X92" s="1" t="str">
        <f>IFERROR(Backend!$M92*VLOOKUP($F92,'OH,Profit &amp; Other Base'!$A:$V,Backend!X$6,0),"")</f>
        <v/>
      </c>
      <c r="Y92" s="1" t="str">
        <f>IFERROR(Backend!$L92*VLOOKUP($F92,'OH,Profit &amp; Other Base'!$A:$V,Backend!Y$6,0),"")</f>
        <v/>
      </c>
      <c r="Z92" s="1" t="str">
        <f>IFERROR(Backend!$M92*VLOOKUP($F92,'OH,Profit &amp; Other Base'!$A:$V,Backend!Z$6,0),"")</f>
        <v/>
      </c>
      <c r="AA92" s="1" t="str">
        <f>IFERROR(Backend!$L92*VLOOKUP($F92,'OH,Profit &amp; Other Base'!$A:$V,Backend!AA$6,0),"")</f>
        <v/>
      </c>
      <c r="AB92" s="1" t="str">
        <f>IFERROR(Backend!$M92*VLOOKUP($F92,'OH,Profit &amp; Other Base'!$A:$V,Backend!AB$6,0),"")</f>
        <v/>
      </c>
      <c r="AC92" s="1" t="str">
        <f>IFERROR(Backend!$L92*VLOOKUP($F92,'OH,Profit &amp; Other Base'!$A:$V,Backend!AC$6,0),"")</f>
        <v/>
      </c>
      <c r="AD92" s="1" t="str">
        <f>IFERROR(Backend!$M92*VLOOKUP($F92,'OH,Profit &amp; Other Base'!$A:$V,Backend!AD$6,0),"")</f>
        <v/>
      </c>
      <c r="AE92" s="1" t="str">
        <f>IFERROR(Backend!$L92*VLOOKUP($F92,'OH,Profit &amp; Other Base'!$A:$V,Backend!AE$6,0),"")</f>
        <v/>
      </c>
      <c r="AF92" s="1" t="str">
        <f>IFERROR(Backend!$M92*VLOOKUP($F92,'OH,Profit &amp; Other Base'!$A:$V,Backend!AF$6,0),"")</f>
        <v/>
      </c>
      <c r="AG92" s="1" t="str">
        <f>IFERROR(Backend!$L92*VLOOKUP($F92,'OH,Profit &amp; Other Base'!$A:$V,Backend!AG$6,0),"")</f>
        <v/>
      </c>
      <c r="AH92" s="1" t="str">
        <f>IFERROR(Backend!$M92*VLOOKUP($F92,'OH,Profit &amp; Other Base'!$A:$V,Backend!AH$6,0),"")</f>
        <v/>
      </c>
      <c r="AI92" s="3">
        <f t="shared" si="9"/>
        <v>0</v>
      </c>
      <c r="AL92" s="1" t="str">
        <f t="shared" si="10"/>
        <v/>
      </c>
      <c r="AM92" s="1" t="str">
        <f t="shared" si="11"/>
        <v/>
      </c>
      <c r="AN92" s="1" t="str">
        <f t="shared" si="12"/>
        <v/>
      </c>
      <c r="AO92" s="1" t="str">
        <f t="shared" si="13"/>
        <v/>
      </c>
      <c r="AP92" s="1" t="str">
        <f>IFERROR(ROUND(Backend!$AL92*VLOOKUP($F92,'OH,Profit &amp; Other Base'!$A:$V,Backend!AP$6,0),5),"")</f>
        <v/>
      </c>
      <c r="AQ92" s="1" t="str">
        <f>IFERROR(ROUND(Backend!$AO92*VLOOKUP($F92,'OH,Profit &amp; Other Base'!$A:$V,Backend!AQ$6,0),5),"")</f>
        <v/>
      </c>
      <c r="AR92" s="1" t="str">
        <f>IFERROR(ROUND(Backend!$AM92*VLOOKUP($F92,'OH,Profit &amp; Other Base'!$A:$V,Backend!AR$6,0),5),"")</f>
        <v/>
      </c>
      <c r="AS92" s="1" t="str">
        <f>IFERROR(ROUND(Backend!$AL92*VLOOKUP($F92,'OH,Profit &amp; Other Base'!$A:$V,Backend!AS$6,0),5),"")</f>
        <v/>
      </c>
      <c r="AT92" s="1" t="str">
        <f>IFERROR(ROUND(Backend!$AO92*VLOOKUP($F92,'OH,Profit &amp; Other Base'!$A:$V,Backend!AT$6,0),5),"")</f>
        <v/>
      </c>
      <c r="AU92" s="1" t="str">
        <f>IFERROR(ROUND(Backend!$AM92*VLOOKUP($F92,'OH,Profit &amp; Other Base'!$A:$V,Backend!AU$6,0),5),"")</f>
        <v/>
      </c>
      <c r="AV92" s="1" t="str">
        <f>IFERROR(ROUND(Backend!$AL92*VLOOKUP($F92,'OH,Profit &amp; Other Base'!$A:$V,Backend!AV$6,0),5),"")</f>
        <v/>
      </c>
      <c r="AW92" s="1" t="str">
        <f>IFERROR(ROUND(Backend!$AO92*VLOOKUP($F92,'OH,Profit &amp; Other Base'!$A:$V,Backend!AW$6,0),5),"")</f>
        <v/>
      </c>
      <c r="AX92" s="1" t="str">
        <f>IFERROR(ROUND(Backend!$AM92*VLOOKUP($F92,'OH,Profit &amp; Other Base'!$A:$V,Backend!AX$6,0),5),"")</f>
        <v/>
      </c>
      <c r="AY92" s="1" t="str">
        <f>IFERROR(ROUND(Backend!$AL92*VLOOKUP($F92,'OH,Profit &amp; Other Base'!$A:$V,Backend!AY$6,0),5),"")</f>
        <v/>
      </c>
      <c r="AZ92" s="1" t="str">
        <f>IFERROR(ROUND(Backend!$AO92*VLOOKUP($F92,'OH,Profit &amp; Other Base'!$A:$V,Backend!AZ$6,0),5),"")</f>
        <v/>
      </c>
      <c r="BA92" s="1" t="str">
        <f>IFERROR(ROUND(Backend!$AM92*VLOOKUP($F92,'OH,Profit &amp; Other Base'!$A:$V,Backend!BA$6,0),5),"")</f>
        <v/>
      </c>
      <c r="BB92" s="1" t="str">
        <f>IFERROR(ROUND(Backend!$AL92*VLOOKUP($F92,'OH,Profit &amp; Other Base'!$A:$V,Backend!BB$6,0),5),"")</f>
        <v/>
      </c>
      <c r="BC92" s="1" t="str">
        <f>IFERROR(ROUND(Backend!$AO92*VLOOKUP($F92,'OH,Profit &amp; Other Base'!$A:$V,Backend!BC$6,0),5),"")</f>
        <v/>
      </c>
      <c r="BD92" s="1" t="str">
        <f>IFERROR(ROUND(Backend!$AM92*VLOOKUP($F92,'OH,Profit &amp; Other Base'!$A:$V,Backend!BD$6,0),5),"")</f>
        <v/>
      </c>
      <c r="BE92" s="1" t="str">
        <f>IFERROR(ROUND(Backend!$AL92*VLOOKUP($F92,'OH,Profit &amp; Other Base'!$A:$V,Backend!BE$6,0),5),"")</f>
        <v/>
      </c>
      <c r="BF92" s="1" t="str">
        <f>IFERROR(ROUND(Backend!$AO92*VLOOKUP($F92,'OH,Profit &amp; Other Base'!$A:$V,Backend!BF$6,0),5),"")</f>
        <v/>
      </c>
      <c r="BG92" s="1" t="str">
        <f>IFERROR(ROUND(Backend!$AM92*VLOOKUP($F92,'OH,Profit &amp; Other Base'!$A:$V,Backend!BG$6,0),5),"")</f>
        <v/>
      </c>
      <c r="BH92" s="1" t="str">
        <f>IFERROR(ROUND(Backend!$AL92*VLOOKUP($F92,'OH,Profit &amp; Other Base'!$A:$V,Backend!BH$6,0),5),"")</f>
        <v/>
      </c>
      <c r="BI92" s="1" t="str">
        <f>IFERROR(ROUND(Backend!$AO92*VLOOKUP($F92,'OH,Profit &amp; Other Base'!$A:$V,Backend!BI$6,0),5),"")</f>
        <v/>
      </c>
      <c r="BJ92" s="1" t="str">
        <f>IFERROR(ROUND(Backend!$AM92*VLOOKUP($F92,'OH,Profit &amp; Other Base'!$A:$V,Backend!BJ$6,0),5),"")</f>
        <v/>
      </c>
      <c r="BK92" s="3">
        <f>SUM(AN92:BJ92,Backend!O92)</f>
        <v>0</v>
      </c>
    </row>
    <row r="93" spans="1:63">
      <c r="A93" s="1">
        <f>BOM!A88</f>
        <v>0</v>
      </c>
      <c r="B93" s="1">
        <f>BOM!B88</f>
        <v>0</v>
      </c>
      <c r="C93" s="1">
        <f>BOM!C88</f>
        <v>0</v>
      </c>
      <c r="D93" s="1">
        <f>BOM!D88</f>
        <v>0</v>
      </c>
      <c r="E93" s="1">
        <f>BOM!F88</f>
        <v>0</v>
      </c>
      <c r="F93" s="1" t="str">
        <f>IF(H93="CSC",BOM!H88,IF(J93="BOFOthers","Sheet Metal-B",""))</f>
        <v/>
      </c>
      <c r="G93" s="1">
        <f>BOM!I88</f>
        <v>0</v>
      </c>
      <c r="H93" s="1">
        <f>BOM!J88</f>
        <v>0</v>
      </c>
      <c r="I93" s="1" t="str">
        <f t="shared" si="7"/>
        <v>Others</v>
      </c>
      <c r="J93" s="1" t="str">
        <f t="shared" si="8"/>
        <v>0Others</v>
      </c>
      <c r="K93" s="3" t="str">
        <f>IF($J93="InhouseCSC",VLOOKUP($D93,Group!$C:$E,3,0),"")</f>
        <v/>
      </c>
      <c r="L93" s="3" t="str">
        <f>IF(OR($J93="BOSFCSC",$J93="BOFCSC"),VLOOKUP($D93,Group!$C:$E,3,0),"")</f>
        <v/>
      </c>
      <c r="M93" s="3" t="str">
        <f>IF(OR($J93="BOSFCSC",$J93="BOFCSC"),VLOOKUP($D93,Group!$C:$F,4,0),"")</f>
        <v/>
      </c>
      <c r="N93" s="3" t="str">
        <f>IF(OR($J93="InhouseCSC",$J93="BOSFCSC"),VLOOKUP($D93,Group!$C:$G,5,0),"")</f>
        <v/>
      </c>
      <c r="O93" s="3" t="str">
        <f>IF($J93="InhouseCSC",ROUND(VLOOKUP($D93,Group!$C:$H,6,0),5),"")</f>
        <v/>
      </c>
      <c r="P93" s="3" t="str">
        <f>IF(OR($J93="BOSFCSC",$J93="BOFCSC"),VLOOKUP($D93,Group!$C:$H,6,0),"")</f>
        <v/>
      </c>
      <c r="Q93" s="1" t="str">
        <f>IF($J93="Inhouseothers",VLOOKUP($D93,Group!$C:$E,3,0),"")</f>
        <v/>
      </c>
      <c r="R93" s="1" t="str">
        <f>IF($J93="BOSFOthers",VLOOKUP($D93,Group!$C:$E,3,0),"")</f>
        <v/>
      </c>
      <c r="S93" s="3" t="str">
        <f>IF($J93="BOFOthers",VLOOKUP($D93,Group!$C:$E,3,0),"")</f>
        <v/>
      </c>
      <c r="U93" s="1" t="str">
        <f>IFERROR(Backend!$L93*VLOOKUP($F93,'OH,Profit &amp; Other Base'!$A:$V,Backend!U$6,0),"")</f>
        <v/>
      </c>
      <c r="V93" s="1" t="str">
        <f>IFERROR(Backend!$M93*VLOOKUP($F93,'OH,Profit &amp; Other Base'!$A:$V,Backend!V$6,0),"")</f>
        <v/>
      </c>
      <c r="W93" s="1" t="str">
        <f>IFERROR(Backend!$L93*VLOOKUP($F93,'OH,Profit &amp; Other Base'!$A:$V,Backend!W$6,0),"")</f>
        <v/>
      </c>
      <c r="X93" s="1" t="str">
        <f>IFERROR(Backend!$M93*VLOOKUP($F93,'OH,Profit &amp; Other Base'!$A:$V,Backend!X$6,0),"")</f>
        <v/>
      </c>
      <c r="Y93" s="1" t="str">
        <f>IFERROR(Backend!$L93*VLOOKUP($F93,'OH,Profit &amp; Other Base'!$A:$V,Backend!Y$6,0),"")</f>
        <v/>
      </c>
      <c r="Z93" s="1" t="str">
        <f>IFERROR(Backend!$M93*VLOOKUP($F93,'OH,Profit &amp; Other Base'!$A:$V,Backend!Z$6,0),"")</f>
        <v/>
      </c>
      <c r="AA93" s="1" t="str">
        <f>IFERROR(Backend!$L93*VLOOKUP($F93,'OH,Profit &amp; Other Base'!$A:$V,Backend!AA$6,0),"")</f>
        <v/>
      </c>
      <c r="AB93" s="1" t="str">
        <f>IFERROR(Backend!$M93*VLOOKUP($F93,'OH,Profit &amp; Other Base'!$A:$V,Backend!AB$6,0),"")</f>
        <v/>
      </c>
      <c r="AC93" s="1" t="str">
        <f>IFERROR(Backend!$L93*VLOOKUP($F93,'OH,Profit &amp; Other Base'!$A:$V,Backend!AC$6,0),"")</f>
        <v/>
      </c>
      <c r="AD93" s="1" t="str">
        <f>IFERROR(Backend!$M93*VLOOKUP($F93,'OH,Profit &amp; Other Base'!$A:$V,Backend!AD$6,0),"")</f>
        <v/>
      </c>
      <c r="AE93" s="1" t="str">
        <f>IFERROR(Backend!$L93*VLOOKUP($F93,'OH,Profit &amp; Other Base'!$A:$V,Backend!AE$6,0),"")</f>
        <v/>
      </c>
      <c r="AF93" s="1" t="str">
        <f>IFERROR(Backend!$M93*VLOOKUP($F93,'OH,Profit &amp; Other Base'!$A:$V,Backend!AF$6,0),"")</f>
        <v/>
      </c>
      <c r="AG93" s="1" t="str">
        <f>IFERROR(Backend!$L93*VLOOKUP($F93,'OH,Profit &amp; Other Base'!$A:$V,Backend!AG$6,0),"")</f>
        <v/>
      </c>
      <c r="AH93" s="1" t="str">
        <f>IFERROR(Backend!$M93*VLOOKUP($F93,'OH,Profit &amp; Other Base'!$A:$V,Backend!AH$6,0),"")</f>
        <v/>
      </c>
      <c r="AI93" s="3">
        <f t="shared" si="9"/>
        <v>0</v>
      </c>
      <c r="AL93" s="1" t="str">
        <f t="shared" si="10"/>
        <v/>
      </c>
      <c r="AM93" s="1" t="str">
        <f t="shared" si="11"/>
        <v/>
      </c>
      <c r="AN93" s="1" t="str">
        <f t="shared" si="12"/>
        <v/>
      </c>
      <c r="AO93" s="1" t="str">
        <f t="shared" si="13"/>
        <v/>
      </c>
      <c r="AP93" s="1" t="str">
        <f>IFERROR(ROUND(Backend!$AL93*VLOOKUP($F93,'OH,Profit &amp; Other Base'!$A:$V,Backend!AP$6,0),5),"")</f>
        <v/>
      </c>
      <c r="AQ93" s="1" t="str">
        <f>IFERROR(ROUND(Backend!$AO93*VLOOKUP($F93,'OH,Profit &amp; Other Base'!$A:$V,Backend!AQ$6,0),5),"")</f>
        <v/>
      </c>
      <c r="AR93" s="1" t="str">
        <f>IFERROR(ROUND(Backend!$AM93*VLOOKUP($F93,'OH,Profit &amp; Other Base'!$A:$V,Backend!AR$6,0),5),"")</f>
        <v/>
      </c>
      <c r="AS93" s="1" t="str">
        <f>IFERROR(ROUND(Backend!$AL93*VLOOKUP($F93,'OH,Profit &amp; Other Base'!$A:$V,Backend!AS$6,0),5),"")</f>
        <v/>
      </c>
      <c r="AT93" s="1" t="str">
        <f>IFERROR(ROUND(Backend!$AO93*VLOOKUP($F93,'OH,Profit &amp; Other Base'!$A:$V,Backend!AT$6,0),5),"")</f>
        <v/>
      </c>
      <c r="AU93" s="1" t="str">
        <f>IFERROR(ROUND(Backend!$AM93*VLOOKUP($F93,'OH,Profit &amp; Other Base'!$A:$V,Backend!AU$6,0),5),"")</f>
        <v/>
      </c>
      <c r="AV93" s="1" t="str">
        <f>IFERROR(ROUND(Backend!$AL93*VLOOKUP($F93,'OH,Profit &amp; Other Base'!$A:$V,Backend!AV$6,0),5),"")</f>
        <v/>
      </c>
      <c r="AW93" s="1" t="str">
        <f>IFERROR(ROUND(Backend!$AO93*VLOOKUP($F93,'OH,Profit &amp; Other Base'!$A:$V,Backend!AW$6,0),5),"")</f>
        <v/>
      </c>
      <c r="AX93" s="1" t="str">
        <f>IFERROR(ROUND(Backend!$AM93*VLOOKUP($F93,'OH,Profit &amp; Other Base'!$A:$V,Backend!AX$6,0),5),"")</f>
        <v/>
      </c>
      <c r="AY93" s="1" t="str">
        <f>IFERROR(ROUND(Backend!$AL93*VLOOKUP($F93,'OH,Profit &amp; Other Base'!$A:$V,Backend!AY$6,0),5),"")</f>
        <v/>
      </c>
      <c r="AZ93" s="1" t="str">
        <f>IFERROR(ROUND(Backend!$AO93*VLOOKUP($F93,'OH,Profit &amp; Other Base'!$A:$V,Backend!AZ$6,0),5),"")</f>
        <v/>
      </c>
      <c r="BA93" s="1" t="str">
        <f>IFERROR(ROUND(Backend!$AM93*VLOOKUP($F93,'OH,Profit &amp; Other Base'!$A:$V,Backend!BA$6,0),5),"")</f>
        <v/>
      </c>
      <c r="BB93" s="1" t="str">
        <f>IFERROR(ROUND(Backend!$AL93*VLOOKUP($F93,'OH,Profit &amp; Other Base'!$A:$V,Backend!BB$6,0),5),"")</f>
        <v/>
      </c>
      <c r="BC93" s="1" t="str">
        <f>IFERROR(ROUND(Backend!$AO93*VLOOKUP($F93,'OH,Profit &amp; Other Base'!$A:$V,Backend!BC$6,0),5),"")</f>
        <v/>
      </c>
      <c r="BD93" s="1" t="str">
        <f>IFERROR(ROUND(Backend!$AM93*VLOOKUP($F93,'OH,Profit &amp; Other Base'!$A:$V,Backend!BD$6,0),5),"")</f>
        <v/>
      </c>
      <c r="BE93" s="1" t="str">
        <f>IFERROR(ROUND(Backend!$AL93*VLOOKUP($F93,'OH,Profit &amp; Other Base'!$A:$V,Backend!BE$6,0),5),"")</f>
        <v/>
      </c>
      <c r="BF93" s="1" t="str">
        <f>IFERROR(ROUND(Backend!$AO93*VLOOKUP($F93,'OH,Profit &amp; Other Base'!$A:$V,Backend!BF$6,0),5),"")</f>
        <v/>
      </c>
      <c r="BG93" s="1" t="str">
        <f>IFERROR(ROUND(Backend!$AM93*VLOOKUP($F93,'OH,Profit &amp; Other Base'!$A:$V,Backend!BG$6,0),5),"")</f>
        <v/>
      </c>
      <c r="BH93" s="1" t="str">
        <f>IFERROR(ROUND(Backend!$AL93*VLOOKUP($F93,'OH,Profit &amp; Other Base'!$A:$V,Backend!BH$6,0),5),"")</f>
        <v/>
      </c>
      <c r="BI93" s="1" t="str">
        <f>IFERROR(ROUND(Backend!$AO93*VLOOKUP($F93,'OH,Profit &amp; Other Base'!$A:$V,Backend!BI$6,0),5),"")</f>
        <v/>
      </c>
      <c r="BJ93" s="1" t="str">
        <f>IFERROR(ROUND(Backend!$AM93*VLOOKUP($F93,'OH,Profit &amp; Other Base'!$A:$V,Backend!BJ$6,0),5),"")</f>
        <v/>
      </c>
      <c r="BK93" s="3">
        <f>SUM(AN93:BJ93,Backend!O93)</f>
        <v>0</v>
      </c>
    </row>
    <row r="94" spans="1:63">
      <c r="A94" s="1">
        <f>BOM!A89</f>
        <v>0</v>
      </c>
      <c r="B94" s="1">
        <f>BOM!B89</f>
        <v>0</v>
      </c>
      <c r="C94" s="1">
        <f>BOM!C89</f>
        <v>0</v>
      </c>
      <c r="D94" s="1">
        <f>BOM!D89</f>
        <v>0</v>
      </c>
      <c r="E94" s="1">
        <f>BOM!F89</f>
        <v>0</v>
      </c>
      <c r="F94" s="1" t="str">
        <f>IF(H94="CSC",BOM!H89,IF(J94="BOFOthers","Sheet Metal-B",""))</f>
        <v/>
      </c>
      <c r="G94" s="1">
        <f>BOM!I89</f>
        <v>0</v>
      </c>
      <c r="H94" s="1">
        <f>BOM!J89</f>
        <v>0</v>
      </c>
      <c r="I94" s="1" t="str">
        <f t="shared" si="7"/>
        <v>Others</v>
      </c>
      <c r="J94" s="1" t="str">
        <f t="shared" si="8"/>
        <v>0Others</v>
      </c>
      <c r="K94" s="3" t="str">
        <f>IF($J94="InhouseCSC",VLOOKUP($D94,Group!$C:$E,3,0),"")</f>
        <v/>
      </c>
      <c r="L94" s="3" t="str">
        <f>IF(OR($J94="BOSFCSC",$J94="BOFCSC"),VLOOKUP($D94,Group!$C:$E,3,0),"")</f>
        <v/>
      </c>
      <c r="M94" s="3" t="str">
        <f>IF(OR($J94="BOSFCSC",$J94="BOFCSC"),VLOOKUP($D94,Group!$C:$F,4,0),"")</f>
        <v/>
      </c>
      <c r="N94" s="3" t="str">
        <f>IF(OR($J94="InhouseCSC",$J94="BOSFCSC"),VLOOKUP($D94,Group!$C:$G,5,0),"")</f>
        <v/>
      </c>
      <c r="O94" s="3" t="str">
        <f>IF($J94="InhouseCSC",ROUND(VLOOKUP($D94,Group!$C:$H,6,0),5),"")</f>
        <v/>
      </c>
      <c r="P94" s="3" t="str">
        <f>IF(OR($J94="BOSFCSC",$J94="BOFCSC"),VLOOKUP($D94,Group!$C:$H,6,0),"")</f>
        <v/>
      </c>
      <c r="Q94" s="1" t="str">
        <f>IF($J94="Inhouseothers",VLOOKUP($D94,Group!$C:$E,3,0),"")</f>
        <v/>
      </c>
      <c r="R94" s="1" t="str">
        <f>IF($J94="BOSFOthers",VLOOKUP($D94,Group!$C:$E,3,0),"")</f>
        <v/>
      </c>
      <c r="S94" s="3" t="str">
        <f>IF($J94="BOFOthers",VLOOKUP($D94,Group!$C:$E,3,0),"")</f>
        <v/>
      </c>
      <c r="U94" s="1" t="str">
        <f>IFERROR(Backend!$L94*VLOOKUP($F94,'OH,Profit &amp; Other Base'!$A:$V,Backend!U$6,0),"")</f>
        <v/>
      </c>
      <c r="V94" s="1" t="str">
        <f>IFERROR(Backend!$M94*VLOOKUP($F94,'OH,Profit &amp; Other Base'!$A:$V,Backend!V$6,0),"")</f>
        <v/>
      </c>
      <c r="W94" s="1" t="str">
        <f>IFERROR(Backend!$L94*VLOOKUP($F94,'OH,Profit &amp; Other Base'!$A:$V,Backend!W$6,0),"")</f>
        <v/>
      </c>
      <c r="X94" s="1" t="str">
        <f>IFERROR(Backend!$M94*VLOOKUP($F94,'OH,Profit &amp; Other Base'!$A:$V,Backend!X$6,0),"")</f>
        <v/>
      </c>
      <c r="Y94" s="1" t="str">
        <f>IFERROR(Backend!$L94*VLOOKUP($F94,'OH,Profit &amp; Other Base'!$A:$V,Backend!Y$6,0),"")</f>
        <v/>
      </c>
      <c r="Z94" s="1" t="str">
        <f>IFERROR(Backend!$M94*VLOOKUP($F94,'OH,Profit &amp; Other Base'!$A:$V,Backend!Z$6,0),"")</f>
        <v/>
      </c>
      <c r="AA94" s="1" t="str">
        <f>IFERROR(Backend!$L94*VLOOKUP($F94,'OH,Profit &amp; Other Base'!$A:$V,Backend!AA$6,0),"")</f>
        <v/>
      </c>
      <c r="AB94" s="1" t="str">
        <f>IFERROR(Backend!$M94*VLOOKUP($F94,'OH,Profit &amp; Other Base'!$A:$V,Backend!AB$6,0),"")</f>
        <v/>
      </c>
      <c r="AC94" s="1" t="str">
        <f>IFERROR(Backend!$L94*VLOOKUP($F94,'OH,Profit &amp; Other Base'!$A:$V,Backend!AC$6,0),"")</f>
        <v/>
      </c>
      <c r="AD94" s="1" t="str">
        <f>IFERROR(Backend!$M94*VLOOKUP($F94,'OH,Profit &amp; Other Base'!$A:$V,Backend!AD$6,0),"")</f>
        <v/>
      </c>
      <c r="AE94" s="1" t="str">
        <f>IFERROR(Backend!$L94*VLOOKUP($F94,'OH,Profit &amp; Other Base'!$A:$V,Backend!AE$6,0),"")</f>
        <v/>
      </c>
      <c r="AF94" s="1" t="str">
        <f>IFERROR(Backend!$M94*VLOOKUP($F94,'OH,Profit &amp; Other Base'!$A:$V,Backend!AF$6,0),"")</f>
        <v/>
      </c>
      <c r="AG94" s="1" t="str">
        <f>IFERROR(Backend!$L94*VLOOKUP($F94,'OH,Profit &amp; Other Base'!$A:$V,Backend!AG$6,0),"")</f>
        <v/>
      </c>
      <c r="AH94" s="1" t="str">
        <f>IFERROR(Backend!$M94*VLOOKUP($F94,'OH,Profit &amp; Other Base'!$A:$V,Backend!AH$6,0),"")</f>
        <v/>
      </c>
      <c r="AI94" s="3">
        <f t="shared" si="9"/>
        <v>0</v>
      </c>
      <c r="AL94" s="1" t="str">
        <f t="shared" si="10"/>
        <v/>
      </c>
      <c r="AM94" s="1" t="str">
        <f t="shared" si="11"/>
        <v/>
      </c>
      <c r="AN94" s="1" t="str">
        <f t="shared" si="12"/>
        <v/>
      </c>
      <c r="AO94" s="1" t="str">
        <f t="shared" si="13"/>
        <v/>
      </c>
      <c r="AP94" s="1" t="str">
        <f>IFERROR(ROUND(Backend!$AL94*VLOOKUP($F94,'OH,Profit &amp; Other Base'!$A:$V,Backend!AP$6,0),5),"")</f>
        <v/>
      </c>
      <c r="AQ94" s="1" t="str">
        <f>IFERROR(ROUND(Backend!$AO94*VLOOKUP($F94,'OH,Profit &amp; Other Base'!$A:$V,Backend!AQ$6,0),5),"")</f>
        <v/>
      </c>
      <c r="AR94" s="1" t="str">
        <f>IFERROR(ROUND(Backend!$AM94*VLOOKUP($F94,'OH,Profit &amp; Other Base'!$A:$V,Backend!AR$6,0),5),"")</f>
        <v/>
      </c>
      <c r="AS94" s="1" t="str">
        <f>IFERROR(ROUND(Backend!$AL94*VLOOKUP($F94,'OH,Profit &amp; Other Base'!$A:$V,Backend!AS$6,0),5),"")</f>
        <v/>
      </c>
      <c r="AT94" s="1" t="str">
        <f>IFERROR(ROUND(Backend!$AO94*VLOOKUP($F94,'OH,Profit &amp; Other Base'!$A:$V,Backend!AT$6,0),5),"")</f>
        <v/>
      </c>
      <c r="AU94" s="1" t="str">
        <f>IFERROR(ROUND(Backend!$AM94*VLOOKUP($F94,'OH,Profit &amp; Other Base'!$A:$V,Backend!AU$6,0),5),"")</f>
        <v/>
      </c>
      <c r="AV94" s="1" t="str">
        <f>IFERROR(ROUND(Backend!$AL94*VLOOKUP($F94,'OH,Profit &amp; Other Base'!$A:$V,Backend!AV$6,0),5),"")</f>
        <v/>
      </c>
      <c r="AW94" s="1" t="str">
        <f>IFERROR(ROUND(Backend!$AO94*VLOOKUP($F94,'OH,Profit &amp; Other Base'!$A:$V,Backend!AW$6,0),5),"")</f>
        <v/>
      </c>
      <c r="AX94" s="1" t="str">
        <f>IFERROR(ROUND(Backend!$AM94*VLOOKUP($F94,'OH,Profit &amp; Other Base'!$A:$V,Backend!AX$6,0),5),"")</f>
        <v/>
      </c>
      <c r="AY94" s="1" t="str">
        <f>IFERROR(ROUND(Backend!$AL94*VLOOKUP($F94,'OH,Profit &amp; Other Base'!$A:$V,Backend!AY$6,0),5),"")</f>
        <v/>
      </c>
      <c r="AZ94" s="1" t="str">
        <f>IFERROR(ROUND(Backend!$AO94*VLOOKUP($F94,'OH,Profit &amp; Other Base'!$A:$V,Backend!AZ$6,0),5),"")</f>
        <v/>
      </c>
      <c r="BA94" s="1" t="str">
        <f>IFERROR(ROUND(Backend!$AM94*VLOOKUP($F94,'OH,Profit &amp; Other Base'!$A:$V,Backend!BA$6,0),5),"")</f>
        <v/>
      </c>
      <c r="BB94" s="1" t="str">
        <f>IFERROR(ROUND(Backend!$AL94*VLOOKUP($F94,'OH,Profit &amp; Other Base'!$A:$V,Backend!BB$6,0),5),"")</f>
        <v/>
      </c>
      <c r="BC94" s="1" t="str">
        <f>IFERROR(ROUND(Backend!$AO94*VLOOKUP($F94,'OH,Profit &amp; Other Base'!$A:$V,Backend!BC$6,0),5),"")</f>
        <v/>
      </c>
      <c r="BD94" s="1" t="str">
        <f>IFERROR(ROUND(Backend!$AM94*VLOOKUP($F94,'OH,Profit &amp; Other Base'!$A:$V,Backend!BD$6,0),5),"")</f>
        <v/>
      </c>
      <c r="BE94" s="1" t="str">
        <f>IFERROR(ROUND(Backend!$AL94*VLOOKUP($F94,'OH,Profit &amp; Other Base'!$A:$V,Backend!BE$6,0),5),"")</f>
        <v/>
      </c>
      <c r="BF94" s="1" t="str">
        <f>IFERROR(ROUND(Backend!$AO94*VLOOKUP($F94,'OH,Profit &amp; Other Base'!$A:$V,Backend!BF$6,0),5),"")</f>
        <v/>
      </c>
      <c r="BG94" s="1" t="str">
        <f>IFERROR(ROUND(Backend!$AM94*VLOOKUP($F94,'OH,Profit &amp; Other Base'!$A:$V,Backend!BG$6,0),5),"")</f>
        <v/>
      </c>
      <c r="BH94" s="1" t="str">
        <f>IFERROR(ROUND(Backend!$AL94*VLOOKUP($F94,'OH,Profit &amp; Other Base'!$A:$V,Backend!BH$6,0),5),"")</f>
        <v/>
      </c>
      <c r="BI94" s="1" t="str">
        <f>IFERROR(ROUND(Backend!$AO94*VLOOKUP($F94,'OH,Profit &amp; Other Base'!$A:$V,Backend!BI$6,0),5),"")</f>
        <v/>
      </c>
      <c r="BJ94" s="1" t="str">
        <f>IFERROR(ROUND(Backend!$AM94*VLOOKUP($F94,'OH,Profit &amp; Other Base'!$A:$V,Backend!BJ$6,0),5),"")</f>
        <v/>
      </c>
      <c r="BK94" s="3">
        <f>SUM(AN94:BJ94,Backend!O94)</f>
        <v>0</v>
      </c>
    </row>
    <row r="95" spans="1:63">
      <c r="A95" s="1">
        <f>BOM!A90</f>
        <v>0</v>
      </c>
      <c r="B95" s="1">
        <f>BOM!B90</f>
        <v>0</v>
      </c>
      <c r="C95" s="1">
        <f>BOM!C90</f>
        <v>0</v>
      </c>
      <c r="D95" s="1">
        <f>BOM!D90</f>
        <v>0</v>
      </c>
      <c r="E95" s="1">
        <f>BOM!F90</f>
        <v>0</v>
      </c>
      <c r="F95" s="1" t="str">
        <f>IF(H95="CSC",BOM!H90,IF(J95="BOFOthers","Sheet Metal-B",""))</f>
        <v/>
      </c>
      <c r="G95" s="1">
        <f>BOM!I90</f>
        <v>0</v>
      </c>
      <c r="H95" s="1">
        <f>BOM!J90</f>
        <v>0</v>
      </c>
      <c r="I95" s="1" t="str">
        <f t="shared" si="7"/>
        <v>Others</v>
      </c>
      <c r="J95" s="1" t="str">
        <f t="shared" si="8"/>
        <v>0Others</v>
      </c>
      <c r="K95" s="3" t="str">
        <f>IF($J95="InhouseCSC",VLOOKUP($D95,Group!$C:$E,3,0),"")</f>
        <v/>
      </c>
      <c r="L95" s="3" t="str">
        <f>IF(OR($J95="BOSFCSC",$J95="BOFCSC"),VLOOKUP($D95,Group!$C:$E,3,0),"")</f>
        <v/>
      </c>
      <c r="M95" s="3" t="str">
        <f>IF(OR($J95="BOSFCSC",$J95="BOFCSC"),VLOOKUP($D95,Group!$C:$F,4,0),"")</f>
        <v/>
      </c>
      <c r="N95" s="3" t="str">
        <f>IF(OR($J95="InhouseCSC",$J95="BOSFCSC"),VLOOKUP($D95,Group!$C:$G,5,0),"")</f>
        <v/>
      </c>
      <c r="O95" s="3" t="str">
        <f>IF($J95="InhouseCSC",ROUND(VLOOKUP($D95,Group!$C:$H,6,0),5),"")</f>
        <v/>
      </c>
      <c r="P95" s="3" t="str">
        <f>IF(OR($J95="BOSFCSC",$J95="BOFCSC"),VLOOKUP($D95,Group!$C:$H,6,0),"")</f>
        <v/>
      </c>
      <c r="Q95" s="1" t="str">
        <f>IF($J95="Inhouseothers",VLOOKUP($D95,Group!$C:$E,3,0),"")</f>
        <v/>
      </c>
      <c r="R95" s="1" t="str">
        <f>IF($J95="BOSFOthers",VLOOKUP($D95,Group!$C:$E,3,0),"")</f>
        <v/>
      </c>
      <c r="S95" s="3" t="str">
        <f>IF($J95="BOFOthers",VLOOKUP($D95,Group!$C:$E,3,0),"")</f>
        <v/>
      </c>
      <c r="U95" s="1" t="str">
        <f>IFERROR(Backend!$L95*VLOOKUP($F95,'OH,Profit &amp; Other Base'!$A:$V,Backend!U$6,0),"")</f>
        <v/>
      </c>
      <c r="V95" s="1" t="str">
        <f>IFERROR(Backend!$M95*VLOOKUP($F95,'OH,Profit &amp; Other Base'!$A:$V,Backend!V$6,0),"")</f>
        <v/>
      </c>
      <c r="W95" s="1" t="str">
        <f>IFERROR(Backend!$L95*VLOOKUP($F95,'OH,Profit &amp; Other Base'!$A:$V,Backend!W$6,0),"")</f>
        <v/>
      </c>
      <c r="X95" s="1" t="str">
        <f>IFERROR(Backend!$M95*VLOOKUP($F95,'OH,Profit &amp; Other Base'!$A:$V,Backend!X$6,0),"")</f>
        <v/>
      </c>
      <c r="Y95" s="1" t="str">
        <f>IFERROR(Backend!$L95*VLOOKUP($F95,'OH,Profit &amp; Other Base'!$A:$V,Backend!Y$6,0),"")</f>
        <v/>
      </c>
      <c r="Z95" s="1" t="str">
        <f>IFERROR(Backend!$M95*VLOOKUP($F95,'OH,Profit &amp; Other Base'!$A:$V,Backend!Z$6,0),"")</f>
        <v/>
      </c>
      <c r="AA95" s="1" t="str">
        <f>IFERROR(Backend!$L95*VLOOKUP($F95,'OH,Profit &amp; Other Base'!$A:$V,Backend!AA$6,0),"")</f>
        <v/>
      </c>
      <c r="AB95" s="1" t="str">
        <f>IFERROR(Backend!$M95*VLOOKUP($F95,'OH,Profit &amp; Other Base'!$A:$V,Backend!AB$6,0),"")</f>
        <v/>
      </c>
      <c r="AC95" s="1" t="str">
        <f>IFERROR(Backend!$L95*VLOOKUP($F95,'OH,Profit &amp; Other Base'!$A:$V,Backend!AC$6,0),"")</f>
        <v/>
      </c>
      <c r="AD95" s="1" t="str">
        <f>IFERROR(Backend!$M95*VLOOKUP($F95,'OH,Profit &amp; Other Base'!$A:$V,Backend!AD$6,0),"")</f>
        <v/>
      </c>
      <c r="AE95" s="1" t="str">
        <f>IFERROR(Backend!$L95*VLOOKUP($F95,'OH,Profit &amp; Other Base'!$A:$V,Backend!AE$6,0),"")</f>
        <v/>
      </c>
      <c r="AF95" s="1" t="str">
        <f>IFERROR(Backend!$M95*VLOOKUP($F95,'OH,Profit &amp; Other Base'!$A:$V,Backend!AF$6,0),"")</f>
        <v/>
      </c>
      <c r="AG95" s="1" t="str">
        <f>IFERROR(Backend!$L95*VLOOKUP($F95,'OH,Profit &amp; Other Base'!$A:$V,Backend!AG$6,0),"")</f>
        <v/>
      </c>
      <c r="AH95" s="1" t="str">
        <f>IFERROR(Backend!$M95*VLOOKUP($F95,'OH,Profit &amp; Other Base'!$A:$V,Backend!AH$6,0),"")</f>
        <v/>
      </c>
      <c r="AI95" s="3">
        <f t="shared" si="9"/>
        <v>0</v>
      </c>
      <c r="AL95" s="1" t="str">
        <f t="shared" si="10"/>
        <v/>
      </c>
      <c r="AM95" s="1" t="str">
        <f t="shared" si="11"/>
        <v/>
      </c>
      <c r="AN95" s="1" t="str">
        <f t="shared" si="12"/>
        <v/>
      </c>
      <c r="AO95" s="1" t="str">
        <f t="shared" si="13"/>
        <v/>
      </c>
      <c r="AP95" s="1" t="str">
        <f>IFERROR(ROUND(Backend!$AL95*VLOOKUP($F95,'OH,Profit &amp; Other Base'!$A:$V,Backend!AP$6,0),5),"")</f>
        <v/>
      </c>
      <c r="AQ95" s="1" t="str">
        <f>IFERROR(ROUND(Backend!$AO95*VLOOKUP($F95,'OH,Profit &amp; Other Base'!$A:$V,Backend!AQ$6,0),5),"")</f>
        <v/>
      </c>
      <c r="AR95" s="1" t="str">
        <f>IFERROR(ROUND(Backend!$AM95*VLOOKUP($F95,'OH,Profit &amp; Other Base'!$A:$V,Backend!AR$6,0),5),"")</f>
        <v/>
      </c>
      <c r="AS95" s="1" t="str">
        <f>IFERROR(ROUND(Backend!$AL95*VLOOKUP($F95,'OH,Profit &amp; Other Base'!$A:$V,Backend!AS$6,0),5),"")</f>
        <v/>
      </c>
      <c r="AT95" s="1" t="str">
        <f>IFERROR(ROUND(Backend!$AO95*VLOOKUP($F95,'OH,Profit &amp; Other Base'!$A:$V,Backend!AT$6,0),5),"")</f>
        <v/>
      </c>
      <c r="AU95" s="1" t="str">
        <f>IFERROR(ROUND(Backend!$AM95*VLOOKUP($F95,'OH,Profit &amp; Other Base'!$A:$V,Backend!AU$6,0),5),"")</f>
        <v/>
      </c>
      <c r="AV95" s="1" t="str">
        <f>IFERROR(ROUND(Backend!$AL95*VLOOKUP($F95,'OH,Profit &amp; Other Base'!$A:$V,Backend!AV$6,0),5),"")</f>
        <v/>
      </c>
      <c r="AW95" s="1" t="str">
        <f>IFERROR(ROUND(Backend!$AO95*VLOOKUP($F95,'OH,Profit &amp; Other Base'!$A:$V,Backend!AW$6,0),5),"")</f>
        <v/>
      </c>
      <c r="AX95" s="1" t="str">
        <f>IFERROR(ROUND(Backend!$AM95*VLOOKUP($F95,'OH,Profit &amp; Other Base'!$A:$V,Backend!AX$6,0),5),"")</f>
        <v/>
      </c>
      <c r="AY95" s="1" t="str">
        <f>IFERROR(ROUND(Backend!$AL95*VLOOKUP($F95,'OH,Profit &amp; Other Base'!$A:$V,Backend!AY$6,0),5),"")</f>
        <v/>
      </c>
      <c r="AZ95" s="1" t="str">
        <f>IFERROR(ROUND(Backend!$AO95*VLOOKUP($F95,'OH,Profit &amp; Other Base'!$A:$V,Backend!AZ$6,0),5),"")</f>
        <v/>
      </c>
      <c r="BA95" s="1" t="str">
        <f>IFERROR(ROUND(Backend!$AM95*VLOOKUP($F95,'OH,Profit &amp; Other Base'!$A:$V,Backend!BA$6,0),5),"")</f>
        <v/>
      </c>
      <c r="BB95" s="1" t="str">
        <f>IFERROR(ROUND(Backend!$AL95*VLOOKUP($F95,'OH,Profit &amp; Other Base'!$A:$V,Backend!BB$6,0),5),"")</f>
        <v/>
      </c>
      <c r="BC95" s="1" t="str">
        <f>IFERROR(ROUND(Backend!$AO95*VLOOKUP($F95,'OH,Profit &amp; Other Base'!$A:$V,Backend!BC$6,0),5),"")</f>
        <v/>
      </c>
      <c r="BD95" s="1" t="str">
        <f>IFERROR(ROUND(Backend!$AM95*VLOOKUP($F95,'OH,Profit &amp; Other Base'!$A:$V,Backend!BD$6,0),5),"")</f>
        <v/>
      </c>
      <c r="BE95" s="1" t="str">
        <f>IFERROR(ROUND(Backend!$AL95*VLOOKUP($F95,'OH,Profit &amp; Other Base'!$A:$V,Backend!BE$6,0),5),"")</f>
        <v/>
      </c>
      <c r="BF95" s="1" t="str">
        <f>IFERROR(ROUND(Backend!$AO95*VLOOKUP($F95,'OH,Profit &amp; Other Base'!$A:$V,Backend!BF$6,0),5),"")</f>
        <v/>
      </c>
      <c r="BG95" s="1" t="str">
        <f>IFERROR(ROUND(Backend!$AM95*VLOOKUP($F95,'OH,Profit &amp; Other Base'!$A:$V,Backend!BG$6,0),5),"")</f>
        <v/>
      </c>
      <c r="BH95" s="1" t="str">
        <f>IFERROR(ROUND(Backend!$AL95*VLOOKUP($F95,'OH,Profit &amp; Other Base'!$A:$V,Backend!BH$6,0),5),"")</f>
        <v/>
      </c>
      <c r="BI95" s="1" t="str">
        <f>IFERROR(ROUND(Backend!$AO95*VLOOKUP($F95,'OH,Profit &amp; Other Base'!$A:$V,Backend!BI$6,0),5),"")</f>
        <v/>
      </c>
      <c r="BJ95" s="1" t="str">
        <f>IFERROR(ROUND(Backend!$AM95*VLOOKUP($F95,'OH,Profit &amp; Other Base'!$A:$V,Backend!BJ$6,0),5),"")</f>
        <v/>
      </c>
      <c r="BK95" s="3">
        <f>SUM(AN95:BJ95,Backend!O95)</f>
        <v>0</v>
      </c>
    </row>
    <row r="96" spans="1:63">
      <c r="A96" s="1">
        <f>BOM!A91</f>
        <v>0</v>
      </c>
      <c r="B96" s="1">
        <f>BOM!B91</f>
        <v>0</v>
      </c>
      <c r="C96" s="1">
        <f>BOM!C91</f>
        <v>0</v>
      </c>
      <c r="D96" s="1">
        <f>BOM!D91</f>
        <v>0</v>
      </c>
      <c r="E96" s="1">
        <f>BOM!F91</f>
        <v>0</v>
      </c>
      <c r="F96" s="1" t="str">
        <f>IF(H96="CSC",BOM!H91,IF(J96="BOFOthers","Sheet Metal-B",""))</f>
        <v/>
      </c>
      <c r="G96" s="1">
        <f>BOM!I91</f>
        <v>0</v>
      </c>
      <c r="H96" s="1">
        <f>BOM!J91</f>
        <v>0</v>
      </c>
      <c r="I96" s="1" t="str">
        <f t="shared" si="7"/>
        <v>Others</v>
      </c>
      <c r="J96" s="1" t="str">
        <f t="shared" si="8"/>
        <v>0Others</v>
      </c>
      <c r="K96" s="3" t="str">
        <f>IF($J96="InhouseCSC",VLOOKUP($D96,Group!$C:$E,3,0),"")</f>
        <v/>
      </c>
      <c r="L96" s="3" t="str">
        <f>IF(OR($J96="BOSFCSC",$J96="BOFCSC"),VLOOKUP($D96,Group!$C:$E,3,0),"")</f>
        <v/>
      </c>
      <c r="M96" s="3" t="str">
        <f>IF(OR($J96="BOSFCSC",$J96="BOFCSC"),VLOOKUP($D96,Group!$C:$F,4,0),"")</f>
        <v/>
      </c>
      <c r="N96" s="3" t="str">
        <f>IF(OR($J96="InhouseCSC",$J96="BOSFCSC"),VLOOKUP($D96,Group!$C:$G,5,0),"")</f>
        <v/>
      </c>
      <c r="O96" s="3" t="str">
        <f>IF($J96="InhouseCSC",ROUND(VLOOKUP($D96,Group!$C:$H,6,0),5),"")</f>
        <v/>
      </c>
      <c r="P96" s="3" t="str">
        <f>IF(OR($J96="BOSFCSC",$J96="BOFCSC"),VLOOKUP($D96,Group!$C:$H,6,0),"")</f>
        <v/>
      </c>
      <c r="Q96" s="1" t="str">
        <f>IF($J96="Inhouseothers",VLOOKUP($D96,Group!$C:$E,3,0),"")</f>
        <v/>
      </c>
      <c r="R96" s="1" t="str">
        <f>IF($J96="BOSFOthers",VLOOKUP($D96,Group!$C:$E,3,0),"")</f>
        <v/>
      </c>
      <c r="S96" s="3" t="str">
        <f>IF($J96="BOFOthers",VLOOKUP($D96,Group!$C:$E,3,0),"")</f>
        <v/>
      </c>
      <c r="U96" s="1" t="str">
        <f>IFERROR(Backend!$L96*VLOOKUP($F96,'OH,Profit &amp; Other Base'!$A:$V,Backend!U$6,0),"")</f>
        <v/>
      </c>
      <c r="V96" s="1" t="str">
        <f>IFERROR(Backend!$M96*VLOOKUP($F96,'OH,Profit &amp; Other Base'!$A:$V,Backend!V$6,0),"")</f>
        <v/>
      </c>
      <c r="W96" s="1" t="str">
        <f>IFERROR(Backend!$L96*VLOOKUP($F96,'OH,Profit &amp; Other Base'!$A:$V,Backend!W$6,0),"")</f>
        <v/>
      </c>
      <c r="X96" s="1" t="str">
        <f>IFERROR(Backend!$M96*VLOOKUP($F96,'OH,Profit &amp; Other Base'!$A:$V,Backend!X$6,0),"")</f>
        <v/>
      </c>
      <c r="Y96" s="1" t="str">
        <f>IFERROR(Backend!$L96*VLOOKUP($F96,'OH,Profit &amp; Other Base'!$A:$V,Backend!Y$6,0),"")</f>
        <v/>
      </c>
      <c r="Z96" s="1" t="str">
        <f>IFERROR(Backend!$M96*VLOOKUP($F96,'OH,Profit &amp; Other Base'!$A:$V,Backend!Z$6,0),"")</f>
        <v/>
      </c>
      <c r="AA96" s="1" t="str">
        <f>IFERROR(Backend!$L96*VLOOKUP($F96,'OH,Profit &amp; Other Base'!$A:$V,Backend!AA$6,0),"")</f>
        <v/>
      </c>
      <c r="AB96" s="1" t="str">
        <f>IFERROR(Backend!$M96*VLOOKUP($F96,'OH,Profit &amp; Other Base'!$A:$V,Backend!AB$6,0),"")</f>
        <v/>
      </c>
      <c r="AC96" s="1" t="str">
        <f>IFERROR(Backend!$L96*VLOOKUP($F96,'OH,Profit &amp; Other Base'!$A:$V,Backend!AC$6,0),"")</f>
        <v/>
      </c>
      <c r="AD96" s="1" t="str">
        <f>IFERROR(Backend!$M96*VLOOKUP($F96,'OH,Profit &amp; Other Base'!$A:$V,Backend!AD$6,0),"")</f>
        <v/>
      </c>
      <c r="AE96" s="1" t="str">
        <f>IFERROR(Backend!$L96*VLOOKUP($F96,'OH,Profit &amp; Other Base'!$A:$V,Backend!AE$6,0),"")</f>
        <v/>
      </c>
      <c r="AF96" s="1" t="str">
        <f>IFERROR(Backend!$M96*VLOOKUP($F96,'OH,Profit &amp; Other Base'!$A:$V,Backend!AF$6,0),"")</f>
        <v/>
      </c>
      <c r="AG96" s="1" t="str">
        <f>IFERROR(Backend!$L96*VLOOKUP($F96,'OH,Profit &amp; Other Base'!$A:$V,Backend!AG$6,0),"")</f>
        <v/>
      </c>
      <c r="AH96" s="1" t="str">
        <f>IFERROR(Backend!$M96*VLOOKUP($F96,'OH,Profit &amp; Other Base'!$A:$V,Backend!AH$6,0),"")</f>
        <v/>
      </c>
      <c r="AI96" s="3">
        <f t="shared" si="9"/>
        <v>0</v>
      </c>
      <c r="AL96" s="1" t="str">
        <f t="shared" si="10"/>
        <v/>
      </c>
      <c r="AM96" s="1" t="str">
        <f t="shared" si="11"/>
        <v/>
      </c>
      <c r="AN96" s="1" t="str">
        <f t="shared" si="12"/>
        <v/>
      </c>
      <c r="AO96" s="1" t="str">
        <f t="shared" si="13"/>
        <v/>
      </c>
      <c r="AP96" s="1" t="str">
        <f>IFERROR(ROUND(Backend!$AL96*VLOOKUP($F96,'OH,Profit &amp; Other Base'!$A:$V,Backend!AP$6,0),5),"")</f>
        <v/>
      </c>
      <c r="AQ96" s="1" t="str">
        <f>IFERROR(ROUND(Backend!$AO96*VLOOKUP($F96,'OH,Profit &amp; Other Base'!$A:$V,Backend!AQ$6,0),5),"")</f>
        <v/>
      </c>
      <c r="AR96" s="1" t="str">
        <f>IFERROR(ROUND(Backend!$AM96*VLOOKUP($F96,'OH,Profit &amp; Other Base'!$A:$V,Backend!AR$6,0),5),"")</f>
        <v/>
      </c>
      <c r="AS96" s="1" t="str">
        <f>IFERROR(ROUND(Backend!$AL96*VLOOKUP($F96,'OH,Profit &amp; Other Base'!$A:$V,Backend!AS$6,0),5),"")</f>
        <v/>
      </c>
      <c r="AT96" s="1" t="str">
        <f>IFERROR(ROUND(Backend!$AO96*VLOOKUP($F96,'OH,Profit &amp; Other Base'!$A:$V,Backend!AT$6,0),5),"")</f>
        <v/>
      </c>
      <c r="AU96" s="1" t="str">
        <f>IFERROR(ROUND(Backend!$AM96*VLOOKUP($F96,'OH,Profit &amp; Other Base'!$A:$V,Backend!AU$6,0),5),"")</f>
        <v/>
      </c>
      <c r="AV96" s="1" t="str">
        <f>IFERROR(ROUND(Backend!$AL96*VLOOKUP($F96,'OH,Profit &amp; Other Base'!$A:$V,Backend!AV$6,0),5),"")</f>
        <v/>
      </c>
      <c r="AW96" s="1" t="str">
        <f>IFERROR(ROUND(Backend!$AO96*VLOOKUP($F96,'OH,Profit &amp; Other Base'!$A:$V,Backend!AW$6,0),5),"")</f>
        <v/>
      </c>
      <c r="AX96" s="1" t="str">
        <f>IFERROR(ROUND(Backend!$AM96*VLOOKUP($F96,'OH,Profit &amp; Other Base'!$A:$V,Backend!AX$6,0),5),"")</f>
        <v/>
      </c>
      <c r="AY96" s="1" t="str">
        <f>IFERROR(ROUND(Backend!$AL96*VLOOKUP($F96,'OH,Profit &amp; Other Base'!$A:$V,Backend!AY$6,0),5),"")</f>
        <v/>
      </c>
      <c r="AZ96" s="1" t="str">
        <f>IFERROR(ROUND(Backend!$AO96*VLOOKUP($F96,'OH,Profit &amp; Other Base'!$A:$V,Backend!AZ$6,0),5),"")</f>
        <v/>
      </c>
      <c r="BA96" s="1" t="str">
        <f>IFERROR(ROUND(Backend!$AM96*VLOOKUP($F96,'OH,Profit &amp; Other Base'!$A:$V,Backend!BA$6,0),5),"")</f>
        <v/>
      </c>
      <c r="BB96" s="1" t="str">
        <f>IFERROR(ROUND(Backend!$AL96*VLOOKUP($F96,'OH,Profit &amp; Other Base'!$A:$V,Backend!BB$6,0),5),"")</f>
        <v/>
      </c>
      <c r="BC96" s="1" t="str">
        <f>IFERROR(ROUND(Backend!$AO96*VLOOKUP($F96,'OH,Profit &amp; Other Base'!$A:$V,Backend!BC$6,0),5),"")</f>
        <v/>
      </c>
      <c r="BD96" s="1" t="str">
        <f>IFERROR(ROUND(Backend!$AM96*VLOOKUP($F96,'OH,Profit &amp; Other Base'!$A:$V,Backend!BD$6,0),5),"")</f>
        <v/>
      </c>
      <c r="BE96" s="1" t="str">
        <f>IFERROR(ROUND(Backend!$AL96*VLOOKUP($F96,'OH,Profit &amp; Other Base'!$A:$V,Backend!BE$6,0),5),"")</f>
        <v/>
      </c>
      <c r="BF96" s="1" t="str">
        <f>IFERROR(ROUND(Backend!$AO96*VLOOKUP($F96,'OH,Profit &amp; Other Base'!$A:$V,Backend!BF$6,0),5),"")</f>
        <v/>
      </c>
      <c r="BG96" s="1" t="str">
        <f>IFERROR(ROUND(Backend!$AM96*VLOOKUP($F96,'OH,Profit &amp; Other Base'!$A:$V,Backend!BG$6,0),5),"")</f>
        <v/>
      </c>
      <c r="BH96" s="1" t="str">
        <f>IFERROR(ROUND(Backend!$AL96*VLOOKUP($F96,'OH,Profit &amp; Other Base'!$A:$V,Backend!BH$6,0),5),"")</f>
        <v/>
      </c>
      <c r="BI96" s="1" t="str">
        <f>IFERROR(ROUND(Backend!$AO96*VLOOKUP($F96,'OH,Profit &amp; Other Base'!$A:$V,Backend!BI$6,0),5),"")</f>
        <v/>
      </c>
      <c r="BJ96" s="1" t="str">
        <f>IFERROR(ROUND(Backend!$AM96*VLOOKUP($F96,'OH,Profit &amp; Other Base'!$A:$V,Backend!BJ$6,0),5),"")</f>
        <v/>
      </c>
      <c r="BK96" s="3">
        <f>SUM(AN96:BJ96,Backend!O96)</f>
        <v>0</v>
      </c>
    </row>
    <row r="97" spans="1:63">
      <c r="A97" s="1">
        <f>BOM!A92</f>
        <v>0</v>
      </c>
      <c r="B97" s="1">
        <f>BOM!B92</f>
        <v>0</v>
      </c>
      <c r="C97" s="1">
        <f>BOM!C92</f>
        <v>0</v>
      </c>
      <c r="D97" s="1">
        <f>BOM!D92</f>
        <v>0</v>
      </c>
      <c r="E97" s="1">
        <f>BOM!F92</f>
        <v>0</v>
      </c>
      <c r="F97" s="1" t="str">
        <f>IF(H97="CSC",BOM!H92,IF(J97="BOFOthers","Sheet Metal-B",""))</f>
        <v/>
      </c>
      <c r="G97" s="1">
        <f>BOM!I92</f>
        <v>0</v>
      </c>
      <c r="H97" s="1">
        <f>BOM!J92</f>
        <v>0</v>
      </c>
      <c r="I97" s="1" t="str">
        <f t="shared" si="7"/>
        <v>Others</v>
      </c>
      <c r="J97" s="1" t="str">
        <f t="shared" si="8"/>
        <v>0Others</v>
      </c>
      <c r="K97" s="3" t="str">
        <f>IF($J97="InhouseCSC",VLOOKUP($D97,Group!$C:$E,3,0),"")</f>
        <v/>
      </c>
      <c r="L97" s="3" t="str">
        <f>IF(OR($J97="BOSFCSC",$J97="BOFCSC"),VLOOKUP($D97,Group!$C:$E,3,0),"")</f>
        <v/>
      </c>
      <c r="M97" s="3" t="str">
        <f>IF(OR($J97="BOSFCSC",$J97="BOFCSC"),VLOOKUP($D97,Group!$C:$F,4,0),"")</f>
        <v/>
      </c>
      <c r="N97" s="3" t="str">
        <f>IF(OR($J97="InhouseCSC",$J97="BOSFCSC"),VLOOKUP($D97,Group!$C:$G,5,0),"")</f>
        <v/>
      </c>
      <c r="O97" s="3" t="str">
        <f>IF($J97="InhouseCSC",ROUND(VLOOKUP($D97,Group!$C:$H,6,0),5),"")</f>
        <v/>
      </c>
      <c r="P97" s="3" t="str">
        <f>IF(OR($J97="BOSFCSC",$J97="BOFCSC"),VLOOKUP($D97,Group!$C:$H,6,0),"")</f>
        <v/>
      </c>
      <c r="Q97" s="1" t="str">
        <f>IF($J97="Inhouseothers",VLOOKUP($D97,Group!$C:$E,3,0),"")</f>
        <v/>
      </c>
      <c r="R97" s="1" t="str">
        <f>IF($J97="BOSFOthers",VLOOKUP($D97,Group!$C:$E,3,0),"")</f>
        <v/>
      </c>
      <c r="S97" s="3" t="str">
        <f>IF($J97="BOFOthers",VLOOKUP($D97,Group!$C:$E,3,0),"")</f>
        <v/>
      </c>
      <c r="U97" s="1" t="str">
        <f>IFERROR(Backend!$L97*VLOOKUP($F97,'OH,Profit &amp; Other Base'!$A:$V,Backend!U$6,0),"")</f>
        <v/>
      </c>
      <c r="V97" s="1" t="str">
        <f>IFERROR(Backend!$M97*VLOOKUP($F97,'OH,Profit &amp; Other Base'!$A:$V,Backend!V$6,0),"")</f>
        <v/>
      </c>
      <c r="W97" s="1" t="str">
        <f>IFERROR(Backend!$L97*VLOOKUP($F97,'OH,Profit &amp; Other Base'!$A:$V,Backend!W$6,0),"")</f>
        <v/>
      </c>
      <c r="X97" s="1" t="str">
        <f>IFERROR(Backend!$M97*VLOOKUP($F97,'OH,Profit &amp; Other Base'!$A:$V,Backend!X$6,0),"")</f>
        <v/>
      </c>
      <c r="Y97" s="1" t="str">
        <f>IFERROR(Backend!$L97*VLOOKUP($F97,'OH,Profit &amp; Other Base'!$A:$V,Backend!Y$6,0),"")</f>
        <v/>
      </c>
      <c r="Z97" s="1" t="str">
        <f>IFERROR(Backend!$M97*VLOOKUP($F97,'OH,Profit &amp; Other Base'!$A:$V,Backend!Z$6,0),"")</f>
        <v/>
      </c>
      <c r="AA97" s="1" t="str">
        <f>IFERROR(Backend!$L97*VLOOKUP($F97,'OH,Profit &amp; Other Base'!$A:$V,Backend!AA$6,0),"")</f>
        <v/>
      </c>
      <c r="AB97" s="1" t="str">
        <f>IFERROR(Backend!$M97*VLOOKUP($F97,'OH,Profit &amp; Other Base'!$A:$V,Backend!AB$6,0),"")</f>
        <v/>
      </c>
      <c r="AC97" s="1" t="str">
        <f>IFERROR(Backend!$L97*VLOOKUP($F97,'OH,Profit &amp; Other Base'!$A:$V,Backend!AC$6,0),"")</f>
        <v/>
      </c>
      <c r="AD97" s="1" t="str">
        <f>IFERROR(Backend!$M97*VLOOKUP($F97,'OH,Profit &amp; Other Base'!$A:$V,Backend!AD$6,0),"")</f>
        <v/>
      </c>
      <c r="AE97" s="1" t="str">
        <f>IFERROR(Backend!$L97*VLOOKUP($F97,'OH,Profit &amp; Other Base'!$A:$V,Backend!AE$6,0),"")</f>
        <v/>
      </c>
      <c r="AF97" s="1" t="str">
        <f>IFERROR(Backend!$M97*VLOOKUP($F97,'OH,Profit &amp; Other Base'!$A:$V,Backend!AF$6,0),"")</f>
        <v/>
      </c>
      <c r="AG97" s="1" t="str">
        <f>IFERROR(Backend!$L97*VLOOKUP($F97,'OH,Profit &amp; Other Base'!$A:$V,Backend!AG$6,0),"")</f>
        <v/>
      </c>
      <c r="AH97" s="1" t="str">
        <f>IFERROR(Backend!$M97*VLOOKUP($F97,'OH,Profit &amp; Other Base'!$A:$V,Backend!AH$6,0),"")</f>
        <v/>
      </c>
      <c r="AI97" s="3">
        <f t="shared" si="9"/>
        <v>0</v>
      </c>
      <c r="AL97" s="1" t="str">
        <f t="shared" si="10"/>
        <v/>
      </c>
      <c r="AM97" s="1" t="str">
        <f t="shared" si="11"/>
        <v/>
      </c>
      <c r="AN97" s="1" t="str">
        <f t="shared" si="12"/>
        <v/>
      </c>
      <c r="AO97" s="1" t="str">
        <f t="shared" si="13"/>
        <v/>
      </c>
      <c r="AP97" s="1" t="str">
        <f>IFERROR(ROUND(Backend!$AL97*VLOOKUP($F97,'OH,Profit &amp; Other Base'!$A:$V,Backend!AP$6,0),5),"")</f>
        <v/>
      </c>
      <c r="AQ97" s="1" t="str">
        <f>IFERROR(ROUND(Backend!$AO97*VLOOKUP($F97,'OH,Profit &amp; Other Base'!$A:$V,Backend!AQ$6,0),5),"")</f>
        <v/>
      </c>
      <c r="AR97" s="1" t="str">
        <f>IFERROR(ROUND(Backend!$AM97*VLOOKUP($F97,'OH,Profit &amp; Other Base'!$A:$V,Backend!AR$6,0),5),"")</f>
        <v/>
      </c>
      <c r="AS97" s="1" t="str">
        <f>IFERROR(ROUND(Backend!$AL97*VLOOKUP($F97,'OH,Profit &amp; Other Base'!$A:$V,Backend!AS$6,0),5),"")</f>
        <v/>
      </c>
      <c r="AT97" s="1" t="str">
        <f>IFERROR(ROUND(Backend!$AO97*VLOOKUP($F97,'OH,Profit &amp; Other Base'!$A:$V,Backend!AT$6,0),5),"")</f>
        <v/>
      </c>
      <c r="AU97" s="1" t="str">
        <f>IFERROR(ROUND(Backend!$AM97*VLOOKUP($F97,'OH,Profit &amp; Other Base'!$A:$V,Backend!AU$6,0),5),"")</f>
        <v/>
      </c>
      <c r="AV97" s="1" t="str">
        <f>IFERROR(ROUND(Backend!$AL97*VLOOKUP($F97,'OH,Profit &amp; Other Base'!$A:$V,Backend!AV$6,0),5),"")</f>
        <v/>
      </c>
      <c r="AW97" s="1" t="str">
        <f>IFERROR(ROUND(Backend!$AO97*VLOOKUP($F97,'OH,Profit &amp; Other Base'!$A:$V,Backend!AW$6,0),5),"")</f>
        <v/>
      </c>
      <c r="AX97" s="1" t="str">
        <f>IFERROR(ROUND(Backend!$AM97*VLOOKUP($F97,'OH,Profit &amp; Other Base'!$A:$V,Backend!AX$6,0),5),"")</f>
        <v/>
      </c>
      <c r="AY97" s="1" t="str">
        <f>IFERROR(ROUND(Backend!$AL97*VLOOKUP($F97,'OH,Profit &amp; Other Base'!$A:$V,Backend!AY$6,0),5),"")</f>
        <v/>
      </c>
      <c r="AZ97" s="1" t="str">
        <f>IFERROR(ROUND(Backend!$AO97*VLOOKUP($F97,'OH,Profit &amp; Other Base'!$A:$V,Backend!AZ$6,0),5),"")</f>
        <v/>
      </c>
      <c r="BA97" s="1" t="str">
        <f>IFERROR(ROUND(Backend!$AM97*VLOOKUP($F97,'OH,Profit &amp; Other Base'!$A:$V,Backend!BA$6,0),5),"")</f>
        <v/>
      </c>
      <c r="BB97" s="1" t="str">
        <f>IFERROR(ROUND(Backend!$AL97*VLOOKUP($F97,'OH,Profit &amp; Other Base'!$A:$V,Backend!BB$6,0),5),"")</f>
        <v/>
      </c>
      <c r="BC97" s="1" t="str">
        <f>IFERROR(ROUND(Backend!$AO97*VLOOKUP($F97,'OH,Profit &amp; Other Base'!$A:$V,Backend!BC$6,0),5),"")</f>
        <v/>
      </c>
      <c r="BD97" s="1" t="str">
        <f>IFERROR(ROUND(Backend!$AM97*VLOOKUP($F97,'OH,Profit &amp; Other Base'!$A:$V,Backend!BD$6,0),5),"")</f>
        <v/>
      </c>
      <c r="BE97" s="1" t="str">
        <f>IFERROR(ROUND(Backend!$AL97*VLOOKUP($F97,'OH,Profit &amp; Other Base'!$A:$V,Backend!BE$6,0),5),"")</f>
        <v/>
      </c>
      <c r="BF97" s="1" t="str">
        <f>IFERROR(ROUND(Backend!$AO97*VLOOKUP($F97,'OH,Profit &amp; Other Base'!$A:$V,Backend!BF$6,0),5),"")</f>
        <v/>
      </c>
      <c r="BG97" s="1" t="str">
        <f>IFERROR(ROUND(Backend!$AM97*VLOOKUP($F97,'OH,Profit &amp; Other Base'!$A:$V,Backend!BG$6,0),5),"")</f>
        <v/>
      </c>
      <c r="BH97" s="1" t="str">
        <f>IFERROR(ROUND(Backend!$AL97*VLOOKUP($F97,'OH,Profit &amp; Other Base'!$A:$V,Backend!BH$6,0),5),"")</f>
        <v/>
      </c>
      <c r="BI97" s="1" t="str">
        <f>IFERROR(ROUND(Backend!$AO97*VLOOKUP($F97,'OH,Profit &amp; Other Base'!$A:$V,Backend!BI$6,0),5),"")</f>
        <v/>
      </c>
      <c r="BJ97" s="1" t="str">
        <f>IFERROR(ROUND(Backend!$AM97*VLOOKUP($F97,'OH,Profit &amp; Other Base'!$A:$V,Backend!BJ$6,0),5),"")</f>
        <v/>
      </c>
      <c r="BK97" s="3">
        <f>SUM(AN97:BJ97,Backend!O97)</f>
        <v>0</v>
      </c>
    </row>
    <row r="98" spans="1:63">
      <c r="A98" s="1">
        <f>BOM!A93</f>
        <v>0</v>
      </c>
      <c r="B98" s="1">
        <f>BOM!B93</f>
        <v>0</v>
      </c>
      <c r="C98" s="1">
        <f>BOM!C93</f>
        <v>0</v>
      </c>
      <c r="D98" s="1">
        <f>BOM!D93</f>
        <v>0</v>
      </c>
      <c r="E98" s="1">
        <f>BOM!F93</f>
        <v>0</v>
      </c>
      <c r="F98" s="1" t="str">
        <f>IF(H98="CSC",BOM!H93,IF(J98="BOFOthers","Sheet Metal-B",""))</f>
        <v/>
      </c>
      <c r="G98" s="1">
        <f>BOM!I93</f>
        <v>0</v>
      </c>
      <c r="H98" s="1">
        <f>BOM!J93</f>
        <v>0</v>
      </c>
      <c r="I98" s="1" t="str">
        <f t="shared" si="7"/>
        <v>Others</v>
      </c>
      <c r="J98" s="1" t="str">
        <f t="shared" si="8"/>
        <v>0Others</v>
      </c>
      <c r="K98" s="3" t="str">
        <f>IF($J98="InhouseCSC",VLOOKUP($D98,Group!$C:$E,3,0),"")</f>
        <v/>
      </c>
      <c r="L98" s="3" t="str">
        <f>IF(OR($J98="BOSFCSC",$J98="BOFCSC"),VLOOKUP($D98,Group!$C:$E,3,0),"")</f>
        <v/>
      </c>
      <c r="M98" s="3" t="str">
        <f>IF(OR($J98="BOSFCSC",$J98="BOFCSC"),VLOOKUP($D98,Group!$C:$F,4,0),"")</f>
        <v/>
      </c>
      <c r="N98" s="3" t="str">
        <f>IF(OR($J98="InhouseCSC",$J98="BOSFCSC"),VLOOKUP($D98,Group!$C:$G,5,0),"")</f>
        <v/>
      </c>
      <c r="O98" s="3" t="str">
        <f>IF($J98="InhouseCSC",ROUND(VLOOKUP($D98,Group!$C:$H,6,0),5),"")</f>
        <v/>
      </c>
      <c r="P98" s="3" t="str">
        <f>IF(OR($J98="BOSFCSC",$J98="BOFCSC"),VLOOKUP($D98,Group!$C:$H,6,0),"")</f>
        <v/>
      </c>
      <c r="Q98" s="1" t="str">
        <f>IF($J98="Inhouseothers",VLOOKUP($D98,Group!$C:$E,3,0),"")</f>
        <v/>
      </c>
      <c r="R98" s="1" t="str">
        <f>IF($J98="BOSFOthers",VLOOKUP($D98,Group!$C:$E,3,0),"")</f>
        <v/>
      </c>
      <c r="S98" s="3" t="str">
        <f>IF($J98="BOFOthers",VLOOKUP($D98,Group!$C:$E,3,0),"")</f>
        <v/>
      </c>
      <c r="U98" s="1" t="str">
        <f>IFERROR(Backend!$L98*VLOOKUP($F98,'OH,Profit &amp; Other Base'!$A:$V,Backend!U$6,0),"")</f>
        <v/>
      </c>
      <c r="V98" s="1" t="str">
        <f>IFERROR(Backend!$M98*VLOOKUP($F98,'OH,Profit &amp; Other Base'!$A:$V,Backend!V$6,0),"")</f>
        <v/>
      </c>
      <c r="W98" s="1" t="str">
        <f>IFERROR(Backend!$L98*VLOOKUP($F98,'OH,Profit &amp; Other Base'!$A:$V,Backend!W$6,0),"")</f>
        <v/>
      </c>
      <c r="X98" s="1" t="str">
        <f>IFERROR(Backend!$M98*VLOOKUP($F98,'OH,Profit &amp; Other Base'!$A:$V,Backend!X$6,0),"")</f>
        <v/>
      </c>
      <c r="Y98" s="1" t="str">
        <f>IFERROR(Backend!$L98*VLOOKUP($F98,'OH,Profit &amp; Other Base'!$A:$V,Backend!Y$6,0),"")</f>
        <v/>
      </c>
      <c r="Z98" s="1" t="str">
        <f>IFERROR(Backend!$M98*VLOOKUP($F98,'OH,Profit &amp; Other Base'!$A:$V,Backend!Z$6,0),"")</f>
        <v/>
      </c>
      <c r="AA98" s="1" t="str">
        <f>IFERROR(Backend!$L98*VLOOKUP($F98,'OH,Profit &amp; Other Base'!$A:$V,Backend!AA$6,0),"")</f>
        <v/>
      </c>
      <c r="AB98" s="1" t="str">
        <f>IFERROR(Backend!$M98*VLOOKUP($F98,'OH,Profit &amp; Other Base'!$A:$V,Backend!AB$6,0),"")</f>
        <v/>
      </c>
      <c r="AC98" s="1" t="str">
        <f>IFERROR(Backend!$L98*VLOOKUP($F98,'OH,Profit &amp; Other Base'!$A:$V,Backend!AC$6,0),"")</f>
        <v/>
      </c>
      <c r="AD98" s="1" t="str">
        <f>IFERROR(Backend!$M98*VLOOKUP($F98,'OH,Profit &amp; Other Base'!$A:$V,Backend!AD$6,0),"")</f>
        <v/>
      </c>
      <c r="AE98" s="1" t="str">
        <f>IFERROR(Backend!$L98*VLOOKUP($F98,'OH,Profit &amp; Other Base'!$A:$V,Backend!AE$6,0),"")</f>
        <v/>
      </c>
      <c r="AF98" s="1" t="str">
        <f>IFERROR(Backend!$M98*VLOOKUP($F98,'OH,Profit &amp; Other Base'!$A:$V,Backend!AF$6,0),"")</f>
        <v/>
      </c>
      <c r="AG98" s="1" t="str">
        <f>IFERROR(Backend!$L98*VLOOKUP($F98,'OH,Profit &amp; Other Base'!$A:$V,Backend!AG$6,0),"")</f>
        <v/>
      </c>
      <c r="AH98" s="1" t="str">
        <f>IFERROR(Backend!$M98*VLOOKUP($F98,'OH,Profit &amp; Other Base'!$A:$V,Backend!AH$6,0),"")</f>
        <v/>
      </c>
      <c r="AI98" s="3">
        <f t="shared" si="9"/>
        <v>0</v>
      </c>
      <c r="AL98" s="1" t="str">
        <f t="shared" si="10"/>
        <v/>
      </c>
      <c r="AM98" s="1" t="str">
        <f t="shared" si="11"/>
        <v/>
      </c>
      <c r="AN98" s="1" t="str">
        <f t="shared" si="12"/>
        <v/>
      </c>
      <c r="AO98" s="1" t="str">
        <f t="shared" si="13"/>
        <v/>
      </c>
      <c r="AP98" s="1" t="str">
        <f>IFERROR(ROUND(Backend!$AL98*VLOOKUP($F98,'OH,Profit &amp; Other Base'!$A:$V,Backend!AP$6,0),5),"")</f>
        <v/>
      </c>
      <c r="AQ98" s="1" t="str">
        <f>IFERROR(ROUND(Backend!$AO98*VLOOKUP($F98,'OH,Profit &amp; Other Base'!$A:$V,Backend!AQ$6,0),5),"")</f>
        <v/>
      </c>
      <c r="AR98" s="1" t="str">
        <f>IFERROR(ROUND(Backend!$AM98*VLOOKUP($F98,'OH,Profit &amp; Other Base'!$A:$V,Backend!AR$6,0),5),"")</f>
        <v/>
      </c>
      <c r="AS98" s="1" t="str">
        <f>IFERROR(ROUND(Backend!$AL98*VLOOKUP($F98,'OH,Profit &amp; Other Base'!$A:$V,Backend!AS$6,0),5),"")</f>
        <v/>
      </c>
      <c r="AT98" s="1" t="str">
        <f>IFERROR(ROUND(Backend!$AO98*VLOOKUP($F98,'OH,Profit &amp; Other Base'!$A:$V,Backend!AT$6,0),5),"")</f>
        <v/>
      </c>
      <c r="AU98" s="1" t="str">
        <f>IFERROR(ROUND(Backend!$AM98*VLOOKUP($F98,'OH,Profit &amp; Other Base'!$A:$V,Backend!AU$6,0),5),"")</f>
        <v/>
      </c>
      <c r="AV98" s="1" t="str">
        <f>IFERROR(ROUND(Backend!$AL98*VLOOKUP($F98,'OH,Profit &amp; Other Base'!$A:$V,Backend!AV$6,0),5),"")</f>
        <v/>
      </c>
      <c r="AW98" s="1" t="str">
        <f>IFERROR(ROUND(Backend!$AO98*VLOOKUP($F98,'OH,Profit &amp; Other Base'!$A:$V,Backend!AW$6,0),5),"")</f>
        <v/>
      </c>
      <c r="AX98" s="1" t="str">
        <f>IFERROR(ROUND(Backend!$AM98*VLOOKUP($F98,'OH,Profit &amp; Other Base'!$A:$V,Backend!AX$6,0),5),"")</f>
        <v/>
      </c>
      <c r="AY98" s="1" t="str">
        <f>IFERROR(ROUND(Backend!$AL98*VLOOKUP($F98,'OH,Profit &amp; Other Base'!$A:$V,Backend!AY$6,0),5),"")</f>
        <v/>
      </c>
      <c r="AZ98" s="1" t="str">
        <f>IFERROR(ROUND(Backend!$AO98*VLOOKUP($F98,'OH,Profit &amp; Other Base'!$A:$V,Backend!AZ$6,0),5),"")</f>
        <v/>
      </c>
      <c r="BA98" s="1" t="str">
        <f>IFERROR(ROUND(Backend!$AM98*VLOOKUP($F98,'OH,Profit &amp; Other Base'!$A:$V,Backend!BA$6,0),5),"")</f>
        <v/>
      </c>
      <c r="BB98" s="1" t="str">
        <f>IFERROR(ROUND(Backend!$AL98*VLOOKUP($F98,'OH,Profit &amp; Other Base'!$A:$V,Backend!BB$6,0),5),"")</f>
        <v/>
      </c>
      <c r="BC98" s="1" t="str">
        <f>IFERROR(ROUND(Backend!$AO98*VLOOKUP($F98,'OH,Profit &amp; Other Base'!$A:$V,Backend!BC$6,0),5),"")</f>
        <v/>
      </c>
      <c r="BD98" s="1" t="str">
        <f>IFERROR(ROUND(Backend!$AM98*VLOOKUP($F98,'OH,Profit &amp; Other Base'!$A:$V,Backend!BD$6,0),5),"")</f>
        <v/>
      </c>
      <c r="BE98" s="1" t="str">
        <f>IFERROR(ROUND(Backend!$AL98*VLOOKUP($F98,'OH,Profit &amp; Other Base'!$A:$V,Backend!BE$6,0),5),"")</f>
        <v/>
      </c>
      <c r="BF98" s="1" t="str">
        <f>IFERROR(ROUND(Backend!$AO98*VLOOKUP($F98,'OH,Profit &amp; Other Base'!$A:$V,Backend!BF$6,0),5),"")</f>
        <v/>
      </c>
      <c r="BG98" s="1" t="str">
        <f>IFERROR(ROUND(Backend!$AM98*VLOOKUP($F98,'OH,Profit &amp; Other Base'!$A:$V,Backend!BG$6,0),5),"")</f>
        <v/>
      </c>
      <c r="BH98" s="1" t="str">
        <f>IFERROR(ROUND(Backend!$AL98*VLOOKUP($F98,'OH,Profit &amp; Other Base'!$A:$V,Backend!BH$6,0),5),"")</f>
        <v/>
      </c>
      <c r="BI98" s="1" t="str">
        <f>IFERROR(ROUND(Backend!$AO98*VLOOKUP($F98,'OH,Profit &amp; Other Base'!$A:$V,Backend!BI$6,0),5),"")</f>
        <v/>
      </c>
      <c r="BJ98" s="1" t="str">
        <f>IFERROR(ROUND(Backend!$AM98*VLOOKUP($F98,'OH,Profit &amp; Other Base'!$A:$V,Backend!BJ$6,0),5),"")</f>
        <v/>
      </c>
      <c r="BK98" s="3">
        <f>SUM(AN98:BJ98,Backend!O98)</f>
        <v>0</v>
      </c>
    </row>
    <row r="99" spans="1:63">
      <c r="A99" s="1">
        <f>BOM!A94</f>
        <v>0</v>
      </c>
      <c r="B99" s="1">
        <f>BOM!B94</f>
        <v>0</v>
      </c>
      <c r="C99" s="1">
        <f>BOM!C94</f>
        <v>0</v>
      </c>
      <c r="D99" s="1">
        <f>BOM!D94</f>
        <v>0</v>
      </c>
      <c r="E99" s="1">
        <f>BOM!F94</f>
        <v>0</v>
      </c>
      <c r="F99" s="1" t="str">
        <f>IF(H99="CSC",BOM!H94,IF(J99="BOFOthers","Sheet Metal-B",""))</f>
        <v/>
      </c>
      <c r="G99" s="1">
        <f>BOM!I94</f>
        <v>0</v>
      </c>
      <c r="H99" s="1">
        <f>BOM!J94</f>
        <v>0</v>
      </c>
      <c r="I99" s="1" t="str">
        <f t="shared" si="7"/>
        <v>Others</v>
      </c>
      <c r="J99" s="1" t="str">
        <f t="shared" si="8"/>
        <v>0Others</v>
      </c>
      <c r="K99" s="3" t="str">
        <f>IF($J99="InhouseCSC",VLOOKUP($D99,Group!$C:$E,3,0),"")</f>
        <v/>
      </c>
      <c r="L99" s="3" t="str">
        <f>IF(OR($J99="BOSFCSC",$J99="BOFCSC"),VLOOKUP($D99,Group!$C:$E,3,0),"")</f>
        <v/>
      </c>
      <c r="M99" s="3" t="str">
        <f>IF(OR($J99="BOSFCSC",$J99="BOFCSC"),VLOOKUP($D99,Group!$C:$F,4,0),"")</f>
        <v/>
      </c>
      <c r="N99" s="3" t="str">
        <f>IF(OR($J99="InhouseCSC",$J99="BOSFCSC"),VLOOKUP($D99,Group!$C:$G,5,0),"")</f>
        <v/>
      </c>
      <c r="O99" s="3" t="str">
        <f>IF($J99="InhouseCSC",ROUND(VLOOKUP($D99,Group!$C:$H,6,0),5),"")</f>
        <v/>
      </c>
      <c r="P99" s="3" t="str">
        <f>IF(OR($J99="BOSFCSC",$J99="BOFCSC"),VLOOKUP($D99,Group!$C:$H,6,0),"")</f>
        <v/>
      </c>
      <c r="Q99" s="1" t="str">
        <f>IF($J99="Inhouseothers",VLOOKUP($D99,Group!$C:$E,3,0),"")</f>
        <v/>
      </c>
      <c r="R99" s="1" t="str">
        <f>IF($J99="BOSFOthers",VLOOKUP($D99,Group!$C:$E,3,0),"")</f>
        <v/>
      </c>
      <c r="S99" s="3" t="str">
        <f>IF($J99="BOFOthers",VLOOKUP($D99,Group!$C:$E,3,0),"")</f>
        <v/>
      </c>
      <c r="U99" s="1" t="str">
        <f>IFERROR(Backend!$L99*VLOOKUP($F99,'OH,Profit &amp; Other Base'!$A:$V,Backend!U$6,0),"")</f>
        <v/>
      </c>
      <c r="V99" s="1" t="str">
        <f>IFERROR(Backend!$M99*VLOOKUP($F99,'OH,Profit &amp; Other Base'!$A:$V,Backend!V$6,0),"")</f>
        <v/>
      </c>
      <c r="W99" s="1" t="str">
        <f>IFERROR(Backend!$L99*VLOOKUP($F99,'OH,Profit &amp; Other Base'!$A:$V,Backend!W$6,0),"")</f>
        <v/>
      </c>
      <c r="X99" s="1" t="str">
        <f>IFERROR(Backend!$M99*VLOOKUP($F99,'OH,Profit &amp; Other Base'!$A:$V,Backend!X$6,0),"")</f>
        <v/>
      </c>
      <c r="Y99" s="1" t="str">
        <f>IFERROR(Backend!$L99*VLOOKUP($F99,'OH,Profit &amp; Other Base'!$A:$V,Backend!Y$6,0),"")</f>
        <v/>
      </c>
      <c r="Z99" s="1" t="str">
        <f>IFERROR(Backend!$M99*VLOOKUP($F99,'OH,Profit &amp; Other Base'!$A:$V,Backend!Z$6,0),"")</f>
        <v/>
      </c>
      <c r="AA99" s="1" t="str">
        <f>IFERROR(Backend!$L99*VLOOKUP($F99,'OH,Profit &amp; Other Base'!$A:$V,Backend!AA$6,0),"")</f>
        <v/>
      </c>
      <c r="AB99" s="1" t="str">
        <f>IFERROR(Backend!$M99*VLOOKUP($F99,'OH,Profit &amp; Other Base'!$A:$V,Backend!AB$6,0),"")</f>
        <v/>
      </c>
      <c r="AC99" s="1" t="str">
        <f>IFERROR(Backend!$L99*VLOOKUP($F99,'OH,Profit &amp; Other Base'!$A:$V,Backend!AC$6,0),"")</f>
        <v/>
      </c>
      <c r="AD99" s="1" t="str">
        <f>IFERROR(Backend!$M99*VLOOKUP($F99,'OH,Profit &amp; Other Base'!$A:$V,Backend!AD$6,0),"")</f>
        <v/>
      </c>
      <c r="AE99" s="1" t="str">
        <f>IFERROR(Backend!$L99*VLOOKUP($F99,'OH,Profit &amp; Other Base'!$A:$V,Backend!AE$6,0),"")</f>
        <v/>
      </c>
      <c r="AF99" s="1" t="str">
        <f>IFERROR(Backend!$M99*VLOOKUP($F99,'OH,Profit &amp; Other Base'!$A:$V,Backend!AF$6,0),"")</f>
        <v/>
      </c>
      <c r="AG99" s="1" t="str">
        <f>IFERROR(Backend!$L99*VLOOKUP($F99,'OH,Profit &amp; Other Base'!$A:$V,Backend!AG$6,0),"")</f>
        <v/>
      </c>
      <c r="AH99" s="1" t="str">
        <f>IFERROR(Backend!$M99*VLOOKUP($F99,'OH,Profit &amp; Other Base'!$A:$V,Backend!AH$6,0),"")</f>
        <v/>
      </c>
      <c r="AI99" s="3">
        <f t="shared" si="9"/>
        <v>0</v>
      </c>
      <c r="AL99" s="1" t="str">
        <f t="shared" si="10"/>
        <v/>
      </c>
      <c r="AM99" s="1" t="str">
        <f t="shared" si="11"/>
        <v/>
      </c>
      <c r="AN99" s="1" t="str">
        <f t="shared" si="12"/>
        <v/>
      </c>
      <c r="AO99" s="1" t="str">
        <f t="shared" si="13"/>
        <v/>
      </c>
      <c r="AP99" s="1" t="str">
        <f>IFERROR(ROUND(Backend!$AL99*VLOOKUP($F99,'OH,Profit &amp; Other Base'!$A:$V,Backend!AP$6,0),5),"")</f>
        <v/>
      </c>
      <c r="AQ99" s="1" t="str">
        <f>IFERROR(ROUND(Backend!$AO99*VLOOKUP($F99,'OH,Profit &amp; Other Base'!$A:$V,Backend!AQ$6,0),5),"")</f>
        <v/>
      </c>
      <c r="AR99" s="1" t="str">
        <f>IFERROR(ROUND(Backend!$AM99*VLOOKUP($F99,'OH,Profit &amp; Other Base'!$A:$V,Backend!AR$6,0),5),"")</f>
        <v/>
      </c>
      <c r="AS99" s="1" t="str">
        <f>IFERROR(ROUND(Backend!$AL99*VLOOKUP($F99,'OH,Profit &amp; Other Base'!$A:$V,Backend!AS$6,0),5),"")</f>
        <v/>
      </c>
      <c r="AT99" s="1" t="str">
        <f>IFERROR(ROUND(Backend!$AO99*VLOOKUP($F99,'OH,Profit &amp; Other Base'!$A:$V,Backend!AT$6,0),5),"")</f>
        <v/>
      </c>
      <c r="AU99" s="1" t="str">
        <f>IFERROR(ROUND(Backend!$AM99*VLOOKUP($F99,'OH,Profit &amp; Other Base'!$A:$V,Backend!AU$6,0),5),"")</f>
        <v/>
      </c>
      <c r="AV99" s="1" t="str">
        <f>IFERROR(ROUND(Backend!$AL99*VLOOKUP($F99,'OH,Profit &amp; Other Base'!$A:$V,Backend!AV$6,0),5),"")</f>
        <v/>
      </c>
      <c r="AW99" s="1" t="str">
        <f>IFERROR(ROUND(Backend!$AO99*VLOOKUP($F99,'OH,Profit &amp; Other Base'!$A:$V,Backend!AW$6,0),5),"")</f>
        <v/>
      </c>
      <c r="AX99" s="1" t="str">
        <f>IFERROR(ROUND(Backend!$AM99*VLOOKUP($F99,'OH,Profit &amp; Other Base'!$A:$V,Backend!AX$6,0),5),"")</f>
        <v/>
      </c>
      <c r="AY99" s="1" t="str">
        <f>IFERROR(ROUND(Backend!$AL99*VLOOKUP($F99,'OH,Profit &amp; Other Base'!$A:$V,Backend!AY$6,0),5),"")</f>
        <v/>
      </c>
      <c r="AZ99" s="1" t="str">
        <f>IFERROR(ROUND(Backend!$AO99*VLOOKUP($F99,'OH,Profit &amp; Other Base'!$A:$V,Backend!AZ$6,0),5),"")</f>
        <v/>
      </c>
      <c r="BA99" s="1" t="str">
        <f>IFERROR(ROUND(Backend!$AM99*VLOOKUP($F99,'OH,Profit &amp; Other Base'!$A:$V,Backend!BA$6,0),5),"")</f>
        <v/>
      </c>
      <c r="BB99" s="1" t="str">
        <f>IFERROR(ROUND(Backend!$AL99*VLOOKUP($F99,'OH,Profit &amp; Other Base'!$A:$V,Backend!BB$6,0),5),"")</f>
        <v/>
      </c>
      <c r="BC99" s="1" t="str">
        <f>IFERROR(ROUND(Backend!$AO99*VLOOKUP($F99,'OH,Profit &amp; Other Base'!$A:$V,Backend!BC$6,0),5),"")</f>
        <v/>
      </c>
      <c r="BD99" s="1" t="str">
        <f>IFERROR(ROUND(Backend!$AM99*VLOOKUP($F99,'OH,Profit &amp; Other Base'!$A:$V,Backend!BD$6,0),5),"")</f>
        <v/>
      </c>
      <c r="BE99" s="1" t="str">
        <f>IFERROR(ROUND(Backend!$AL99*VLOOKUP($F99,'OH,Profit &amp; Other Base'!$A:$V,Backend!BE$6,0),5),"")</f>
        <v/>
      </c>
      <c r="BF99" s="1" t="str">
        <f>IFERROR(ROUND(Backend!$AO99*VLOOKUP($F99,'OH,Profit &amp; Other Base'!$A:$V,Backend!BF$6,0),5),"")</f>
        <v/>
      </c>
      <c r="BG99" s="1" t="str">
        <f>IFERROR(ROUND(Backend!$AM99*VLOOKUP($F99,'OH,Profit &amp; Other Base'!$A:$V,Backend!BG$6,0),5),"")</f>
        <v/>
      </c>
      <c r="BH99" s="1" t="str">
        <f>IFERROR(ROUND(Backend!$AL99*VLOOKUP($F99,'OH,Profit &amp; Other Base'!$A:$V,Backend!BH$6,0),5),"")</f>
        <v/>
      </c>
      <c r="BI99" s="1" t="str">
        <f>IFERROR(ROUND(Backend!$AO99*VLOOKUP($F99,'OH,Profit &amp; Other Base'!$A:$V,Backend!BI$6,0),5),"")</f>
        <v/>
      </c>
      <c r="BJ99" s="1" t="str">
        <f>IFERROR(ROUND(Backend!$AM99*VLOOKUP($F99,'OH,Profit &amp; Other Base'!$A:$V,Backend!BJ$6,0),5),"")</f>
        <v/>
      </c>
      <c r="BK99" s="3">
        <f>SUM(AN99:BJ99,Backend!O99)</f>
        <v>0</v>
      </c>
    </row>
    <row r="100" spans="1:63">
      <c r="A100" s="1">
        <f>BOM!A95</f>
        <v>0</v>
      </c>
      <c r="B100" s="1">
        <f>BOM!B95</f>
        <v>0</v>
      </c>
      <c r="C100" s="1">
        <f>BOM!C95</f>
        <v>0</v>
      </c>
      <c r="D100" s="1">
        <f>BOM!D95</f>
        <v>0</v>
      </c>
      <c r="E100" s="1">
        <f>BOM!F95</f>
        <v>0</v>
      </c>
      <c r="F100" s="1" t="str">
        <f>IF(H100="CSC",BOM!H95,IF(J100="BOFOthers","Sheet Metal-B",""))</f>
        <v/>
      </c>
      <c r="G100" s="1">
        <f>BOM!I95</f>
        <v>0</v>
      </c>
      <c r="H100" s="1">
        <f>BOM!J95</f>
        <v>0</v>
      </c>
      <c r="I100" s="1" t="str">
        <f t="shared" si="7"/>
        <v>Others</v>
      </c>
      <c r="J100" s="1" t="str">
        <f t="shared" si="8"/>
        <v>0Others</v>
      </c>
      <c r="K100" s="3" t="str">
        <f>IF($J100="InhouseCSC",VLOOKUP($D100,Group!$C:$E,3,0),"")</f>
        <v/>
      </c>
      <c r="L100" s="3" t="str">
        <f>IF(OR($J100="BOSFCSC",$J100="BOFCSC"),VLOOKUP($D100,Group!$C:$E,3,0),"")</f>
        <v/>
      </c>
      <c r="M100" s="3" t="str">
        <f>IF(OR($J100="BOSFCSC",$J100="BOFCSC"),VLOOKUP($D100,Group!$C:$F,4,0),"")</f>
        <v/>
      </c>
      <c r="N100" s="3" t="str">
        <f>IF(OR($J100="InhouseCSC",$J100="BOSFCSC"),VLOOKUP($D100,Group!$C:$G,5,0),"")</f>
        <v/>
      </c>
      <c r="O100" s="3" t="str">
        <f>IF($J100="InhouseCSC",ROUND(VLOOKUP($D100,Group!$C:$H,6,0),5),"")</f>
        <v/>
      </c>
      <c r="P100" s="3" t="str">
        <f>IF(OR($J100="BOSFCSC",$J100="BOFCSC"),VLOOKUP($D100,Group!$C:$H,6,0),"")</f>
        <v/>
      </c>
      <c r="Q100" s="1" t="str">
        <f>IF($J100="Inhouseothers",VLOOKUP($D100,Group!$C:$E,3,0),"")</f>
        <v/>
      </c>
      <c r="R100" s="1" t="str">
        <f>IF($J100="BOSFOthers",VLOOKUP($D100,Group!$C:$E,3,0),"")</f>
        <v/>
      </c>
      <c r="S100" s="3" t="str">
        <f>IF($J100="BOFOthers",VLOOKUP($D100,Group!$C:$E,3,0),"")</f>
        <v/>
      </c>
      <c r="U100" s="1" t="str">
        <f>IFERROR(Backend!$L100*VLOOKUP($F100,'OH,Profit &amp; Other Base'!$A:$V,Backend!U$6,0),"")</f>
        <v/>
      </c>
      <c r="V100" s="1" t="str">
        <f>IFERROR(Backend!$M100*VLOOKUP($F100,'OH,Profit &amp; Other Base'!$A:$V,Backend!V$6,0),"")</f>
        <v/>
      </c>
      <c r="W100" s="1" t="str">
        <f>IFERROR(Backend!$L100*VLOOKUP($F100,'OH,Profit &amp; Other Base'!$A:$V,Backend!W$6,0),"")</f>
        <v/>
      </c>
      <c r="X100" s="1" t="str">
        <f>IFERROR(Backend!$M100*VLOOKUP($F100,'OH,Profit &amp; Other Base'!$A:$V,Backend!X$6,0),"")</f>
        <v/>
      </c>
      <c r="Y100" s="1" t="str">
        <f>IFERROR(Backend!$L100*VLOOKUP($F100,'OH,Profit &amp; Other Base'!$A:$V,Backend!Y$6,0),"")</f>
        <v/>
      </c>
      <c r="Z100" s="1" t="str">
        <f>IFERROR(Backend!$M100*VLOOKUP($F100,'OH,Profit &amp; Other Base'!$A:$V,Backend!Z$6,0),"")</f>
        <v/>
      </c>
      <c r="AA100" s="1" t="str">
        <f>IFERROR(Backend!$L100*VLOOKUP($F100,'OH,Profit &amp; Other Base'!$A:$V,Backend!AA$6,0),"")</f>
        <v/>
      </c>
      <c r="AB100" s="1" t="str">
        <f>IFERROR(Backend!$M100*VLOOKUP($F100,'OH,Profit &amp; Other Base'!$A:$V,Backend!AB$6,0),"")</f>
        <v/>
      </c>
      <c r="AC100" s="1" t="str">
        <f>IFERROR(Backend!$L100*VLOOKUP($F100,'OH,Profit &amp; Other Base'!$A:$V,Backend!AC$6,0),"")</f>
        <v/>
      </c>
      <c r="AD100" s="1" t="str">
        <f>IFERROR(Backend!$M100*VLOOKUP($F100,'OH,Profit &amp; Other Base'!$A:$V,Backend!AD$6,0),"")</f>
        <v/>
      </c>
      <c r="AE100" s="1" t="str">
        <f>IFERROR(Backend!$L100*VLOOKUP($F100,'OH,Profit &amp; Other Base'!$A:$V,Backend!AE$6,0),"")</f>
        <v/>
      </c>
      <c r="AF100" s="1" t="str">
        <f>IFERROR(Backend!$M100*VLOOKUP($F100,'OH,Profit &amp; Other Base'!$A:$V,Backend!AF$6,0),"")</f>
        <v/>
      </c>
      <c r="AG100" s="1" t="str">
        <f>IFERROR(Backend!$L100*VLOOKUP($F100,'OH,Profit &amp; Other Base'!$A:$V,Backend!AG$6,0),"")</f>
        <v/>
      </c>
      <c r="AH100" s="1" t="str">
        <f>IFERROR(Backend!$M100*VLOOKUP($F100,'OH,Profit &amp; Other Base'!$A:$V,Backend!AH$6,0),"")</f>
        <v/>
      </c>
      <c r="AI100" s="3">
        <f t="shared" si="9"/>
        <v>0</v>
      </c>
      <c r="AL100" s="1" t="str">
        <f t="shared" si="10"/>
        <v/>
      </c>
      <c r="AM100" s="1" t="str">
        <f t="shared" si="11"/>
        <v/>
      </c>
      <c r="AN100" s="1" t="str">
        <f t="shared" si="12"/>
        <v/>
      </c>
      <c r="AO100" s="1" t="str">
        <f t="shared" si="13"/>
        <v/>
      </c>
      <c r="AP100" s="1" t="str">
        <f>IFERROR(ROUND(Backend!$AL100*VLOOKUP($F100,'OH,Profit &amp; Other Base'!$A:$V,Backend!AP$6,0),5),"")</f>
        <v/>
      </c>
      <c r="AQ100" s="1" t="str">
        <f>IFERROR(ROUND(Backend!$AO100*VLOOKUP($F100,'OH,Profit &amp; Other Base'!$A:$V,Backend!AQ$6,0),5),"")</f>
        <v/>
      </c>
      <c r="AR100" s="1" t="str">
        <f>IFERROR(ROUND(Backend!$AM100*VLOOKUP($F100,'OH,Profit &amp; Other Base'!$A:$V,Backend!AR$6,0),5),"")</f>
        <v/>
      </c>
      <c r="AS100" s="1" t="str">
        <f>IFERROR(ROUND(Backend!$AL100*VLOOKUP($F100,'OH,Profit &amp; Other Base'!$A:$V,Backend!AS$6,0),5),"")</f>
        <v/>
      </c>
      <c r="AT100" s="1" t="str">
        <f>IFERROR(ROUND(Backend!$AO100*VLOOKUP($F100,'OH,Profit &amp; Other Base'!$A:$V,Backend!AT$6,0),5),"")</f>
        <v/>
      </c>
      <c r="AU100" s="1" t="str">
        <f>IFERROR(ROUND(Backend!$AM100*VLOOKUP($F100,'OH,Profit &amp; Other Base'!$A:$V,Backend!AU$6,0),5),"")</f>
        <v/>
      </c>
      <c r="AV100" s="1" t="str">
        <f>IFERROR(ROUND(Backend!$AL100*VLOOKUP($F100,'OH,Profit &amp; Other Base'!$A:$V,Backend!AV$6,0),5),"")</f>
        <v/>
      </c>
      <c r="AW100" s="1" t="str">
        <f>IFERROR(ROUND(Backend!$AO100*VLOOKUP($F100,'OH,Profit &amp; Other Base'!$A:$V,Backend!AW$6,0),5),"")</f>
        <v/>
      </c>
      <c r="AX100" s="1" t="str">
        <f>IFERROR(ROUND(Backend!$AM100*VLOOKUP($F100,'OH,Profit &amp; Other Base'!$A:$V,Backend!AX$6,0),5),"")</f>
        <v/>
      </c>
      <c r="AY100" s="1" t="str">
        <f>IFERROR(ROUND(Backend!$AL100*VLOOKUP($F100,'OH,Profit &amp; Other Base'!$A:$V,Backend!AY$6,0),5),"")</f>
        <v/>
      </c>
      <c r="AZ100" s="1" t="str">
        <f>IFERROR(ROUND(Backend!$AO100*VLOOKUP($F100,'OH,Profit &amp; Other Base'!$A:$V,Backend!AZ$6,0),5),"")</f>
        <v/>
      </c>
      <c r="BA100" s="1" t="str">
        <f>IFERROR(ROUND(Backend!$AM100*VLOOKUP($F100,'OH,Profit &amp; Other Base'!$A:$V,Backend!BA$6,0),5),"")</f>
        <v/>
      </c>
      <c r="BB100" s="1" t="str">
        <f>IFERROR(ROUND(Backend!$AL100*VLOOKUP($F100,'OH,Profit &amp; Other Base'!$A:$V,Backend!BB$6,0),5),"")</f>
        <v/>
      </c>
      <c r="BC100" s="1" t="str">
        <f>IFERROR(ROUND(Backend!$AO100*VLOOKUP($F100,'OH,Profit &amp; Other Base'!$A:$V,Backend!BC$6,0),5),"")</f>
        <v/>
      </c>
      <c r="BD100" s="1" t="str">
        <f>IFERROR(ROUND(Backend!$AM100*VLOOKUP($F100,'OH,Profit &amp; Other Base'!$A:$V,Backend!BD$6,0),5),"")</f>
        <v/>
      </c>
      <c r="BE100" s="1" t="str">
        <f>IFERROR(ROUND(Backend!$AL100*VLOOKUP($F100,'OH,Profit &amp; Other Base'!$A:$V,Backend!BE$6,0),5),"")</f>
        <v/>
      </c>
      <c r="BF100" s="1" t="str">
        <f>IFERROR(ROUND(Backend!$AO100*VLOOKUP($F100,'OH,Profit &amp; Other Base'!$A:$V,Backend!BF$6,0),5),"")</f>
        <v/>
      </c>
      <c r="BG100" s="1" t="str">
        <f>IFERROR(ROUND(Backend!$AM100*VLOOKUP($F100,'OH,Profit &amp; Other Base'!$A:$V,Backend!BG$6,0),5),"")</f>
        <v/>
      </c>
      <c r="BH100" s="1" t="str">
        <f>IFERROR(ROUND(Backend!$AL100*VLOOKUP($F100,'OH,Profit &amp; Other Base'!$A:$V,Backend!BH$6,0),5),"")</f>
        <v/>
      </c>
      <c r="BI100" s="1" t="str">
        <f>IFERROR(ROUND(Backend!$AO100*VLOOKUP($F100,'OH,Profit &amp; Other Base'!$A:$V,Backend!BI$6,0),5),"")</f>
        <v/>
      </c>
      <c r="BJ100" s="1" t="str">
        <f>IFERROR(ROUND(Backend!$AM100*VLOOKUP($F100,'OH,Profit &amp; Other Base'!$A:$V,Backend!BJ$6,0),5),"")</f>
        <v/>
      </c>
      <c r="BK100" s="3">
        <f>SUM(AN100:BJ100,Backend!O100)</f>
        <v>0</v>
      </c>
    </row>
    <row r="101" spans="1:63">
      <c r="A101" s="1">
        <f>BOM!A96</f>
        <v>0</v>
      </c>
      <c r="B101" s="1">
        <f>BOM!B96</f>
        <v>0</v>
      </c>
      <c r="C101" s="1">
        <f>BOM!C96</f>
        <v>0</v>
      </c>
      <c r="D101" s="1">
        <f>BOM!D96</f>
        <v>0</v>
      </c>
      <c r="E101" s="1">
        <f>BOM!F96</f>
        <v>0</v>
      </c>
      <c r="F101" s="1" t="str">
        <f>IF(H101="CSC",BOM!H96,IF(J101="BOFOthers","Sheet Metal-B",""))</f>
        <v/>
      </c>
      <c r="G101" s="1">
        <f>BOM!I96</f>
        <v>0</v>
      </c>
      <c r="H101" s="1">
        <f>BOM!J96</f>
        <v>0</v>
      </c>
      <c r="I101" s="1" t="str">
        <f t="shared" si="7"/>
        <v>Others</v>
      </c>
      <c r="J101" s="1" t="str">
        <f t="shared" si="8"/>
        <v>0Others</v>
      </c>
      <c r="K101" s="3" t="str">
        <f>IF($J101="InhouseCSC",VLOOKUP($D101,Group!$C:$E,3,0),"")</f>
        <v/>
      </c>
      <c r="L101" s="3" t="str">
        <f>IF(OR($J101="BOSFCSC",$J101="BOFCSC"),VLOOKUP($D101,Group!$C:$E,3,0),"")</f>
        <v/>
      </c>
      <c r="M101" s="3" t="str">
        <f>IF(OR($J101="BOSFCSC",$J101="BOFCSC"),VLOOKUP($D101,Group!$C:$F,4,0),"")</f>
        <v/>
      </c>
      <c r="N101" s="3" t="str">
        <f>IF(OR($J101="InhouseCSC",$J101="BOSFCSC"),VLOOKUP($D101,Group!$C:$G,5,0),"")</f>
        <v/>
      </c>
      <c r="O101" s="3" t="str">
        <f>IF($J101="InhouseCSC",ROUND(VLOOKUP($D101,Group!$C:$H,6,0),5),"")</f>
        <v/>
      </c>
      <c r="P101" s="3" t="str">
        <f>IF(OR($J101="BOSFCSC",$J101="BOFCSC"),VLOOKUP($D101,Group!$C:$H,6,0),"")</f>
        <v/>
      </c>
      <c r="Q101" s="1" t="str">
        <f>IF($J101="Inhouseothers",VLOOKUP($D101,Group!$C:$E,3,0),"")</f>
        <v/>
      </c>
      <c r="R101" s="1" t="str">
        <f>IF($J101="BOSFOthers",VLOOKUP($D101,Group!$C:$E,3,0),"")</f>
        <v/>
      </c>
      <c r="S101" s="3" t="str">
        <f>IF($J101="BOFOthers",VLOOKUP($D101,Group!$C:$E,3,0),"")</f>
        <v/>
      </c>
      <c r="U101" s="1" t="str">
        <f>IFERROR(Backend!$L101*VLOOKUP($F101,'OH,Profit &amp; Other Base'!$A:$V,Backend!U$6,0),"")</f>
        <v/>
      </c>
      <c r="V101" s="1" t="str">
        <f>IFERROR(Backend!$M101*VLOOKUP($F101,'OH,Profit &amp; Other Base'!$A:$V,Backend!V$6,0),"")</f>
        <v/>
      </c>
      <c r="W101" s="1" t="str">
        <f>IFERROR(Backend!$L101*VLOOKUP($F101,'OH,Profit &amp; Other Base'!$A:$V,Backend!W$6,0),"")</f>
        <v/>
      </c>
      <c r="X101" s="1" t="str">
        <f>IFERROR(Backend!$M101*VLOOKUP($F101,'OH,Profit &amp; Other Base'!$A:$V,Backend!X$6,0),"")</f>
        <v/>
      </c>
      <c r="Y101" s="1" t="str">
        <f>IFERROR(Backend!$L101*VLOOKUP($F101,'OH,Profit &amp; Other Base'!$A:$V,Backend!Y$6,0),"")</f>
        <v/>
      </c>
      <c r="Z101" s="1" t="str">
        <f>IFERROR(Backend!$M101*VLOOKUP($F101,'OH,Profit &amp; Other Base'!$A:$V,Backend!Z$6,0),"")</f>
        <v/>
      </c>
      <c r="AA101" s="1" t="str">
        <f>IFERROR(Backend!$L101*VLOOKUP($F101,'OH,Profit &amp; Other Base'!$A:$V,Backend!AA$6,0),"")</f>
        <v/>
      </c>
      <c r="AB101" s="1" t="str">
        <f>IFERROR(Backend!$M101*VLOOKUP($F101,'OH,Profit &amp; Other Base'!$A:$V,Backend!AB$6,0),"")</f>
        <v/>
      </c>
      <c r="AC101" s="1" t="str">
        <f>IFERROR(Backend!$L101*VLOOKUP($F101,'OH,Profit &amp; Other Base'!$A:$V,Backend!AC$6,0),"")</f>
        <v/>
      </c>
      <c r="AD101" s="1" t="str">
        <f>IFERROR(Backend!$M101*VLOOKUP($F101,'OH,Profit &amp; Other Base'!$A:$V,Backend!AD$6,0),"")</f>
        <v/>
      </c>
      <c r="AE101" s="1" t="str">
        <f>IFERROR(Backend!$L101*VLOOKUP($F101,'OH,Profit &amp; Other Base'!$A:$V,Backend!AE$6,0),"")</f>
        <v/>
      </c>
      <c r="AF101" s="1" t="str">
        <f>IFERROR(Backend!$M101*VLOOKUP($F101,'OH,Profit &amp; Other Base'!$A:$V,Backend!AF$6,0),"")</f>
        <v/>
      </c>
      <c r="AG101" s="1" t="str">
        <f>IFERROR(Backend!$L101*VLOOKUP($F101,'OH,Profit &amp; Other Base'!$A:$V,Backend!AG$6,0),"")</f>
        <v/>
      </c>
      <c r="AH101" s="1" t="str">
        <f>IFERROR(Backend!$M101*VLOOKUP($F101,'OH,Profit &amp; Other Base'!$A:$V,Backend!AH$6,0),"")</f>
        <v/>
      </c>
      <c r="AI101" s="3">
        <f t="shared" si="9"/>
        <v>0</v>
      </c>
      <c r="AL101" s="1" t="str">
        <f t="shared" si="10"/>
        <v/>
      </c>
      <c r="AM101" s="1" t="str">
        <f t="shared" si="11"/>
        <v/>
      </c>
      <c r="AN101" s="1" t="str">
        <f t="shared" si="12"/>
        <v/>
      </c>
      <c r="AO101" s="1" t="str">
        <f t="shared" si="13"/>
        <v/>
      </c>
      <c r="AP101" s="1" t="str">
        <f>IFERROR(ROUND(Backend!$AL101*VLOOKUP($F101,'OH,Profit &amp; Other Base'!$A:$V,Backend!AP$6,0),5),"")</f>
        <v/>
      </c>
      <c r="AQ101" s="1" t="str">
        <f>IFERROR(ROUND(Backend!$AO101*VLOOKUP($F101,'OH,Profit &amp; Other Base'!$A:$V,Backend!AQ$6,0),5),"")</f>
        <v/>
      </c>
      <c r="AR101" s="1" t="str">
        <f>IFERROR(ROUND(Backend!$AM101*VLOOKUP($F101,'OH,Profit &amp; Other Base'!$A:$V,Backend!AR$6,0),5),"")</f>
        <v/>
      </c>
      <c r="AS101" s="1" t="str">
        <f>IFERROR(ROUND(Backend!$AL101*VLOOKUP($F101,'OH,Profit &amp; Other Base'!$A:$V,Backend!AS$6,0),5),"")</f>
        <v/>
      </c>
      <c r="AT101" s="1" t="str">
        <f>IFERROR(ROUND(Backend!$AO101*VLOOKUP($F101,'OH,Profit &amp; Other Base'!$A:$V,Backend!AT$6,0),5),"")</f>
        <v/>
      </c>
      <c r="AU101" s="1" t="str">
        <f>IFERROR(ROUND(Backend!$AM101*VLOOKUP($F101,'OH,Profit &amp; Other Base'!$A:$V,Backend!AU$6,0),5),"")</f>
        <v/>
      </c>
      <c r="AV101" s="1" t="str">
        <f>IFERROR(ROUND(Backend!$AL101*VLOOKUP($F101,'OH,Profit &amp; Other Base'!$A:$V,Backend!AV$6,0),5),"")</f>
        <v/>
      </c>
      <c r="AW101" s="1" t="str">
        <f>IFERROR(ROUND(Backend!$AO101*VLOOKUP($F101,'OH,Profit &amp; Other Base'!$A:$V,Backend!AW$6,0),5),"")</f>
        <v/>
      </c>
      <c r="AX101" s="1" t="str">
        <f>IFERROR(ROUND(Backend!$AM101*VLOOKUP($F101,'OH,Profit &amp; Other Base'!$A:$V,Backend!AX$6,0),5),"")</f>
        <v/>
      </c>
      <c r="AY101" s="1" t="str">
        <f>IFERROR(ROUND(Backend!$AL101*VLOOKUP($F101,'OH,Profit &amp; Other Base'!$A:$V,Backend!AY$6,0),5),"")</f>
        <v/>
      </c>
      <c r="AZ101" s="1" t="str">
        <f>IFERROR(ROUND(Backend!$AO101*VLOOKUP($F101,'OH,Profit &amp; Other Base'!$A:$V,Backend!AZ$6,0),5),"")</f>
        <v/>
      </c>
      <c r="BA101" s="1" t="str">
        <f>IFERROR(ROUND(Backend!$AM101*VLOOKUP($F101,'OH,Profit &amp; Other Base'!$A:$V,Backend!BA$6,0),5),"")</f>
        <v/>
      </c>
      <c r="BB101" s="1" t="str">
        <f>IFERROR(ROUND(Backend!$AL101*VLOOKUP($F101,'OH,Profit &amp; Other Base'!$A:$V,Backend!BB$6,0),5),"")</f>
        <v/>
      </c>
      <c r="BC101" s="1" t="str">
        <f>IFERROR(ROUND(Backend!$AO101*VLOOKUP($F101,'OH,Profit &amp; Other Base'!$A:$V,Backend!BC$6,0),5),"")</f>
        <v/>
      </c>
      <c r="BD101" s="1" t="str">
        <f>IFERROR(ROUND(Backend!$AM101*VLOOKUP($F101,'OH,Profit &amp; Other Base'!$A:$V,Backend!BD$6,0),5),"")</f>
        <v/>
      </c>
      <c r="BE101" s="1" t="str">
        <f>IFERROR(ROUND(Backend!$AL101*VLOOKUP($F101,'OH,Profit &amp; Other Base'!$A:$V,Backend!BE$6,0),5),"")</f>
        <v/>
      </c>
      <c r="BF101" s="1" t="str">
        <f>IFERROR(ROUND(Backend!$AO101*VLOOKUP($F101,'OH,Profit &amp; Other Base'!$A:$V,Backend!BF$6,0),5),"")</f>
        <v/>
      </c>
      <c r="BG101" s="1" t="str">
        <f>IFERROR(ROUND(Backend!$AM101*VLOOKUP($F101,'OH,Profit &amp; Other Base'!$A:$V,Backend!BG$6,0),5),"")</f>
        <v/>
      </c>
      <c r="BH101" s="1" t="str">
        <f>IFERROR(ROUND(Backend!$AL101*VLOOKUP($F101,'OH,Profit &amp; Other Base'!$A:$V,Backend!BH$6,0),5),"")</f>
        <v/>
      </c>
      <c r="BI101" s="1" t="str">
        <f>IFERROR(ROUND(Backend!$AO101*VLOOKUP($F101,'OH,Profit &amp; Other Base'!$A:$V,Backend!BI$6,0),5),"")</f>
        <v/>
      </c>
      <c r="BJ101" s="1" t="str">
        <f>IFERROR(ROUND(Backend!$AM101*VLOOKUP($F101,'OH,Profit &amp; Other Base'!$A:$V,Backend!BJ$6,0),5),"")</f>
        <v/>
      </c>
      <c r="BK101" s="3">
        <f>SUM(AN101:BJ101,Backend!O101)</f>
        <v>0</v>
      </c>
    </row>
    <row r="102" spans="1:63">
      <c r="A102" s="1">
        <f>BOM!A97</f>
        <v>0</v>
      </c>
      <c r="B102" s="1">
        <f>BOM!B97</f>
        <v>0</v>
      </c>
      <c r="C102" s="1">
        <f>BOM!C97</f>
        <v>0</v>
      </c>
      <c r="D102" s="1">
        <f>BOM!D97</f>
        <v>0</v>
      </c>
      <c r="E102" s="1">
        <f>BOM!F97</f>
        <v>0</v>
      </c>
      <c r="F102" s="1" t="str">
        <f>IF(H102="CSC",BOM!H97,IF(J102="BOFOthers","Sheet Metal-B",""))</f>
        <v/>
      </c>
      <c r="G102" s="1">
        <f>BOM!I97</f>
        <v>0</v>
      </c>
      <c r="H102" s="1">
        <f>BOM!J97</f>
        <v>0</v>
      </c>
      <c r="I102" s="1" t="str">
        <f t="shared" si="7"/>
        <v>Others</v>
      </c>
      <c r="J102" s="1" t="str">
        <f t="shared" si="8"/>
        <v>0Others</v>
      </c>
      <c r="K102" s="3" t="str">
        <f>IF($J102="InhouseCSC",VLOOKUP($D102,Group!$C:$E,3,0),"")</f>
        <v/>
      </c>
      <c r="L102" s="3" t="str">
        <f>IF(OR($J102="BOSFCSC",$J102="BOFCSC"),VLOOKUP($D102,Group!$C:$E,3,0),"")</f>
        <v/>
      </c>
      <c r="M102" s="3" t="str">
        <f>IF(OR($J102="BOSFCSC",$J102="BOFCSC"),VLOOKUP($D102,Group!$C:$F,4,0),"")</f>
        <v/>
      </c>
      <c r="N102" s="3" t="str">
        <f>IF(OR($J102="InhouseCSC",$J102="BOSFCSC"),VLOOKUP($D102,Group!$C:$G,5,0),"")</f>
        <v/>
      </c>
      <c r="O102" s="3" t="str">
        <f>IF($J102="InhouseCSC",ROUND(VLOOKUP($D102,Group!$C:$H,6,0),5),"")</f>
        <v/>
      </c>
      <c r="P102" s="3" t="str">
        <f>IF(OR($J102="BOSFCSC",$J102="BOFCSC"),VLOOKUP($D102,Group!$C:$H,6,0),"")</f>
        <v/>
      </c>
      <c r="Q102" s="1" t="str">
        <f>IF($J102="Inhouseothers",VLOOKUP($D102,Group!$C:$E,3,0),"")</f>
        <v/>
      </c>
      <c r="R102" s="1" t="str">
        <f>IF($J102="BOSFOthers",VLOOKUP($D102,Group!$C:$E,3,0),"")</f>
        <v/>
      </c>
      <c r="S102" s="3" t="str">
        <f>IF($J102="BOFOthers",VLOOKUP($D102,Group!$C:$E,3,0),"")</f>
        <v/>
      </c>
      <c r="U102" s="1" t="str">
        <f>IFERROR(Backend!$L102*VLOOKUP($F102,'OH,Profit &amp; Other Base'!$A:$V,Backend!U$6,0),"")</f>
        <v/>
      </c>
      <c r="V102" s="1" t="str">
        <f>IFERROR(Backend!$M102*VLOOKUP($F102,'OH,Profit &amp; Other Base'!$A:$V,Backend!V$6,0),"")</f>
        <v/>
      </c>
      <c r="W102" s="1" t="str">
        <f>IFERROR(Backend!$L102*VLOOKUP($F102,'OH,Profit &amp; Other Base'!$A:$V,Backend!W$6,0),"")</f>
        <v/>
      </c>
      <c r="X102" s="1" t="str">
        <f>IFERROR(Backend!$M102*VLOOKUP($F102,'OH,Profit &amp; Other Base'!$A:$V,Backend!X$6,0),"")</f>
        <v/>
      </c>
      <c r="Y102" s="1" t="str">
        <f>IFERROR(Backend!$L102*VLOOKUP($F102,'OH,Profit &amp; Other Base'!$A:$V,Backend!Y$6,0),"")</f>
        <v/>
      </c>
      <c r="Z102" s="1" t="str">
        <f>IFERROR(Backend!$M102*VLOOKUP($F102,'OH,Profit &amp; Other Base'!$A:$V,Backend!Z$6,0),"")</f>
        <v/>
      </c>
      <c r="AA102" s="1" t="str">
        <f>IFERROR(Backend!$L102*VLOOKUP($F102,'OH,Profit &amp; Other Base'!$A:$V,Backend!AA$6,0),"")</f>
        <v/>
      </c>
      <c r="AB102" s="1" t="str">
        <f>IFERROR(Backend!$M102*VLOOKUP($F102,'OH,Profit &amp; Other Base'!$A:$V,Backend!AB$6,0),"")</f>
        <v/>
      </c>
      <c r="AC102" s="1" t="str">
        <f>IFERROR(Backend!$L102*VLOOKUP($F102,'OH,Profit &amp; Other Base'!$A:$V,Backend!AC$6,0),"")</f>
        <v/>
      </c>
      <c r="AD102" s="1" t="str">
        <f>IFERROR(Backend!$M102*VLOOKUP($F102,'OH,Profit &amp; Other Base'!$A:$V,Backend!AD$6,0),"")</f>
        <v/>
      </c>
      <c r="AE102" s="1" t="str">
        <f>IFERROR(Backend!$L102*VLOOKUP($F102,'OH,Profit &amp; Other Base'!$A:$V,Backend!AE$6,0),"")</f>
        <v/>
      </c>
      <c r="AF102" s="1" t="str">
        <f>IFERROR(Backend!$M102*VLOOKUP($F102,'OH,Profit &amp; Other Base'!$A:$V,Backend!AF$6,0),"")</f>
        <v/>
      </c>
      <c r="AG102" s="1" t="str">
        <f>IFERROR(Backend!$L102*VLOOKUP($F102,'OH,Profit &amp; Other Base'!$A:$V,Backend!AG$6,0),"")</f>
        <v/>
      </c>
      <c r="AH102" s="1" t="str">
        <f>IFERROR(Backend!$M102*VLOOKUP($F102,'OH,Profit &amp; Other Base'!$A:$V,Backend!AH$6,0),"")</f>
        <v/>
      </c>
      <c r="AI102" s="3">
        <f t="shared" si="9"/>
        <v>0</v>
      </c>
      <c r="AL102" s="1" t="str">
        <f t="shared" si="10"/>
        <v/>
      </c>
      <c r="AM102" s="1" t="str">
        <f t="shared" si="11"/>
        <v/>
      </c>
      <c r="AN102" s="1" t="str">
        <f t="shared" si="12"/>
        <v/>
      </c>
      <c r="AO102" s="1" t="str">
        <f t="shared" si="13"/>
        <v/>
      </c>
      <c r="AP102" s="1" t="str">
        <f>IFERROR(ROUND(Backend!$AL102*VLOOKUP($F102,'OH,Profit &amp; Other Base'!$A:$V,Backend!AP$6,0),5),"")</f>
        <v/>
      </c>
      <c r="AQ102" s="1" t="str">
        <f>IFERROR(ROUND(Backend!$AO102*VLOOKUP($F102,'OH,Profit &amp; Other Base'!$A:$V,Backend!AQ$6,0),5),"")</f>
        <v/>
      </c>
      <c r="AR102" s="1" t="str">
        <f>IFERROR(ROUND(Backend!$AM102*VLOOKUP($F102,'OH,Profit &amp; Other Base'!$A:$V,Backend!AR$6,0),5),"")</f>
        <v/>
      </c>
      <c r="AS102" s="1" t="str">
        <f>IFERROR(ROUND(Backend!$AL102*VLOOKUP($F102,'OH,Profit &amp; Other Base'!$A:$V,Backend!AS$6,0),5),"")</f>
        <v/>
      </c>
      <c r="AT102" s="1" t="str">
        <f>IFERROR(ROUND(Backend!$AO102*VLOOKUP($F102,'OH,Profit &amp; Other Base'!$A:$V,Backend!AT$6,0),5),"")</f>
        <v/>
      </c>
      <c r="AU102" s="1" t="str">
        <f>IFERROR(ROUND(Backend!$AM102*VLOOKUP($F102,'OH,Profit &amp; Other Base'!$A:$V,Backend!AU$6,0),5),"")</f>
        <v/>
      </c>
      <c r="AV102" s="1" t="str">
        <f>IFERROR(ROUND(Backend!$AL102*VLOOKUP($F102,'OH,Profit &amp; Other Base'!$A:$V,Backend!AV$6,0),5),"")</f>
        <v/>
      </c>
      <c r="AW102" s="1" t="str">
        <f>IFERROR(ROUND(Backend!$AO102*VLOOKUP($F102,'OH,Profit &amp; Other Base'!$A:$V,Backend!AW$6,0),5),"")</f>
        <v/>
      </c>
      <c r="AX102" s="1" t="str">
        <f>IFERROR(ROUND(Backend!$AM102*VLOOKUP($F102,'OH,Profit &amp; Other Base'!$A:$V,Backend!AX$6,0),5),"")</f>
        <v/>
      </c>
      <c r="AY102" s="1" t="str">
        <f>IFERROR(ROUND(Backend!$AL102*VLOOKUP($F102,'OH,Profit &amp; Other Base'!$A:$V,Backend!AY$6,0),5),"")</f>
        <v/>
      </c>
      <c r="AZ102" s="1" t="str">
        <f>IFERROR(ROUND(Backend!$AO102*VLOOKUP($F102,'OH,Profit &amp; Other Base'!$A:$V,Backend!AZ$6,0),5),"")</f>
        <v/>
      </c>
      <c r="BA102" s="1" t="str">
        <f>IFERROR(ROUND(Backend!$AM102*VLOOKUP($F102,'OH,Profit &amp; Other Base'!$A:$V,Backend!BA$6,0),5),"")</f>
        <v/>
      </c>
      <c r="BB102" s="1" t="str">
        <f>IFERROR(ROUND(Backend!$AL102*VLOOKUP($F102,'OH,Profit &amp; Other Base'!$A:$V,Backend!BB$6,0),5),"")</f>
        <v/>
      </c>
      <c r="BC102" s="1" t="str">
        <f>IFERROR(ROUND(Backend!$AO102*VLOOKUP($F102,'OH,Profit &amp; Other Base'!$A:$V,Backend!BC$6,0),5),"")</f>
        <v/>
      </c>
      <c r="BD102" s="1" t="str">
        <f>IFERROR(ROUND(Backend!$AM102*VLOOKUP($F102,'OH,Profit &amp; Other Base'!$A:$V,Backend!BD$6,0),5),"")</f>
        <v/>
      </c>
      <c r="BE102" s="1" t="str">
        <f>IFERROR(ROUND(Backend!$AL102*VLOOKUP($F102,'OH,Profit &amp; Other Base'!$A:$V,Backend!BE$6,0),5),"")</f>
        <v/>
      </c>
      <c r="BF102" s="1" t="str">
        <f>IFERROR(ROUND(Backend!$AO102*VLOOKUP($F102,'OH,Profit &amp; Other Base'!$A:$V,Backend!BF$6,0),5),"")</f>
        <v/>
      </c>
      <c r="BG102" s="1" t="str">
        <f>IFERROR(ROUND(Backend!$AM102*VLOOKUP($F102,'OH,Profit &amp; Other Base'!$A:$V,Backend!BG$6,0),5),"")</f>
        <v/>
      </c>
      <c r="BH102" s="1" t="str">
        <f>IFERROR(ROUND(Backend!$AL102*VLOOKUP($F102,'OH,Profit &amp; Other Base'!$A:$V,Backend!BH$6,0),5),"")</f>
        <v/>
      </c>
      <c r="BI102" s="1" t="str">
        <f>IFERROR(ROUND(Backend!$AO102*VLOOKUP($F102,'OH,Profit &amp; Other Base'!$A:$V,Backend!BI$6,0),5),"")</f>
        <v/>
      </c>
      <c r="BJ102" s="1" t="str">
        <f>IFERROR(ROUND(Backend!$AM102*VLOOKUP($F102,'OH,Profit &amp; Other Base'!$A:$V,Backend!BJ$6,0),5),"")</f>
        <v/>
      </c>
      <c r="BK102" s="3">
        <f>SUM(AN102:BJ102,Backend!O102)</f>
        <v>0</v>
      </c>
    </row>
    <row r="103" spans="1:63">
      <c r="A103" s="1">
        <f>BOM!A98</f>
        <v>0</v>
      </c>
      <c r="B103" s="1">
        <f>BOM!B98</f>
        <v>0</v>
      </c>
      <c r="C103" s="1">
        <f>BOM!C98</f>
        <v>0</v>
      </c>
      <c r="D103" s="1">
        <f>BOM!D98</f>
        <v>0</v>
      </c>
      <c r="E103" s="1">
        <f>BOM!F98</f>
        <v>0</v>
      </c>
      <c r="F103" s="1" t="str">
        <f>IF(H103="CSC",BOM!H98,IF(J103="BOFOthers","Sheet Metal-B",""))</f>
        <v/>
      </c>
      <c r="G103" s="1">
        <f>BOM!I98</f>
        <v>0</v>
      </c>
      <c r="H103" s="1">
        <f>BOM!J98</f>
        <v>0</v>
      </c>
      <c r="I103" s="1" t="str">
        <f t="shared" si="7"/>
        <v>Others</v>
      </c>
      <c r="J103" s="1" t="str">
        <f t="shared" si="8"/>
        <v>0Others</v>
      </c>
      <c r="K103" s="3" t="str">
        <f>IF($J103="InhouseCSC",VLOOKUP($D103,Group!$C:$E,3,0),"")</f>
        <v/>
      </c>
      <c r="L103" s="3" t="str">
        <f>IF(OR($J103="BOSFCSC",$J103="BOFCSC"),VLOOKUP($D103,Group!$C:$E,3,0),"")</f>
        <v/>
      </c>
      <c r="M103" s="3" t="str">
        <f>IF(OR($J103="BOSFCSC",$J103="BOFCSC"),VLOOKUP($D103,Group!$C:$F,4,0),"")</f>
        <v/>
      </c>
      <c r="N103" s="3" t="str">
        <f>IF(OR($J103="InhouseCSC",$J103="BOSFCSC"),VLOOKUP($D103,Group!$C:$G,5,0),"")</f>
        <v/>
      </c>
      <c r="O103" s="3" t="str">
        <f>IF($J103="InhouseCSC",ROUND(VLOOKUP($D103,Group!$C:$H,6,0),5),"")</f>
        <v/>
      </c>
      <c r="P103" s="3" t="str">
        <f>IF(OR($J103="BOSFCSC",$J103="BOFCSC"),VLOOKUP($D103,Group!$C:$H,6,0),"")</f>
        <v/>
      </c>
      <c r="Q103" s="1" t="str">
        <f>IF($J103="Inhouseothers",VLOOKUP($D103,Group!$C:$E,3,0),"")</f>
        <v/>
      </c>
      <c r="R103" s="1" t="str">
        <f>IF($J103="BOSFOthers",VLOOKUP($D103,Group!$C:$E,3,0),"")</f>
        <v/>
      </c>
      <c r="S103" s="3" t="str">
        <f>IF($J103="BOFOthers",VLOOKUP($D103,Group!$C:$E,3,0),"")</f>
        <v/>
      </c>
      <c r="U103" s="1" t="str">
        <f>IFERROR(Backend!$L103*VLOOKUP($F103,'OH,Profit &amp; Other Base'!$A:$V,Backend!U$6,0),"")</f>
        <v/>
      </c>
      <c r="V103" s="1" t="str">
        <f>IFERROR(Backend!$M103*VLOOKUP($F103,'OH,Profit &amp; Other Base'!$A:$V,Backend!V$6,0),"")</f>
        <v/>
      </c>
      <c r="W103" s="1" t="str">
        <f>IFERROR(Backend!$L103*VLOOKUP($F103,'OH,Profit &amp; Other Base'!$A:$V,Backend!W$6,0),"")</f>
        <v/>
      </c>
      <c r="X103" s="1" t="str">
        <f>IFERROR(Backend!$M103*VLOOKUP($F103,'OH,Profit &amp; Other Base'!$A:$V,Backend!X$6,0),"")</f>
        <v/>
      </c>
      <c r="Y103" s="1" t="str">
        <f>IFERROR(Backend!$L103*VLOOKUP($F103,'OH,Profit &amp; Other Base'!$A:$V,Backend!Y$6,0),"")</f>
        <v/>
      </c>
      <c r="Z103" s="1" t="str">
        <f>IFERROR(Backend!$M103*VLOOKUP($F103,'OH,Profit &amp; Other Base'!$A:$V,Backend!Z$6,0),"")</f>
        <v/>
      </c>
      <c r="AA103" s="1" t="str">
        <f>IFERROR(Backend!$L103*VLOOKUP($F103,'OH,Profit &amp; Other Base'!$A:$V,Backend!AA$6,0),"")</f>
        <v/>
      </c>
      <c r="AB103" s="1" t="str">
        <f>IFERROR(Backend!$M103*VLOOKUP($F103,'OH,Profit &amp; Other Base'!$A:$V,Backend!AB$6,0),"")</f>
        <v/>
      </c>
      <c r="AC103" s="1" t="str">
        <f>IFERROR(Backend!$L103*VLOOKUP($F103,'OH,Profit &amp; Other Base'!$A:$V,Backend!AC$6,0),"")</f>
        <v/>
      </c>
      <c r="AD103" s="1" t="str">
        <f>IFERROR(Backend!$M103*VLOOKUP($F103,'OH,Profit &amp; Other Base'!$A:$V,Backend!AD$6,0),"")</f>
        <v/>
      </c>
      <c r="AE103" s="1" t="str">
        <f>IFERROR(Backend!$L103*VLOOKUP($F103,'OH,Profit &amp; Other Base'!$A:$V,Backend!AE$6,0),"")</f>
        <v/>
      </c>
      <c r="AF103" s="1" t="str">
        <f>IFERROR(Backend!$M103*VLOOKUP($F103,'OH,Profit &amp; Other Base'!$A:$V,Backend!AF$6,0),"")</f>
        <v/>
      </c>
      <c r="AG103" s="1" t="str">
        <f>IFERROR(Backend!$L103*VLOOKUP($F103,'OH,Profit &amp; Other Base'!$A:$V,Backend!AG$6,0),"")</f>
        <v/>
      </c>
      <c r="AH103" s="1" t="str">
        <f>IFERROR(Backend!$M103*VLOOKUP($F103,'OH,Profit &amp; Other Base'!$A:$V,Backend!AH$6,0),"")</f>
        <v/>
      </c>
      <c r="AI103" s="3">
        <f t="shared" si="9"/>
        <v>0</v>
      </c>
      <c r="AL103" s="1" t="str">
        <f t="shared" si="10"/>
        <v/>
      </c>
      <c r="AM103" s="1" t="str">
        <f t="shared" si="11"/>
        <v/>
      </c>
      <c r="AN103" s="1" t="str">
        <f t="shared" si="12"/>
        <v/>
      </c>
      <c r="AO103" s="1" t="str">
        <f t="shared" si="13"/>
        <v/>
      </c>
      <c r="AP103" s="1" t="str">
        <f>IFERROR(ROUND(Backend!$AL103*VLOOKUP($F103,'OH,Profit &amp; Other Base'!$A:$V,Backend!AP$6,0),5),"")</f>
        <v/>
      </c>
      <c r="AQ103" s="1" t="str">
        <f>IFERROR(ROUND(Backend!$AO103*VLOOKUP($F103,'OH,Profit &amp; Other Base'!$A:$V,Backend!AQ$6,0),5),"")</f>
        <v/>
      </c>
      <c r="AR103" s="1" t="str">
        <f>IFERROR(ROUND(Backend!$AM103*VLOOKUP($F103,'OH,Profit &amp; Other Base'!$A:$V,Backend!AR$6,0),5),"")</f>
        <v/>
      </c>
      <c r="AS103" s="1" t="str">
        <f>IFERROR(ROUND(Backend!$AL103*VLOOKUP($F103,'OH,Profit &amp; Other Base'!$A:$V,Backend!AS$6,0),5),"")</f>
        <v/>
      </c>
      <c r="AT103" s="1" t="str">
        <f>IFERROR(ROUND(Backend!$AO103*VLOOKUP($F103,'OH,Profit &amp; Other Base'!$A:$V,Backend!AT$6,0),5),"")</f>
        <v/>
      </c>
      <c r="AU103" s="1" t="str">
        <f>IFERROR(ROUND(Backend!$AM103*VLOOKUP($F103,'OH,Profit &amp; Other Base'!$A:$V,Backend!AU$6,0),5),"")</f>
        <v/>
      </c>
      <c r="AV103" s="1" t="str">
        <f>IFERROR(ROUND(Backend!$AL103*VLOOKUP($F103,'OH,Profit &amp; Other Base'!$A:$V,Backend!AV$6,0),5),"")</f>
        <v/>
      </c>
      <c r="AW103" s="1" t="str">
        <f>IFERROR(ROUND(Backend!$AO103*VLOOKUP($F103,'OH,Profit &amp; Other Base'!$A:$V,Backend!AW$6,0),5),"")</f>
        <v/>
      </c>
      <c r="AX103" s="1" t="str">
        <f>IFERROR(ROUND(Backend!$AM103*VLOOKUP($F103,'OH,Profit &amp; Other Base'!$A:$V,Backend!AX$6,0),5),"")</f>
        <v/>
      </c>
      <c r="AY103" s="1" t="str">
        <f>IFERROR(ROUND(Backend!$AL103*VLOOKUP($F103,'OH,Profit &amp; Other Base'!$A:$V,Backend!AY$6,0),5),"")</f>
        <v/>
      </c>
      <c r="AZ103" s="1" t="str">
        <f>IFERROR(ROUND(Backend!$AO103*VLOOKUP($F103,'OH,Profit &amp; Other Base'!$A:$V,Backend!AZ$6,0),5),"")</f>
        <v/>
      </c>
      <c r="BA103" s="1" t="str">
        <f>IFERROR(ROUND(Backend!$AM103*VLOOKUP($F103,'OH,Profit &amp; Other Base'!$A:$V,Backend!BA$6,0),5),"")</f>
        <v/>
      </c>
      <c r="BB103" s="1" t="str">
        <f>IFERROR(ROUND(Backend!$AL103*VLOOKUP($F103,'OH,Profit &amp; Other Base'!$A:$V,Backend!BB$6,0),5),"")</f>
        <v/>
      </c>
      <c r="BC103" s="1" t="str">
        <f>IFERROR(ROUND(Backend!$AO103*VLOOKUP($F103,'OH,Profit &amp; Other Base'!$A:$V,Backend!BC$6,0),5),"")</f>
        <v/>
      </c>
      <c r="BD103" s="1" t="str">
        <f>IFERROR(ROUND(Backend!$AM103*VLOOKUP($F103,'OH,Profit &amp; Other Base'!$A:$V,Backend!BD$6,0),5),"")</f>
        <v/>
      </c>
      <c r="BE103" s="1" t="str">
        <f>IFERROR(ROUND(Backend!$AL103*VLOOKUP($F103,'OH,Profit &amp; Other Base'!$A:$V,Backend!BE$6,0),5),"")</f>
        <v/>
      </c>
      <c r="BF103" s="1" t="str">
        <f>IFERROR(ROUND(Backend!$AO103*VLOOKUP($F103,'OH,Profit &amp; Other Base'!$A:$V,Backend!BF$6,0),5),"")</f>
        <v/>
      </c>
      <c r="BG103" s="1" t="str">
        <f>IFERROR(ROUND(Backend!$AM103*VLOOKUP($F103,'OH,Profit &amp; Other Base'!$A:$V,Backend!BG$6,0),5),"")</f>
        <v/>
      </c>
      <c r="BH103" s="1" t="str">
        <f>IFERROR(ROUND(Backend!$AL103*VLOOKUP($F103,'OH,Profit &amp; Other Base'!$A:$V,Backend!BH$6,0),5),"")</f>
        <v/>
      </c>
      <c r="BI103" s="1" t="str">
        <f>IFERROR(ROUND(Backend!$AO103*VLOOKUP($F103,'OH,Profit &amp; Other Base'!$A:$V,Backend!BI$6,0),5),"")</f>
        <v/>
      </c>
      <c r="BJ103" s="1" t="str">
        <f>IFERROR(ROUND(Backend!$AM103*VLOOKUP($F103,'OH,Profit &amp; Other Base'!$A:$V,Backend!BJ$6,0),5),"")</f>
        <v/>
      </c>
      <c r="BK103" s="3">
        <f>SUM(AN103:BJ103,Backend!O103)</f>
        <v>0</v>
      </c>
    </row>
    <row r="104" spans="1:63">
      <c r="A104" s="1">
        <f>BOM!A99</f>
        <v>0</v>
      </c>
      <c r="B104" s="1">
        <f>BOM!B99</f>
        <v>0</v>
      </c>
      <c r="C104" s="1">
        <f>BOM!C99</f>
        <v>0</v>
      </c>
      <c r="D104" s="1">
        <f>BOM!D99</f>
        <v>0</v>
      </c>
      <c r="E104" s="1">
        <f>BOM!F99</f>
        <v>0</v>
      </c>
      <c r="F104" s="1" t="str">
        <f>IF(H104="CSC",BOM!H99,IF(J104="BOFOthers","Sheet Metal-B",""))</f>
        <v/>
      </c>
      <c r="G104" s="1">
        <f>BOM!I99</f>
        <v>0</v>
      </c>
      <c r="H104" s="1">
        <f>BOM!J99</f>
        <v>0</v>
      </c>
      <c r="I104" s="1" t="str">
        <f t="shared" si="7"/>
        <v>Others</v>
      </c>
      <c r="J104" s="1" t="str">
        <f t="shared" si="8"/>
        <v>0Others</v>
      </c>
      <c r="K104" s="3" t="str">
        <f>IF($J104="InhouseCSC",VLOOKUP($D104,Group!$C:$E,3,0),"")</f>
        <v/>
      </c>
      <c r="L104" s="3" t="str">
        <f>IF(OR($J104="BOSFCSC",$J104="BOFCSC"),VLOOKUP($D104,Group!$C:$E,3,0),"")</f>
        <v/>
      </c>
      <c r="M104" s="3" t="str">
        <f>IF(OR($J104="BOSFCSC",$J104="BOFCSC"),VLOOKUP($D104,Group!$C:$F,4,0),"")</f>
        <v/>
      </c>
      <c r="N104" s="3" t="str">
        <f>IF(OR($J104="InhouseCSC",$J104="BOSFCSC"),VLOOKUP($D104,Group!$C:$G,5,0),"")</f>
        <v/>
      </c>
      <c r="O104" s="3" t="str">
        <f>IF($J104="InhouseCSC",ROUND(VLOOKUP($D104,Group!$C:$H,6,0),5),"")</f>
        <v/>
      </c>
      <c r="P104" s="3" t="str">
        <f>IF(OR($J104="BOSFCSC",$J104="BOFCSC"),VLOOKUP($D104,Group!$C:$H,6,0),"")</f>
        <v/>
      </c>
      <c r="Q104" s="1" t="str">
        <f>IF($J104="Inhouseothers",VLOOKUP($D104,Group!$C:$E,3,0),"")</f>
        <v/>
      </c>
      <c r="R104" s="1" t="str">
        <f>IF($J104="BOSFOthers",VLOOKUP($D104,Group!$C:$E,3,0),"")</f>
        <v/>
      </c>
      <c r="S104" s="3" t="str">
        <f>IF($J104="BOFOthers",VLOOKUP($D104,Group!$C:$E,3,0),"")</f>
        <v/>
      </c>
      <c r="U104" s="1" t="str">
        <f>IFERROR(Backend!$L104*VLOOKUP($F104,'OH,Profit &amp; Other Base'!$A:$V,Backend!U$6,0),"")</f>
        <v/>
      </c>
      <c r="V104" s="1" t="str">
        <f>IFERROR(Backend!$M104*VLOOKUP($F104,'OH,Profit &amp; Other Base'!$A:$V,Backend!V$6,0),"")</f>
        <v/>
      </c>
      <c r="W104" s="1" t="str">
        <f>IFERROR(Backend!$L104*VLOOKUP($F104,'OH,Profit &amp; Other Base'!$A:$V,Backend!W$6,0),"")</f>
        <v/>
      </c>
      <c r="X104" s="1" t="str">
        <f>IFERROR(Backend!$M104*VLOOKUP($F104,'OH,Profit &amp; Other Base'!$A:$V,Backend!X$6,0),"")</f>
        <v/>
      </c>
      <c r="Y104" s="1" t="str">
        <f>IFERROR(Backend!$L104*VLOOKUP($F104,'OH,Profit &amp; Other Base'!$A:$V,Backend!Y$6,0),"")</f>
        <v/>
      </c>
      <c r="Z104" s="1" t="str">
        <f>IFERROR(Backend!$M104*VLOOKUP($F104,'OH,Profit &amp; Other Base'!$A:$V,Backend!Z$6,0),"")</f>
        <v/>
      </c>
      <c r="AA104" s="1" t="str">
        <f>IFERROR(Backend!$L104*VLOOKUP($F104,'OH,Profit &amp; Other Base'!$A:$V,Backend!AA$6,0),"")</f>
        <v/>
      </c>
      <c r="AB104" s="1" t="str">
        <f>IFERROR(Backend!$M104*VLOOKUP($F104,'OH,Profit &amp; Other Base'!$A:$V,Backend!AB$6,0),"")</f>
        <v/>
      </c>
      <c r="AC104" s="1" t="str">
        <f>IFERROR(Backend!$L104*VLOOKUP($F104,'OH,Profit &amp; Other Base'!$A:$V,Backend!AC$6,0),"")</f>
        <v/>
      </c>
      <c r="AD104" s="1" t="str">
        <f>IFERROR(Backend!$M104*VLOOKUP($F104,'OH,Profit &amp; Other Base'!$A:$V,Backend!AD$6,0),"")</f>
        <v/>
      </c>
      <c r="AE104" s="1" t="str">
        <f>IFERROR(Backend!$L104*VLOOKUP($F104,'OH,Profit &amp; Other Base'!$A:$V,Backend!AE$6,0),"")</f>
        <v/>
      </c>
      <c r="AF104" s="1" t="str">
        <f>IFERROR(Backend!$M104*VLOOKUP($F104,'OH,Profit &amp; Other Base'!$A:$V,Backend!AF$6,0),"")</f>
        <v/>
      </c>
      <c r="AG104" s="1" t="str">
        <f>IFERROR(Backend!$L104*VLOOKUP($F104,'OH,Profit &amp; Other Base'!$A:$V,Backend!AG$6,0),"")</f>
        <v/>
      </c>
      <c r="AH104" s="1" t="str">
        <f>IFERROR(Backend!$M104*VLOOKUP($F104,'OH,Profit &amp; Other Base'!$A:$V,Backend!AH$6,0),"")</f>
        <v/>
      </c>
      <c r="AI104" s="3">
        <f t="shared" si="9"/>
        <v>0</v>
      </c>
      <c r="AL104" s="1" t="str">
        <f t="shared" si="10"/>
        <v/>
      </c>
      <c r="AM104" s="1" t="str">
        <f t="shared" si="11"/>
        <v/>
      </c>
      <c r="AN104" s="1" t="str">
        <f t="shared" si="12"/>
        <v/>
      </c>
      <c r="AO104" s="1" t="str">
        <f t="shared" si="13"/>
        <v/>
      </c>
      <c r="AP104" s="1" t="str">
        <f>IFERROR(ROUND(Backend!$AL104*VLOOKUP($F104,'OH,Profit &amp; Other Base'!$A:$V,Backend!AP$6,0),5),"")</f>
        <v/>
      </c>
      <c r="AQ104" s="1" t="str">
        <f>IFERROR(ROUND(Backend!$AO104*VLOOKUP($F104,'OH,Profit &amp; Other Base'!$A:$V,Backend!AQ$6,0),5),"")</f>
        <v/>
      </c>
      <c r="AR104" s="1" t="str">
        <f>IFERROR(ROUND(Backend!$AM104*VLOOKUP($F104,'OH,Profit &amp; Other Base'!$A:$V,Backend!AR$6,0),5),"")</f>
        <v/>
      </c>
      <c r="AS104" s="1" t="str">
        <f>IFERROR(ROUND(Backend!$AL104*VLOOKUP($F104,'OH,Profit &amp; Other Base'!$A:$V,Backend!AS$6,0),5),"")</f>
        <v/>
      </c>
      <c r="AT104" s="1" t="str">
        <f>IFERROR(ROUND(Backend!$AO104*VLOOKUP($F104,'OH,Profit &amp; Other Base'!$A:$V,Backend!AT$6,0),5),"")</f>
        <v/>
      </c>
      <c r="AU104" s="1" t="str">
        <f>IFERROR(ROUND(Backend!$AM104*VLOOKUP($F104,'OH,Profit &amp; Other Base'!$A:$V,Backend!AU$6,0),5),"")</f>
        <v/>
      </c>
      <c r="AV104" s="1" t="str">
        <f>IFERROR(ROUND(Backend!$AL104*VLOOKUP($F104,'OH,Profit &amp; Other Base'!$A:$V,Backend!AV$6,0),5),"")</f>
        <v/>
      </c>
      <c r="AW104" s="1" t="str">
        <f>IFERROR(ROUND(Backend!$AO104*VLOOKUP($F104,'OH,Profit &amp; Other Base'!$A:$V,Backend!AW$6,0),5),"")</f>
        <v/>
      </c>
      <c r="AX104" s="1" t="str">
        <f>IFERROR(ROUND(Backend!$AM104*VLOOKUP($F104,'OH,Profit &amp; Other Base'!$A:$V,Backend!AX$6,0),5),"")</f>
        <v/>
      </c>
      <c r="AY104" s="1" t="str">
        <f>IFERROR(ROUND(Backend!$AL104*VLOOKUP($F104,'OH,Profit &amp; Other Base'!$A:$V,Backend!AY$6,0),5),"")</f>
        <v/>
      </c>
      <c r="AZ104" s="1" t="str">
        <f>IFERROR(ROUND(Backend!$AO104*VLOOKUP($F104,'OH,Profit &amp; Other Base'!$A:$V,Backend!AZ$6,0),5),"")</f>
        <v/>
      </c>
      <c r="BA104" s="1" t="str">
        <f>IFERROR(ROUND(Backend!$AM104*VLOOKUP($F104,'OH,Profit &amp; Other Base'!$A:$V,Backend!BA$6,0),5),"")</f>
        <v/>
      </c>
      <c r="BB104" s="1" t="str">
        <f>IFERROR(ROUND(Backend!$AL104*VLOOKUP($F104,'OH,Profit &amp; Other Base'!$A:$V,Backend!BB$6,0),5),"")</f>
        <v/>
      </c>
      <c r="BC104" s="1" t="str">
        <f>IFERROR(ROUND(Backend!$AO104*VLOOKUP($F104,'OH,Profit &amp; Other Base'!$A:$V,Backend!BC$6,0),5),"")</f>
        <v/>
      </c>
      <c r="BD104" s="1" t="str">
        <f>IFERROR(ROUND(Backend!$AM104*VLOOKUP($F104,'OH,Profit &amp; Other Base'!$A:$V,Backend!BD$6,0),5),"")</f>
        <v/>
      </c>
      <c r="BE104" s="1" t="str">
        <f>IFERROR(ROUND(Backend!$AL104*VLOOKUP($F104,'OH,Profit &amp; Other Base'!$A:$V,Backend!BE$6,0),5),"")</f>
        <v/>
      </c>
      <c r="BF104" s="1" t="str">
        <f>IFERROR(ROUND(Backend!$AO104*VLOOKUP($F104,'OH,Profit &amp; Other Base'!$A:$V,Backend!BF$6,0),5),"")</f>
        <v/>
      </c>
      <c r="BG104" s="1" t="str">
        <f>IFERROR(ROUND(Backend!$AM104*VLOOKUP($F104,'OH,Profit &amp; Other Base'!$A:$V,Backend!BG$6,0),5),"")</f>
        <v/>
      </c>
      <c r="BH104" s="1" t="str">
        <f>IFERROR(ROUND(Backend!$AL104*VLOOKUP($F104,'OH,Profit &amp; Other Base'!$A:$V,Backend!BH$6,0),5),"")</f>
        <v/>
      </c>
      <c r="BI104" s="1" t="str">
        <f>IFERROR(ROUND(Backend!$AO104*VLOOKUP($F104,'OH,Profit &amp; Other Base'!$A:$V,Backend!BI$6,0),5),"")</f>
        <v/>
      </c>
      <c r="BJ104" s="1" t="str">
        <f>IFERROR(ROUND(Backend!$AM104*VLOOKUP($F104,'OH,Profit &amp; Other Base'!$A:$V,Backend!BJ$6,0),5),"")</f>
        <v/>
      </c>
      <c r="BK104" s="3">
        <f>SUM(AN104:BJ104,Backend!O104)</f>
        <v>0</v>
      </c>
    </row>
    <row r="105" spans="1:63">
      <c r="A105" s="1">
        <f>BOM!A100</f>
        <v>0</v>
      </c>
      <c r="B105" s="1">
        <f>BOM!B100</f>
        <v>0</v>
      </c>
      <c r="C105" s="1">
        <f>BOM!C100</f>
        <v>0</v>
      </c>
      <c r="D105" s="1">
        <f>BOM!D100</f>
        <v>0</v>
      </c>
      <c r="E105" s="1">
        <f>BOM!F100</f>
        <v>0</v>
      </c>
      <c r="F105" s="1" t="str">
        <f>IF(H105="CSC",BOM!H100,IF(J105="BOFOthers","Sheet Metal-B",""))</f>
        <v/>
      </c>
      <c r="G105" s="1">
        <f>BOM!I100</f>
        <v>0</v>
      </c>
      <c r="H105" s="1">
        <f>BOM!J100</f>
        <v>0</v>
      </c>
      <c r="I105" s="1" t="str">
        <f t="shared" si="7"/>
        <v>Others</v>
      </c>
      <c r="J105" s="1" t="str">
        <f t="shared" si="8"/>
        <v>0Others</v>
      </c>
      <c r="K105" s="3" t="str">
        <f>IF($J105="InhouseCSC",VLOOKUP($D105,Group!$C:$E,3,0),"")</f>
        <v/>
      </c>
      <c r="L105" s="3" t="str">
        <f>IF(OR($J105="BOSFCSC",$J105="BOFCSC"),VLOOKUP($D105,Group!$C:$E,3,0),"")</f>
        <v/>
      </c>
      <c r="M105" s="3" t="str">
        <f>IF(OR($J105="BOSFCSC",$J105="BOFCSC"),VLOOKUP($D105,Group!$C:$F,4,0),"")</f>
        <v/>
      </c>
      <c r="N105" s="3" t="str">
        <f>IF(OR($J105="InhouseCSC",$J105="BOSFCSC"),VLOOKUP($D105,Group!$C:$G,5,0),"")</f>
        <v/>
      </c>
      <c r="O105" s="3" t="str">
        <f>IF($J105="InhouseCSC",ROUND(VLOOKUP($D105,Group!$C:$H,6,0),5),"")</f>
        <v/>
      </c>
      <c r="P105" s="3" t="str">
        <f>IF(OR($J105="BOSFCSC",$J105="BOFCSC"),VLOOKUP($D105,Group!$C:$H,6,0),"")</f>
        <v/>
      </c>
      <c r="Q105" s="1" t="str">
        <f>IF($J105="Inhouseothers",VLOOKUP($D105,Group!$C:$E,3,0),"")</f>
        <v/>
      </c>
      <c r="R105" s="1" t="str">
        <f>IF($J105="BOSFOthers",VLOOKUP($D105,Group!$C:$E,3,0),"")</f>
        <v/>
      </c>
      <c r="S105" s="3" t="str">
        <f>IF($J105="BOFOthers",VLOOKUP($D105,Group!$C:$E,3,0),"")</f>
        <v/>
      </c>
      <c r="U105" s="1" t="str">
        <f>IFERROR(Backend!$L105*VLOOKUP($F105,'OH,Profit &amp; Other Base'!$A:$V,Backend!U$6,0),"")</f>
        <v/>
      </c>
      <c r="V105" s="1" t="str">
        <f>IFERROR(Backend!$M105*VLOOKUP($F105,'OH,Profit &amp; Other Base'!$A:$V,Backend!V$6,0),"")</f>
        <v/>
      </c>
      <c r="W105" s="1" t="str">
        <f>IFERROR(Backend!$L105*VLOOKUP($F105,'OH,Profit &amp; Other Base'!$A:$V,Backend!W$6,0),"")</f>
        <v/>
      </c>
      <c r="X105" s="1" t="str">
        <f>IFERROR(Backend!$M105*VLOOKUP($F105,'OH,Profit &amp; Other Base'!$A:$V,Backend!X$6,0),"")</f>
        <v/>
      </c>
      <c r="Y105" s="1" t="str">
        <f>IFERROR(Backend!$L105*VLOOKUP($F105,'OH,Profit &amp; Other Base'!$A:$V,Backend!Y$6,0),"")</f>
        <v/>
      </c>
      <c r="Z105" s="1" t="str">
        <f>IFERROR(Backend!$M105*VLOOKUP($F105,'OH,Profit &amp; Other Base'!$A:$V,Backend!Z$6,0),"")</f>
        <v/>
      </c>
      <c r="AA105" s="1" t="str">
        <f>IFERROR(Backend!$L105*VLOOKUP($F105,'OH,Profit &amp; Other Base'!$A:$V,Backend!AA$6,0),"")</f>
        <v/>
      </c>
      <c r="AB105" s="1" t="str">
        <f>IFERROR(Backend!$M105*VLOOKUP($F105,'OH,Profit &amp; Other Base'!$A:$V,Backend!AB$6,0),"")</f>
        <v/>
      </c>
      <c r="AC105" s="1" t="str">
        <f>IFERROR(Backend!$L105*VLOOKUP($F105,'OH,Profit &amp; Other Base'!$A:$V,Backend!AC$6,0),"")</f>
        <v/>
      </c>
      <c r="AD105" s="1" t="str">
        <f>IFERROR(Backend!$M105*VLOOKUP($F105,'OH,Profit &amp; Other Base'!$A:$V,Backend!AD$6,0),"")</f>
        <v/>
      </c>
      <c r="AE105" s="1" t="str">
        <f>IFERROR(Backend!$L105*VLOOKUP($F105,'OH,Profit &amp; Other Base'!$A:$V,Backend!AE$6,0),"")</f>
        <v/>
      </c>
      <c r="AF105" s="1" t="str">
        <f>IFERROR(Backend!$M105*VLOOKUP($F105,'OH,Profit &amp; Other Base'!$A:$V,Backend!AF$6,0),"")</f>
        <v/>
      </c>
      <c r="AG105" s="1" t="str">
        <f>IFERROR(Backend!$L105*VLOOKUP($F105,'OH,Profit &amp; Other Base'!$A:$V,Backend!AG$6,0),"")</f>
        <v/>
      </c>
      <c r="AH105" s="1" t="str">
        <f>IFERROR(Backend!$M105*VLOOKUP($F105,'OH,Profit &amp; Other Base'!$A:$V,Backend!AH$6,0),"")</f>
        <v/>
      </c>
      <c r="AI105" s="3">
        <f t="shared" si="9"/>
        <v>0</v>
      </c>
      <c r="AL105" s="1" t="str">
        <f t="shared" si="10"/>
        <v/>
      </c>
      <c r="AM105" s="1" t="str">
        <f t="shared" si="11"/>
        <v/>
      </c>
      <c r="AN105" s="1" t="str">
        <f t="shared" si="12"/>
        <v/>
      </c>
      <c r="AO105" s="1" t="str">
        <f t="shared" si="13"/>
        <v/>
      </c>
      <c r="AP105" s="1" t="str">
        <f>IFERROR(ROUND(Backend!$AL105*VLOOKUP($F105,'OH,Profit &amp; Other Base'!$A:$V,Backend!AP$6,0),5),"")</f>
        <v/>
      </c>
      <c r="AQ105" s="1" t="str">
        <f>IFERROR(ROUND(Backend!$AO105*VLOOKUP($F105,'OH,Profit &amp; Other Base'!$A:$V,Backend!AQ$6,0),5),"")</f>
        <v/>
      </c>
      <c r="AR105" s="1" t="str">
        <f>IFERROR(ROUND(Backend!$AM105*VLOOKUP($F105,'OH,Profit &amp; Other Base'!$A:$V,Backend!AR$6,0),5),"")</f>
        <v/>
      </c>
      <c r="AS105" s="1" t="str">
        <f>IFERROR(ROUND(Backend!$AL105*VLOOKUP($F105,'OH,Profit &amp; Other Base'!$A:$V,Backend!AS$6,0),5),"")</f>
        <v/>
      </c>
      <c r="AT105" s="1" t="str">
        <f>IFERROR(ROUND(Backend!$AO105*VLOOKUP($F105,'OH,Profit &amp; Other Base'!$A:$V,Backend!AT$6,0),5),"")</f>
        <v/>
      </c>
      <c r="AU105" s="1" t="str">
        <f>IFERROR(ROUND(Backend!$AM105*VLOOKUP($F105,'OH,Profit &amp; Other Base'!$A:$V,Backend!AU$6,0),5),"")</f>
        <v/>
      </c>
      <c r="AV105" s="1" t="str">
        <f>IFERROR(ROUND(Backend!$AL105*VLOOKUP($F105,'OH,Profit &amp; Other Base'!$A:$V,Backend!AV$6,0),5),"")</f>
        <v/>
      </c>
      <c r="AW105" s="1" t="str">
        <f>IFERROR(ROUND(Backend!$AO105*VLOOKUP($F105,'OH,Profit &amp; Other Base'!$A:$V,Backend!AW$6,0),5),"")</f>
        <v/>
      </c>
      <c r="AX105" s="1" t="str">
        <f>IFERROR(ROUND(Backend!$AM105*VLOOKUP($F105,'OH,Profit &amp; Other Base'!$A:$V,Backend!AX$6,0),5),"")</f>
        <v/>
      </c>
      <c r="AY105" s="1" t="str">
        <f>IFERROR(ROUND(Backend!$AL105*VLOOKUP($F105,'OH,Profit &amp; Other Base'!$A:$V,Backend!AY$6,0),5),"")</f>
        <v/>
      </c>
      <c r="AZ105" s="1" t="str">
        <f>IFERROR(ROUND(Backend!$AO105*VLOOKUP($F105,'OH,Profit &amp; Other Base'!$A:$V,Backend!AZ$6,0),5),"")</f>
        <v/>
      </c>
      <c r="BA105" s="1" t="str">
        <f>IFERROR(ROUND(Backend!$AM105*VLOOKUP($F105,'OH,Profit &amp; Other Base'!$A:$V,Backend!BA$6,0),5),"")</f>
        <v/>
      </c>
      <c r="BB105" s="1" t="str">
        <f>IFERROR(ROUND(Backend!$AL105*VLOOKUP($F105,'OH,Profit &amp; Other Base'!$A:$V,Backend!BB$6,0),5),"")</f>
        <v/>
      </c>
      <c r="BC105" s="1" t="str">
        <f>IFERROR(ROUND(Backend!$AO105*VLOOKUP($F105,'OH,Profit &amp; Other Base'!$A:$V,Backend!BC$6,0),5),"")</f>
        <v/>
      </c>
      <c r="BD105" s="1" t="str">
        <f>IFERROR(ROUND(Backend!$AM105*VLOOKUP($F105,'OH,Profit &amp; Other Base'!$A:$V,Backend!BD$6,0),5),"")</f>
        <v/>
      </c>
      <c r="BE105" s="1" t="str">
        <f>IFERROR(ROUND(Backend!$AL105*VLOOKUP($F105,'OH,Profit &amp; Other Base'!$A:$V,Backend!BE$6,0),5),"")</f>
        <v/>
      </c>
      <c r="BF105" s="1" t="str">
        <f>IFERROR(ROUND(Backend!$AO105*VLOOKUP($F105,'OH,Profit &amp; Other Base'!$A:$V,Backend!BF$6,0),5),"")</f>
        <v/>
      </c>
      <c r="BG105" s="1" t="str">
        <f>IFERROR(ROUND(Backend!$AM105*VLOOKUP($F105,'OH,Profit &amp; Other Base'!$A:$V,Backend!BG$6,0),5),"")</f>
        <v/>
      </c>
      <c r="BH105" s="1" t="str">
        <f>IFERROR(ROUND(Backend!$AL105*VLOOKUP($F105,'OH,Profit &amp; Other Base'!$A:$V,Backend!BH$6,0),5),"")</f>
        <v/>
      </c>
      <c r="BI105" s="1" t="str">
        <f>IFERROR(ROUND(Backend!$AO105*VLOOKUP($F105,'OH,Profit &amp; Other Base'!$A:$V,Backend!BI$6,0),5),"")</f>
        <v/>
      </c>
      <c r="BJ105" s="1" t="str">
        <f>IFERROR(ROUND(Backend!$AM105*VLOOKUP($F105,'OH,Profit &amp; Other Base'!$A:$V,Backend!BJ$6,0),5),"")</f>
        <v/>
      </c>
      <c r="BK105" s="3">
        <f>SUM(AN105:BJ105,Backend!O105)</f>
        <v>0</v>
      </c>
    </row>
    <row r="106" spans="1:63">
      <c r="A106" s="1">
        <f>BOM!A101</f>
        <v>0</v>
      </c>
      <c r="B106" s="1">
        <f>BOM!B101</f>
        <v>0</v>
      </c>
      <c r="C106" s="1">
        <f>BOM!C101</f>
        <v>0</v>
      </c>
      <c r="D106" s="1">
        <f>BOM!D101</f>
        <v>0</v>
      </c>
      <c r="E106" s="1">
        <f>BOM!F101</f>
        <v>0</v>
      </c>
      <c r="F106" s="1" t="str">
        <f>IF(H106="CSC",BOM!H101,IF(J106="BOFOthers","Sheet Metal-B",""))</f>
        <v/>
      </c>
      <c r="G106" s="1">
        <f>BOM!I101</f>
        <v>0</v>
      </c>
      <c r="H106" s="1">
        <f>BOM!J101</f>
        <v>0</v>
      </c>
      <c r="I106" s="1" t="str">
        <f t="shared" si="7"/>
        <v>Others</v>
      </c>
      <c r="J106" s="1" t="str">
        <f t="shared" si="8"/>
        <v>0Others</v>
      </c>
      <c r="K106" s="3" t="str">
        <f>IF($J106="InhouseCSC",VLOOKUP($D106,Group!$C:$E,3,0),"")</f>
        <v/>
      </c>
      <c r="L106" s="3" t="str">
        <f>IF(OR($J106="BOSFCSC",$J106="BOFCSC"),VLOOKUP($D106,Group!$C:$E,3,0),"")</f>
        <v/>
      </c>
      <c r="M106" s="3" t="str">
        <f>IF(OR($J106="BOSFCSC",$J106="BOFCSC"),VLOOKUP($D106,Group!$C:$F,4,0),"")</f>
        <v/>
      </c>
      <c r="N106" s="3" t="str">
        <f>IF(OR($J106="InhouseCSC",$J106="BOSFCSC"),VLOOKUP($D106,Group!$C:$G,5,0),"")</f>
        <v/>
      </c>
      <c r="O106" s="3" t="str">
        <f>IF($J106="InhouseCSC",ROUND(VLOOKUP($D106,Group!$C:$H,6,0),5),"")</f>
        <v/>
      </c>
      <c r="P106" s="3" t="str">
        <f>IF(OR($J106="BOSFCSC",$J106="BOFCSC"),VLOOKUP($D106,Group!$C:$H,6,0),"")</f>
        <v/>
      </c>
      <c r="Q106" s="1" t="str">
        <f>IF($J106="Inhouseothers",VLOOKUP($D106,Group!$C:$E,3,0),"")</f>
        <v/>
      </c>
      <c r="R106" s="1" t="str">
        <f>IF($J106="BOSFOthers",VLOOKUP($D106,Group!$C:$E,3,0),"")</f>
        <v/>
      </c>
      <c r="S106" s="3" t="str">
        <f>IF($J106="BOFOthers",VLOOKUP($D106,Group!$C:$E,3,0),"")</f>
        <v/>
      </c>
      <c r="U106" s="1" t="str">
        <f>IFERROR(Backend!$L106*VLOOKUP($F106,'OH,Profit &amp; Other Base'!$A:$V,Backend!U$6,0),"")</f>
        <v/>
      </c>
      <c r="V106" s="1" t="str">
        <f>IFERROR(Backend!$M106*VLOOKUP($F106,'OH,Profit &amp; Other Base'!$A:$V,Backend!V$6,0),"")</f>
        <v/>
      </c>
      <c r="W106" s="1" t="str">
        <f>IFERROR(Backend!$L106*VLOOKUP($F106,'OH,Profit &amp; Other Base'!$A:$V,Backend!W$6,0),"")</f>
        <v/>
      </c>
      <c r="X106" s="1" t="str">
        <f>IFERROR(Backend!$M106*VLOOKUP($F106,'OH,Profit &amp; Other Base'!$A:$V,Backend!X$6,0),"")</f>
        <v/>
      </c>
      <c r="Y106" s="1" t="str">
        <f>IFERROR(Backend!$L106*VLOOKUP($F106,'OH,Profit &amp; Other Base'!$A:$V,Backend!Y$6,0),"")</f>
        <v/>
      </c>
      <c r="Z106" s="1" t="str">
        <f>IFERROR(Backend!$M106*VLOOKUP($F106,'OH,Profit &amp; Other Base'!$A:$V,Backend!Z$6,0),"")</f>
        <v/>
      </c>
      <c r="AA106" s="1" t="str">
        <f>IFERROR(Backend!$L106*VLOOKUP($F106,'OH,Profit &amp; Other Base'!$A:$V,Backend!AA$6,0),"")</f>
        <v/>
      </c>
      <c r="AB106" s="1" t="str">
        <f>IFERROR(Backend!$M106*VLOOKUP($F106,'OH,Profit &amp; Other Base'!$A:$V,Backend!AB$6,0),"")</f>
        <v/>
      </c>
      <c r="AC106" s="1" t="str">
        <f>IFERROR(Backend!$L106*VLOOKUP($F106,'OH,Profit &amp; Other Base'!$A:$V,Backend!AC$6,0),"")</f>
        <v/>
      </c>
      <c r="AD106" s="1" t="str">
        <f>IFERROR(Backend!$M106*VLOOKUP($F106,'OH,Profit &amp; Other Base'!$A:$V,Backend!AD$6,0),"")</f>
        <v/>
      </c>
      <c r="AE106" s="1" t="str">
        <f>IFERROR(Backend!$L106*VLOOKUP($F106,'OH,Profit &amp; Other Base'!$A:$V,Backend!AE$6,0),"")</f>
        <v/>
      </c>
      <c r="AF106" s="1" t="str">
        <f>IFERROR(Backend!$M106*VLOOKUP($F106,'OH,Profit &amp; Other Base'!$A:$V,Backend!AF$6,0),"")</f>
        <v/>
      </c>
      <c r="AG106" s="1" t="str">
        <f>IFERROR(Backend!$L106*VLOOKUP($F106,'OH,Profit &amp; Other Base'!$A:$V,Backend!AG$6,0),"")</f>
        <v/>
      </c>
      <c r="AH106" s="1" t="str">
        <f>IFERROR(Backend!$M106*VLOOKUP($F106,'OH,Profit &amp; Other Base'!$A:$V,Backend!AH$6,0),"")</f>
        <v/>
      </c>
      <c r="AI106" s="3">
        <f t="shared" si="9"/>
        <v>0</v>
      </c>
      <c r="AL106" s="1" t="str">
        <f t="shared" si="10"/>
        <v/>
      </c>
      <c r="AM106" s="1" t="str">
        <f t="shared" si="11"/>
        <v/>
      </c>
      <c r="AN106" s="1" t="str">
        <f t="shared" si="12"/>
        <v/>
      </c>
      <c r="AO106" s="1" t="str">
        <f t="shared" si="13"/>
        <v/>
      </c>
      <c r="AP106" s="1" t="str">
        <f>IFERROR(ROUND(Backend!$AL106*VLOOKUP($F106,'OH,Profit &amp; Other Base'!$A:$V,Backend!AP$6,0),5),"")</f>
        <v/>
      </c>
      <c r="AQ106" s="1" t="str">
        <f>IFERROR(ROUND(Backend!$AO106*VLOOKUP($F106,'OH,Profit &amp; Other Base'!$A:$V,Backend!AQ$6,0),5),"")</f>
        <v/>
      </c>
      <c r="AR106" s="1" t="str">
        <f>IFERROR(ROUND(Backend!$AM106*VLOOKUP($F106,'OH,Profit &amp; Other Base'!$A:$V,Backend!AR$6,0),5),"")</f>
        <v/>
      </c>
      <c r="AS106" s="1" t="str">
        <f>IFERROR(ROUND(Backend!$AL106*VLOOKUP($F106,'OH,Profit &amp; Other Base'!$A:$V,Backend!AS$6,0),5),"")</f>
        <v/>
      </c>
      <c r="AT106" s="1" t="str">
        <f>IFERROR(ROUND(Backend!$AO106*VLOOKUP($F106,'OH,Profit &amp; Other Base'!$A:$V,Backend!AT$6,0),5),"")</f>
        <v/>
      </c>
      <c r="AU106" s="1" t="str">
        <f>IFERROR(ROUND(Backend!$AM106*VLOOKUP($F106,'OH,Profit &amp; Other Base'!$A:$V,Backend!AU$6,0),5),"")</f>
        <v/>
      </c>
      <c r="AV106" s="1" t="str">
        <f>IFERROR(ROUND(Backend!$AL106*VLOOKUP($F106,'OH,Profit &amp; Other Base'!$A:$V,Backend!AV$6,0),5),"")</f>
        <v/>
      </c>
      <c r="AW106" s="1" t="str">
        <f>IFERROR(ROUND(Backend!$AO106*VLOOKUP($F106,'OH,Profit &amp; Other Base'!$A:$V,Backend!AW$6,0),5),"")</f>
        <v/>
      </c>
      <c r="AX106" s="1" t="str">
        <f>IFERROR(ROUND(Backend!$AM106*VLOOKUP($F106,'OH,Profit &amp; Other Base'!$A:$V,Backend!AX$6,0),5),"")</f>
        <v/>
      </c>
      <c r="AY106" s="1" t="str">
        <f>IFERROR(ROUND(Backend!$AL106*VLOOKUP($F106,'OH,Profit &amp; Other Base'!$A:$V,Backend!AY$6,0),5),"")</f>
        <v/>
      </c>
      <c r="AZ106" s="1" t="str">
        <f>IFERROR(ROUND(Backend!$AO106*VLOOKUP($F106,'OH,Profit &amp; Other Base'!$A:$V,Backend!AZ$6,0),5),"")</f>
        <v/>
      </c>
      <c r="BA106" s="1" t="str">
        <f>IFERROR(ROUND(Backend!$AM106*VLOOKUP($F106,'OH,Profit &amp; Other Base'!$A:$V,Backend!BA$6,0),5),"")</f>
        <v/>
      </c>
      <c r="BB106" s="1" t="str">
        <f>IFERROR(ROUND(Backend!$AL106*VLOOKUP($F106,'OH,Profit &amp; Other Base'!$A:$V,Backend!BB$6,0),5),"")</f>
        <v/>
      </c>
      <c r="BC106" s="1" t="str">
        <f>IFERROR(ROUND(Backend!$AO106*VLOOKUP($F106,'OH,Profit &amp; Other Base'!$A:$V,Backend!BC$6,0),5),"")</f>
        <v/>
      </c>
      <c r="BD106" s="1" t="str">
        <f>IFERROR(ROUND(Backend!$AM106*VLOOKUP($F106,'OH,Profit &amp; Other Base'!$A:$V,Backend!BD$6,0),5),"")</f>
        <v/>
      </c>
      <c r="BE106" s="1" t="str">
        <f>IFERROR(ROUND(Backend!$AL106*VLOOKUP($F106,'OH,Profit &amp; Other Base'!$A:$V,Backend!BE$6,0),5),"")</f>
        <v/>
      </c>
      <c r="BF106" s="1" t="str">
        <f>IFERROR(ROUND(Backend!$AO106*VLOOKUP($F106,'OH,Profit &amp; Other Base'!$A:$V,Backend!BF$6,0),5),"")</f>
        <v/>
      </c>
      <c r="BG106" s="1" t="str">
        <f>IFERROR(ROUND(Backend!$AM106*VLOOKUP($F106,'OH,Profit &amp; Other Base'!$A:$V,Backend!BG$6,0),5),"")</f>
        <v/>
      </c>
      <c r="BH106" s="1" t="str">
        <f>IFERROR(ROUND(Backend!$AL106*VLOOKUP($F106,'OH,Profit &amp; Other Base'!$A:$V,Backend!BH$6,0),5),"")</f>
        <v/>
      </c>
      <c r="BI106" s="1" t="str">
        <f>IFERROR(ROUND(Backend!$AO106*VLOOKUP($F106,'OH,Profit &amp; Other Base'!$A:$V,Backend!BI$6,0),5),"")</f>
        <v/>
      </c>
      <c r="BJ106" s="1" t="str">
        <f>IFERROR(ROUND(Backend!$AM106*VLOOKUP($F106,'OH,Profit &amp; Other Base'!$A:$V,Backend!BJ$6,0),5),"")</f>
        <v/>
      </c>
      <c r="BK106" s="3">
        <f>SUM(AN106:BJ106,Backend!O106)</f>
        <v>0</v>
      </c>
    </row>
    <row r="107" spans="1:63">
      <c r="A107" s="1">
        <f>BOM!A102</f>
        <v>0</v>
      </c>
      <c r="B107" s="1">
        <f>BOM!B102</f>
        <v>0</v>
      </c>
      <c r="C107" s="1">
        <f>BOM!C102</f>
        <v>0</v>
      </c>
      <c r="D107" s="1">
        <f>BOM!D102</f>
        <v>0</v>
      </c>
      <c r="E107" s="1">
        <f>BOM!F102</f>
        <v>0</v>
      </c>
      <c r="F107" s="1" t="str">
        <f>IF(H107="CSC",BOM!H102,IF(J107="BOFOthers","Sheet Metal-B",""))</f>
        <v/>
      </c>
      <c r="G107" s="1">
        <f>BOM!I102</f>
        <v>0</v>
      </c>
      <c r="H107" s="1">
        <f>BOM!J102</f>
        <v>0</v>
      </c>
      <c r="I107" s="1" t="str">
        <f t="shared" si="7"/>
        <v>Others</v>
      </c>
      <c r="J107" s="1" t="str">
        <f t="shared" si="8"/>
        <v>0Others</v>
      </c>
      <c r="K107" s="3" t="str">
        <f>IF($J107="InhouseCSC",VLOOKUP($D107,Group!$C:$E,3,0),"")</f>
        <v/>
      </c>
      <c r="L107" s="3" t="str">
        <f>IF(OR($J107="BOSFCSC",$J107="BOFCSC"),VLOOKUP($D107,Group!$C:$E,3,0),"")</f>
        <v/>
      </c>
      <c r="M107" s="3" t="str">
        <f>IF(OR($J107="BOSFCSC",$J107="BOFCSC"),VLOOKUP($D107,Group!$C:$F,4,0),"")</f>
        <v/>
      </c>
      <c r="N107" s="3" t="str">
        <f>IF(OR($J107="InhouseCSC",$J107="BOSFCSC"),VLOOKUP($D107,Group!$C:$G,5,0),"")</f>
        <v/>
      </c>
      <c r="O107" s="3" t="str">
        <f>IF($J107="InhouseCSC",ROUND(VLOOKUP($D107,Group!$C:$H,6,0),5),"")</f>
        <v/>
      </c>
      <c r="P107" s="3" t="str">
        <f>IF(OR($J107="BOSFCSC",$J107="BOFCSC"),VLOOKUP($D107,Group!$C:$H,6,0),"")</f>
        <v/>
      </c>
      <c r="Q107" s="1" t="str">
        <f>IF($J107="Inhouseothers",VLOOKUP($D107,Group!$C:$E,3,0),"")</f>
        <v/>
      </c>
      <c r="R107" s="1" t="str">
        <f>IF($J107="BOSFOthers",VLOOKUP($D107,Group!$C:$E,3,0),"")</f>
        <v/>
      </c>
      <c r="S107" s="3" t="str">
        <f>IF($J107="BOFOthers",VLOOKUP($D107,Group!$C:$E,3,0),"")</f>
        <v/>
      </c>
      <c r="U107" s="1" t="str">
        <f>IFERROR(Backend!$L107*VLOOKUP($F107,'OH,Profit &amp; Other Base'!$A:$V,Backend!U$6,0),"")</f>
        <v/>
      </c>
      <c r="V107" s="1" t="str">
        <f>IFERROR(Backend!$M107*VLOOKUP($F107,'OH,Profit &amp; Other Base'!$A:$V,Backend!V$6,0),"")</f>
        <v/>
      </c>
      <c r="W107" s="1" t="str">
        <f>IFERROR(Backend!$L107*VLOOKUP($F107,'OH,Profit &amp; Other Base'!$A:$V,Backend!W$6,0),"")</f>
        <v/>
      </c>
      <c r="X107" s="1" t="str">
        <f>IFERROR(Backend!$M107*VLOOKUP($F107,'OH,Profit &amp; Other Base'!$A:$V,Backend!X$6,0),"")</f>
        <v/>
      </c>
      <c r="Y107" s="1" t="str">
        <f>IFERROR(Backend!$L107*VLOOKUP($F107,'OH,Profit &amp; Other Base'!$A:$V,Backend!Y$6,0),"")</f>
        <v/>
      </c>
      <c r="Z107" s="1" t="str">
        <f>IFERROR(Backend!$M107*VLOOKUP($F107,'OH,Profit &amp; Other Base'!$A:$V,Backend!Z$6,0),"")</f>
        <v/>
      </c>
      <c r="AA107" s="1" t="str">
        <f>IFERROR(Backend!$L107*VLOOKUP($F107,'OH,Profit &amp; Other Base'!$A:$V,Backend!AA$6,0),"")</f>
        <v/>
      </c>
      <c r="AB107" s="1" t="str">
        <f>IFERROR(Backend!$M107*VLOOKUP($F107,'OH,Profit &amp; Other Base'!$A:$V,Backend!AB$6,0),"")</f>
        <v/>
      </c>
      <c r="AC107" s="1" t="str">
        <f>IFERROR(Backend!$L107*VLOOKUP($F107,'OH,Profit &amp; Other Base'!$A:$V,Backend!AC$6,0),"")</f>
        <v/>
      </c>
      <c r="AD107" s="1" t="str">
        <f>IFERROR(Backend!$M107*VLOOKUP($F107,'OH,Profit &amp; Other Base'!$A:$V,Backend!AD$6,0),"")</f>
        <v/>
      </c>
      <c r="AE107" s="1" t="str">
        <f>IFERROR(Backend!$L107*VLOOKUP($F107,'OH,Profit &amp; Other Base'!$A:$V,Backend!AE$6,0),"")</f>
        <v/>
      </c>
      <c r="AF107" s="1" t="str">
        <f>IFERROR(Backend!$M107*VLOOKUP($F107,'OH,Profit &amp; Other Base'!$A:$V,Backend!AF$6,0),"")</f>
        <v/>
      </c>
      <c r="AG107" s="1" t="str">
        <f>IFERROR(Backend!$L107*VLOOKUP($F107,'OH,Profit &amp; Other Base'!$A:$V,Backend!AG$6,0),"")</f>
        <v/>
      </c>
      <c r="AH107" s="1" t="str">
        <f>IFERROR(Backend!$M107*VLOOKUP($F107,'OH,Profit &amp; Other Base'!$A:$V,Backend!AH$6,0),"")</f>
        <v/>
      </c>
      <c r="AI107" s="3">
        <f t="shared" si="9"/>
        <v>0</v>
      </c>
      <c r="AL107" s="1" t="str">
        <f t="shared" si="10"/>
        <v/>
      </c>
      <c r="AM107" s="1" t="str">
        <f t="shared" si="11"/>
        <v/>
      </c>
      <c r="AN107" s="1" t="str">
        <f t="shared" si="12"/>
        <v/>
      </c>
      <c r="AO107" s="1" t="str">
        <f t="shared" si="13"/>
        <v/>
      </c>
      <c r="AP107" s="1" t="str">
        <f>IFERROR(ROUND(Backend!$AL107*VLOOKUP($F107,'OH,Profit &amp; Other Base'!$A:$V,Backend!AP$6,0),5),"")</f>
        <v/>
      </c>
      <c r="AQ107" s="1" t="str">
        <f>IFERROR(ROUND(Backend!$AO107*VLOOKUP($F107,'OH,Profit &amp; Other Base'!$A:$V,Backend!AQ$6,0),5),"")</f>
        <v/>
      </c>
      <c r="AR107" s="1" t="str">
        <f>IFERROR(ROUND(Backend!$AM107*VLOOKUP($F107,'OH,Profit &amp; Other Base'!$A:$V,Backend!AR$6,0),5),"")</f>
        <v/>
      </c>
      <c r="AS107" s="1" t="str">
        <f>IFERROR(ROUND(Backend!$AL107*VLOOKUP($F107,'OH,Profit &amp; Other Base'!$A:$V,Backend!AS$6,0),5),"")</f>
        <v/>
      </c>
      <c r="AT107" s="1" t="str">
        <f>IFERROR(ROUND(Backend!$AO107*VLOOKUP($F107,'OH,Profit &amp; Other Base'!$A:$V,Backend!AT$6,0),5),"")</f>
        <v/>
      </c>
      <c r="AU107" s="1" t="str">
        <f>IFERROR(ROUND(Backend!$AM107*VLOOKUP($F107,'OH,Profit &amp; Other Base'!$A:$V,Backend!AU$6,0),5),"")</f>
        <v/>
      </c>
      <c r="AV107" s="1" t="str">
        <f>IFERROR(ROUND(Backend!$AL107*VLOOKUP($F107,'OH,Profit &amp; Other Base'!$A:$V,Backend!AV$6,0),5),"")</f>
        <v/>
      </c>
      <c r="AW107" s="1" t="str">
        <f>IFERROR(ROUND(Backend!$AO107*VLOOKUP($F107,'OH,Profit &amp; Other Base'!$A:$V,Backend!AW$6,0),5),"")</f>
        <v/>
      </c>
      <c r="AX107" s="1" t="str">
        <f>IFERROR(ROUND(Backend!$AM107*VLOOKUP($F107,'OH,Profit &amp; Other Base'!$A:$V,Backend!AX$6,0),5),"")</f>
        <v/>
      </c>
      <c r="AY107" s="1" t="str">
        <f>IFERROR(ROUND(Backend!$AL107*VLOOKUP($F107,'OH,Profit &amp; Other Base'!$A:$V,Backend!AY$6,0),5),"")</f>
        <v/>
      </c>
      <c r="AZ107" s="1" t="str">
        <f>IFERROR(ROUND(Backend!$AO107*VLOOKUP($F107,'OH,Profit &amp; Other Base'!$A:$V,Backend!AZ$6,0),5),"")</f>
        <v/>
      </c>
      <c r="BA107" s="1" t="str">
        <f>IFERROR(ROUND(Backend!$AM107*VLOOKUP($F107,'OH,Profit &amp; Other Base'!$A:$V,Backend!BA$6,0),5),"")</f>
        <v/>
      </c>
      <c r="BB107" s="1" t="str">
        <f>IFERROR(ROUND(Backend!$AL107*VLOOKUP($F107,'OH,Profit &amp; Other Base'!$A:$V,Backend!BB$6,0),5),"")</f>
        <v/>
      </c>
      <c r="BC107" s="1" t="str">
        <f>IFERROR(ROUND(Backend!$AO107*VLOOKUP($F107,'OH,Profit &amp; Other Base'!$A:$V,Backend!BC$6,0),5),"")</f>
        <v/>
      </c>
      <c r="BD107" s="1" t="str">
        <f>IFERROR(ROUND(Backend!$AM107*VLOOKUP($F107,'OH,Profit &amp; Other Base'!$A:$V,Backend!BD$6,0),5),"")</f>
        <v/>
      </c>
      <c r="BE107" s="1" t="str">
        <f>IFERROR(ROUND(Backend!$AL107*VLOOKUP($F107,'OH,Profit &amp; Other Base'!$A:$V,Backend!BE$6,0),5),"")</f>
        <v/>
      </c>
      <c r="BF107" s="1" t="str">
        <f>IFERROR(ROUND(Backend!$AO107*VLOOKUP($F107,'OH,Profit &amp; Other Base'!$A:$V,Backend!BF$6,0),5),"")</f>
        <v/>
      </c>
      <c r="BG107" s="1" t="str">
        <f>IFERROR(ROUND(Backend!$AM107*VLOOKUP($F107,'OH,Profit &amp; Other Base'!$A:$V,Backend!BG$6,0),5),"")</f>
        <v/>
      </c>
      <c r="BH107" s="1" t="str">
        <f>IFERROR(ROUND(Backend!$AL107*VLOOKUP($F107,'OH,Profit &amp; Other Base'!$A:$V,Backend!BH$6,0),5),"")</f>
        <v/>
      </c>
      <c r="BI107" s="1" t="str">
        <f>IFERROR(ROUND(Backend!$AO107*VLOOKUP($F107,'OH,Profit &amp; Other Base'!$A:$V,Backend!BI$6,0),5),"")</f>
        <v/>
      </c>
      <c r="BJ107" s="1" t="str">
        <f>IFERROR(ROUND(Backend!$AM107*VLOOKUP($F107,'OH,Profit &amp; Other Base'!$A:$V,Backend!BJ$6,0),5),"")</f>
        <v/>
      </c>
      <c r="BK107" s="3">
        <f>SUM(AN107:BJ107,Backend!O107)</f>
        <v>0</v>
      </c>
    </row>
    <row r="108" spans="1:63">
      <c r="A108" s="1">
        <f>BOM!A103</f>
        <v>0</v>
      </c>
      <c r="B108" s="1">
        <f>BOM!B103</f>
        <v>0</v>
      </c>
      <c r="C108" s="1">
        <f>BOM!C103</f>
        <v>0</v>
      </c>
      <c r="D108" s="1">
        <f>BOM!D103</f>
        <v>0</v>
      </c>
      <c r="E108" s="1">
        <f>BOM!F103</f>
        <v>0</v>
      </c>
      <c r="F108" s="1" t="str">
        <f>IF(H108="CSC",BOM!H103,IF(J108="BOFOthers","Sheet Metal-B",""))</f>
        <v/>
      </c>
      <c r="G108" s="1">
        <f>BOM!I103</f>
        <v>0</v>
      </c>
      <c r="H108" s="1">
        <f>BOM!J103</f>
        <v>0</v>
      </c>
      <c r="I108" s="1" t="str">
        <f t="shared" si="7"/>
        <v>Others</v>
      </c>
      <c r="J108" s="1" t="str">
        <f t="shared" si="8"/>
        <v>0Others</v>
      </c>
      <c r="K108" s="3" t="str">
        <f>IF($J108="InhouseCSC",VLOOKUP($D108,Group!$C:$E,3,0),"")</f>
        <v/>
      </c>
      <c r="L108" s="3" t="str">
        <f>IF(OR($J108="BOSFCSC",$J108="BOFCSC"),VLOOKUP($D108,Group!$C:$E,3,0),"")</f>
        <v/>
      </c>
      <c r="M108" s="3" t="str">
        <f>IF(OR($J108="BOSFCSC",$J108="BOFCSC"),VLOOKUP($D108,Group!$C:$F,4,0),"")</f>
        <v/>
      </c>
      <c r="N108" s="3" t="str">
        <f>IF(OR($J108="InhouseCSC",$J108="BOSFCSC"),VLOOKUP($D108,Group!$C:$G,5,0),"")</f>
        <v/>
      </c>
      <c r="O108" s="3" t="str">
        <f>IF($J108="InhouseCSC",ROUND(VLOOKUP($D108,Group!$C:$H,6,0),5),"")</f>
        <v/>
      </c>
      <c r="P108" s="3" t="str">
        <f>IF(OR($J108="BOSFCSC",$J108="BOFCSC"),VLOOKUP($D108,Group!$C:$H,6,0),"")</f>
        <v/>
      </c>
      <c r="Q108" s="1" t="str">
        <f>IF($J108="Inhouseothers",VLOOKUP($D108,Group!$C:$E,3,0),"")</f>
        <v/>
      </c>
      <c r="R108" s="1" t="str">
        <f>IF($J108="BOSFOthers",VLOOKUP($D108,Group!$C:$E,3,0),"")</f>
        <v/>
      </c>
      <c r="S108" s="3" t="str">
        <f>IF($J108="BOFOthers",VLOOKUP($D108,Group!$C:$E,3,0),"")</f>
        <v/>
      </c>
      <c r="U108" s="1" t="str">
        <f>IFERROR(Backend!$L108*VLOOKUP($F108,'OH,Profit &amp; Other Base'!$A:$V,Backend!U$6,0),"")</f>
        <v/>
      </c>
      <c r="V108" s="1" t="str">
        <f>IFERROR(Backend!$M108*VLOOKUP($F108,'OH,Profit &amp; Other Base'!$A:$V,Backend!V$6,0),"")</f>
        <v/>
      </c>
      <c r="W108" s="1" t="str">
        <f>IFERROR(Backend!$L108*VLOOKUP($F108,'OH,Profit &amp; Other Base'!$A:$V,Backend!W$6,0),"")</f>
        <v/>
      </c>
      <c r="X108" s="1" t="str">
        <f>IFERROR(Backend!$M108*VLOOKUP($F108,'OH,Profit &amp; Other Base'!$A:$V,Backend!X$6,0),"")</f>
        <v/>
      </c>
      <c r="Y108" s="1" t="str">
        <f>IFERROR(Backend!$L108*VLOOKUP($F108,'OH,Profit &amp; Other Base'!$A:$V,Backend!Y$6,0),"")</f>
        <v/>
      </c>
      <c r="Z108" s="1" t="str">
        <f>IFERROR(Backend!$M108*VLOOKUP($F108,'OH,Profit &amp; Other Base'!$A:$V,Backend!Z$6,0),"")</f>
        <v/>
      </c>
      <c r="AA108" s="1" t="str">
        <f>IFERROR(Backend!$L108*VLOOKUP($F108,'OH,Profit &amp; Other Base'!$A:$V,Backend!AA$6,0),"")</f>
        <v/>
      </c>
      <c r="AB108" s="1" t="str">
        <f>IFERROR(Backend!$M108*VLOOKUP($F108,'OH,Profit &amp; Other Base'!$A:$V,Backend!AB$6,0),"")</f>
        <v/>
      </c>
      <c r="AC108" s="1" t="str">
        <f>IFERROR(Backend!$L108*VLOOKUP($F108,'OH,Profit &amp; Other Base'!$A:$V,Backend!AC$6,0),"")</f>
        <v/>
      </c>
      <c r="AD108" s="1" t="str">
        <f>IFERROR(Backend!$M108*VLOOKUP($F108,'OH,Profit &amp; Other Base'!$A:$V,Backend!AD$6,0),"")</f>
        <v/>
      </c>
      <c r="AE108" s="1" t="str">
        <f>IFERROR(Backend!$L108*VLOOKUP($F108,'OH,Profit &amp; Other Base'!$A:$V,Backend!AE$6,0),"")</f>
        <v/>
      </c>
      <c r="AF108" s="1" t="str">
        <f>IFERROR(Backend!$M108*VLOOKUP($F108,'OH,Profit &amp; Other Base'!$A:$V,Backend!AF$6,0),"")</f>
        <v/>
      </c>
      <c r="AG108" s="1" t="str">
        <f>IFERROR(Backend!$L108*VLOOKUP($F108,'OH,Profit &amp; Other Base'!$A:$V,Backend!AG$6,0),"")</f>
        <v/>
      </c>
      <c r="AH108" s="1" t="str">
        <f>IFERROR(Backend!$M108*VLOOKUP($F108,'OH,Profit &amp; Other Base'!$A:$V,Backend!AH$6,0),"")</f>
        <v/>
      </c>
      <c r="AI108" s="3">
        <f t="shared" si="9"/>
        <v>0</v>
      </c>
      <c r="AL108" s="1" t="str">
        <f t="shared" si="10"/>
        <v/>
      </c>
      <c r="AM108" s="1" t="str">
        <f t="shared" si="11"/>
        <v/>
      </c>
      <c r="AN108" s="1" t="str">
        <f t="shared" si="12"/>
        <v/>
      </c>
      <c r="AO108" s="1" t="str">
        <f t="shared" si="13"/>
        <v/>
      </c>
      <c r="AP108" s="1" t="str">
        <f>IFERROR(ROUND(Backend!$AL108*VLOOKUP($F108,'OH,Profit &amp; Other Base'!$A:$V,Backend!AP$6,0),5),"")</f>
        <v/>
      </c>
      <c r="AQ108" s="1" t="str">
        <f>IFERROR(ROUND(Backend!$AO108*VLOOKUP($F108,'OH,Profit &amp; Other Base'!$A:$V,Backend!AQ$6,0),5),"")</f>
        <v/>
      </c>
      <c r="AR108" s="1" t="str">
        <f>IFERROR(ROUND(Backend!$AM108*VLOOKUP($F108,'OH,Profit &amp; Other Base'!$A:$V,Backend!AR$6,0),5),"")</f>
        <v/>
      </c>
      <c r="AS108" s="1" t="str">
        <f>IFERROR(ROUND(Backend!$AL108*VLOOKUP($F108,'OH,Profit &amp; Other Base'!$A:$V,Backend!AS$6,0),5),"")</f>
        <v/>
      </c>
      <c r="AT108" s="1" t="str">
        <f>IFERROR(ROUND(Backend!$AO108*VLOOKUP($F108,'OH,Profit &amp; Other Base'!$A:$V,Backend!AT$6,0),5),"")</f>
        <v/>
      </c>
      <c r="AU108" s="1" t="str">
        <f>IFERROR(ROUND(Backend!$AM108*VLOOKUP($F108,'OH,Profit &amp; Other Base'!$A:$V,Backend!AU$6,0),5),"")</f>
        <v/>
      </c>
      <c r="AV108" s="1" t="str">
        <f>IFERROR(ROUND(Backend!$AL108*VLOOKUP($F108,'OH,Profit &amp; Other Base'!$A:$V,Backend!AV$6,0),5),"")</f>
        <v/>
      </c>
      <c r="AW108" s="1" t="str">
        <f>IFERROR(ROUND(Backend!$AO108*VLOOKUP($F108,'OH,Profit &amp; Other Base'!$A:$V,Backend!AW$6,0),5),"")</f>
        <v/>
      </c>
      <c r="AX108" s="1" t="str">
        <f>IFERROR(ROUND(Backend!$AM108*VLOOKUP($F108,'OH,Profit &amp; Other Base'!$A:$V,Backend!AX$6,0),5),"")</f>
        <v/>
      </c>
      <c r="AY108" s="1" t="str">
        <f>IFERROR(ROUND(Backend!$AL108*VLOOKUP($F108,'OH,Profit &amp; Other Base'!$A:$V,Backend!AY$6,0),5),"")</f>
        <v/>
      </c>
      <c r="AZ108" s="1" t="str">
        <f>IFERROR(ROUND(Backend!$AO108*VLOOKUP($F108,'OH,Profit &amp; Other Base'!$A:$V,Backend!AZ$6,0),5),"")</f>
        <v/>
      </c>
      <c r="BA108" s="1" t="str">
        <f>IFERROR(ROUND(Backend!$AM108*VLOOKUP($F108,'OH,Profit &amp; Other Base'!$A:$V,Backend!BA$6,0),5),"")</f>
        <v/>
      </c>
      <c r="BB108" s="1" t="str">
        <f>IFERROR(ROUND(Backend!$AL108*VLOOKUP($F108,'OH,Profit &amp; Other Base'!$A:$V,Backend!BB$6,0),5),"")</f>
        <v/>
      </c>
      <c r="BC108" s="1" t="str">
        <f>IFERROR(ROUND(Backend!$AO108*VLOOKUP($F108,'OH,Profit &amp; Other Base'!$A:$V,Backend!BC$6,0),5),"")</f>
        <v/>
      </c>
      <c r="BD108" s="1" t="str">
        <f>IFERROR(ROUND(Backend!$AM108*VLOOKUP($F108,'OH,Profit &amp; Other Base'!$A:$V,Backend!BD$6,0),5),"")</f>
        <v/>
      </c>
      <c r="BE108" s="1" t="str">
        <f>IFERROR(ROUND(Backend!$AL108*VLOOKUP($F108,'OH,Profit &amp; Other Base'!$A:$V,Backend!BE$6,0),5),"")</f>
        <v/>
      </c>
      <c r="BF108" s="1" t="str">
        <f>IFERROR(ROUND(Backend!$AO108*VLOOKUP($F108,'OH,Profit &amp; Other Base'!$A:$V,Backend!BF$6,0),5),"")</f>
        <v/>
      </c>
      <c r="BG108" s="1" t="str">
        <f>IFERROR(ROUND(Backend!$AM108*VLOOKUP($F108,'OH,Profit &amp; Other Base'!$A:$V,Backend!BG$6,0),5),"")</f>
        <v/>
      </c>
      <c r="BH108" s="1" t="str">
        <f>IFERROR(ROUND(Backend!$AL108*VLOOKUP($F108,'OH,Profit &amp; Other Base'!$A:$V,Backend!BH$6,0),5),"")</f>
        <v/>
      </c>
      <c r="BI108" s="1" t="str">
        <f>IFERROR(ROUND(Backend!$AO108*VLOOKUP($F108,'OH,Profit &amp; Other Base'!$A:$V,Backend!BI$6,0),5),"")</f>
        <v/>
      </c>
      <c r="BJ108" s="1" t="str">
        <f>IFERROR(ROUND(Backend!$AM108*VLOOKUP($F108,'OH,Profit &amp; Other Base'!$A:$V,Backend!BJ$6,0),5),"")</f>
        <v/>
      </c>
      <c r="BK108" s="3">
        <f>SUM(AN108:BJ108,Backend!O108)</f>
        <v>0</v>
      </c>
    </row>
    <row r="109" spans="1:63">
      <c r="A109" s="1">
        <f>BOM!A104</f>
        <v>0</v>
      </c>
      <c r="B109" s="1">
        <f>BOM!B104</f>
        <v>0</v>
      </c>
      <c r="C109" s="1">
        <f>BOM!C104</f>
        <v>0</v>
      </c>
      <c r="D109" s="1">
        <f>BOM!D104</f>
        <v>0</v>
      </c>
      <c r="E109" s="1">
        <f>BOM!F104</f>
        <v>0</v>
      </c>
      <c r="F109" s="1" t="str">
        <f>IF(H109="CSC",BOM!H104,IF(J109="BOFOthers","Sheet Metal-B",""))</f>
        <v/>
      </c>
      <c r="G109" s="1">
        <f>BOM!I104</f>
        <v>0</v>
      </c>
      <c r="H109" s="1">
        <f>BOM!J104</f>
        <v>0</v>
      </c>
      <c r="I109" s="1" t="str">
        <f t="shared" si="7"/>
        <v>Others</v>
      </c>
      <c r="J109" s="1" t="str">
        <f t="shared" si="8"/>
        <v>0Others</v>
      </c>
      <c r="K109" s="3" t="str">
        <f>IF($J109="InhouseCSC",VLOOKUP($D109,Group!$C:$E,3,0),"")</f>
        <v/>
      </c>
      <c r="L109" s="3" t="str">
        <f>IF(OR($J109="BOSFCSC",$J109="BOFCSC"),VLOOKUP($D109,Group!$C:$E,3,0),"")</f>
        <v/>
      </c>
      <c r="M109" s="3" t="str">
        <f>IF(OR($J109="BOSFCSC",$J109="BOFCSC"),VLOOKUP($D109,Group!$C:$F,4,0),"")</f>
        <v/>
      </c>
      <c r="N109" s="3" t="str">
        <f>IF(OR($J109="InhouseCSC",$J109="BOSFCSC"),VLOOKUP($D109,Group!$C:$G,5,0),"")</f>
        <v/>
      </c>
      <c r="O109" s="3" t="str">
        <f>IF($J109="InhouseCSC",ROUND(VLOOKUP($D109,Group!$C:$H,6,0),5),"")</f>
        <v/>
      </c>
      <c r="P109" s="3" t="str">
        <f>IF(OR($J109="BOSFCSC",$J109="BOFCSC"),VLOOKUP($D109,Group!$C:$H,6,0),"")</f>
        <v/>
      </c>
      <c r="Q109" s="1" t="str">
        <f>IF($J109="Inhouseothers",VLOOKUP($D109,Group!$C:$E,3,0),"")</f>
        <v/>
      </c>
      <c r="R109" s="1" t="str">
        <f>IF($J109="BOSFOthers",VLOOKUP($D109,Group!$C:$E,3,0),"")</f>
        <v/>
      </c>
      <c r="S109" s="3" t="str">
        <f>IF($J109="BOFOthers",VLOOKUP($D109,Group!$C:$E,3,0),"")</f>
        <v/>
      </c>
      <c r="U109" s="1" t="str">
        <f>IFERROR(Backend!$L109*VLOOKUP($F109,'OH,Profit &amp; Other Base'!$A:$V,Backend!U$6,0),"")</f>
        <v/>
      </c>
      <c r="V109" s="1" t="str">
        <f>IFERROR(Backend!$M109*VLOOKUP($F109,'OH,Profit &amp; Other Base'!$A:$V,Backend!V$6,0),"")</f>
        <v/>
      </c>
      <c r="W109" s="1" t="str">
        <f>IFERROR(Backend!$L109*VLOOKUP($F109,'OH,Profit &amp; Other Base'!$A:$V,Backend!W$6,0),"")</f>
        <v/>
      </c>
      <c r="X109" s="1" t="str">
        <f>IFERROR(Backend!$M109*VLOOKUP($F109,'OH,Profit &amp; Other Base'!$A:$V,Backend!X$6,0),"")</f>
        <v/>
      </c>
      <c r="Y109" s="1" t="str">
        <f>IFERROR(Backend!$L109*VLOOKUP($F109,'OH,Profit &amp; Other Base'!$A:$V,Backend!Y$6,0),"")</f>
        <v/>
      </c>
      <c r="Z109" s="1" t="str">
        <f>IFERROR(Backend!$M109*VLOOKUP($F109,'OH,Profit &amp; Other Base'!$A:$V,Backend!Z$6,0),"")</f>
        <v/>
      </c>
      <c r="AA109" s="1" t="str">
        <f>IFERROR(Backend!$L109*VLOOKUP($F109,'OH,Profit &amp; Other Base'!$A:$V,Backend!AA$6,0),"")</f>
        <v/>
      </c>
      <c r="AB109" s="1" t="str">
        <f>IFERROR(Backend!$M109*VLOOKUP($F109,'OH,Profit &amp; Other Base'!$A:$V,Backend!AB$6,0),"")</f>
        <v/>
      </c>
      <c r="AC109" s="1" t="str">
        <f>IFERROR(Backend!$L109*VLOOKUP($F109,'OH,Profit &amp; Other Base'!$A:$V,Backend!AC$6,0),"")</f>
        <v/>
      </c>
      <c r="AD109" s="1" t="str">
        <f>IFERROR(Backend!$M109*VLOOKUP($F109,'OH,Profit &amp; Other Base'!$A:$V,Backend!AD$6,0),"")</f>
        <v/>
      </c>
      <c r="AE109" s="1" t="str">
        <f>IFERROR(Backend!$L109*VLOOKUP($F109,'OH,Profit &amp; Other Base'!$A:$V,Backend!AE$6,0),"")</f>
        <v/>
      </c>
      <c r="AF109" s="1" t="str">
        <f>IFERROR(Backend!$M109*VLOOKUP($F109,'OH,Profit &amp; Other Base'!$A:$V,Backend!AF$6,0),"")</f>
        <v/>
      </c>
      <c r="AG109" s="1" t="str">
        <f>IFERROR(Backend!$L109*VLOOKUP($F109,'OH,Profit &amp; Other Base'!$A:$V,Backend!AG$6,0),"")</f>
        <v/>
      </c>
      <c r="AH109" s="1" t="str">
        <f>IFERROR(Backend!$M109*VLOOKUP($F109,'OH,Profit &amp; Other Base'!$A:$V,Backend!AH$6,0),"")</f>
        <v/>
      </c>
      <c r="AI109" s="3">
        <f t="shared" si="9"/>
        <v>0</v>
      </c>
      <c r="AL109" s="1" t="str">
        <f t="shared" si="10"/>
        <v/>
      </c>
      <c r="AM109" s="1" t="str">
        <f t="shared" si="11"/>
        <v/>
      </c>
      <c r="AN109" s="1" t="str">
        <f t="shared" si="12"/>
        <v/>
      </c>
      <c r="AO109" s="1" t="str">
        <f t="shared" si="13"/>
        <v/>
      </c>
      <c r="AP109" s="1" t="str">
        <f>IFERROR(ROUND(Backend!$AL109*VLOOKUP($F109,'OH,Profit &amp; Other Base'!$A:$V,Backend!AP$6,0),5),"")</f>
        <v/>
      </c>
      <c r="AQ109" s="1" t="str">
        <f>IFERROR(ROUND(Backend!$AO109*VLOOKUP($F109,'OH,Profit &amp; Other Base'!$A:$V,Backend!AQ$6,0),5),"")</f>
        <v/>
      </c>
      <c r="AR109" s="1" t="str">
        <f>IFERROR(ROUND(Backend!$AM109*VLOOKUP($F109,'OH,Profit &amp; Other Base'!$A:$V,Backend!AR$6,0),5),"")</f>
        <v/>
      </c>
      <c r="AS109" s="1" t="str">
        <f>IFERROR(ROUND(Backend!$AL109*VLOOKUP($F109,'OH,Profit &amp; Other Base'!$A:$V,Backend!AS$6,0),5),"")</f>
        <v/>
      </c>
      <c r="AT109" s="1" t="str">
        <f>IFERROR(ROUND(Backend!$AO109*VLOOKUP($F109,'OH,Profit &amp; Other Base'!$A:$V,Backend!AT$6,0),5),"")</f>
        <v/>
      </c>
      <c r="AU109" s="1" t="str">
        <f>IFERROR(ROUND(Backend!$AM109*VLOOKUP($F109,'OH,Profit &amp; Other Base'!$A:$V,Backend!AU$6,0),5),"")</f>
        <v/>
      </c>
      <c r="AV109" s="1" t="str">
        <f>IFERROR(ROUND(Backend!$AL109*VLOOKUP($F109,'OH,Profit &amp; Other Base'!$A:$V,Backend!AV$6,0),5),"")</f>
        <v/>
      </c>
      <c r="AW109" s="1" t="str">
        <f>IFERROR(ROUND(Backend!$AO109*VLOOKUP($F109,'OH,Profit &amp; Other Base'!$A:$V,Backend!AW$6,0),5),"")</f>
        <v/>
      </c>
      <c r="AX109" s="1" t="str">
        <f>IFERROR(ROUND(Backend!$AM109*VLOOKUP($F109,'OH,Profit &amp; Other Base'!$A:$V,Backend!AX$6,0),5),"")</f>
        <v/>
      </c>
      <c r="AY109" s="1" t="str">
        <f>IFERROR(ROUND(Backend!$AL109*VLOOKUP($F109,'OH,Profit &amp; Other Base'!$A:$V,Backend!AY$6,0),5),"")</f>
        <v/>
      </c>
      <c r="AZ109" s="1" t="str">
        <f>IFERROR(ROUND(Backend!$AO109*VLOOKUP($F109,'OH,Profit &amp; Other Base'!$A:$V,Backend!AZ$6,0),5),"")</f>
        <v/>
      </c>
      <c r="BA109" s="1" t="str">
        <f>IFERROR(ROUND(Backend!$AM109*VLOOKUP($F109,'OH,Profit &amp; Other Base'!$A:$V,Backend!BA$6,0),5),"")</f>
        <v/>
      </c>
      <c r="BB109" s="1" t="str">
        <f>IFERROR(ROUND(Backend!$AL109*VLOOKUP($F109,'OH,Profit &amp; Other Base'!$A:$V,Backend!BB$6,0),5),"")</f>
        <v/>
      </c>
      <c r="BC109" s="1" t="str">
        <f>IFERROR(ROUND(Backend!$AO109*VLOOKUP($F109,'OH,Profit &amp; Other Base'!$A:$V,Backend!BC$6,0),5),"")</f>
        <v/>
      </c>
      <c r="BD109" s="1" t="str">
        <f>IFERROR(ROUND(Backend!$AM109*VLOOKUP($F109,'OH,Profit &amp; Other Base'!$A:$V,Backend!BD$6,0),5),"")</f>
        <v/>
      </c>
      <c r="BE109" s="1" t="str">
        <f>IFERROR(ROUND(Backend!$AL109*VLOOKUP($F109,'OH,Profit &amp; Other Base'!$A:$V,Backend!BE$6,0),5),"")</f>
        <v/>
      </c>
      <c r="BF109" s="1" t="str">
        <f>IFERROR(ROUND(Backend!$AO109*VLOOKUP($F109,'OH,Profit &amp; Other Base'!$A:$V,Backend!BF$6,0),5),"")</f>
        <v/>
      </c>
      <c r="BG109" s="1" t="str">
        <f>IFERROR(ROUND(Backend!$AM109*VLOOKUP($F109,'OH,Profit &amp; Other Base'!$A:$V,Backend!BG$6,0),5),"")</f>
        <v/>
      </c>
      <c r="BH109" s="1" t="str">
        <f>IFERROR(ROUND(Backend!$AL109*VLOOKUP($F109,'OH,Profit &amp; Other Base'!$A:$V,Backend!BH$6,0),5),"")</f>
        <v/>
      </c>
      <c r="BI109" s="1" t="str">
        <f>IFERROR(ROUND(Backend!$AO109*VLOOKUP($F109,'OH,Profit &amp; Other Base'!$A:$V,Backend!BI$6,0),5),"")</f>
        <v/>
      </c>
      <c r="BJ109" s="1" t="str">
        <f>IFERROR(ROUND(Backend!$AM109*VLOOKUP($F109,'OH,Profit &amp; Other Base'!$A:$V,Backend!BJ$6,0),5),"")</f>
        <v/>
      </c>
      <c r="BK109" s="3">
        <f>SUM(AN109:BJ109,Backend!O109)</f>
        <v>0</v>
      </c>
    </row>
    <row r="110" spans="1:63">
      <c r="A110" s="1">
        <f>BOM!A105</f>
        <v>0</v>
      </c>
      <c r="B110" s="1">
        <f>BOM!B105</f>
        <v>0</v>
      </c>
      <c r="C110" s="1">
        <f>BOM!C105</f>
        <v>0</v>
      </c>
      <c r="D110" s="1">
        <f>BOM!D105</f>
        <v>0</v>
      </c>
      <c r="E110" s="1">
        <f>BOM!F105</f>
        <v>0</v>
      </c>
      <c r="F110" s="1" t="str">
        <f>IF(H110="CSC",BOM!H105,IF(J110="BOFOthers","Sheet Metal-B",""))</f>
        <v/>
      </c>
      <c r="G110" s="1">
        <f>BOM!I105</f>
        <v>0</v>
      </c>
      <c r="H110" s="1">
        <f>BOM!J105</f>
        <v>0</v>
      </c>
      <c r="I110" s="1" t="str">
        <f t="shared" si="7"/>
        <v>Others</v>
      </c>
      <c r="J110" s="1" t="str">
        <f t="shared" si="8"/>
        <v>0Others</v>
      </c>
      <c r="K110" s="3" t="str">
        <f>IF($J110="InhouseCSC",VLOOKUP($D110,Group!$C:$E,3,0),"")</f>
        <v/>
      </c>
      <c r="L110" s="3" t="str">
        <f>IF(OR($J110="BOSFCSC",$J110="BOFCSC"),VLOOKUP($D110,Group!$C:$E,3,0),"")</f>
        <v/>
      </c>
      <c r="M110" s="3" t="str">
        <f>IF(OR($J110="BOSFCSC",$J110="BOFCSC"),VLOOKUP($D110,Group!$C:$F,4,0),"")</f>
        <v/>
      </c>
      <c r="N110" s="3" t="str">
        <f>IF(OR($J110="InhouseCSC",$J110="BOSFCSC"),VLOOKUP($D110,Group!$C:$G,5,0),"")</f>
        <v/>
      </c>
      <c r="O110" s="3" t="str">
        <f>IF($J110="InhouseCSC",ROUND(VLOOKUP($D110,Group!$C:$H,6,0),5),"")</f>
        <v/>
      </c>
      <c r="P110" s="3" t="str">
        <f>IF(OR($J110="BOSFCSC",$J110="BOFCSC"),VLOOKUP($D110,Group!$C:$H,6,0),"")</f>
        <v/>
      </c>
      <c r="Q110" s="1" t="str">
        <f>IF($J110="Inhouseothers",VLOOKUP($D110,Group!$C:$E,3,0),"")</f>
        <v/>
      </c>
      <c r="R110" s="1" t="str">
        <f>IF($J110="BOSFOthers",VLOOKUP($D110,Group!$C:$E,3,0),"")</f>
        <v/>
      </c>
      <c r="S110" s="3" t="str">
        <f>IF($J110="BOFOthers",VLOOKUP($D110,Group!$C:$E,3,0),"")</f>
        <v/>
      </c>
      <c r="U110" s="1" t="str">
        <f>IFERROR(Backend!$L110*VLOOKUP($F110,'OH,Profit &amp; Other Base'!$A:$V,Backend!U$6,0),"")</f>
        <v/>
      </c>
      <c r="V110" s="1" t="str">
        <f>IFERROR(Backend!$M110*VLOOKUP($F110,'OH,Profit &amp; Other Base'!$A:$V,Backend!V$6,0),"")</f>
        <v/>
      </c>
      <c r="W110" s="1" t="str">
        <f>IFERROR(Backend!$L110*VLOOKUP($F110,'OH,Profit &amp; Other Base'!$A:$V,Backend!W$6,0),"")</f>
        <v/>
      </c>
      <c r="X110" s="1" t="str">
        <f>IFERROR(Backend!$M110*VLOOKUP($F110,'OH,Profit &amp; Other Base'!$A:$V,Backend!X$6,0),"")</f>
        <v/>
      </c>
      <c r="Y110" s="1" t="str">
        <f>IFERROR(Backend!$L110*VLOOKUP($F110,'OH,Profit &amp; Other Base'!$A:$V,Backend!Y$6,0),"")</f>
        <v/>
      </c>
      <c r="Z110" s="1" t="str">
        <f>IFERROR(Backend!$M110*VLOOKUP($F110,'OH,Profit &amp; Other Base'!$A:$V,Backend!Z$6,0),"")</f>
        <v/>
      </c>
      <c r="AA110" s="1" t="str">
        <f>IFERROR(Backend!$L110*VLOOKUP($F110,'OH,Profit &amp; Other Base'!$A:$V,Backend!AA$6,0),"")</f>
        <v/>
      </c>
      <c r="AB110" s="1" t="str">
        <f>IFERROR(Backend!$M110*VLOOKUP($F110,'OH,Profit &amp; Other Base'!$A:$V,Backend!AB$6,0),"")</f>
        <v/>
      </c>
      <c r="AC110" s="1" t="str">
        <f>IFERROR(Backend!$L110*VLOOKUP($F110,'OH,Profit &amp; Other Base'!$A:$V,Backend!AC$6,0),"")</f>
        <v/>
      </c>
      <c r="AD110" s="1" t="str">
        <f>IFERROR(Backend!$M110*VLOOKUP($F110,'OH,Profit &amp; Other Base'!$A:$V,Backend!AD$6,0),"")</f>
        <v/>
      </c>
      <c r="AE110" s="1" t="str">
        <f>IFERROR(Backend!$L110*VLOOKUP($F110,'OH,Profit &amp; Other Base'!$A:$V,Backend!AE$6,0),"")</f>
        <v/>
      </c>
      <c r="AF110" s="1" t="str">
        <f>IFERROR(Backend!$M110*VLOOKUP($F110,'OH,Profit &amp; Other Base'!$A:$V,Backend!AF$6,0),"")</f>
        <v/>
      </c>
      <c r="AG110" s="1" t="str">
        <f>IFERROR(Backend!$L110*VLOOKUP($F110,'OH,Profit &amp; Other Base'!$A:$V,Backend!AG$6,0),"")</f>
        <v/>
      </c>
      <c r="AH110" s="1" t="str">
        <f>IFERROR(Backend!$M110*VLOOKUP($F110,'OH,Profit &amp; Other Base'!$A:$V,Backend!AH$6,0),"")</f>
        <v/>
      </c>
      <c r="AI110" s="3">
        <f t="shared" si="9"/>
        <v>0</v>
      </c>
      <c r="AL110" s="1" t="str">
        <f t="shared" si="10"/>
        <v/>
      </c>
      <c r="AM110" s="1" t="str">
        <f t="shared" si="11"/>
        <v/>
      </c>
      <c r="AN110" s="1" t="str">
        <f t="shared" si="12"/>
        <v/>
      </c>
      <c r="AO110" s="1" t="str">
        <f t="shared" si="13"/>
        <v/>
      </c>
      <c r="AP110" s="1" t="str">
        <f>IFERROR(ROUND(Backend!$AL110*VLOOKUP($F110,'OH,Profit &amp; Other Base'!$A:$V,Backend!AP$6,0),5),"")</f>
        <v/>
      </c>
      <c r="AQ110" s="1" t="str">
        <f>IFERROR(ROUND(Backend!$AO110*VLOOKUP($F110,'OH,Profit &amp; Other Base'!$A:$V,Backend!AQ$6,0),5),"")</f>
        <v/>
      </c>
      <c r="AR110" s="1" t="str">
        <f>IFERROR(ROUND(Backend!$AM110*VLOOKUP($F110,'OH,Profit &amp; Other Base'!$A:$V,Backend!AR$6,0),5),"")</f>
        <v/>
      </c>
      <c r="AS110" s="1" t="str">
        <f>IFERROR(ROUND(Backend!$AL110*VLOOKUP($F110,'OH,Profit &amp; Other Base'!$A:$V,Backend!AS$6,0),5),"")</f>
        <v/>
      </c>
      <c r="AT110" s="1" t="str">
        <f>IFERROR(ROUND(Backend!$AO110*VLOOKUP($F110,'OH,Profit &amp; Other Base'!$A:$V,Backend!AT$6,0),5),"")</f>
        <v/>
      </c>
      <c r="AU110" s="1" t="str">
        <f>IFERROR(ROUND(Backend!$AM110*VLOOKUP($F110,'OH,Profit &amp; Other Base'!$A:$V,Backend!AU$6,0),5),"")</f>
        <v/>
      </c>
      <c r="AV110" s="1" t="str">
        <f>IFERROR(ROUND(Backend!$AL110*VLOOKUP($F110,'OH,Profit &amp; Other Base'!$A:$V,Backend!AV$6,0),5),"")</f>
        <v/>
      </c>
      <c r="AW110" s="1" t="str">
        <f>IFERROR(ROUND(Backend!$AO110*VLOOKUP($F110,'OH,Profit &amp; Other Base'!$A:$V,Backend!AW$6,0),5),"")</f>
        <v/>
      </c>
      <c r="AX110" s="1" t="str">
        <f>IFERROR(ROUND(Backend!$AM110*VLOOKUP($F110,'OH,Profit &amp; Other Base'!$A:$V,Backend!AX$6,0),5),"")</f>
        <v/>
      </c>
      <c r="AY110" s="1" t="str">
        <f>IFERROR(ROUND(Backend!$AL110*VLOOKUP($F110,'OH,Profit &amp; Other Base'!$A:$V,Backend!AY$6,0),5),"")</f>
        <v/>
      </c>
      <c r="AZ110" s="1" t="str">
        <f>IFERROR(ROUND(Backend!$AO110*VLOOKUP($F110,'OH,Profit &amp; Other Base'!$A:$V,Backend!AZ$6,0),5),"")</f>
        <v/>
      </c>
      <c r="BA110" s="1" t="str">
        <f>IFERROR(ROUND(Backend!$AM110*VLOOKUP($F110,'OH,Profit &amp; Other Base'!$A:$V,Backend!BA$6,0),5),"")</f>
        <v/>
      </c>
      <c r="BB110" s="1" t="str">
        <f>IFERROR(ROUND(Backend!$AL110*VLOOKUP($F110,'OH,Profit &amp; Other Base'!$A:$V,Backend!BB$6,0),5),"")</f>
        <v/>
      </c>
      <c r="BC110" s="1" t="str">
        <f>IFERROR(ROUND(Backend!$AO110*VLOOKUP($F110,'OH,Profit &amp; Other Base'!$A:$V,Backend!BC$6,0),5),"")</f>
        <v/>
      </c>
      <c r="BD110" s="1" t="str">
        <f>IFERROR(ROUND(Backend!$AM110*VLOOKUP($F110,'OH,Profit &amp; Other Base'!$A:$V,Backend!BD$6,0),5),"")</f>
        <v/>
      </c>
      <c r="BE110" s="1" t="str">
        <f>IFERROR(ROUND(Backend!$AL110*VLOOKUP($F110,'OH,Profit &amp; Other Base'!$A:$V,Backend!BE$6,0),5),"")</f>
        <v/>
      </c>
      <c r="BF110" s="1" t="str">
        <f>IFERROR(ROUND(Backend!$AO110*VLOOKUP($F110,'OH,Profit &amp; Other Base'!$A:$V,Backend!BF$6,0),5),"")</f>
        <v/>
      </c>
      <c r="BG110" s="1" t="str">
        <f>IFERROR(ROUND(Backend!$AM110*VLOOKUP($F110,'OH,Profit &amp; Other Base'!$A:$V,Backend!BG$6,0),5),"")</f>
        <v/>
      </c>
      <c r="BH110" s="1" t="str">
        <f>IFERROR(ROUND(Backend!$AL110*VLOOKUP($F110,'OH,Profit &amp; Other Base'!$A:$V,Backend!BH$6,0),5),"")</f>
        <v/>
      </c>
      <c r="BI110" s="1" t="str">
        <f>IFERROR(ROUND(Backend!$AO110*VLOOKUP($F110,'OH,Profit &amp; Other Base'!$A:$V,Backend!BI$6,0),5),"")</f>
        <v/>
      </c>
      <c r="BJ110" s="1" t="str">
        <f>IFERROR(ROUND(Backend!$AM110*VLOOKUP($F110,'OH,Profit &amp; Other Base'!$A:$V,Backend!BJ$6,0),5),"")</f>
        <v/>
      </c>
      <c r="BK110" s="3">
        <f>SUM(AN110:BJ110,Backend!O110)</f>
        <v>0</v>
      </c>
    </row>
    <row r="111" spans="1:63">
      <c r="A111" s="1">
        <f>BOM!A106</f>
        <v>0</v>
      </c>
      <c r="B111" s="1">
        <f>BOM!B106</f>
        <v>0</v>
      </c>
      <c r="C111" s="1">
        <f>BOM!C106</f>
        <v>0</v>
      </c>
      <c r="D111" s="1">
        <f>BOM!D106</f>
        <v>0</v>
      </c>
      <c r="E111" s="1">
        <f>BOM!F106</f>
        <v>0</v>
      </c>
      <c r="F111" s="1" t="str">
        <f>IF(H111="CSC",BOM!H106,IF(J111="BOFOthers","Sheet Metal-B",""))</f>
        <v/>
      </c>
      <c r="G111" s="1">
        <f>BOM!I106</f>
        <v>0</v>
      </c>
      <c r="H111" s="1">
        <f>BOM!J106</f>
        <v>0</v>
      </c>
      <c r="I111" s="1" t="str">
        <f t="shared" si="7"/>
        <v>Others</v>
      </c>
      <c r="J111" s="1" t="str">
        <f t="shared" si="8"/>
        <v>0Others</v>
      </c>
      <c r="K111" s="3" t="str">
        <f>IF($J111="InhouseCSC",VLOOKUP($D111,Group!$C:$E,3,0),"")</f>
        <v/>
      </c>
      <c r="L111" s="3" t="str">
        <f>IF(OR($J111="BOSFCSC",$J111="BOFCSC"),VLOOKUP($D111,Group!$C:$E,3,0),"")</f>
        <v/>
      </c>
      <c r="M111" s="3" t="str">
        <f>IF(OR($J111="BOSFCSC",$J111="BOFCSC"),VLOOKUP($D111,Group!$C:$F,4,0),"")</f>
        <v/>
      </c>
      <c r="N111" s="3" t="str">
        <f>IF(OR($J111="InhouseCSC",$J111="BOSFCSC"),VLOOKUP($D111,Group!$C:$G,5,0),"")</f>
        <v/>
      </c>
      <c r="O111" s="3" t="str">
        <f>IF($J111="InhouseCSC",ROUND(VLOOKUP($D111,Group!$C:$H,6,0),5),"")</f>
        <v/>
      </c>
      <c r="P111" s="3" t="str">
        <f>IF(OR($J111="BOSFCSC",$J111="BOFCSC"),VLOOKUP($D111,Group!$C:$H,6,0),"")</f>
        <v/>
      </c>
      <c r="Q111" s="1" t="str">
        <f>IF($J111="Inhouseothers",VLOOKUP($D111,Group!$C:$E,3,0),"")</f>
        <v/>
      </c>
      <c r="R111" s="1" t="str">
        <f>IF($J111="BOSFOthers",VLOOKUP($D111,Group!$C:$E,3,0),"")</f>
        <v/>
      </c>
      <c r="S111" s="3" t="str">
        <f>IF($J111="BOFOthers",VLOOKUP($D111,Group!$C:$E,3,0),"")</f>
        <v/>
      </c>
      <c r="U111" s="1" t="str">
        <f>IFERROR(Backend!$L111*VLOOKUP($F111,'OH,Profit &amp; Other Base'!$A:$V,Backend!U$6,0),"")</f>
        <v/>
      </c>
      <c r="V111" s="1" t="str">
        <f>IFERROR(Backend!$M111*VLOOKUP($F111,'OH,Profit &amp; Other Base'!$A:$V,Backend!V$6,0),"")</f>
        <v/>
      </c>
      <c r="W111" s="1" t="str">
        <f>IFERROR(Backend!$L111*VLOOKUP($F111,'OH,Profit &amp; Other Base'!$A:$V,Backend!W$6,0),"")</f>
        <v/>
      </c>
      <c r="X111" s="1" t="str">
        <f>IFERROR(Backend!$M111*VLOOKUP($F111,'OH,Profit &amp; Other Base'!$A:$V,Backend!X$6,0),"")</f>
        <v/>
      </c>
      <c r="Y111" s="1" t="str">
        <f>IFERROR(Backend!$L111*VLOOKUP($F111,'OH,Profit &amp; Other Base'!$A:$V,Backend!Y$6,0),"")</f>
        <v/>
      </c>
      <c r="Z111" s="1" t="str">
        <f>IFERROR(Backend!$M111*VLOOKUP($F111,'OH,Profit &amp; Other Base'!$A:$V,Backend!Z$6,0),"")</f>
        <v/>
      </c>
      <c r="AA111" s="1" t="str">
        <f>IFERROR(Backend!$L111*VLOOKUP($F111,'OH,Profit &amp; Other Base'!$A:$V,Backend!AA$6,0),"")</f>
        <v/>
      </c>
      <c r="AB111" s="1" t="str">
        <f>IFERROR(Backend!$M111*VLOOKUP($F111,'OH,Profit &amp; Other Base'!$A:$V,Backend!AB$6,0),"")</f>
        <v/>
      </c>
      <c r="AC111" s="1" t="str">
        <f>IFERROR(Backend!$L111*VLOOKUP($F111,'OH,Profit &amp; Other Base'!$A:$V,Backend!AC$6,0),"")</f>
        <v/>
      </c>
      <c r="AD111" s="1" t="str">
        <f>IFERROR(Backend!$M111*VLOOKUP($F111,'OH,Profit &amp; Other Base'!$A:$V,Backend!AD$6,0),"")</f>
        <v/>
      </c>
      <c r="AE111" s="1" t="str">
        <f>IFERROR(Backend!$L111*VLOOKUP($F111,'OH,Profit &amp; Other Base'!$A:$V,Backend!AE$6,0),"")</f>
        <v/>
      </c>
      <c r="AF111" s="1" t="str">
        <f>IFERROR(Backend!$M111*VLOOKUP($F111,'OH,Profit &amp; Other Base'!$A:$V,Backend!AF$6,0),"")</f>
        <v/>
      </c>
      <c r="AG111" s="1" t="str">
        <f>IFERROR(Backend!$L111*VLOOKUP($F111,'OH,Profit &amp; Other Base'!$A:$V,Backend!AG$6,0),"")</f>
        <v/>
      </c>
      <c r="AH111" s="1" t="str">
        <f>IFERROR(Backend!$M111*VLOOKUP($F111,'OH,Profit &amp; Other Base'!$A:$V,Backend!AH$6,0),"")</f>
        <v/>
      </c>
      <c r="AI111" s="3">
        <f t="shared" si="9"/>
        <v>0</v>
      </c>
      <c r="AL111" s="1" t="str">
        <f t="shared" si="10"/>
        <v/>
      </c>
      <c r="AM111" s="1" t="str">
        <f t="shared" si="11"/>
        <v/>
      </c>
      <c r="AN111" s="1" t="str">
        <f t="shared" si="12"/>
        <v/>
      </c>
      <c r="AO111" s="1" t="str">
        <f t="shared" si="13"/>
        <v/>
      </c>
      <c r="AP111" s="1" t="str">
        <f>IFERROR(ROUND(Backend!$AL111*VLOOKUP($F111,'OH,Profit &amp; Other Base'!$A:$V,Backend!AP$6,0),5),"")</f>
        <v/>
      </c>
      <c r="AQ111" s="1" t="str">
        <f>IFERROR(ROUND(Backend!$AO111*VLOOKUP($F111,'OH,Profit &amp; Other Base'!$A:$V,Backend!AQ$6,0),5),"")</f>
        <v/>
      </c>
      <c r="AR111" s="1" t="str">
        <f>IFERROR(ROUND(Backend!$AM111*VLOOKUP($F111,'OH,Profit &amp; Other Base'!$A:$V,Backend!AR$6,0),5),"")</f>
        <v/>
      </c>
      <c r="AS111" s="1" t="str">
        <f>IFERROR(ROUND(Backend!$AL111*VLOOKUP($F111,'OH,Profit &amp; Other Base'!$A:$V,Backend!AS$6,0),5),"")</f>
        <v/>
      </c>
      <c r="AT111" s="1" t="str">
        <f>IFERROR(ROUND(Backend!$AO111*VLOOKUP($F111,'OH,Profit &amp; Other Base'!$A:$V,Backend!AT$6,0),5),"")</f>
        <v/>
      </c>
      <c r="AU111" s="1" t="str">
        <f>IFERROR(ROUND(Backend!$AM111*VLOOKUP($F111,'OH,Profit &amp; Other Base'!$A:$V,Backend!AU$6,0),5),"")</f>
        <v/>
      </c>
      <c r="AV111" s="1" t="str">
        <f>IFERROR(ROUND(Backend!$AL111*VLOOKUP($F111,'OH,Profit &amp; Other Base'!$A:$V,Backend!AV$6,0),5),"")</f>
        <v/>
      </c>
      <c r="AW111" s="1" t="str">
        <f>IFERROR(ROUND(Backend!$AO111*VLOOKUP($F111,'OH,Profit &amp; Other Base'!$A:$V,Backend!AW$6,0),5),"")</f>
        <v/>
      </c>
      <c r="AX111" s="1" t="str">
        <f>IFERROR(ROUND(Backend!$AM111*VLOOKUP($F111,'OH,Profit &amp; Other Base'!$A:$V,Backend!AX$6,0),5),"")</f>
        <v/>
      </c>
      <c r="AY111" s="1" t="str">
        <f>IFERROR(ROUND(Backend!$AL111*VLOOKUP($F111,'OH,Profit &amp; Other Base'!$A:$V,Backend!AY$6,0),5),"")</f>
        <v/>
      </c>
      <c r="AZ111" s="1" t="str">
        <f>IFERROR(ROUND(Backend!$AO111*VLOOKUP($F111,'OH,Profit &amp; Other Base'!$A:$V,Backend!AZ$6,0),5),"")</f>
        <v/>
      </c>
      <c r="BA111" s="1" t="str">
        <f>IFERROR(ROUND(Backend!$AM111*VLOOKUP($F111,'OH,Profit &amp; Other Base'!$A:$V,Backend!BA$6,0),5),"")</f>
        <v/>
      </c>
      <c r="BB111" s="1" t="str">
        <f>IFERROR(ROUND(Backend!$AL111*VLOOKUP($F111,'OH,Profit &amp; Other Base'!$A:$V,Backend!BB$6,0),5),"")</f>
        <v/>
      </c>
      <c r="BC111" s="1" t="str">
        <f>IFERROR(ROUND(Backend!$AO111*VLOOKUP($F111,'OH,Profit &amp; Other Base'!$A:$V,Backend!BC$6,0),5),"")</f>
        <v/>
      </c>
      <c r="BD111" s="1" t="str">
        <f>IFERROR(ROUND(Backend!$AM111*VLOOKUP($F111,'OH,Profit &amp; Other Base'!$A:$V,Backend!BD$6,0),5),"")</f>
        <v/>
      </c>
      <c r="BE111" s="1" t="str">
        <f>IFERROR(ROUND(Backend!$AL111*VLOOKUP($F111,'OH,Profit &amp; Other Base'!$A:$V,Backend!BE$6,0),5),"")</f>
        <v/>
      </c>
      <c r="BF111" s="1" t="str">
        <f>IFERROR(ROUND(Backend!$AO111*VLOOKUP($F111,'OH,Profit &amp; Other Base'!$A:$V,Backend!BF$6,0),5),"")</f>
        <v/>
      </c>
      <c r="BG111" s="1" t="str">
        <f>IFERROR(ROUND(Backend!$AM111*VLOOKUP($F111,'OH,Profit &amp; Other Base'!$A:$V,Backend!BG$6,0),5),"")</f>
        <v/>
      </c>
      <c r="BH111" s="1" t="str">
        <f>IFERROR(ROUND(Backend!$AL111*VLOOKUP($F111,'OH,Profit &amp; Other Base'!$A:$V,Backend!BH$6,0),5),"")</f>
        <v/>
      </c>
      <c r="BI111" s="1" t="str">
        <f>IFERROR(ROUND(Backend!$AO111*VLOOKUP($F111,'OH,Profit &amp; Other Base'!$A:$V,Backend!BI$6,0),5),"")</f>
        <v/>
      </c>
      <c r="BJ111" s="1" t="str">
        <f>IFERROR(ROUND(Backend!$AM111*VLOOKUP($F111,'OH,Profit &amp; Other Base'!$A:$V,Backend!BJ$6,0),5),"")</f>
        <v/>
      </c>
      <c r="BK111" s="3">
        <f>SUM(AN111:BJ111,Backend!O111)</f>
        <v>0</v>
      </c>
    </row>
    <row r="112" spans="1:63">
      <c r="A112" s="1">
        <f>BOM!A107</f>
        <v>0</v>
      </c>
      <c r="B112" s="1">
        <f>BOM!B107</f>
        <v>0</v>
      </c>
      <c r="C112" s="1">
        <f>BOM!C107</f>
        <v>0</v>
      </c>
      <c r="D112" s="1">
        <f>BOM!D107</f>
        <v>0</v>
      </c>
      <c r="E112" s="1">
        <f>BOM!F107</f>
        <v>0</v>
      </c>
      <c r="F112" s="1" t="str">
        <f>IF(H112="CSC",BOM!H107,IF(J112="BOFOthers","Sheet Metal-B",""))</f>
        <v/>
      </c>
      <c r="G112" s="1">
        <f>BOM!I107</f>
        <v>0</v>
      </c>
      <c r="H112" s="1">
        <f>BOM!J107</f>
        <v>0</v>
      </c>
      <c r="I112" s="1" t="str">
        <f t="shared" si="7"/>
        <v>Others</v>
      </c>
      <c r="J112" s="1" t="str">
        <f t="shared" si="8"/>
        <v>0Others</v>
      </c>
      <c r="K112" s="3" t="str">
        <f>IF($J112="InhouseCSC",VLOOKUP($D112,Group!$C:$E,3,0),"")</f>
        <v/>
      </c>
      <c r="L112" s="3" t="str">
        <f>IF(OR($J112="BOSFCSC",$J112="BOFCSC"),VLOOKUP($D112,Group!$C:$E,3,0),"")</f>
        <v/>
      </c>
      <c r="M112" s="3" t="str">
        <f>IF(OR($J112="BOSFCSC",$J112="BOFCSC"),VLOOKUP($D112,Group!$C:$F,4,0),"")</f>
        <v/>
      </c>
      <c r="N112" s="3" t="str">
        <f>IF(OR($J112="InhouseCSC",$J112="BOSFCSC"),VLOOKUP($D112,Group!$C:$G,5,0),"")</f>
        <v/>
      </c>
      <c r="O112" s="3" t="str">
        <f>IF($J112="InhouseCSC",ROUND(VLOOKUP($D112,Group!$C:$H,6,0),5),"")</f>
        <v/>
      </c>
      <c r="P112" s="3" t="str">
        <f>IF(OR($J112="BOSFCSC",$J112="BOFCSC"),VLOOKUP($D112,Group!$C:$H,6,0),"")</f>
        <v/>
      </c>
      <c r="Q112" s="1" t="str">
        <f>IF($J112="Inhouseothers",VLOOKUP($D112,Group!$C:$E,3,0),"")</f>
        <v/>
      </c>
      <c r="R112" s="1" t="str">
        <f>IF($J112="BOSFOthers",VLOOKUP($D112,Group!$C:$E,3,0),"")</f>
        <v/>
      </c>
      <c r="S112" s="3" t="str">
        <f>IF($J112="BOFOthers",VLOOKUP($D112,Group!$C:$E,3,0),"")</f>
        <v/>
      </c>
      <c r="U112" s="1" t="str">
        <f>IFERROR(Backend!$L112*VLOOKUP($F112,'OH,Profit &amp; Other Base'!$A:$V,Backend!U$6,0),"")</f>
        <v/>
      </c>
      <c r="V112" s="1" t="str">
        <f>IFERROR(Backend!$M112*VLOOKUP($F112,'OH,Profit &amp; Other Base'!$A:$V,Backend!V$6,0),"")</f>
        <v/>
      </c>
      <c r="W112" s="1" t="str">
        <f>IFERROR(Backend!$L112*VLOOKUP($F112,'OH,Profit &amp; Other Base'!$A:$V,Backend!W$6,0),"")</f>
        <v/>
      </c>
      <c r="X112" s="1" t="str">
        <f>IFERROR(Backend!$M112*VLOOKUP($F112,'OH,Profit &amp; Other Base'!$A:$V,Backend!X$6,0),"")</f>
        <v/>
      </c>
      <c r="Y112" s="1" t="str">
        <f>IFERROR(Backend!$L112*VLOOKUP($F112,'OH,Profit &amp; Other Base'!$A:$V,Backend!Y$6,0),"")</f>
        <v/>
      </c>
      <c r="Z112" s="1" t="str">
        <f>IFERROR(Backend!$M112*VLOOKUP($F112,'OH,Profit &amp; Other Base'!$A:$V,Backend!Z$6,0),"")</f>
        <v/>
      </c>
      <c r="AA112" s="1" t="str">
        <f>IFERROR(Backend!$L112*VLOOKUP($F112,'OH,Profit &amp; Other Base'!$A:$V,Backend!AA$6,0),"")</f>
        <v/>
      </c>
      <c r="AB112" s="1" t="str">
        <f>IFERROR(Backend!$M112*VLOOKUP($F112,'OH,Profit &amp; Other Base'!$A:$V,Backend!AB$6,0),"")</f>
        <v/>
      </c>
      <c r="AC112" s="1" t="str">
        <f>IFERROR(Backend!$L112*VLOOKUP($F112,'OH,Profit &amp; Other Base'!$A:$V,Backend!AC$6,0),"")</f>
        <v/>
      </c>
      <c r="AD112" s="1" t="str">
        <f>IFERROR(Backend!$M112*VLOOKUP($F112,'OH,Profit &amp; Other Base'!$A:$V,Backend!AD$6,0),"")</f>
        <v/>
      </c>
      <c r="AE112" s="1" t="str">
        <f>IFERROR(Backend!$L112*VLOOKUP($F112,'OH,Profit &amp; Other Base'!$A:$V,Backend!AE$6,0),"")</f>
        <v/>
      </c>
      <c r="AF112" s="1" t="str">
        <f>IFERROR(Backend!$M112*VLOOKUP($F112,'OH,Profit &amp; Other Base'!$A:$V,Backend!AF$6,0),"")</f>
        <v/>
      </c>
      <c r="AG112" s="1" t="str">
        <f>IFERROR(Backend!$L112*VLOOKUP($F112,'OH,Profit &amp; Other Base'!$A:$V,Backend!AG$6,0),"")</f>
        <v/>
      </c>
      <c r="AH112" s="1" t="str">
        <f>IFERROR(Backend!$M112*VLOOKUP($F112,'OH,Profit &amp; Other Base'!$A:$V,Backend!AH$6,0),"")</f>
        <v/>
      </c>
      <c r="AI112" s="3">
        <f t="shared" si="9"/>
        <v>0</v>
      </c>
      <c r="AL112" s="1" t="str">
        <f t="shared" si="10"/>
        <v/>
      </c>
      <c r="AM112" s="1" t="str">
        <f t="shared" si="11"/>
        <v/>
      </c>
      <c r="AN112" s="1" t="str">
        <f t="shared" si="12"/>
        <v/>
      </c>
      <c r="AO112" s="1" t="str">
        <f t="shared" si="13"/>
        <v/>
      </c>
      <c r="AP112" s="1" t="str">
        <f>IFERROR(ROUND(Backend!$AL112*VLOOKUP($F112,'OH,Profit &amp; Other Base'!$A:$V,Backend!AP$6,0),5),"")</f>
        <v/>
      </c>
      <c r="AQ112" s="1" t="str">
        <f>IFERROR(ROUND(Backend!$AO112*VLOOKUP($F112,'OH,Profit &amp; Other Base'!$A:$V,Backend!AQ$6,0),5),"")</f>
        <v/>
      </c>
      <c r="AR112" s="1" t="str">
        <f>IFERROR(ROUND(Backend!$AM112*VLOOKUP($F112,'OH,Profit &amp; Other Base'!$A:$V,Backend!AR$6,0),5),"")</f>
        <v/>
      </c>
      <c r="AS112" s="1" t="str">
        <f>IFERROR(ROUND(Backend!$AL112*VLOOKUP($F112,'OH,Profit &amp; Other Base'!$A:$V,Backend!AS$6,0),5),"")</f>
        <v/>
      </c>
      <c r="AT112" s="1" t="str">
        <f>IFERROR(ROUND(Backend!$AO112*VLOOKUP($F112,'OH,Profit &amp; Other Base'!$A:$V,Backend!AT$6,0),5),"")</f>
        <v/>
      </c>
      <c r="AU112" s="1" t="str">
        <f>IFERROR(ROUND(Backend!$AM112*VLOOKUP($F112,'OH,Profit &amp; Other Base'!$A:$V,Backend!AU$6,0),5),"")</f>
        <v/>
      </c>
      <c r="AV112" s="1" t="str">
        <f>IFERROR(ROUND(Backend!$AL112*VLOOKUP($F112,'OH,Profit &amp; Other Base'!$A:$V,Backend!AV$6,0),5),"")</f>
        <v/>
      </c>
      <c r="AW112" s="1" t="str">
        <f>IFERROR(ROUND(Backend!$AO112*VLOOKUP($F112,'OH,Profit &amp; Other Base'!$A:$V,Backend!AW$6,0),5),"")</f>
        <v/>
      </c>
      <c r="AX112" s="1" t="str">
        <f>IFERROR(ROUND(Backend!$AM112*VLOOKUP($F112,'OH,Profit &amp; Other Base'!$A:$V,Backend!AX$6,0),5),"")</f>
        <v/>
      </c>
      <c r="AY112" s="1" t="str">
        <f>IFERROR(ROUND(Backend!$AL112*VLOOKUP($F112,'OH,Profit &amp; Other Base'!$A:$V,Backend!AY$6,0),5),"")</f>
        <v/>
      </c>
      <c r="AZ112" s="1" t="str">
        <f>IFERROR(ROUND(Backend!$AO112*VLOOKUP($F112,'OH,Profit &amp; Other Base'!$A:$V,Backend!AZ$6,0),5),"")</f>
        <v/>
      </c>
      <c r="BA112" s="1" t="str">
        <f>IFERROR(ROUND(Backend!$AM112*VLOOKUP($F112,'OH,Profit &amp; Other Base'!$A:$V,Backend!BA$6,0),5),"")</f>
        <v/>
      </c>
      <c r="BB112" s="1" t="str">
        <f>IFERROR(ROUND(Backend!$AL112*VLOOKUP($F112,'OH,Profit &amp; Other Base'!$A:$V,Backend!BB$6,0),5),"")</f>
        <v/>
      </c>
      <c r="BC112" s="1" t="str">
        <f>IFERROR(ROUND(Backend!$AO112*VLOOKUP($F112,'OH,Profit &amp; Other Base'!$A:$V,Backend!BC$6,0),5),"")</f>
        <v/>
      </c>
      <c r="BD112" s="1" t="str">
        <f>IFERROR(ROUND(Backend!$AM112*VLOOKUP($F112,'OH,Profit &amp; Other Base'!$A:$V,Backend!BD$6,0),5),"")</f>
        <v/>
      </c>
      <c r="BE112" s="1" t="str">
        <f>IFERROR(ROUND(Backend!$AL112*VLOOKUP($F112,'OH,Profit &amp; Other Base'!$A:$V,Backend!BE$6,0),5),"")</f>
        <v/>
      </c>
      <c r="BF112" s="1" t="str">
        <f>IFERROR(ROUND(Backend!$AO112*VLOOKUP($F112,'OH,Profit &amp; Other Base'!$A:$V,Backend!BF$6,0),5),"")</f>
        <v/>
      </c>
      <c r="BG112" s="1" t="str">
        <f>IFERROR(ROUND(Backend!$AM112*VLOOKUP($F112,'OH,Profit &amp; Other Base'!$A:$V,Backend!BG$6,0),5),"")</f>
        <v/>
      </c>
      <c r="BH112" s="1" t="str">
        <f>IFERROR(ROUND(Backend!$AL112*VLOOKUP($F112,'OH,Profit &amp; Other Base'!$A:$V,Backend!BH$6,0),5),"")</f>
        <v/>
      </c>
      <c r="BI112" s="1" t="str">
        <f>IFERROR(ROUND(Backend!$AO112*VLOOKUP($F112,'OH,Profit &amp; Other Base'!$A:$V,Backend!BI$6,0),5),"")</f>
        <v/>
      </c>
      <c r="BJ112" s="1" t="str">
        <f>IFERROR(ROUND(Backend!$AM112*VLOOKUP($F112,'OH,Profit &amp; Other Base'!$A:$V,Backend!BJ$6,0),5),"")</f>
        <v/>
      </c>
      <c r="BK112" s="3">
        <f>SUM(AN112:BJ112,Backend!O112)</f>
        <v>0</v>
      </c>
    </row>
    <row r="113" spans="1:63">
      <c r="A113" s="1">
        <f>BOM!A108</f>
        <v>0</v>
      </c>
      <c r="B113" s="1">
        <f>BOM!B108</f>
        <v>0</v>
      </c>
      <c r="C113" s="1">
        <f>BOM!C108</f>
        <v>0</v>
      </c>
      <c r="D113" s="1">
        <f>BOM!D108</f>
        <v>0</v>
      </c>
      <c r="E113" s="1">
        <f>BOM!F108</f>
        <v>0</v>
      </c>
      <c r="F113" s="1" t="str">
        <f>IF(H113="CSC",BOM!H108,IF(J113="BOFOthers","Sheet Metal-B",""))</f>
        <v/>
      </c>
      <c r="G113" s="1">
        <f>BOM!I108</f>
        <v>0</v>
      </c>
      <c r="H113" s="1">
        <f>BOM!J108</f>
        <v>0</v>
      </c>
      <c r="I113" s="1" t="str">
        <f t="shared" si="7"/>
        <v>Others</v>
      </c>
      <c r="J113" s="1" t="str">
        <f t="shared" si="8"/>
        <v>0Others</v>
      </c>
      <c r="K113" s="3" t="str">
        <f>IF($J113="InhouseCSC",VLOOKUP($D113,Group!$C:$E,3,0),"")</f>
        <v/>
      </c>
      <c r="L113" s="3" t="str">
        <f>IF(OR($J113="BOSFCSC",$J113="BOFCSC"),VLOOKUP($D113,Group!$C:$E,3,0),"")</f>
        <v/>
      </c>
      <c r="M113" s="3" t="str">
        <f>IF(OR($J113="BOSFCSC",$J113="BOFCSC"),VLOOKUP($D113,Group!$C:$F,4,0),"")</f>
        <v/>
      </c>
      <c r="N113" s="3" t="str">
        <f>IF(OR($J113="InhouseCSC",$J113="BOSFCSC"),VLOOKUP($D113,Group!$C:$G,5,0),"")</f>
        <v/>
      </c>
      <c r="O113" s="3" t="str">
        <f>IF($J113="InhouseCSC",ROUND(VLOOKUP($D113,Group!$C:$H,6,0),5),"")</f>
        <v/>
      </c>
      <c r="P113" s="3" t="str">
        <f>IF(OR($J113="BOSFCSC",$J113="BOFCSC"),VLOOKUP($D113,Group!$C:$H,6,0),"")</f>
        <v/>
      </c>
      <c r="Q113" s="1" t="str">
        <f>IF($J113="Inhouseothers",VLOOKUP($D113,Group!$C:$E,3,0),"")</f>
        <v/>
      </c>
      <c r="R113" s="1" t="str">
        <f>IF($J113="BOSFOthers",VLOOKUP($D113,Group!$C:$E,3,0),"")</f>
        <v/>
      </c>
      <c r="S113" s="3" t="str">
        <f>IF($J113="BOFOthers",VLOOKUP($D113,Group!$C:$E,3,0),"")</f>
        <v/>
      </c>
      <c r="U113" s="1" t="str">
        <f>IFERROR(Backend!$L113*VLOOKUP($F113,'OH,Profit &amp; Other Base'!$A:$V,Backend!U$6,0),"")</f>
        <v/>
      </c>
      <c r="V113" s="1" t="str">
        <f>IFERROR(Backend!$M113*VLOOKUP($F113,'OH,Profit &amp; Other Base'!$A:$V,Backend!V$6,0),"")</f>
        <v/>
      </c>
      <c r="W113" s="1" t="str">
        <f>IFERROR(Backend!$L113*VLOOKUP($F113,'OH,Profit &amp; Other Base'!$A:$V,Backend!W$6,0),"")</f>
        <v/>
      </c>
      <c r="X113" s="1" t="str">
        <f>IFERROR(Backend!$M113*VLOOKUP($F113,'OH,Profit &amp; Other Base'!$A:$V,Backend!X$6,0),"")</f>
        <v/>
      </c>
      <c r="Y113" s="1" t="str">
        <f>IFERROR(Backend!$L113*VLOOKUP($F113,'OH,Profit &amp; Other Base'!$A:$V,Backend!Y$6,0),"")</f>
        <v/>
      </c>
      <c r="Z113" s="1" t="str">
        <f>IFERROR(Backend!$M113*VLOOKUP($F113,'OH,Profit &amp; Other Base'!$A:$V,Backend!Z$6,0),"")</f>
        <v/>
      </c>
      <c r="AA113" s="1" t="str">
        <f>IFERROR(Backend!$L113*VLOOKUP($F113,'OH,Profit &amp; Other Base'!$A:$V,Backend!AA$6,0),"")</f>
        <v/>
      </c>
      <c r="AB113" s="1" t="str">
        <f>IFERROR(Backend!$M113*VLOOKUP($F113,'OH,Profit &amp; Other Base'!$A:$V,Backend!AB$6,0),"")</f>
        <v/>
      </c>
      <c r="AC113" s="1" t="str">
        <f>IFERROR(Backend!$L113*VLOOKUP($F113,'OH,Profit &amp; Other Base'!$A:$V,Backend!AC$6,0),"")</f>
        <v/>
      </c>
      <c r="AD113" s="1" t="str">
        <f>IFERROR(Backend!$M113*VLOOKUP($F113,'OH,Profit &amp; Other Base'!$A:$V,Backend!AD$6,0),"")</f>
        <v/>
      </c>
      <c r="AE113" s="1" t="str">
        <f>IFERROR(Backend!$L113*VLOOKUP($F113,'OH,Profit &amp; Other Base'!$A:$V,Backend!AE$6,0),"")</f>
        <v/>
      </c>
      <c r="AF113" s="1" t="str">
        <f>IFERROR(Backend!$M113*VLOOKUP($F113,'OH,Profit &amp; Other Base'!$A:$V,Backend!AF$6,0),"")</f>
        <v/>
      </c>
      <c r="AG113" s="1" t="str">
        <f>IFERROR(Backend!$L113*VLOOKUP($F113,'OH,Profit &amp; Other Base'!$A:$V,Backend!AG$6,0),"")</f>
        <v/>
      </c>
      <c r="AH113" s="1" t="str">
        <f>IFERROR(Backend!$M113*VLOOKUP($F113,'OH,Profit &amp; Other Base'!$A:$V,Backend!AH$6,0),"")</f>
        <v/>
      </c>
      <c r="AI113" s="3">
        <f t="shared" si="9"/>
        <v>0</v>
      </c>
      <c r="AL113" s="1" t="str">
        <f t="shared" si="10"/>
        <v/>
      </c>
      <c r="AM113" s="1" t="str">
        <f t="shared" si="11"/>
        <v/>
      </c>
      <c r="AN113" s="1" t="str">
        <f t="shared" si="12"/>
        <v/>
      </c>
      <c r="AO113" s="1" t="str">
        <f t="shared" si="13"/>
        <v/>
      </c>
      <c r="AP113" s="1" t="str">
        <f>IFERROR(ROUND(Backend!$AL113*VLOOKUP($F113,'OH,Profit &amp; Other Base'!$A:$V,Backend!AP$6,0),5),"")</f>
        <v/>
      </c>
      <c r="AQ113" s="1" t="str">
        <f>IFERROR(ROUND(Backend!$AO113*VLOOKUP($F113,'OH,Profit &amp; Other Base'!$A:$V,Backend!AQ$6,0),5),"")</f>
        <v/>
      </c>
      <c r="AR113" s="1" t="str">
        <f>IFERROR(ROUND(Backend!$AM113*VLOOKUP($F113,'OH,Profit &amp; Other Base'!$A:$V,Backend!AR$6,0),5),"")</f>
        <v/>
      </c>
      <c r="AS113" s="1" t="str">
        <f>IFERROR(ROUND(Backend!$AL113*VLOOKUP($F113,'OH,Profit &amp; Other Base'!$A:$V,Backend!AS$6,0),5),"")</f>
        <v/>
      </c>
      <c r="AT113" s="1" t="str">
        <f>IFERROR(ROUND(Backend!$AO113*VLOOKUP($F113,'OH,Profit &amp; Other Base'!$A:$V,Backend!AT$6,0),5),"")</f>
        <v/>
      </c>
      <c r="AU113" s="1" t="str">
        <f>IFERROR(ROUND(Backend!$AM113*VLOOKUP($F113,'OH,Profit &amp; Other Base'!$A:$V,Backend!AU$6,0),5),"")</f>
        <v/>
      </c>
      <c r="AV113" s="1" t="str">
        <f>IFERROR(ROUND(Backend!$AL113*VLOOKUP($F113,'OH,Profit &amp; Other Base'!$A:$V,Backend!AV$6,0),5),"")</f>
        <v/>
      </c>
      <c r="AW113" s="1" t="str">
        <f>IFERROR(ROUND(Backend!$AO113*VLOOKUP($F113,'OH,Profit &amp; Other Base'!$A:$V,Backend!AW$6,0),5),"")</f>
        <v/>
      </c>
      <c r="AX113" s="1" t="str">
        <f>IFERROR(ROUND(Backend!$AM113*VLOOKUP($F113,'OH,Profit &amp; Other Base'!$A:$V,Backend!AX$6,0),5),"")</f>
        <v/>
      </c>
      <c r="AY113" s="1" t="str">
        <f>IFERROR(ROUND(Backend!$AL113*VLOOKUP($F113,'OH,Profit &amp; Other Base'!$A:$V,Backend!AY$6,0),5),"")</f>
        <v/>
      </c>
      <c r="AZ113" s="1" t="str">
        <f>IFERROR(ROUND(Backend!$AO113*VLOOKUP($F113,'OH,Profit &amp; Other Base'!$A:$V,Backend!AZ$6,0),5),"")</f>
        <v/>
      </c>
      <c r="BA113" s="1" t="str">
        <f>IFERROR(ROUND(Backend!$AM113*VLOOKUP($F113,'OH,Profit &amp; Other Base'!$A:$V,Backend!BA$6,0),5),"")</f>
        <v/>
      </c>
      <c r="BB113" s="1" t="str">
        <f>IFERROR(ROUND(Backend!$AL113*VLOOKUP($F113,'OH,Profit &amp; Other Base'!$A:$V,Backend!BB$6,0),5),"")</f>
        <v/>
      </c>
      <c r="BC113" s="1" t="str">
        <f>IFERROR(ROUND(Backend!$AO113*VLOOKUP($F113,'OH,Profit &amp; Other Base'!$A:$V,Backend!BC$6,0),5),"")</f>
        <v/>
      </c>
      <c r="BD113" s="1" t="str">
        <f>IFERROR(ROUND(Backend!$AM113*VLOOKUP($F113,'OH,Profit &amp; Other Base'!$A:$V,Backend!BD$6,0),5),"")</f>
        <v/>
      </c>
      <c r="BE113" s="1" t="str">
        <f>IFERROR(ROUND(Backend!$AL113*VLOOKUP($F113,'OH,Profit &amp; Other Base'!$A:$V,Backend!BE$6,0),5),"")</f>
        <v/>
      </c>
      <c r="BF113" s="1" t="str">
        <f>IFERROR(ROUND(Backend!$AO113*VLOOKUP($F113,'OH,Profit &amp; Other Base'!$A:$V,Backend!BF$6,0),5),"")</f>
        <v/>
      </c>
      <c r="BG113" s="1" t="str">
        <f>IFERROR(ROUND(Backend!$AM113*VLOOKUP($F113,'OH,Profit &amp; Other Base'!$A:$V,Backend!BG$6,0),5),"")</f>
        <v/>
      </c>
      <c r="BH113" s="1" t="str">
        <f>IFERROR(ROUND(Backend!$AL113*VLOOKUP($F113,'OH,Profit &amp; Other Base'!$A:$V,Backend!BH$6,0),5),"")</f>
        <v/>
      </c>
      <c r="BI113" s="1" t="str">
        <f>IFERROR(ROUND(Backend!$AO113*VLOOKUP($F113,'OH,Profit &amp; Other Base'!$A:$V,Backend!BI$6,0),5),"")</f>
        <v/>
      </c>
      <c r="BJ113" s="1" t="str">
        <f>IFERROR(ROUND(Backend!$AM113*VLOOKUP($F113,'OH,Profit &amp; Other Base'!$A:$V,Backend!BJ$6,0),5),"")</f>
        <v/>
      </c>
      <c r="BK113" s="3">
        <f>SUM(AN113:BJ113,Backend!O113)</f>
        <v>0</v>
      </c>
    </row>
    <row r="114" spans="1:63">
      <c r="A114" s="1">
        <f>BOM!A109</f>
        <v>0</v>
      </c>
      <c r="B114" s="1">
        <f>BOM!B109</f>
        <v>0</v>
      </c>
      <c r="C114" s="1">
        <f>BOM!C109</f>
        <v>0</v>
      </c>
      <c r="D114" s="1">
        <f>BOM!D109</f>
        <v>0</v>
      </c>
      <c r="E114" s="1">
        <f>BOM!F109</f>
        <v>0</v>
      </c>
      <c r="F114" s="1" t="str">
        <f>IF(H114="CSC",BOM!H109,IF(J114="BOFOthers","Sheet Metal-B",""))</f>
        <v/>
      </c>
      <c r="G114" s="1">
        <f>BOM!I109</f>
        <v>0</v>
      </c>
      <c r="H114" s="1">
        <f>BOM!J109</f>
        <v>0</v>
      </c>
      <c r="I114" s="1" t="str">
        <f t="shared" si="7"/>
        <v>Others</v>
      </c>
      <c r="J114" s="1" t="str">
        <f t="shared" si="8"/>
        <v>0Others</v>
      </c>
      <c r="K114" s="3" t="str">
        <f>IF($J114="InhouseCSC",VLOOKUP($D114,Group!$C:$E,3,0),"")</f>
        <v/>
      </c>
      <c r="L114" s="3" t="str">
        <f>IF(OR($J114="BOSFCSC",$J114="BOFCSC"),VLOOKUP($D114,Group!$C:$E,3,0),"")</f>
        <v/>
      </c>
      <c r="M114" s="3" t="str">
        <f>IF(OR($J114="BOSFCSC",$J114="BOFCSC"),VLOOKUP($D114,Group!$C:$F,4,0),"")</f>
        <v/>
      </c>
      <c r="N114" s="3" t="str">
        <f>IF(OR($J114="InhouseCSC",$J114="BOSFCSC"),VLOOKUP($D114,Group!$C:$G,5,0),"")</f>
        <v/>
      </c>
      <c r="O114" s="3" t="str">
        <f>IF($J114="InhouseCSC",ROUND(VLOOKUP($D114,Group!$C:$H,6,0),5),"")</f>
        <v/>
      </c>
      <c r="P114" s="3" t="str">
        <f>IF(OR($J114="BOSFCSC",$J114="BOFCSC"),VLOOKUP($D114,Group!$C:$H,6,0),"")</f>
        <v/>
      </c>
      <c r="Q114" s="1" t="str">
        <f>IF($J114="Inhouseothers",VLOOKUP($D114,Group!$C:$E,3,0),"")</f>
        <v/>
      </c>
      <c r="R114" s="1" t="str">
        <f>IF($J114="BOSFOthers",VLOOKUP($D114,Group!$C:$E,3,0),"")</f>
        <v/>
      </c>
      <c r="S114" s="3" t="str">
        <f>IF($J114="BOFOthers",VLOOKUP($D114,Group!$C:$E,3,0),"")</f>
        <v/>
      </c>
      <c r="U114" s="1" t="str">
        <f>IFERROR(Backend!$L114*VLOOKUP($F114,'OH,Profit &amp; Other Base'!$A:$V,Backend!U$6,0),"")</f>
        <v/>
      </c>
      <c r="V114" s="1" t="str">
        <f>IFERROR(Backend!$M114*VLOOKUP($F114,'OH,Profit &amp; Other Base'!$A:$V,Backend!V$6,0),"")</f>
        <v/>
      </c>
      <c r="W114" s="1" t="str">
        <f>IFERROR(Backend!$L114*VLOOKUP($F114,'OH,Profit &amp; Other Base'!$A:$V,Backend!W$6,0),"")</f>
        <v/>
      </c>
      <c r="X114" s="1" t="str">
        <f>IFERROR(Backend!$M114*VLOOKUP($F114,'OH,Profit &amp; Other Base'!$A:$V,Backend!X$6,0),"")</f>
        <v/>
      </c>
      <c r="Y114" s="1" t="str">
        <f>IFERROR(Backend!$L114*VLOOKUP($F114,'OH,Profit &amp; Other Base'!$A:$V,Backend!Y$6,0),"")</f>
        <v/>
      </c>
      <c r="Z114" s="1" t="str">
        <f>IFERROR(Backend!$M114*VLOOKUP($F114,'OH,Profit &amp; Other Base'!$A:$V,Backend!Z$6,0),"")</f>
        <v/>
      </c>
      <c r="AA114" s="1" t="str">
        <f>IFERROR(Backend!$L114*VLOOKUP($F114,'OH,Profit &amp; Other Base'!$A:$V,Backend!AA$6,0),"")</f>
        <v/>
      </c>
      <c r="AB114" s="1" t="str">
        <f>IFERROR(Backend!$M114*VLOOKUP($F114,'OH,Profit &amp; Other Base'!$A:$V,Backend!AB$6,0),"")</f>
        <v/>
      </c>
      <c r="AC114" s="1" t="str">
        <f>IFERROR(Backend!$L114*VLOOKUP($F114,'OH,Profit &amp; Other Base'!$A:$V,Backend!AC$6,0),"")</f>
        <v/>
      </c>
      <c r="AD114" s="1" t="str">
        <f>IFERROR(Backend!$M114*VLOOKUP($F114,'OH,Profit &amp; Other Base'!$A:$V,Backend!AD$6,0),"")</f>
        <v/>
      </c>
      <c r="AE114" s="1" t="str">
        <f>IFERROR(Backend!$L114*VLOOKUP($F114,'OH,Profit &amp; Other Base'!$A:$V,Backend!AE$6,0),"")</f>
        <v/>
      </c>
      <c r="AF114" s="1" t="str">
        <f>IFERROR(Backend!$M114*VLOOKUP($F114,'OH,Profit &amp; Other Base'!$A:$V,Backend!AF$6,0),"")</f>
        <v/>
      </c>
      <c r="AG114" s="1" t="str">
        <f>IFERROR(Backend!$L114*VLOOKUP($F114,'OH,Profit &amp; Other Base'!$A:$V,Backend!AG$6,0),"")</f>
        <v/>
      </c>
      <c r="AH114" s="1" t="str">
        <f>IFERROR(Backend!$M114*VLOOKUP($F114,'OH,Profit &amp; Other Base'!$A:$V,Backend!AH$6,0),"")</f>
        <v/>
      </c>
      <c r="AI114" s="3">
        <f t="shared" si="9"/>
        <v>0</v>
      </c>
      <c r="AL114" s="1" t="str">
        <f t="shared" si="10"/>
        <v/>
      </c>
      <c r="AM114" s="1" t="str">
        <f t="shared" si="11"/>
        <v/>
      </c>
      <c r="AN114" s="1" t="str">
        <f t="shared" si="12"/>
        <v/>
      </c>
      <c r="AO114" s="1" t="str">
        <f t="shared" si="13"/>
        <v/>
      </c>
      <c r="AP114" s="1" t="str">
        <f>IFERROR(ROUND(Backend!$AL114*VLOOKUP($F114,'OH,Profit &amp; Other Base'!$A:$V,Backend!AP$6,0),5),"")</f>
        <v/>
      </c>
      <c r="AQ114" s="1" t="str">
        <f>IFERROR(ROUND(Backend!$AO114*VLOOKUP($F114,'OH,Profit &amp; Other Base'!$A:$V,Backend!AQ$6,0),5),"")</f>
        <v/>
      </c>
      <c r="AR114" s="1" t="str">
        <f>IFERROR(ROUND(Backend!$AM114*VLOOKUP($F114,'OH,Profit &amp; Other Base'!$A:$V,Backend!AR$6,0),5),"")</f>
        <v/>
      </c>
      <c r="AS114" s="1" t="str">
        <f>IFERROR(ROUND(Backend!$AL114*VLOOKUP($F114,'OH,Profit &amp; Other Base'!$A:$V,Backend!AS$6,0),5),"")</f>
        <v/>
      </c>
      <c r="AT114" s="1" t="str">
        <f>IFERROR(ROUND(Backend!$AO114*VLOOKUP($F114,'OH,Profit &amp; Other Base'!$A:$V,Backend!AT$6,0),5),"")</f>
        <v/>
      </c>
      <c r="AU114" s="1" t="str">
        <f>IFERROR(ROUND(Backend!$AM114*VLOOKUP($F114,'OH,Profit &amp; Other Base'!$A:$V,Backend!AU$6,0),5),"")</f>
        <v/>
      </c>
      <c r="AV114" s="1" t="str">
        <f>IFERROR(ROUND(Backend!$AL114*VLOOKUP($F114,'OH,Profit &amp; Other Base'!$A:$V,Backend!AV$6,0),5),"")</f>
        <v/>
      </c>
      <c r="AW114" s="1" t="str">
        <f>IFERROR(ROUND(Backend!$AO114*VLOOKUP($F114,'OH,Profit &amp; Other Base'!$A:$V,Backend!AW$6,0),5),"")</f>
        <v/>
      </c>
      <c r="AX114" s="1" t="str">
        <f>IFERROR(ROUND(Backend!$AM114*VLOOKUP($F114,'OH,Profit &amp; Other Base'!$A:$V,Backend!AX$6,0),5),"")</f>
        <v/>
      </c>
      <c r="AY114" s="1" t="str">
        <f>IFERROR(ROUND(Backend!$AL114*VLOOKUP($F114,'OH,Profit &amp; Other Base'!$A:$V,Backend!AY$6,0),5),"")</f>
        <v/>
      </c>
      <c r="AZ114" s="1" t="str">
        <f>IFERROR(ROUND(Backend!$AO114*VLOOKUP($F114,'OH,Profit &amp; Other Base'!$A:$V,Backend!AZ$6,0),5),"")</f>
        <v/>
      </c>
      <c r="BA114" s="1" t="str">
        <f>IFERROR(ROUND(Backend!$AM114*VLOOKUP($F114,'OH,Profit &amp; Other Base'!$A:$V,Backend!BA$6,0),5),"")</f>
        <v/>
      </c>
      <c r="BB114" s="1" t="str">
        <f>IFERROR(ROUND(Backend!$AL114*VLOOKUP($F114,'OH,Profit &amp; Other Base'!$A:$V,Backend!BB$6,0),5),"")</f>
        <v/>
      </c>
      <c r="BC114" s="1" t="str">
        <f>IFERROR(ROUND(Backend!$AO114*VLOOKUP($F114,'OH,Profit &amp; Other Base'!$A:$V,Backend!BC$6,0),5),"")</f>
        <v/>
      </c>
      <c r="BD114" s="1" t="str">
        <f>IFERROR(ROUND(Backend!$AM114*VLOOKUP($F114,'OH,Profit &amp; Other Base'!$A:$V,Backend!BD$6,0),5),"")</f>
        <v/>
      </c>
      <c r="BE114" s="1" t="str">
        <f>IFERROR(ROUND(Backend!$AL114*VLOOKUP($F114,'OH,Profit &amp; Other Base'!$A:$V,Backend!BE$6,0),5),"")</f>
        <v/>
      </c>
      <c r="BF114" s="1" t="str">
        <f>IFERROR(ROUND(Backend!$AO114*VLOOKUP($F114,'OH,Profit &amp; Other Base'!$A:$V,Backend!BF$6,0),5),"")</f>
        <v/>
      </c>
      <c r="BG114" s="1" t="str">
        <f>IFERROR(ROUND(Backend!$AM114*VLOOKUP($F114,'OH,Profit &amp; Other Base'!$A:$V,Backend!BG$6,0),5),"")</f>
        <v/>
      </c>
      <c r="BH114" s="1" t="str">
        <f>IFERROR(ROUND(Backend!$AL114*VLOOKUP($F114,'OH,Profit &amp; Other Base'!$A:$V,Backend!BH$6,0),5),"")</f>
        <v/>
      </c>
      <c r="BI114" s="1" t="str">
        <f>IFERROR(ROUND(Backend!$AO114*VLOOKUP($F114,'OH,Profit &amp; Other Base'!$A:$V,Backend!BI$6,0),5),"")</f>
        <v/>
      </c>
      <c r="BJ114" s="1" t="str">
        <f>IFERROR(ROUND(Backend!$AM114*VLOOKUP($F114,'OH,Profit &amp; Other Base'!$A:$V,Backend!BJ$6,0),5),"")</f>
        <v/>
      </c>
      <c r="BK114" s="3">
        <f>SUM(AN114:BJ114,Backend!O114)</f>
        <v>0</v>
      </c>
    </row>
    <row r="115" spans="1:63">
      <c r="A115" s="1">
        <f>BOM!A110</f>
        <v>0</v>
      </c>
      <c r="B115" s="1">
        <f>BOM!B110</f>
        <v>0</v>
      </c>
      <c r="C115" s="1">
        <f>BOM!C110</f>
        <v>0</v>
      </c>
      <c r="D115" s="1">
        <f>BOM!D110</f>
        <v>0</v>
      </c>
      <c r="E115" s="1">
        <f>BOM!F110</f>
        <v>0</v>
      </c>
      <c r="F115" s="1" t="str">
        <f>IF(H115="CSC",BOM!H110,IF(J115="BOFOthers","Sheet Metal-B",""))</f>
        <v/>
      </c>
      <c r="G115" s="1">
        <f>BOM!I110</f>
        <v>0</v>
      </c>
      <c r="H115" s="1">
        <f>BOM!J110</f>
        <v>0</v>
      </c>
      <c r="I115" s="1" t="str">
        <f t="shared" si="7"/>
        <v>Others</v>
      </c>
      <c r="J115" s="1" t="str">
        <f t="shared" si="8"/>
        <v>0Others</v>
      </c>
      <c r="K115" s="3" t="str">
        <f>IF($J115="InhouseCSC",VLOOKUP($D115,Group!$C:$E,3,0),"")</f>
        <v/>
      </c>
      <c r="L115" s="3" t="str">
        <f>IF(OR($J115="BOSFCSC",$J115="BOFCSC"),VLOOKUP($D115,Group!$C:$E,3,0),"")</f>
        <v/>
      </c>
      <c r="M115" s="3" t="str">
        <f>IF(OR($J115="BOSFCSC",$J115="BOFCSC"),VLOOKUP($D115,Group!$C:$F,4,0),"")</f>
        <v/>
      </c>
      <c r="N115" s="3" t="str">
        <f>IF(OR($J115="InhouseCSC",$J115="BOSFCSC"),VLOOKUP($D115,Group!$C:$G,5,0),"")</f>
        <v/>
      </c>
      <c r="O115" s="3" t="str">
        <f>IF($J115="InhouseCSC",ROUND(VLOOKUP($D115,Group!$C:$H,6,0),5),"")</f>
        <v/>
      </c>
      <c r="P115" s="3" t="str">
        <f>IF(OR($J115="BOSFCSC",$J115="BOFCSC"),VLOOKUP($D115,Group!$C:$H,6,0),"")</f>
        <v/>
      </c>
      <c r="Q115" s="1" t="str">
        <f>IF($J115="Inhouseothers",VLOOKUP($D115,Group!$C:$E,3,0),"")</f>
        <v/>
      </c>
      <c r="R115" s="1" t="str">
        <f>IF($J115="BOSFOthers",VLOOKUP($D115,Group!$C:$E,3,0),"")</f>
        <v/>
      </c>
      <c r="S115" s="3" t="str">
        <f>IF($J115="BOFOthers",VLOOKUP($D115,Group!$C:$E,3,0),"")</f>
        <v/>
      </c>
      <c r="U115" s="1" t="str">
        <f>IFERROR(Backend!$L115*VLOOKUP($F115,'OH,Profit &amp; Other Base'!$A:$V,Backend!U$6,0),"")</f>
        <v/>
      </c>
      <c r="V115" s="1" t="str">
        <f>IFERROR(Backend!$M115*VLOOKUP($F115,'OH,Profit &amp; Other Base'!$A:$V,Backend!V$6,0),"")</f>
        <v/>
      </c>
      <c r="W115" s="1" t="str">
        <f>IFERROR(Backend!$L115*VLOOKUP($F115,'OH,Profit &amp; Other Base'!$A:$V,Backend!W$6,0),"")</f>
        <v/>
      </c>
      <c r="X115" s="1" t="str">
        <f>IFERROR(Backend!$M115*VLOOKUP($F115,'OH,Profit &amp; Other Base'!$A:$V,Backend!X$6,0),"")</f>
        <v/>
      </c>
      <c r="Y115" s="1" t="str">
        <f>IFERROR(Backend!$L115*VLOOKUP($F115,'OH,Profit &amp; Other Base'!$A:$V,Backend!Y$6,0),"")</f>
        <v/>
      </c>
      <c r="Z115" s="1" t="str">
        <f>IFERROR(Backend!$M115*VLOOKUP($F115,'OH,Profit &amp; Other Base'!$A:$V,Backend!Z$6,0),"")</f>
        <v/>
      </c>
      <c r="AA115" s="1" t="str">
        <f>IFERROR(Backend!$L115*VLOOKUP($F115,'OH,Profit &amp; Other Base'!$A:$V,Backend!AA$6,0),"")</f>
        <v/>
      </c>
      <c r="AB115" s="1" t="str">
        <f>IFERROR(Backend!$M115*VLOOKUP($F115,'OH,Profit &amp; Other Base'!$A:$V,Backend!AB$6,0),"")</f>
        <v/>
      </c>
      <c r="AC115" s="1" t="str">
        <f>IFERROR(Backend!$L115*VLOOKUP($F115,'OH,Profit &amp; Other Base'!$A:$V,Backend!AC$6,0),"")</f>
        <v/>
      </c>
      <c r="AD115" s="1" t="str">
        <f>IFERROR(Backend!$M115*VLOOKUP($F115,'OH,Profit &amp; Other Base'!$A:$V,Backend!AD$6,0),"")</f>
        <v/>
      </c>
      <c r="AE115" s="1" t="str">
        <f>IFERROR(Backend!$L115*VLOOKUP($F115,'OH,Profit &amp; Other Base'!$A:$V,Backend!AE$6,0),"")</f>
        <v/>
      </c>
      <c r="AF115" s="1" t="str">
        <f>IFERROR(Backend!$M115*VLOOKUP($F115,'OH,Profit &amp; Other Base'!$A:$V,Backend!AF$6,0),"")</f>
        <v/>
      </c>
      <c r="AG115" s="1" t="str">
        <f>IFERROR(Backend!$L115*VLOOKUP($F115,'OH,Profit &amp; Other Base'!$A:$V,Backend!AG$6,0),"")</f>
        <v/>
      </c>
      <c r="AH115" s="1" t="str">
        <f>IFERROR(Backend!$M115*VLOOKUP($F115,'OH,Profit &amp; Other Base'!$A:$V,Backend!AH$6,0),"")</f>
        <v/>
      </c>
      <c r="AI115" s="3">
        <f t="shared" si="9"/>
        <v>0</v>
      </c>
      <c r="AL115" s="1" t="str">
        <f t="shared" si="10"/>
        <v/>
      </c>
      <c r="AM115" s="1" t="str">
        <f t="shared" si="11"/>
        <v/>
      </c>
      <c r="AN115" s="1" t="str">
        <f t="shared" si="12"/>
        <v/>
      </c>
      <c r="AO115" s="1" t="str">
        <f t="shared" si="13"/>
        <v/>
      </c>
      <c r="AP115" s="1" t="str">
        <f>IFERROR(ROUND(Backend!$AL115*VLOOKUP($F115,'OH,Profit &amp; Other Base'!$A:$V,Backend!AP$6,0),5),"")</f>
        <v/>
      </c>
      <c r="AQ115" s="1" t="str">
        <f>IFERROR(ROUND(Backend!$AO115*VLOOKUP($F115,'OH,Profit &amp; Other Base'!$A:$V,Backend!AQ$6,0),5),"")</f>
        <v/>
      </c>
      <c r="AR115" s="1" t="str">
        <f>IFERROR(ROUND(Backend!$AM115*VLOOKUP($F115,'OH,Profit &amp; Other Base'!$A:$V,Backend!AR$6,0),5),"")</f>
        <v/>
      </c>
      <c r="AS115" s="1" t="str">
        <f>IFERROR(ROUND(Backend!$AL115*VLOOKUP($F115,'OH,Profit &amp; Other Base'!$A:$V,Backend!AS$6,0),5),"")</f>
        <v/>
      </c>
      <c r="AT115" s="1" t="str">
        <f>IFERROR(ROUND(Backend!$AO115*VLOOKUP($F115,'OH,Profit &amp; Other Base'!$A:$V,Backend!AT$6,0),5),"")</f>
        <v/>
      </c>
      <c r="AU115" s="1" t="str">
        <f>IFERROR(ROUND(Backend!$AM115*VLOOKUP($F115,'OH,Profit &amp; Other Base'!$A:$V,Backend!AU$6,0),5),"")</f>
        <v/>
      </c>
      <c r="AV115" s="1" t="str">
        <f>IFERROR(ROUND(Backend!$AL115*VLOOKUP($F115,'OH,Profit &amp; Other Base'!$A:$V,Backend!AV$6,0),5),"")</f>
        <v/>
      </c>
      <c r="AW115" s="1" t="str">
        <f>IFERROR(ROUND(Backend!$AO115*VLOOKUP($F115,'OH,Profit &amp; Other Base'!$A:$V,Backend!AW$6,0),5),"")</f>
        <v/>
      </c>
      <c r="AX115" s="1" t="str">
        <f>IFERROR(ROUND(Backend!$AM115*VLOOKUP($F115,'OH,Profit &amp; Other Base'!$A:$V,Backend!AX$6,0),5),"")</f>
        <v/>
      </c>
      <c r="AY115" s="1" t="str">
        <f>IFERROR(ROUND(Backend!$AL115*VLOOKUP($F115,'OH,Profit &amp; Other Base'!$A:$V,Backend!AY$6,0),5),"")</f>
        <v/>
      </c>
      <c r="AZ115" s="1" t="str">
        <f>IFERROR(ROUND(Backend!$AO115*VLOOKUP($F115,'OH,Profit &amp; Other Base'!$A:$V,Backend!AZ$6,0),5),"")</f>
        <v/>
      </c>
      <c r="BA115" s="1" t="str">
        <f>IFERROR(ROUND(Backend!$AM115*VLOOKUP($F115,'OH,Profit &amp; Other Base'!$A:$V,Backend!BA$6,0),5),"")</f>
        <v/>
      </c>
      <c r="BB115" s="1" t="str">
        <f>IFERROR(ROUND(Backend!$AL115*VLOOKUP($F115,'OH,Profit &amp; Other Base'!$A:$V,Backend!BB$6,0),5),"")</f>
        <v/>
      </c>
      <c r="BC115" s="1" t="str">
        <f>IFERROR(ROUND(Backend!$AO115*VLOOKUP($F115,'OH,Profit &amp; Other Base'!$A:$V,Backend!BC$6,0),5),"")</f>
        <v/>
      </c>
      <c r="BD115" s="1" t="str">
        <f>IFERROR(ROUND(Backend!$AM115*VLOOKUP($F115,'OH,Profit &amp; Other Base'!$A:$V,Backend!BD$6,0),5),"")</f>
        <v/>
      </c>
      <c r="BE115" s="1" t="str">
        <f>IFERROR(ROUND(Backend!$AL115*VLOOKUP($F115,'OH,Profit &amp; Other Base'!$A:$V,Backend!BE$6,0),5),"")</f>
        <v/>
      </c>
      <c r="BF115" s="1" t="str">
        <f>IFERROR(ROUND(Backend!$AO115*VLOOKUP($F115,'OH,Profit &amp; Other Base'!$A:$V,Backend!BF$6,0),5),"")</f>
        <v/>
      </c>
      <c r="BG115" s="1" t="str">
        <f>IFERROR(ROUND(Backend!$AM115*VLOOKUP($F115,'OH,Profit &amp; Other Base'!$A:$V,Backend!BG$6,0),5),"")</f>
        <v/>
      </c>
      <c r="BH115" s="1" t="str">
        <f>IFERROR(ROUND(Backend!$AL115*VLOOKUP($F115,'OH,Profit &amp; Other Base'!$A:$V,Backend!BH$6,0),5),"")</f>
        <v/>
      </c>
      <c r="BI115" s="1" t="str">
        <f>IFERROR(ROUND(Backend!$AO115*VLOOKUP($F115,'OH,Profit &amp; Other Base'!$A:$V,Backend!BI$6,0),5),"")</f>
        <v/>
      </c>
      <c r="BJ115" s="1" t="str">
        <f>IFERROR(ROUND(Backend!$AM115*VLOOKUP($F115,'OH,Profit &amp; Other Base'!$A:$V,Backend!BJ$6,0),5),"")</f>
        <v/>
      </c>
      <c r="BK115" s="3">
        <f>SUM(AN115:BJ115,Backend!O115)</f>
        <v>0</v>
      </c>
    </row>
    <row r="116" spans="1:63">
      <c r="A116" s="1">
        <f>BOM!A111</f>
        <v>0</v>
      </c>
      <c r="B116" s="1">
        <f>BOM!B111</f>
        <v>0</v>
      </c>
      <c r="C116" s="1">
        <f>BOM!C111</f>
        <v>0</v>
      </c>
      <c r="D116" s="1">
        <f>BOM!D111</f>
        <v>0</v>
      </c>
      <c r="E116" s="1">
        <f>BOM!F111</f>
        <v>0</v>
      </c>
      <c r="F116" s="1" t="str">
        <f>IF(H116="CSC",BOM!H111,IF(J116="BOFOthers","Sheet Metal-B",""))</f>
        <v/>
      </c>
      <c r="G116" s="1">
        <f>BOM!I111</f>
        <v>0</v>
      </c>
      <c r="H116" s="1">
        <f>BOM!J111</f>
        <v>0</v>
      </c>
      <c r="I116" s="1" t="str">
        <f t="shared" si="7"/>
        <v>Others</v>
      </c>
      <c r="J116" s="1" t="str">
        <f t="shared" si="8"/>
        <v>0Others</v>
      </c>
      <c r="K116" s="3" t="str">
        <f>IF($J116="InhouseCSC",VLOOKUP($D116,Group!$C:$E,3,0),"")</f>
        <v/>
      </c>
      <c r="L116" s="3" t="str">
        <f>IF(OR($J116="BOSFCSC",$J116="BOFCSC"),VLOOKUP($D116,Group!$C:$E,3,0),"")</f>
        <v/>
      </c>
      <c r="M116" s="3" t="str">
        <f>IF(OR($J116="BOSFCSC",$J116="BOFCSC"),VLOOKUP($D116,Group!$C:$F,4,0),"")</f>
        <v/>
      </c>
      <c r="N116" s="3" t="str">
        <f>IF(OR($J116="InhouseCSC",$J116="BOSFCSC"),VLOOKUP($D116,Group!$C:$G,5,0),"")</f>
        <v/>
      </c>
      <c r="O116" s="3" t="str">
        <f>IF($J116="InhouseCSC",ROUND(VLOOKUP($D116,Group!$C:$H,6,0),5),"")</f>
        <v/>
      </c>
      <c r="P116" s="3" t="str">
        <f>IF(OR($J116="BOSFCSC",$J116="BOFCSC"),VLOOKUP($D116,Group!$C:$H,6,0),"")</f>
        <v/>
      </c>
      <c r="Q116" s="1" t="str">
        <f>IF($J116="Inhouseothers",VLOOKUP($D116,Group!$C:$E,3,0),"")</f>
        <v/>
      </c>
      <c r="R116" s="1" t="str">
        <f>IF($J116="BOSFOthers",VLOOKUP($D116,Group!$C:$E,3,0),"")</f>
        <v/>
      </c>
      <c r="S116" s="3" t="str">
        <f>IF($J116="BOFOthers",VLOOKUP($D116,Group!$C:$E,3,0),"")</f>
        <v/>
      </c>
      <c r="U116" s="1" t="str">
        <f>IFERROR(Backend!$L116*VLOOKUP($F116,'OH,Profit &amp; Other Base'!$A:$V,Backend!U$6,0),"")</f>
        <v/>
      </c>
      <c r="V116" s="1" t="str">
        <f>IFERROR(Backend!$M116*VLOOKUP($F116,'OH,Profit &amp; Other Base'!$A:$V,Backend!V$6,0),"")</f>
        <v/>
      </c>
      <c r="W116" s="1" t="str">
        <f>IFERROR(Backend!$L116*VLOOKUP($F116,'OH,Profit &amp; Other Base'!$A:$V,Backend!W$6,0),"")</f>
        <v/>
      </c>
      <c r="X116" s="1" t="str">
        <f>IFERROR(Backend!$M116*VLOOKUP($F116,'OH,Profit &amp; Other Base'!$A:$V,Backend!X$6,0),"")</f>
        <v/>
      </c>
      <c r="Y116" s="1" t="str">
        <f>IFERROR(Backend!$L116*VLOOKUP($F116,'OH,Profit &amp; Other Base'!$A:$V,Backend!Y$6,0),"")</f>
        <v/>
      </c>
      <c r="Z116" s="1" t="str">
        <f>IFERROR(Backend!$M116*VLOOKUP($F116,'OH,Profit &amp; Other Base'!$A:$V,Backend!Z$6,0),"")</f>
        <v/>
      </c>
      <c r="AA116" s="1" t="str">
        <f>IFERROR(Backend!$L116*VLOOKUP($F116,'OH,Profit &amp; Other Base'!$A:$V,Backend!AA$6,0),"")</f>
        <v/>
      </c>
      <c r="AB116" s="1" t="str">
        <f>IFERROR(Backend!$M116*VLOOKUP($F116,'OH,Profit &amp; Other Base'!$A:$V,Backend!AB$6,0),"")</f>
        <v/>
      </c>
      <c r="AC116" s="1" t="str">
        <f>IFERROR(Backend!$L116*VLOOKUP($F116,'OH,Profit &amp; Other Base'!$A:$V,Backend!AC$6,0),"")</f>
        <v/>
      </c>
      <c r="AD116" s="1" t="str">
        <f>IFERROR(Backend!$M116*VLOOKUP($F116,'OH,Profit &amp; Other Base'!$A:$V,Backend!AD$6,0),"")</f>
        <v/>
      </c>
      <c r="AE116" s="1" t="str">
        <f>IFERROR(Backend!$L116*VLOOKUP($F116,'OH,Profit &amp; Other Base'!$A:$V,Backend!AE$6,0),"")</f>
        <v/>
      </c>
      <c r="AF116" s="1" t="str">
        <f>IFERROR(Backend!$M116*VLOOKUP($F116,'OH,Profit &amp; Other Base'!$A:$V,Backend!AF$6,0),"")</f>
        <v/>
      </c>
      <c r="AG116" s="1" t="str">
        <f>IFERROR(Backend!$L116*VLOOKUP($F116,'OH,Profit &amp; Other Base'!$A:$V,Backend!AG$6,0),"")</f>
        <v/>
      </c>
      <c r="AH116" s="1" t="str">
        <f>IFERROR(Backend!$M116*VLOOKUP($F116,'OH,Profit &amp; Other Base'!$A:$V,Backend!AH$6,0),"")</f>
        <v/>
      </c>
      <c r="AI116" s="3">
        <f t="shared" si="9"/>
        <v>0</v>
      </c>
      <c r="AL116" s="1" t="str">
        <f t="shared" si="10"/>
        <v/>
      </c>
      <c r="AM116" s="1" t="str">
        <f t="shared" si="11"/>
        <v/>
      </c>
      <c r="AN116" s="1" t="str">
        <f t="shared" si="12"/>
        <v/>
      </c>
      <c r="AO116" s="1" t="str">
        <f t="shared" si="13"/>
        <v/>
      </c>
      <c r="AP116" s="1" t="str">
        <f>IFERROR(ROUND(Backend!$AL116*VLOOKUP($F116,'OH,Profit &amp; Other Base'!$A:$V,Backend!AP$6,0),5),"")</f>
        <v/>
      </c>
      <c r="AQ116" s="1" t="str">
        <f>IFERROR(ROUND(Backend!$AO116*VLOOKUP($F116,'OH,Profit &amp; Other Base'!$A:$V,Backend!AQ$6,0),5),"")</f>
        <v/>
      </c>
      <c r="AR116" s="1" t="str">
        <f>IFERROR(ROUND(Backend!$AM116*VLOOKUP($F116,'OH,Profit &amp; Other Base'!$A:$V,Backend!AR$6,0),5),"")</f>
        <v/>
      </c>
      <c r="AS116" s="1" t="str">
        <f>IFERROR(ROUND(Backend!$AL116*VLOOKUP($F116,'OH,Profit &amp; Other Base'!$A:$V,Backend!AS$6,0),5),"")</f>
        <v/>
      </c>
      <c r="AT116" s="1" t="str">
        <f>IFERROR(ROUND(Backend!$AO116*VLOOKUP($F116,'OH,Profit &amp; Other Base'!$A:$V,Backend!AT$6,0),5),"")</f>
        <v/>
      </c>
      <c r="AU116" s="1" t="str">
        <f>IFERROR(ROUND(Backend!$AM116*VLOOKUP($F116,'OH,Profit &amp; Other Base'!$A:$V,Backend!AU$6,0),5),"")</f>
        <v/>
      </c>
      <c r="AV116" s="1" t="str">
        <f>IFERROR(ROUND(Backend!$AL116*VLOOKUP($F116,'OH,Profit &amp; Other Base'!$A:$V,Backend!AV$6,0),5),"")</f>
        <v/>
      </c>
      <c r="AW116" s="1" t="str">
        <f>IFERROR(ROUND(Backend!$AO116*VLOOKUP($F116,'OH,Profit &amp; Other Base'!$A:$V,Backend!AW$6,0),5),"")</f>
        <v/>
      </c>
      <c r="AX116" s="1" t="str">
        <f>IFERROR(ROUND(Backend!$AM116*VLOOKUP($F116,'OH,Profit &amp; Other Base'!$A:$V,Backend!AX$6,0),5),"")</f>
        <v/>
      </c>
      <c r="AY116" s="1" t="str">
        <f>IFERROR(ROUND(Backend!$AL116*VLOOKUP($F116,'OH,Profit &amp; Other Base'!$A:$V,Backend!AY$6,0),5),"")</f>
        <v/>
      </c>
      <c r="AZ116" s="1" t="str">
        <f>IFERROR(ROUND(Backend!$AO116*VLOOKUP($F116,'OH,Profit &amp; Other Base'!$A:$V,Backend!AZ$6,0),5),"")</f>
        <v/>
      </c>
      <c r="BA116" s="1" t="str">
        <f>IFERROR(ROUND(Backend!$AM116*VLOOKUP($F116,'OH,Profit &amp; Other Base'!$A:$V,Backend!BA$6,0),5),"")</f>
        <v/>
      </c>
      <c r="BB116" s="1" t="str">
        <f>IFERROR(ROUND(Backend!$AL116*VLOOKUP($F116,'OH,Profit &amp; Other Base'!$A:$V,Backend!BB$6,0),5),"")</f>
        <v/>
      </c>
      <c r="BC116" s="1" t="str">
        <f>IFERROR(ROUND(Backend!$AO116*VLOOKUP($F116,'OH,Profit &amp; Other Base'!$A:$V,Backend!BC$6,0),5),"")</f>
        <v/>
      </c>
      <c r="BD116" s="1" t="str">
        <f>IFERROR(ROUND(Backend!$AM116*VLOOKUP($F116,'OH,Profit &amp; Other Base'!$A:$V,Backend!BD$6,0),5),"")</f>
        <v/>
      </c>
      <c r="BE116" s="1" t="str">
        <f>IFERROR(ROUND(Backend!$AL116*VLOOKUP($F116,'OH,Profit &amp; Other Base'!$A:$V,Backend!BE$6,0),5),"")</f>
        <v/>
      </c>
      <c r="BF116" s="1" t="str">
        <f>IFERROR(ROUND(Backend!$AO116*VLOOKUP($F116,'OH,Profit &amp; Other Base'!$A:$V,Backend!BF$6,0),5),"")</f>
        <v/>
      </c>
      <c r="BG116" s="1" t="str">
        <f>IFERROR(ROUND(Backend!$AM116*VLOOKUP($F116,'OH,Profit &amp; Other Base'!$A:$V,Backend!BG$6,0),5),"")</f>
        <v/>
      </c>
      <c r="BH116" s="1" t="str">
        <f>IFERROR(ROUND(Backend!$AL116*VLOOKUP($F116,'OH,Profit &amp; Other Base'!$A:$V,Backend!BH$6,0),5),"")</f>
        <v/>
      </c>
      <c r="BI116" s="1" t="str">
        <f>IFERROR(ROUND(Backend!$AO116*VLOOKUP($F116,'OH,Profit &amp; Other Base'!$A:$V,Backend!BI$6,0),5),"")</f>
        <v/>
      </c>
      <c r="BJ116" s="1" t="str">
        <f>IFERROR(ROUND(Backend!$AM116*VLOOKUP($F116,'OH,Profit &amp; Other Base'!$A:$V,Backend!BJ$6,0),5),"")</f>
        <v/>
      </c>
      <c r="BK116" s="3">
        <f>SUM(AN116:BJ116,Backend!O116)</f>
        <v>0</v>
      </c>
    </row>
    <row r="117" spans="1:63">
      <c r="A117" s="1">
        <f>BOM!A112</f>
        <v>0</v>
      </c>
      <c r="B117" s="1">
        <f>BOM!B112</f>
        <v>0</v>
      </c>
      <c r="C117" s="1">
        <f>BOM!C112</f>
        <v>0</v>
      </c>
      <c r="D117" s="1">
        <f>BOM!D112</f>
        <v>0</v>
      </c>
      <c r="E117" s="1">
        <f>BOM!F112</f>
        <v>0</v>
      </c>
      <c r="F117" s="1" t="str">
        <f>IF(H117="CSC",BOM!H112,IF(J117="BOFOthers","Sheet Metal-B",""))</f>
        <v/>
      </c>
      <c r="G117" s="1">
        <f>BOM!I112</f>
        <v>0</v>
      </c>
      <c r="H117" s="1">
        <f>BOM!J112</f>
        <v>0</v>
      </c>
      <c r="I117" s="1" t="str">
        <f t="shared" si="7"/>
        <v>Others</v>
      </c>
      <c r="J117" s="1" t="str">
        <f t="shared" si="8"/>
        <v>0Others</v>
      </c>
      <c r="K117" s="3" t="str">
        <f>IF($J117="InhouseCSC",VLOOKUP($D117,Group!$C:$E,3,0),"")</f>
        <v/>
      </c>
      <c r="L117" s="3" t="str">
        <f>IF(OR($J117="BOSFCSC",$J117="BOFCSC"),VLOOKUP($D117,Group!$C:$E,3,0),"")</f>
        <v/>
      </c>
      <c r="M117" s="3" t="str">
        <f>IF(OR($J117="BOSFCSC",$J117="BOFCSC"),VLOOKUP($D117,Group!$C:$F,4,0),"")</f>
        <v/>
      </c>
      <c r="N117" s="3" t="str">
        <f>IF(OR($J117="InhouseCSC",$J117="BOSFCSC"),VLOOKUP($D117,Group!$C:$G,5,0),"")</f>
        <v/>
      </c>
      <c r="O117" s="3" t="str">
        <f>IF($J117="InhouseCSC",ROUND(VLOOKUP($D117,Group!$C:$H,6,0),5),"")</f>
        <v/>
      </c>
      <c r="P117" s="3" t="str">
        <f>IF(OR($J117="BOSFCSC",$J117="BOFCSC"),VLOOKUP($D117,Group!$C:$H,6,0),"")</f>
        <v/>
      </c>
      <c r="Q117" s="1" t="str">
        <f>IF($J117="Inhouseothers",VLOOKUP($D117,Group!$C:$E,3,0),"")</f>
        <v/>
      </c>
      <c r="R117" s="1" t="str">
        <f>IF($J117="BOSFOthers",VLOOKUP($D117,Group!$C:$E,3,0),"")</f>
        <v/>
      </c>
      <c r="S117" s="3" t="str">
        <f>IF($J117="BOFOthers",VLOOKUP($D117,Group!$C:$E,3,0),"")</f>
        <v/>
      </c>
      <c r="U117" s="1" t="str">
        <f>IFERROR(Backend!$L117*VLOOKUP($F117,'OH,Profit &amp; Other Base'!$A:$V,Backend!U$6,0),"")</f>
        <v/>
      </c>
      <c r="V117" s="1" t="str">
        <f>IFERROR(Backend!$M117*VLOOKUP($F117,'OH,Profit &amp; Other Base'!$A:$V,Backend!V$6,0),"")</f>
        <v/>
      </c>
      <c r="W117" s="1" t="str">
        <f>IFERROR(Backend!$L117*VLOOKUP($F117,'OH,Profit &amp; Other Base'!$A:$V,Backend!W$6,0),"")</f>
        <v/>
      </c>
      <c r="X117" s="1" t="str">
        <f>IFERROR(Backend!$M117*VLOOKUP($F117,'OH,Profit &amp; Other Base'!$A:$V,Backend!X$6,0),"")</f>
        <v/>
      </c>
      <c r="Y117" s="1" t="str">
        <f>IFERROR(Backend!$L117*VLOOKUP($F117,'OH,Profit &amp; Other Base'!$A:$V,Backend!Y$6,0),"")</f>
        <v/>
      </c>
      <c r="Z117" s="1" t="str">
        <f>IFERROR(Backend!$M117*VLOOKUP($F117,'OH,Profit &amp; Other Base'!$A:$V,Backend!Z$6,0),"")</f>
        <v/>
      </c>
      <c r="AA117" s="1" t="str">
        <f>IFERROR(Backend!$L117*VLOOKUP($F117,'OH,Profit &amp; Other Base'!$A:$V,Backend!AA$6,0),"")</f>
        <v/>
      </c>
      <c r="AB117" s="1" t="str">
        <f>IFERROR(Backend!$M117*VLOOKUP($F117,'OH,Profit &amp; Other Base'!$A:$V,Backend!AB$6,0),"")</f>
        <v/>
      </c>
      <c r="AC117" s="1" t="str">
        <f>IFERROR(Backend!$L117*VLOOKUP($F117,'OH,Profit &amp; Other Base'!$A:$V,Backend!AC$6,0),"")</f>
        <v/>
      </c>
      <c r="AD117" s="1" t="str">
        <f>IFERROR(Backend!$M117*VLOOKUP($F117,'OH,Profit &amp; Other Base'!$A:$V,Backend!AD$6,0),"")</f>
        <v/>
      </c>
      <c r="AE117" s="1" t="str">
        <f>IFERROR(Backend!$L117*VLOOKUP($F117,'OH,Profit &amp; Other Base'!$A:$V,Backend!AE$6,0),"")</f>
        <v/>
      </c>
      <c r="AF117" s="1" t="str">
        <f>IFERROR(Backend!$M117*VLOOKUP($F117,'OH,Profit &amp; Other Base'!$A:$V,Backend!AF$6,0),"")</f>
        <v/>
      </c>
      <c r="AG117" s="1" t="str">
        <f>IFERROR(Backend!$L117*VLOOKUP($F117,'OH,Profit &amp; Other Base'!$A:$V,Backend!AG$6,0),"")</f>
        <v/>
      </c>
      <c r="AH117" s="1" t="str">
        <f>IFERROR(Backend!$M117*VLOOKUP($F117,'OH,Profit &amp; Other Base'!$A:$V,Backend!AH$6,0),"")</f>
        <v/>
      </c>
      <c r="AI117" s="3">
        <f t="shared" si="9"/>
        <v>0</v>
      </c>
      <c r="AL117" s="1" t="str">
        <f t="shared" si="10"/>
        <v/>
      </c>
      <c r="AM117" s="1" t="str">
        <f t="shared" si="11"/>
        <v/>
      </c>
      <c r="AN117" s="1" t="str">
        <f t="shared" si="12"/>
        <v/>
      </c>
      <c r="AO117" s="1" t="str">
        <f t="shared" si="13"/>
        <v/>
      </c>
      <c r="AP117" s="1" t="str">
        <f>IFERROR(ROUND(Backend!$AL117*VLOOKUP($F117,'OH,Profit &amp; Other Base'!$A:$V,Backend!AP$6,0),5),"")</f>
        <v/>
      </c>
      <c r="AQ117" s="1" t="str">
        <f>IFERROR(ROUND(Backend!$AO117*VLOOKUP($F117,'OH,Profit &amp; Other Base'!$A:$V,Backend!AQ$6,0),5),"")</f>
        <v/>
      </c>
      <c r="AR117" s="1" t="str">
        <f>IFERROR(ROUND(Backend!$AM117*VLOOKUP($F117,'OH,Profit &amp; Other Base'!$A:$V,Backend!AR$6,0),5),"")</f>
        <v/>
      </c>
      <c r="AS117" s="1" t="str">
        <f>IFERROR(ROUND(Backend!$AL117*VLOOKUP($F117,'OH,Profit &amp; Other Base'!$A:$V,Backend!AS$6,0),5),"")</f>
        <v/>
      </c>
      <c r="AT117" s="1" t="str">
        <f>IFERROR(ROUND(Backend!$AO117*VLOOKUP($F117,'OH,Profit &amp; Other Base'!$A:$V,Backend!AT$6,0),5),"")</f>
        <v/>
      </c>
      <c r="AU117" s="1" t="str">
        <f>IFERROR(ROUND(Backend!$AM117*VLOOKUP($F117,'OH,Profit &amp; Other Base'!$A:$V,Backend!AU$6,0),5),"")</f>
        <v/>
      </c>
      <c r="AV117" s="1" t="str">
        <f>IFERROR(ROUND(Backend!$AL117*VLOOKUP($F117,'OH,Profit &amp; Other Base'!$A:$V,Backend!AV$6,0),5),"")</f>
        <v/>
      </c>
      <c r="AW117" s="1" t="str">
        <f>IFERROR(ROUND(Backend!$AO117*VLOOKUP($F117,'OH,Profit &amp; Other Base'!$A:$V,Backend!AW$6,0),5),"")</f>
        <v/>
      </c>
      <c r="AX117" s="1" t="str">
        <f>IFERROR(ROUND(Backend!$AM117*VLOOKUP($F117,'OH,Profit &amp; Other Base'!$A:$V,Backend!AX$6,0),5),"")</f>
        <v/>
      </c>
      <c r="AY117" s="1" t="str">
        <f>IFERROR(ROUND(Backend!$AL117*VLOOKUP($F117,'OH,Profit &amp; Other Base'!$A:$V,Backend!AY$6,0),5),"")</f>
        <v/>
      </c>
      <c r="AZ117" s="1" t="str">
        <f>IFERROR(ROUND(Backend!$AO117*VLOOKUP($F117,'OH,Profit &amp; Other Base'!$A:$V,Backend!AZ$6,0),5),"")</f>
        <v/>
      </c>
      <c r="BA117" s="1" t="str">
        <f>IFERROR(ROUND(Backend!$AM117*VLOOKUP($F117,'OH,Profit &amp; Other Base'!$A:$V,Backend!BA$6,0),5),"")</f>
        <v/>
      </c>
      <c r="BB117" s="1" t="str">
        <f>IFERROR(ROUND(Backend!$AL117*VLOOKUP($F117,'OH,Profit &amp; Other Base'!$A:$V,Backend!BB$6,0),5),"")</f>
        <v/>
      </c>
      <c r="BC117" s="1" t="str">
        <f>IFERROR(ROUND(Backend!$AO117*VLOOKUP($F117,'OH,Profit &amp; Other Base'!$A:$V,Backend!BC$6,0),5),"")</f>
        <v/>
      </c>
      <c r="BD117" s="1" t="str">
        <f>IFERROR(ROUND(Backend!$AM117*VLOOKUP($F117,'OH,Profit &amp; Other Base'!$A:$V,Backend!BD$6,0),5),"")</f>
        <v/>
      </c>
      <c r="BE117" s="1" t="str">
        <f>IFERROR(ROUND(Backend!$AL117*VLOOKUP($F117,'OH,Profit &amp; Other Base'!$A:$V,Backend!BE$6,0),5),"")</f>
        <v/>
      </c>
      <c r="BF117" s="1" t="str">
        <f>IFERROR(ROUND(Backend!$AO117*VLOOKUP($F117,'OH,Profit &amp; Other Base'!$A:$V,Backend!BF$6,0),5),"")</f>
        <v/>
      </c>
      <c r="BG117" s="1" t="str">
        <f>IFERROR(ROUND(Backend!$AM117*VLOOKUP($F117,'OH,Profit &amp; Other Base'!$A:$V,Backend!BG$6,0),5),"")</f>
        <v/>
      </c>
      <c r="BH117" s="1" t="str">
        <f>IFERROR(ROUND(Backend!$AL117*VLOOKUP($F117,'OH,Profit &amp; Other Base'!$A:$V,Backend!BH$6,0),5),"")</f>
        <v/>
      </c>
      <c r="BI117" s="1" t="str">
        <f>IFERROR(ROUND(Backend!$AO117*VLOOKUP($F117,'OH,Profit &amp; Other Base'!$A:$V,Backend!BI$6,0),5),"")</f>
        <v/>
      </c>
      <c r="BJ117" s="1" t="str">
        <f>IFERROR(ROUND(Backend!$AM117*VLOOKUP($F117,'OH,Profit &amp; Other Base'!$A:$V,Backend!BJ$6,0),5),"")</f>
        <v/>
      </c>
      <c r="BK117" s="3">
        <f>SUM(AN117:BJ117,Backend!O117)</f>
        <v>0</v>
      </c>
    </row>
    <row r="118" spans="1:63">
      <c r="A118" s="1">
        <f>BOM!A113</f>
        <v>0</v>
      </c>
      <c r="B118" s="1">
        <f>BOM!B113</f>
        <v>0</v>
      </c>
      <c r="C118" s="1">
        <f>BOM!C113</f>
        <v>0</v>
      </c>
      <c r="D118" s="1">
        <f>BOM!D113</f>
        <v>0</v>
      </c>
      <c r="E118" s="1">
        <f>BOM!F113</f>
        <v>0</v>
      </c>
      <c r="F118" s="1" t="str">
        <f>IF(H118="CSC",BOM!H113,IF(J118="BOFOthers","Sheet Metal-B",""))</f>
        <v/>
      </c>
      <c r="G118" s="1">
        <f>BOM!I113</f>
        <v>0</v>
      </c>
      <c r="H118" s="1">
        <f>BOM!J113</f>
        <v>0</v>
      </c>
      <c r="I118" s="1" t="str">
        <f t="shared" si="7"/>
        <v>Others</v>
      </c>
      <c r="J118" s="1" t="str">
        <f t="shared" si="8"/>
        <v>0Others</v>
      </c>
      <c r="K118" s="3" t="str">
        <f>IF($J118="InhouseCSC",VLOOKUP($D118,Group!$C:$E,3,0),"")</f>
        <v/>
      </c>
      <c r="L118" s="3" t="str">
        <f>IF(OR($J118="BOSFCSC",$J118="BOFCSC"),VLOOKUP($D118,Group!$C:$E,3,0),"")</f>
        <v/>
      </c>
      <c r="M118" s="3" t="str">
        <f>IF(OR($J118="BOSFCSC",$J118="BOFCSC"),VLOOKUP($D118,Group!$C:$F,4,0),"")</f>
        <v/>
      </c>
      <c r="N118" s="3" t="str">
        <f>IF(OR($J118="InhouseCSC",$J118="BOSFCSC"),VLOOKUP($D118,Group!$C:$G,5,0),"")</f>
        <v/>
      </c>
      <c r="O118" s="3" t="str">
        <f>IF($J118="InhouseCSC",ROUND(VLOOKUP($D118,Group!$C:$H,6,0),5),"")</f>
        <v/>
      </c>
      <c r="P118" s="3" t="str">
        <f>IF(OR($J118="BOSFCSC",$J118="BOFCSC"),VLOOKUP($D118,Group!$C:$H,6,0),"")</f>
        <v/>
      </c>
      <c r="Q118" s="1" t="str">
        <f>IF($J118="Inhouseothers",VLOOKUP($D118,Group!$C:$E,3,0),"")</f>
        <v/>
      </c>
      <c r="R118" s="1" t="str">
        <f>IF($J118="BOSFOthers",VLOOKUP($D118,Group!$C:$E,3,0),"")</f>
        <v/>
      </c>
      <c r="S118" s="3" t="str">
        <f>IF($J118="BOFOthers",VLOOKUP($D118,Group!$C:$E,3,0),"")</f>
        <v/>
      </c>
      <c r="U118" s="1" t="str">
        <f>IFERROR(Backend!$L118*VLOOKUP($F118,'OH,Profit &amp; Other Base'!$A:$V,Backend!U$6,0),"")</f>
        <v/>
      </c>
      <c r="V118" s="1" t="str">
        <f>IFERROR(Backend!$M118*VLOOKUP($F118,'OH,Profit &amp; Other Base'!$A:$V,Backend!V$6,0),"")</f>
        <v/>
      </c>
      <c r="W118" s="1" t="str">
        <f>IFERROR(Backend!$L118*VLOOKUP($F118,'OH,Profit &amp; Other Base'!$A:$V,Backend!W$6,0),"")</f>
        <v/>
      </c>
      <c r="X118" s="1" t="str">
        <f>IFERROR(Backend!$M118*VLOOKUP($F118,'OH,Profit &amp; Other Base'!$A:$V,Backend!X$6,0),"")</f>
        <v/>
      </c>
      <c r="Y118" s="1" t="str">
        <f>IFERROR(Backend!$L118*VLOOKUP($F118,'OH,Profit &amp; Other Base'!$A:$V,Backend!Y$6,0),"")</f>
        <v/>
      </c>
      <c r="Z118" s="1" t="str">
        <f>IFERROR(Backend!$M118*VLOOKUP($F118,'OH,Profit &amp; Other Base'!$A:$V,Backend!Z$6,0),"")</f>
        <v/>
      </c>
      <c r="AA118" s="1" t="str">
        <f>IFERROR(Backend!$L118*VLOOKUP($F118,'OH,Profit &amp; Other Base'!$A:$V,Backend!AA$6,0),"")</f>
        <v/>
      </c>
      <c r="AB118" s="1" t="str">
        <f>IFERROR(Backend!$M118*VLOOKUP($F118,'OH,Profit &amp; Other Base'!$A:$V,Backend!AB$6,0),"")</f>
        <v/>
      </c>
      <c r="AC118" s="1" t="str">
        <f>IFERROR(Backend!$L118*VLOOKUP($F118,'OH,Profit &amp; Other Base'!$A:$V,Backend!AC$6,0),"")</f>
        <v/>
      </c>
      <c r="AD118" s="1" t="str">
        <f>IFERROR(Backend!$M118*VLOOKUP($F118,'OH,Profit &amp; Other Base'!$A:$V,Backend!AD$6,0),"")</f>
        <v/>
      </c>
      <c r="AE118" s="1" t="str">
        <f>IFERROR(Backend!$L118*VLOOKUP($F118,'OH,Profit &amp; Other Base'!$A:$V,Backend!AE$6,0),"")</f>
        <v/>
      </c>
      <c r="AF118" s="1" t="str">
        <f>IFERROR(Backend!$M118*VLOOKUP($F118,'OH,Profit &amp; Other Base'!$A:$V,Backend!AF$6,0),"")</f>
        <v/>
      </c>
      <c r="AG118" s="1" t="str">
        <f>IFERROR(Backend!$L118*VLOOKUP($F118,'OH,Profit &amp; Other Base'!$A:$V,Backend!AG$6,0),"")</f>
        <v/>
      </c>
      <c r="AH118" s="1" t="str">
        <f>IFERROR(Backend!$M118*VLOOKUP($F118,'OH,Profit &amp; Other Base'!$A:$V,Backend!AH$6,0),"")</f>
        <v/>
      </c>
      <c r="AI118" s="3">
        <f t="shared" si="9"/>
        <v>0</v>
      </c>
      <c r="AL118" s="1" t="str">
        <f t="shared" si="10"/>
        <v/>
      </c>
      <c r="AM118" s="1" t="str">
        <f t="shared" si="11"/>
        <v/>
      </c>
      <c r="AN118" s="1" t="str">
        <f t="shared" si="12"/>
        <v/>
      </c>
      <c r="AO118" s="1" t="str">
        <f t="shared" si="13"/>
        <v/>
      </c>
      <c r="AP118" s="1" t="str">
        <f>IFERROR(ROUND(Backend!$AL118*VLOOKUP($F118,'OH,Profit &amp; Other Base'!$A:$V,Backend!AP$6,0),5),"")</f>
        <v/>
      </c>
      <c r="AQ118" s="1" t="str">
        <f>IFERROR(ROUND(Backend!$AO118*VLOOKUP($F118,'OH,Profit &amp; Other Base'!$A:$V,Backend!AQ$6,0),5),"")</f>
        <v/>
      </c>
      <c r="AR118" s="1" t="str">
        <f>IFERROR(ROUND(Backend!$AM118*VLOOKUP($F118,'OH,Profit &amp; Other Base'!$A:$V,Backend!AR$6,0),5),"")</f>
        <v/>
      </c>
      <c r="AS118" s="1" t="str">
        <f>IFERROR(ROUND(Backend!$AL118*VLOOKUP($F118,'OH,Profit &amp; Other Base'!$A:$V,Backend!AS$6,0),5),"")</f>
        <v/>
      </c>
      <c r="AT118" s="1" t="str">
        <f>IFERROR(ROUND(Backend!$AO118*VLOOKUP($F118,'OH,Profit &amp; Other Base'!$A:$V,Backend!AT$6,0),5),"")</f>
        <v/>
      </c>
      <c r="AU118" s="1" t="str">
        <f>IFERROR(ROUND(Backend!$AM118*VLOOKUP($F118,'OH,Profit &amp; Other Base'!$A:$V,Backend!AU$6,0),5),"")</f>
        <v/>
      </c>
      <c r="AV118" s="1" t="str">
        <f>IFERROR(ROUND(Backend!$AL118*VLOOKUP($F118,'OH,Profit &amp; Other Base'!$A:$V,Backend!AV$6,0),5),"")</f>
        <v/>
      </c>
      <c r="AW118" s="1" t="str">
        <f>IFERROR(ROUND(Backend!$AO118*VLOOKUP($F118,'OH,Profit &amp; Other Base'!$A:$V,Backend!AW$6,0),5),"")</f>
        <v/>
      </c>
      <c r="AX118" s="1" t="str">
        <f>IFERROR(ROUND(Backend!$AM118*VLOOKUP($F118,'OH,Profit &amp; Other Base'!$A:$V,Backend!AX$6,0),5),"")</f>
        <v/>
      </c>
      <c r="AY118" s="1" t="str">
        <f>IFERROR(ROUND(Backend!$AL118*VLOOKUP($F118,'OH,Profit &amp; Other Base'!$A:$V,Backend!AY$6,0),5),"")</f>
        <v/>
      </c>
      <c r="AZ118" s="1" t="str">
        <f>IFERROR(ROUND(Backend!$AO118*VLOOKUP($F118,'OH,Profit &amp; Other Base'!$A:$V,Backend!AZ$6,0),5),"")</f>
        <v/>
      </c>
      <c r="BA118" s="1" t="str">
        <f>IFERROR(ROUND(Backend!$AM118*VLOOKUP($F118,'OH,Profit &amp; Other Base'!$A:$V,Backend!BA$6,0),5),"")</f>
        <v/>
      </c>
      <c r="BB118" s="1" t="str">
        <f>IFERROR(ROUND(Backend!$AL118*VLOOKUP($F118,'OH,Profit &amp; Other Base'!$A:$V,Backend!BB$6,0),5),"")</f>
        <v/>
      </c>
      <c r="BC118" s="1" t="str">
        <f>IFERROR(ROUND(Backend!$AO118*VLOOKUP($F118,'OH,Profit &amp; Other Base'!$A:$V,Backend!BC$6,0),5),"")</f>
        <v/>
      </c>
      <c r="BD118" s="1" t="str">
        <f>IFERROR(ROUND(Backend!$AM118*VLOOKUP($F118,'OH,Profit &amp; Other Base'!$A:$V,Backend!BD$6,0),5),"")</f>
        <v/>
      </c>
      <c r="BE118" s="1" t="str">
        <f>IFERROR(ROUND(Backend!$AL118*VLOOKUP($F118,'OH,Profit &amp; Other Base'!$A:$V,Backend!BE$6,0),5),"")</f>
        <v/>
      </c>
      <c r="BF118" s="1" t="str">
        <f>IFERROR(ROUND(Backend!$AO118*VLOOKUP($F118,'OH,Profit &amp; Other Base'!$A:$V,Backend!BF$6,0),5),"")</f>
        <v/>
      </c>
      <c r="BG118" s="1" t="str">
        <f>IFERROR(ROUND(Backend!$AM118*VLOOKUP($F118,'OH,Profit &amp; Other Base'!$A:$V,Backend!BG$6,0),5),"")</f>
        <v/>
      </c>
      <c r="BH118" s="1" t="str">
        <f>IFERROR(ROUND(Backend!$AL118*VLOOKUP($F118,'OH,Profit &amp; Other Base'!$A:$V,Backend!BH$6,0),5),"")</f>
        <v/>
      </c>
      <c r="BI118" s="1" t="str">
        <f>IFERROR(ROUND(Backend!$AO118*VLOOKUP($F118,'OH,Profit &amp; Other Base'!$A:$V,Backend!BI$6,0),5),"")</f>
        <v/>
      </c>
      <c r="BJ118" s="1" t="str">
        <f>IFERROR(ROUND(Backend!$AM118*VLOOKUP($F118,'OH,Profit &amp; Other Base'!$A:$V,Backend!BJ$6,0),5),"")</f>
        <v/>
      </c>
      <c r="BK118" s="3">
        <f>SUM(AN118:BJ118,Backend!O118)</f>
        <v>0</v>
      </c>
    </row>
    <row r="119" spans="1:63">
      <c r="A119" s="1">
        <f>BOM!A114</f>
        <v>0</v>
      </c>
      <c r="B119" s="1">
        <f>BOM!B114</f>
        <v>0</v>
      </c>
      <c r="C119" s="1">
        <f>BOM!C114</f>
        <v>0</v>
      </c>
      <c r="D119" s="1">
        <f>BOM!D114</f>
        <v>0</v>
      </c>
      <c r="E119" s="1">
        <f>BOM!F114</f>
        <v>0</v>
      </c>
      <c r="F119" s="1" t="str">
        <f>IF(H119="CSC",BOM!H114,IF(J119="BOFOthers","Sheet Metal-B",""))</f>
        <v/>
      </c>
      <c r="G119" s="1">
        <f>BOM!I114</f>
        <v>0</v>
      </c>
      <c r="H119" s="1">
        <f>BOM!J114</f>
        <v>0</v>
      </c>
      <c r="I119" s="1" t="str">
        <f t="shared" si="7"/>
        <v>Others</v>
      </c>
      <c r="J119" s="1" t="str">
        <f t="shared" si="8"/>
        <v>0Others</v>
      </c>
      <c r="K119" s="3" t="str">
        <f>IF($J119="InhouseCSC",VLOOKUP($D119,Group!$C:$E,3,0),"")</f>
        <v/>
      </c>
      <c r="L119" s="3" t="str">
        <f>IF(OR($J119="BOSFCSC",$J119="BOFCSC"),VLOOKUP($D119,Group!$C:$E,3,0),"")</f>
        <v/>
      </c>
      <c r="M119" s="3" t="str">
        <f>IF(OR($J119="BOSFCSC",$J119="BOFCSC"),VLOOKUP($D119,Group!$C:$F,4,0),"")</f>
        <v/>
      </c>
      <c r="N119" s="3" t="str">
        <f>IF(OR($J119="InhouseCSC",$J119="BOSFCSC"),VLOOKUP($D119,Group!$C:$G,5,0),"")</f>
        <v/>
      </c>
      <c r="O119" s="3" t="str">
        <f>IF($J119="InhouseCSC",ROUND(VLOOKUP($D119,Group!$C:$H,6,0),5),"")</f>
        <v/>
      </c>
      <c r="P119" s="3" t="str">
        <f>IF(OR($J119="BOSFCSC",$J119="BOFCSC"),VLOOKUP($D119,Group!$C:$H,6,0),"")</f>
        <v/>
      </c>
      <c r="Q119" s="1" t="str">
        <f>IF($J119="Inhouseothers",VLOOKUP($D119,Group!$C:$E,3,0),"")</f>
        <v/>
      </c>
      <c r="R119" s="1" t="str">
        <f>IF($J119="BOSFOthers",VLOOKUP($D119,Group!$C:$E,3,0),"")</f>
        <v/>
      </c>
      <c r="S119" s="3" t="str">
        <f>IF($J119="BOFOthers",VLOOKUP($D119,Group!$C:$E,3,0),"")</f>
        <v/>
      </c>
      <c r="U119" s="1" t="str">
        <f>IFERROR(Backend!$L119*VLOOKUP($F119,'OH,Profit &amp; Other Base'!$A:$V,Backend!U$6,0),"")</f>
        <v/>
      </c>
      <c r="V119" s="1" t="str">
        <f>IFERROR(Backend!$M119*VLOOKUP($F119,'OH,Profit &amp; Other Base'!$A:$V,Backend!V$6,0),"")</f>
        <v/>
      </c>
      <c r="W119" s="1" t="str">
        <f>IFERROR(Backend!$L119*VLOOKUP($F119,'OH,Profit &amp; Other Base'!$A:$V,Backend!W$6,0),"")</f>
        <v/>
      </c>
      <c r="X119" s="1" t="str">
        <f>IFERROR(Backend!$M119*VLOOKUP($F119,'OH,Profit &amp; Other Base'!$A:$V,Backend!X$6,0),"")</f>
        <v/>
      </c>
      <c r="Y119" s="1" t="str">
        <f>IFERROR(Backend!$L119*VLOOKUP($F119,'OH,Profit &amp; Other Base'!$A:$V,Backend!Y$6,0),"")</f>
        <v/>
      </c>
      <c r="Z119" s="1" t="str">
        <f>IFERROR(Backend!$M119*VLOOKUP($F119,'OH,Profit &amp; Other Base'!$A:$V,Backend!Z$6,0),"")</f>
        <v/>
      </c>
      <c r="AA119" s="1" t="str">
        <f>IFERROR(Backend!$L119*VLOOKUP($F119,'OH,Profit &amp; Other Base'!$A:$V,Backend!AA$6,0),"")</f>
        <v/>
      </c>
      <c r="AB119" s="1" t="str">
        <f>IFERROR(Backend!$M119*VLOOKUP($F119,'OH,Profit &amp; Other Base'!$A:$V,Backend!AB$6,0),"")</f>
        <v/>
      </c>
      <c r="AC119" s="1" t="str">
        <f>IFERROR(Backend!$L119*VLOOKUP($F119,'OH,Profit &amp; Other Base'!$A:$V,Backend!AC$6,0),"")</f>
        <v/>
      </c>
      <c r="AD119" s="1" t="str">
        <f>IFERROR(Backend!$M119*VLOOKUP($F119,'OH,Profit &amp; Other Base'!$A:$V,Backend!AD$6,0),"")</f>
        <v/>
      </c>
      <c r="AE119" s="1" t="str">
        <f>IFERROR(Backend!$L119*VLOOKUP($F119,'OH,Profit &amp; Other Base'!$A:$V,Backend!AE$6,0),"")</f>
        <v/>
      </c>
      <c r="AF119" s="1" t="str">
        <f>IFERROR(Backend!$M119*VLOOKUP($F119,'OH,Profit &amp; Other Base'!$A:$V,Backend!AF$6,0),"")</f>
        <v/>
      </c>
      <c r="AG119" s="1" t="str">
        <f>IFERROR(Backend!$L119*VLOOKUP($F119,'OH,Profit &amp; Other Base'!$A:$V,Backend!AG$6,0),"")</f>
        <v/>
      </c>
      <c r="AH119" s="1" t="str">
        <f>IFERROR(Backend!$M119*VLOOKUP($F119,'OH,Profit &amp; Other Base'!$A:$V,Backend!AH$6,0),"")</f>
        <v/>
      </c>
      <c r="AI119" s="3">
        <f t="shared" si="9"/>
        <v>0</v>
      </c>
      <c r="AL119" s="1" t="str">
        <f t="shared" si="10"/>
        <v/>
      </c>
      <c r="AM119" s="1" t="str">
        <f t="shared" si="11"/>
        <v/>
      </c>
      <c r="AN119" s="1" t="str">
        <f t="shared" si="12"/>
        <v/>
      </c>
      <c r="AO119" s="1" t="str">
        <f t="shared" si="13"/>
        <v/>
      </c>
      <c r="AP119" s="1" t="str">
        <f>IFERROR(ROUND(Backend!$AL119*VLOOKUP($F119,'OH,Profit &amp; Other Base'!$A:$V,Backend!AP$6,0),5),"")</f>
        <v/>
      </c>
      <c r="AQ119" s="1" t="str">
        <f>IFERROR(ROUND(Backend!$AO119*VLOOKUP($F119,'OH,Profit &amp; Other Base'!$A:$V,Backend!AQ$6,0),5),"")</f>
        <v/>
      </c>
      <c r="AR119" s="1" t="str">
        <f>IFERROR(ROUND(Backend!$AM119*VLOOKUP($F119,'OH,Profit &amp; Other Base'!$A:$V,Backend!AR$6,0),5),"")</f>
        <v/>
      </c>
      <c r="AS119" s="1" t="str">
        <f>IFERROR(ROUND(Backend!$AL119*VLOOKUP($F119,'OH,Profit &amp; Other Base'!$A:$V,Backend!AS$6,0),5),"")</f>
        <v/>
      </c>
      <c r="AT119" s="1" t="str">
        <f>IFERROR(ROUND(Backend!$AO119*VLOOKUP($F119,'OH,Profit &amp; Other Base'!$A:$V,Backend!AT$6,0),5),"")</f>
        <v/>
      </c>
      <c r="AU119" s="1" t="str">
        <f>IFERROR(ROUND(Backend!$AM119*VLOOKUP($F119,'OH,Profit &amp; Other Base'!$A:$V,Backend!AU$6,0),5),"")</f>
        <v/>
      </c>
      <c r="AV119" s="1" t="str">
        <f>IFERROR(ROUND(Backend!$AL119*VLOOKUP($F119,'OH,Profit &amp; Other Base'!$A:$V,Backend!AV$6,0),5),"")</f>
        <v/>
      </c>
      <c r="AW119" s="1" t="str">
        <f>IFERROR(ROUND(Backend!$AO119*VLOOKUP($F119,'OH,Profit &amp; Other Base'!$A:$V,Backend!AW$6,0),5),"")</f>
        <v/>
      </c>
      <c r="AX119" s="1" t="str">
        <f>IFERROR(ROUND(Backend!$AM119*VLOOKUP($F119,'OH,Profit &amp; Other Base'!$A:$V,Backend!AX$6,0),5),"")</f>
        <v/>
      </c>
      <c r="AY119" s="1" t="str">
        <f>IFERROR(ROUND(Backend!$AL119*VLOOKUP($F119,'OH,Profit &amp; Other Base'!$A:$V,Backend!AY$6,0),5),"")</f>
        <v/>
      </c>
      <c r="AZ119" s="1" t="str">
        <f>IFERROR(ROUND(Backend!$AO119*VLOOKUP($F119,'OH,Profit &amp; Other Base'!$A:$V,Backend!AZ$6,0),5),"")</f>
        <v/>
      </c>
      <c r="BA119" s="1" t="str">
        <f>IFERROR(ROUND(Backend!$AM119*VLOOKUP($F119,'OH,Profit &amp; Other Base'!$A:$V,Backend!BA$6,0),5),"")</f>
        <v/>
      </c>
      <c r="BB119" s="1" t="str">
        <f>IFERROR(ROUND(Backend!$AL119*VLOOKUP($F119,'OH,Profit &amp; Other Base'!$A:$V,Backend!BB$6,0),5),"")</f>
        <v/>
      </c>
      <c r="BC119" s="1" t="str">
        <f>IFERROR(ROUND(Backend!$AO119*VLOOKUP($F119,'OH,Profit &amp; Other Base'!$A:$V,Backend!BC$6,0),5),"")</f>
        <v/>
      </c>
      <c r="BD119" s="1" t="str">
        <f>IFERROR(ROUND(Backend!$AM119*VLOOKUP($F119,'OH,Profit &amp; Other Base'!$A:$V,Backend!BD$6,0),5),"")</f>
        <v/>
      </c>
      <c r="BE119" s="1" t="str">
        <f>IFERROR(ROUND(Backend!$AL119*VLOOKUP($F119,'OH,Profit &amp; Other Base'!$A:$V,Backend!BE$6,0),5),"")</f>
        <v/>
      </c>
      <c r="BF119" s="1" t="str">
        <f>IFERROR(ROUND(Backend!$AO119*VLOOKUP($F119,'OH,Profit &amp; Other Base'!$A:$V,Backend!BF$6,0),5),"")</f>
        <v/>
      </c>
      <c r="BG119" s="1" t="str">
        <f>IFERROR(ROUND(Backend!$AM119*VLOOKUP($F119,'OH,Profit &amp; Other Base'!$A:$V,Backend!BG$6,0),5),"")</f>
        <v/>
      </c>
      <c r="BH119" s="1" t="str">
        <f>IFERROR(ROUND(Backend!$AL119*VLOOKUP($F119,'OH,Profit &amp; Other Base'!$A:$V,Backend!BH$6,0),5),"")</f>
        <v/>
      </c>
      <c r="BI119" s="1" t="str">
        <f>IFERROR(ROUND(Backend!$AO119*VLOOKUP($F119,'OH,Profit &amp; Other Base'!$A:$V,Backend!BI$6,0),5),"")</f>
        <v/>
      </c>
      <c r="BJ119" s="1" t="str">
        <f>IFERROR(ROUND(Backend!$AM119*VLOOKUP($F119,'OH,Profit &amp; Other Base'!$A:$V,Backend!BJ$6,0),5),"")</f>
        <v/>
      </c>
      <c r="BK119" s="3">
        <f>SUM(AN119:BJ119,Backend!O119)</f>
        <v>0</v>
      </c>
    </row>
    <row r="120" spans="1:63">
      <c r="A120" s="1">
        <f>BOM!A115</f>
        <v>0</v>
      </c>
      <c r="B120" s="1">
        <f>BOM!B115</f>
        <v>0</v>
      </c>
      <c r="C120" s="1">
        <f>BOM!C115</f>
        <v>0</v>
      </c>
      <c r="D120" s="1">
        <f>BOM!D115</f>
        <v>0</v>
      </c>
      <c r="E120" s="1">
        <f>BOM!F115</f>
        <v>0</v>
      </c>
      <c r="F120" s="1" t="str">
        <f>IF(H120="CSC",BOM!H115,IF(J120="BOFOthers","Sheet Metal-B",""))</f>
        <v/>
      </c>
      <c r="G120" s="1">
        <f>BOM!I115</f>
        <v>0</v>
      </c>
      <c r="H120" s="1">
        <f>BOM!J115</f>
        <v>0</v>
      </c>
      <c r="I120" s="1" t="str">
        <f t="shared" si="7"/>
        <v>Others</v>
      </c>
      <c r="J120" s="1" t="str">
        <f t="shared" si="8"/>
        <v>0Others</v>
      </c>
      <c r="K120" s="3" t="str">
        <f>IF($J120="InhouseCSC",VLOOKUP($D120,Group!$C:$E,3,0),"")</f>
        <v/>
      </c>
      <c r="L120" s="3" t="str">
        <f>IF(OR($J120="BOSFCSC",$J120="BOFCSC"),VLOOKUP($D120,Group!$C:$E,3,0),"")</f>
        <v/>
      </c>
      <c r="M120" s="3" t="str">
        <f>IF(OR($J120="BOSFCSC",$J120="BOFCSC"),VLOOKUP($D120,Group!$C:$F,4,0),"")</f>
        <v/>
      </c>
      <c r="N120" s="3" t="str">
        <f>IF(OR($J120="InhouseCSC",$J120="BOSFCSC"),VLOOKUP($D120,Group!$C:$G,5,0),"")</f>
        <v/>
      </c>
      <c r="O120" s="3" t="str">
        <f>IF($J120="InhouseCSC",ROUND(VLOOKUP($D120,Group!$C:$H,6,0),5),"")</f>
        <v/>
      </c>
      <c r="P120" s="3" t="str">
        <f>IF(OR($J120="BOSFCSC",$J120="BOFCSC"),VLOOKUP($D120,Group!$C:$H,6,0),"")</f>
        <v/>
      </c>
      <c r="Q120" s="1" t="str">
        <f>IF($J120="Inhouseothers",VLOOKUP($D120,Group!$C:$E,3,0),"")</f>
        <v/>
      </c>
      <c r="R120" s="1" t="str">
        <f>IF($J120="BOSFOthers",VLOOKUP($D120,Group!$C:$E,3,0),"")</f>
        <v/>
      </c>
      <c r="S120" s="3" t="str">
        <f>IF($J120="BOFOthers",VLOOKUP($D120,Group!$C:$E,3,0),"")</f>
        <v/>
      </c>
      <c r="U120" s="1" t="str">
        <f>IFERROR(Backend!$L120*VLOOKUP($F120,'OH,Profit &amp; Other Base'!$A:$V,Backend!U$6,0),"")</f>
        <v/>
      </c>
      <c r="V120" s="1" t="str">
        <f>IFERROR(Backend!$M120*VLOOKUP($F120,'OH,Profit &amp; Other Base'!$A:$V,Backend!V$6,0),"")</f>
        <v/>
      </c>
      <c r="W120" s="1" t="str">
        <f>IFERROR(Backend!$L120*VLOOKUP($F120,'OH,Profit &amp; Other Base'!$A:$V,Backend!W$6,0),"")</f>
        <v/>
      </c>
      <c r="X120" s="1" t="str">
        <f>IFERROR(Backend!$M120*VLOOKUP($F120,'OH,Profit &amp; Other Base'!$A:$V,Backend!X$6,0),"")</f>
        <v/>
      </c>
      <c r="Y120" s="1" t="str">
        <f>IFERROR(Backend!$L120*VLOOKUP($F120,'OH,Profit &amp; Other Base'!$A:$V,Backend!Y$6,0),"")</f>
        <v/>
      </c>
      <c r="Z120" s="1" t="str">
        <f>IFERROR(Backend!$M120*VLOOKUP($F120,'OH,Profit &amp; Other Base'!$A:$V,Backend!Z$6,0),"")</f>
        <v/>
      </c>
      <c r="AA120" s="1" t="str">
        <f>IFERROR(Backend!$L120*VLOOKUP($F120,'OH,Profit &amp; Other Base'!$A:$V,Backend!AA$6,0),"")</f>
        <v/>
      </c>
      <c r="AB120" s="1" t="str">
        <f>IFERROR(Backend!$M120*VLOOKUP($F120,'OH,Profit &amp; Other Base'!$A:$V,Backend!AB$6,0),"")</f>
        <v/>
      </c>
      <c r="AC120" s="1" t="str">
        <f>IFERROR(Backend!$L120*VLOOKUP($F120,'OH,Profit &amp; Other Base'!$A:$V,Backend!AC$6,0),"")</f>
        <v/>
      </c>
      <c r="AD120" s="1" t="str">
        <f>IFERROR(Backend!$M120*VLOOKUP($F120,'OH,Profit &amp; Other Base'!$A:$V,Backend!AD$6,0),"")</f>
        <v/>
      </c>
      <c r="AE120" s="1" t="str">
        <f>IFERROR(Backend!$L120*VLOOKUP($F120,'OH,Profit &amp; Other Base'!$A:$V,Backend!AE$6,0),"")</f>
        <v/>
      </c>
      <c r="AF120" s="1" t="str">
        <f>IFERROR(Backend!$M120*VLOOKUP($F120,'OH,Profit &amp; Other Base'!$A:$V,Backend!AF$6,0),"")</f>
        <v/>
      </c>
      <c r="AG120" s="1" t="str">
        <f>IFERROR(Backend!$L120*VLOOKUP($F120,'OH,Profit &amp; Other Base'!$A:$V,Backend!AG$6,0),"")</f>
        <v/>
      </c>
      <c r="AH120" s="1" t="str">
        <f>IFERROR(Backend!$M120*VLOOKUP($F120,'OH,Profit &amp; Other Base'!$A:$V,Backend!AH$6,0),"")</f>
        <v/>
      </c>
      <c r="AI120" s="3">
        <f t="shared" si="9"/>
        <v>0</v>
      </c>
      <c r="AL120" s="1" t="str">
        <f t="shared" si="10"/>
        <v/>
      </c>
      <c r="AM120" s="1" t="str">
        <f t="shared" si="11"/>
        <v/>
      </c>
      <c r="AN120" s="1" t="str">
        <f t="shared" si="12"/>
        <v/>
      </c>
      <c r="AO120" s="1" t="str">
        <f t="shared" si="13"/>
        <v/>
      </c>
      <c r="AP120" s="1" t="str">
        <f>IFERROR(ROUND(Backend!$AL120*VLOOKUP($F120,'OH,Profit &amp; Other Base'!$A:$V,Backend!AP$6,0),5),"")</f>
        <v/>
      </c>
      <c r="AQ120" s="1" t="str">
        <f>IFERROR(ROUND(Backend!$AO120*VLOOKUP($F120,'OH,Profit &amp; Other Base'!$A:$V,Backend!AQ$6,0),5),"")</f>
        <v/>
      </c>
      <c r="AR120" s="1" t="str">
        <f>IFERROR(ROUND(Backend!$AM120*VLOOKUP($F120,'OH,Profit &amp; Other Base'!$A:$V,Backend!AR$6,0),5),"")</f>
        <v/>
      </c>
      <c r="AS120" s="1" t="str">
        <f>IFERROR(ROUND(Backend!$AL120*VLOOKUP($F120,'OH,Profit &amp; Other Base'!$A:$V,Backend!AS$6,0),5),"")</f>
        <v/>
      </c>
      <c r="AT120" s="1" t="str">
        <f>IFERROR(ROUND(Backend!$AO120*VLOOKUP($F120,'OH,Profit &amp; Other Base'!$A:$V,Backend!AT$6,0),5),"")</f>
        <v/>
      </c>
      <c r="AU120" s="1" t="str">
        <f>IFERROR(ROUND(Backend!$AM120*VLOOKUP($F120,'OH,Profit &amp; Other Base'!$A:$V,Backend!AU$6,0),5),"")</f>
        <v/>
      </c>
      <c r="AV120" s="1" t="str">
        <f>IFERROR(ROUND(Backend!$AL120*VLOOKUP($F120,'OH,Profit &amp; Other Base'!$A:$V,Backend!AV$6,0),5),"")</f>
        <v/>
      </c>
      <c r="AW120" s="1" t="str">
        <f>IFERROR(ROUND(Backend!$AO120*VLOOKUP($F120,'OH,Profit &amp; Other Base'!$A:$V,Backend!AW$6,0),5),"")</f>
        <v/>
      </c>
      <c r="AX120" s="1" t="str">
        <f>IFERROR(ROUND(Backend!$AM120*VLOOKUP($F120,'OH,Profit &amp; Other Base'!$A:$V,Backend!AX$6,0),5),"")</f>
        <v/>
      </c>
      <c r="AY120" s="1" t="str">
        <f>IFERROR(ROUND(Backend!$AL120*VLOOKUP($F120,'OH,Profit &amp; Other Base'!$A:$V,Backend!AY$6,0),5),"")</f>
        <v/>
      </c>
      <c r="AZ120" s="1" t="str">
        <f>IFERROR(ROUND(Backend!$AO120*VLOOKUP($F120,'OH,Profit &amp; Other Base'!$A:$V,Backend!AZ$6,0),5),"")</f>
        <v/>
      </c>
      <c r="BA120" s="1" t="str">
        <f>IFERROR(ROUND(Backend!$AM120*VLOOKUP($F120,'OH,Profit &amp; Other Base'!$A:$V,Backend!BA$6,0),5),"")</f>
        <v/>
      </c>
      <c r="BB120" s="1" t="str">
        <f>IFERROR(ROUND(Backend!$AL120*VLOOKUP($F120,'OH,Profit &amp; Other Base'!$A:$V,Backend!BB$6,0),5),"")</f>
        <v/>
      </c>
      <c r="BC120" s="1" t="str">
        <f>IFERROR(ROUND(Backend!$AO120*VLOOKUP($F120,'OH,Profit &amp; Other Base'!$A:$V,Backend!BC$6,0),5),"")</f>
        <v/>
      </c>
      <c r="BD120" s="1" t="str">
        <f>IFERROR(ROUND(Backend!$AM120*VLOOKUP($F120,'OH,Profit &amp; Other Base'!$A:$V,Backend!BD$6,0),5),"")</f>
        <v/>
      </c>
      <c r="BE120" s="1" t="str">
        <f>IFERROR(ROUND(Backend!$AL120*VLOOKUP($F120,'OH,Profit &amp; Other Base'!$A:$V,Backend!BE$6,0),5),"")</f>
        <v/>
      </c>
      <c r="BF120" s="1" t="str">
        <f>IFERROR(ROUND(Backend!$AO120*VLOOKUP($F120,'OH,Profit &amp; Other Base'!$A:$V,Backend!BF$6,0),5),"")</f>
        <v/>
      </c>
      <c r="BG120" s="1" t="str">
        <f>IFERROR(ROUND(Backend!$AM120*VLOOKUP($F120,'OH,Profit &amp; Other Base'!$A:$V,Backend!BG$6,0),5),"")</f>
        <v/>
      </c>
      <c r="BH120" s="1" t="str">
        <f>IFERROR(ROUND(Backend!$AL120*VLOOKUP($F120,'OH,Profit &amp; Other Base'!$A:$V,Backend!BH$6,0),5),"")</f>
        <v/>
      </c>
      <c r="BI120" s="1" t="str">
        <f>IFERROR(ROUND(Backend!$AO120*VLOOKUP($F120,'OH,Profit &amp; Other Base'!$A:$V,Backend!BI$6,0),5),"")</f>
        <v/>
      </c>
      <c r="BJ120" s="1" t="str">
        <f>IFERROR(ROUND(Backend!$AM120*VLOOKUP($F120,'OH,Profit &amp; Other Base'!$A:$V,Backend!BJ$6,0),5),"")</f>
        <v/>
      </c>
      <c r="BK120" s="3">
        <f>SUM(AN120:BJ120,Backend!O120)</f>
        <v>0</v>
      </c>
    </row>
    <row r="121" spans="1:63">
      <c r="A121" s="1">
        <f>BOM!A116</f>
        <v>0</v>
      </c>
      <c r="B121" s="1">
        <f>BOM!B116</f>
        <v>0</v>
      </c>
      <c r="C121" s="1">
        <f>BOM!C116</f>
        <v>0</v>
      </c>
      <c r="D121" s="1">
        <f>BOM!D116</f>
        <v>0</v>
      </c>
      <c r="E121" s="1">
        <f>BOM!F116</f>
        <v>0</v>
      </c>
      <c r="F121" s="1" t="str">
        <f>IF(H121="CSC",BOM!H116,IF(J121="BOFOthers","Sheet Metal-B",""))</f>
        <v/>
      </c>
      <c r="G121" s="1">
        <f>BOM!I116</f>
        <v>0</v>
      </c>
      <c r="H121" s="1">
        <f>BOM!J116</f>
        <v>0</v>
      </c>
      <c r="I121" s="1" t="str">
        <f t="shared" si="7"/>
        <v>Others</v>
      </c>
      <c r="J121" s="1" t="str">
        <f t="shared" si="8"/>
        <v>0Others</v>
      </c>
      <c r="K121" s="3" t="str">
        <f>IF($J121="InhouseCSC",VLOOKUP($D121,Group!$C:$E,3,0),"")</f>
        <v/>
      </c>
      <c r="L121" s="3" t="str">
        <f>IF(OR($J121="BOSFCSC",$J121="BOFCSC"),VLOOKUP($D121,Group!$C:$E,3,0),"")</f>
        <v/>
      </c>
      <c r="M121" s="3" t="str">
        <f>IF(OR($J121="BOSFCSC",$J121="BOFCSC"),VLOOKUP($D121,Group!$C:$F,4,0),"")</f>
        <v/>
      </c>
      <c r="N121" s="3" t="str">
        <f>IF(OR($J121="InhouseCSC",$J121="BOSFCSC"),VLOOKUP($D121,Group!$C:$G,5,0),"")</f>
        <v/>
      </c>
      <c r="O121" s="3" t="str">
        <f>IF($J121="InhouseCSC",ROUND(VLOOKUP($D121,Group!$C:$H,6,0),5),"")</f>
        <v/>
      </c>
      <c r="P121" s="3" t="str">
        <f>IF(OR($J121="BOSFCSC",$J121="BOFCSC"),VLOOKUP($D121,Group!$C:$H,6,0),"")</f>
        <v/>
      </c>
      <c r="Q121" s="1" t="str">
        <f>IF($J121="Inhouseothers",VLOOKUP($D121,Group!$C:$E,3,0),"")</f>
        <v/>
      </c>
      <c r="R121" s="1" t="str">
        <f>IF($J121="BOSFOthers",VLOOKUP($D121,Group!$C:$E,3,0),"")</f>
        <v/>
      </c>
      <c r="S121" s="3" t="str">
        <f>IF($J121="BOFOthers",VLOOKUP($D121,Group!$C:$E,3,0),"")</f>
        <v/>
      </c>
      <c r="U121" s="1" t="str">
        <f>IFERROR(Backend!$L121*VLOOKUP($F121,'OH,Profit &amp; Other Base'!$A:$V,Backend!U$6,0),"")</f>
        <v/>
      </c>
      <c r="V121" s="1" t="str">
        <f>IFERROR(Backend!$M121*VLOOKUP($F121,'OH,Profit &amp; Other Base'!$A:$V,Backend!V$6,0),"")</f>
        <v/>
      </c>
      <c r="W121" s="1" t="str">
        <f>IFERROR(Backend!$L121*VLOOKUP($F121,'OH,Profit &amp; Other Base'!$A:$V,Backend!W$6,0),"")</f>
        <v/>
      </c>
      <c r="X121" s="1" t="str">
        <f>IFERROR(Backend!$M121*VLOOKUP($F121,'OH,Profit &amp; Other Base'!$A:$V,Backend!X$6,0),"")</f>
        <v/>
      </c>
      <c r="Y121" s="1" t="str">
        <f>IFERROR(Backend!$L121*VLOOKUP($F121,'OH,Profit &amp; Other Base'!$A:$V,Backend!Y$6,0),"")</f>
        <v/>
      </c>
      <c r="Z121" s="1" t="str">
        <f>IFERROR(Backend!$M121*VLOOKUP($F121,'OH,Profit &amp; Other Base'!$A:$V,Backend!Z$6,0),"")</f>
        <v/>
      </c>
      <c r="AA121" s="1" t="str">
        <f>IFERROR(Backend!$L121*VLOOKUP($F121,'OH,Profit &amp; Other Base'!$A:$V,Backend!AA$6,0),"")</f>
        <v/>
      </c>
      <c r="AB121" s="1" t="str">
        <f>IFERROR(Backend!$M121*VLOOKUP($F121,'OH,Profit &amp; Other Base'!$A:$V,Backend!AB$6,0),"")</f>
        <v/>
      </c>
      <c r="AC121" s="1" t="str">
        <f>IFERROR(Backend!$L121*VLOOKUP($F121,'OH,Profit &amp; Other Base'!$A:$V,Backend!AC$6,0),"")</f>
        <v/>
      </c>
      <c r="AD121" s="1" t="str">
        <f>IFERROR(Backend!$M121*VLOOKUP($F121,'OH,Profit &amp; Other Base'!$A:$V,Backend!AD$6,0),"")</f>
        <v/>
      </c>
      <c r="AE121" s="1" t="str">
        <f>IFERROR(Backend!$L121*VLOOKUP($F121,'OH,Profit &amp; Other Base'!$A:$V,Backend!AE$6,0),"")</f>
        <v/>
      </c>
      <c r="AF121" s="1" t="str">
        <f>IFERROR(Backend!$M121*VLOOKUP($F121,'OH,Profit &amp; Other Base'!$A:$V,Backend!AF$6,0),"")</f>
        <v/>
      </c>
      <c r="AG121" s="1" t="str">
        <f>IFERROR(Backend!$L121*VLOOKUP($F121,'OH,Profit &amp; Other Base'!$A:$V,Backend!AG$6,0),"")</f>
        <v/>
      </c>
      <c r="AH121" s="1" t="str">
        <f>IFERROR(Backend!$M121*VLOOKUP($F121,'OH,Profit &amp; Other Base'!$A:$V,Backend!AH$6,0),"")</f>
        <v/>
      </c>
      <c r="AI121" s="3">
        <f t="shared" si="9"/>
        <v>0</v>
      </c>
      <c r="AL121" s="1" t="str">
        <f t="shared" si="10"/>
        <v/>
      </c>
      <c r="AM121" s="1" t="str">
        <f t="shared" si="11"/>
        <v/>
      </c>
      <c r="AN121" s="1" t="str">
        <f t="shared" si="12"/>
        <v/>
      </c>
      <c r="AO121" s="1" t="str">
        <f t="shared" si="13"/>
        <v/>
      </c>
      <c r="AP121" s="1" t="str">
        <f>IFERROR(ROUND(Backend!$AL121*VLOOKUP($F121,'OH,Profit &amp; Other Base'!$A:$V,Backend!AP$6,0),5),"")</f>
        <v/>
      </c>
      <c r="AQ121" s="1" t="str">
        <f>IFERROR(ROUND(Backend!$AO121*VLOOKUP($F121,'OH,Profit &amp; Other Base'!$A:$V,Backend!AQ$6,0),5),"")</f>
        <v/>
      </c>
      <c r="AR121" s="1" t="str">
        <f>IFERROR(ROUND(Backend!$AM121*VLOOKUP($F121,'OH,Profit &amp; Other Base'!$A:$V,Backend!AR$6,0),5),"")</f>
        <v/>
      </c>
      <c r="AS121" s="1" t="str">
        <f>IFERROR(ROUND(Backend!$AL121*VLOOKUP($F121,'OH,Profit &amp; Other Base'!$A:$V,Backend!AS$6,0),5),"")</f>
        <v/>
      </c>
      <c r="AT121" s="1" t="str">
        <f>IFERROR(ROUND(Backend!$AO121*VLOOKUP($F121,'OH,Profit &amp; Other Base'!$A:$V,Backend!AT$6,0),5),"")</f>
        <v/>
      </c>
      <c r="AU121" s="1" t="str">
        <f>IFERROR(ROUND(Backend!$AM121*VLOOKUP($F121,'OH,Profit &amp; Other Base'!$A:$V,Backend!AU$6,0),5),"")</f>
        <v/>
      </c>
      <c r="AV121" s="1" t="str">
        <f>IFERROR(ROUND(Backend!$AL121*VLOOKUP($F121,'OH,Profit &amp; Other Base'!$A:$V,Backend!AV$6,0),5),"")</f>
        <v/>
      </c>
      <c r="AW121" s="1" t="str">
        <f>IFERROR(ROUND(Backend!$AO121*VLOOKUP($F121,'OH,Profit &amp; Other Base'!$A:$V,Backend!AW$6,0),5),"")</f>
        <v/>
      </c>
      <c r="AX121" s="1" t="str">
        <f>IFERROR(ROUND(Backend!$AM121*VLOOKUP($F121,'OH,Profit &amp; Other Base'!$A:$V,Backend!AX$6,0),5),"")</f>
        <v/>
      </c>
      <c r="AY121" s="1" t="str">
        <f>IFERROR(ROUND(Backend!$AL121*VLOOKUP($F121,'OH,Profit &amp; Other Base'!$A:$V,Backend!AY$6,0),5),"")</f>
        <v/>
      </c>
      <c r="AZ121" s="1" t="str">
        <f>IFERROR(ROUND(Backend!$AO121*VLOOKUP($F121,'OH,Profit &amp; Other Base'!$A:$V,Backend!AZ$6,0),5),"")</f>
        <v/>
      </c>
      <c r="BA121" s="1" t="str">
        <f>IFERROR(ROUND(Backend!$AM121*VLOOKUP($F121,'OH,Profit &amp; Other Base'!$A:$V,Backend!BA$6,0),5),"")</f>
        <v/>
      </c>
      <c r="BB121" s="1" t="str">
        <f>IFERROR(ROUND(Backend!$AL121*VLOOKUP($F121,'OH,Profit &amp; Other Base'!$A:$V,Backend!BB$6,0),5),"")</f>
        <v/>
      </c>
      <c r="BC121" s="1" t="str">
        <f>IFERROR(ROUND(Backend!$AO121*VLOOKUP($F121,'OH,Profit &amp; Other Base'!$A:$V,Backend!BC$6,0),5),"")</f>
        <v/>
      </c>
      <c r="BD121" s="1" t="str">
        <f>IFERROR(ROUND(Backend!$AM121*VLOOKUP($F121,'OH,Profit &amp; Other Base'!$A:$V,Backend!BD$6,0),5),"")</f>
        <v/>
      </c>
      <c r="BE121" s="1" t="str">
        <f>IFERROR(ROUND(Backend!$AL121*VLOOKUP($F121,'OH,Profit &amp; Other Base'!$A:$V,Backend!BE$6,0),5),"")</f>
        <v/>
      </c>
      <c r="BF121" s="1" t="str">
        <f>IFERROR(ROUND(Backend!$AO121*VLOOKUP($F121,'OH,Profit &amp; Other Base'!$A:$V,Backend!BF$6,0),5),"")</f>
        <v/>
      </c>
      <c r="BG121" s="1" t="str">
        <f>IFERROR(ROUND(Backend!$AM121*VLOOKUP($F121,'OH,Profit &amp; Other Base'!$A:$V,Backend!BG$6,0),5),"")</f>
        <v/>
      </c>
      <c r="BH121" s="1" t="str">
        <f>IFERROR(ROUND(Backend!$AL121*VLOOKUP($F121,'OH,Profit &amp; Other Base'!$A:$V,Backend!BH$6,0),5),"")</f>
        <v/>
      </c>
      <c r="BI121" s="1" t="str">
        <f>IFERROR(ROUND(Backend!$AO121*VLOOKUP($F121,'OH,Profit &amp; Other Base'!$A:$V,Backend!BI$6,0),5),"")</f>
        <v/>
      </c>
      <c r="BJ121" s="1" t="str">
        <f>IFERROR(ROUND(Backend!$AM121*VLOOKUP($F121,'OH,Profit &amp; Other Base'!$A:$V,Backend!BJ$6,0),5),"")</f>
        <v/>
      </c>
      <c r="BK121" s="3">
        <f>SUM(AN121:BJ121,Backend!O121)</f>
        <v>0</v>
      </c>
    </row>
    <row r="122" spans="1:63">
      <c r="A122" s="1">
        <f>BOM!A117</f>
        <v>0</v>
      </c>
      <c r="B122" s="1">
        <f>BOM!B117</f>
        <v>0</v>
      </c>
      <c r="C122" s="1">
        <f>BOM!C117</f>
        <v>0</v>
      </c>
      <c r="D122" s="1">
        <f>BOM!D117</f>
        <v>0</v>
      </c>
      <c r="E122" s="1">
        <f>BOM!F117</f>
        <v>0</v>
      </c>
      <c r="F122" s="1" t="str">
        <f>IF(H122="CSC",BOM!H117,IF(J122="BOFOthers","Sheet Metal-B",""))</f>
        <v/>
      </c>
      <c r="G122" s="1">
        <f>BOM!I117</f>
        <v>0</v>
      </c>
      <c r="H122" s="1">
        <f>BOM!J117</f>
        <v>0</v>
      </c>
      <c r="I122" s="1" t="str">
        <f t="shared" si="7"/>
        <v>Others</v>
      </c>
      <c r="J122" s="1" t="str">
        <f t="shared" si="8"/>
        <v>0Others</v>
      </c>
      <c r="K122" s="3" t="str">
        <f>IF($J122="InhouseCSC",VLOOKUP($D122,Group!$C:$E,3,0),"")</f>
        <v/>
      </c>
      <c r="L122" s="3" t="str">
        <f>IF(OR($J122="BOSFCSC",$J122="BOFCSC"),VLOOKUP($D122,Group!$C:$E,3,0),"")</f>
        <v/>
      </c>
      <c r="M122" s="3" t="str">
        <f>IF(OR($J122="BOSFCSC",$J122="BOFCSC"),VLOOKUP($D122,Group!$C:$F,4,0),"")</f>
        <v/>
      </c>
      <c r="N122" s="3" t="str">
        <f>IF(OR($J122="InhouseCSC",$J122="BOSFCSC"),VLOOKUP($D122,Group!$C:$G,5,0),"")</f>
        <v/>
      </c>
      <c r="O122" s="3" t="str">
        <f>IF($J122="InhouseCSC",ROUND(VLOOKUP($D122,Group!$C:$H,6,0),5),"")</f>
        <v/>
      </c>
      <c r="P122" s="3" t="str">
        <f>IF(OR($J122="BOSFCSC",$J122="BOFCSC"),VLOOKUP($D122,Group!$C:$H,6,0),"")</f>
        <v/>
      </c>
      <c r="Q122" s="1" t="str">
        <f>IF($J122="Inhouseothers",VLOOKUP($D122,Group!$C:$E,3,0),"")</f>
        <v/>
      </c>
      <c r="R122" s="1" t="str">
        <f>IF($J122="BOSFOthers",VLOOKUP($D122,Group!$C:$E,3,0),"")</f>
        <v/>
      </c>
      <c r="S122" s="3" t="str">
        <f>IF($J122="BOFOthers",VLOOKUP($D122,Group!$C:$E,3,0),"")</f>
        <v/>
      </c>
      <c r="U122" s="1" t="str">
        <f>IFERROR(Backend!$L122*VLOOKUP($F122,'OH,Profit &amp; Other Base'!$A:$V,Backend!U$6,0),"")</f>
        <v/>
      </c>
      <c r="V122" s="1" t="str">
        <f>IFERROR(Backend!$M122*VLOOKUP($F122,'OH,Profit &amp; Other Base'!$A:$V,Backend!V$6,0),"")</f>
        <v/>
      </c>
      <c r="W122" s="1" t="str">
        <f>IFERROR(Backend!$L122*VLOOKUP($F122,'OH,Profit &amp; Other Base'!$A:$V,Backend!W$6,0),"")</f>
        <v/>
      </c>
      <c r="X122" s="1" t="str">
        <f>IFERROR(Backend!$M122*VLOOKUP($F122,'OH,Profit &amp; Other Base'!$A:$V,Backend!X$6,0),"")</f>
        <v/>
      </c>
      <c r="Y122" s="1" t="str">
        <f>IFERROR(Backend!$L122*VLOOKUP($F122,'OH,Profit &amp; Other Base'!$A:$V,Backend!Y$6,0),"")</f>
        <v/>
      </c>
      <c r="Z122" s="1" t="str">
        <f>IFERROR(Backend!$M122*VLOOKUP($F122,'OH,Profit &amp; Other Base'!$A:$V,Backend!Z$6,0),"")</f>
        <v/>
      </c>
      <c r="AA122" s="1" t="str">
        <f>IFERROR(Backend!$L122*VLOOKUP($F122,'OH,Profit &amp; Other Base'!$A:$V,Backend!AA$6,0),"")</f>
        <v/>
      </c>
      <c r="AB122" s="1" t="str">
        <f>IFERROR(Backend!$M122*VLOOKUP($F122,'OH,Profit &amp; Other Base'!$A:$V,Backend!AB$6,0),"")</f>
        <v/>
      </c>
      <c r="AC122" s="1" t="str">
        <f>IFERROR(Backend!$L122*VLOOKUP($F122,'OH,Profit &amp; Other Base'!$A:$V,Backend!AC$6,0),"")</f>
        <v/>
      </c>
      <c r="AD122" s="1" t="str">
        <f>IFERROR(Backend!$M122*VLOOKUP($F122,'OH,Profit &amp; Other Base'!$A:$V,Backend!AD$6,0),"")</f>
        <v/>
      </c>
      <c r="AE122" s="1" t="str">
        <f>IFERROR(Backend!$L122*VLOOKUP($F122,'OH,Profit &amp; Other Base'!$A:$V,Backend!AE$6,0),"")</f>
        <v/>
      </c>
      <c r="AF122" s="1" t="str">
        <f>IFERROR(Backend!$M122*VLOOKUP($F122,'OH,Profit &amp; Other Base'!$A:$V,Backend!AF$6,0),"")</f>
        <v/>
      </c>
      <c r="AG122" s="1" t="str">
        <f>IFERROR(Backend!$L122*VLOOKUP($F122,'OH,Profit &amp; Other Base'!$A:$V,Backend!AG$6,0),"")</f>
        <v/>
      </c>
      <c r="AH122" s="1" t="str">
        <f>IFERROR(Backend!$M122*VLOOKUP($F122,'OH,Profit &amp; Other Base'!$A:$V,Backend!AH$6,0),"")</f>
        <v/>
      </c>
      <c r="AI122" s="3">
        <f t="shared" si="9"/>
        <v>0</v>
      </c>
      <c r="AL122" s="1" t="str">
        <f t="shared" si="10"/>
        <v/>
      </c>
      <c r="AM122" s="1" t="str">
        <f t="shared" si="11"/>
        <v/>
      </c>
      <c r="AN122" s="1" t="str">
        <f t="shared" si="12"/>
        <v/>
      </c>
      <c r="AO122" s="1" t="str">
        <f t="shared" si="13"/>
        <v/>
      </c>
      <c r="AP122" s="1" t="str">
        <f>IFERROR(ROUND(Backend!$AL122*VLOOKUP($F122,'OH,Profit &amp; Other Base'!$A:$V,Backend!AP$6,0),5),"")</f>
        <v/>
      </c>
      <c r="AQ122" s="1" t="str">
        <f>IFERROR(ROUND(Backend!$AO122*VLOOKUP($F122,'OH,Profit &amp; Other Base'!$A:$V,Backend!AQ$6,0),5),"")</f>
        <v/>
      </c>
      <c r="AR122" s="1" t="str">
        <f>IFERROR(ROUND(Backend!$AM122*VLOOKUP($F122,'OH,Profit &amp; Other Base'!$A:$V,Backend!AR$6,0),5),"")</f>
        <v/>
      </c>
      <c r="AS122" s="1" t="str">
        <f>IFERROR(ROUND(Backend!$AL122*VLOOKUP($F122,'OH,Profit &amp; Other Base'!$A:$V,Backend!AS$6,0),5),"")</f>
        <v/>
      </c>
      <c r="AT122" s="1" t="str">
        <f>IFERROR(ROUND(Backend!$AO122*VLOOKUP($F122,'OH,Profit &amp; Other Base'!$A:$V,Backend!AT$6,0),5),"")</f>
        <v/>
      </c>
      <c r="AU122" s="1" t="str">
        <f>IFERROR(ROUND(Backend!$AM122*VLOOKUP($F122,'OH,Profit &amp; Other Base'!$A:$V,Backend!AU$6,0),5),"")</f>
        <v/>
      </c>
      <c r="AV122" s="1" t="str">
        <f>IFERROR(ROUND(Backend!$AL122*VLOOKUP($F122,'OH,Profit &amp; Other Base'!$A:$V,Backend!AV$6,0),5),"")</f>
        <v/>
      </c>
      <c r="AW122" s="1" t="str">
        <f>IFERROR(ROUND(Backend!$AO122*VLOOKUP($F122,'OH,Profit &amp; Other Base'!$A:$V,Backend!AW$6,0),5),"")</f>
        <v/>
      </c>
      <c r="AX122" s="1" t="str">
        <f>IFERROR(ROUND(Backend!$AM122*VLOOKUP($F122,'OH,Profit &amp; Other Base'!$A:$V,Backend!AX$6,0),5),"")</f>
        <v/>
      </c>
      <c r="AY122" s="1" t="str">
        <f>IFERROR(ROUND(Backend!$AL122*VLOOKUP($F122,'OH,Profit &amp; Other Base'!$A:$V,Backend!AY$6,0),5),"")</f>
        <v/>
      </c>
      <c r="AZ122" s="1" t="str">
        <f>IFERROR(ROUND(Backend!$AO122*VLOOKUP($F122,'OH,Profit &amp; Other Base'!$A:$V,Backend!AZ$6,0),5),"")</f>
        <v/>
      </c>
      <c r="BA122" s="1" t="str">
        <f>IFERROR(ROUND(Backend!$AM122*VLOOKUP($F122,'OH,Profit &amp; Other Base'!$A:$V,Backend!BA$6,0),5),"")</f>
        <v/>
      </c>
      <c r="BB122" s="1" t="str">
        <f>IFERROR(ROUND(Backend!$AL122*VLOOKUP($F122,'OH,Profit &amp; Other Base'!$A:$V,Backend!BB$6,0),5),"")</f>
        <v/>
      </c>
      <c r="BC122" s="1" t="str">
        <f>IFERROR(ROUND(Backend!$AO122*VLOOKUP($F122,'OH,Profit &amp; Other Base'!$A:$V,Backend!BC$6,0),5),"")</f>
        <v/>
      </c>
      <c r="BD122" s="1" t="str">
        <f>IFERROR(ROUND(Backend!$AM122*VLOOKUP($F122,'OH,Profit &amp; Other Base'!$A:$V,Backend!BD$6,0),5),"")</f>
        <v/>
      </c>
      <c r="BE122" s="1" t="str">
        <f>IFERROR(ROUND(Backend!$AL122*VLOOKUP($F122,'OH,Profit &amp; Other Base'!$A:$V,Backend!BE$6,0),5),"")</f>
        <v/>
      </c>
      <c r="BF122" s="1" t="str">
        <f>IFERROR(ROUND(Backend!$AO122*VLOOKUP($F122,'OH,Profit &amp; Other Base'!$A:$V,Backend!BF$6,0),5),"")</f>
        <v/>
      </c>
      <c r="BG122" s="1" t="str">
        <f>IFERROR(ROUND(Backend!$AM122*VLOOKUP($F122,'OH,Profit &amp; Other Base'!$A:$V,Backend!BG$6,0),5),"")</f>
        <v/>
      </c>
      <c r="BH122" s="1" t="str">
        <f>IFERROR(ROUND(Backend!$AL122*VLOOKUP($F122,'OH,Profit &amp; Other Base'!$A:$V,Backend!BH$6,0),5),"")</f>
        <v/>
      </c>
      <c r="BI122" s="1" t="str">
        <f>IFERROR(ROUND(Backend!$AO122*VLOOKUP($F122,'OH,Profit &amp; Other Base'!$A:$V,Backend!BI$6,0),5),"")</f>
        <v/>
      </c>
      <c r="BJ122" s="1" t="str">
        <f>IFERROR(ROUND(Backend!$AM122*VLOOKUP($F122,'OH,Profit &amp; Other Base'!$A:$V,Backend!BJ$6,0),5),"")</f>
        <v/>
      </c>
      <c r="BK122" s="3">
        <f>SUM(AN122:BJ122,Backend!O122)</f>
        <v>0</v>
      </c>
    </row>
    <row r="123" spans="1:63">
      <c r="A123" s="1">
        <f>BOM!A118</f>
        <v>0</v>
      </c>
      <c r="B123" s="1">
        <f>BOM!B118</f>
        <v>0</v>
      </c>
      <c r="C123" s="1">
        <f>BOM!C118</f>
        <v>0</v>
      </c>
      <c r="D123" s="1">
        <f>BOM!D118</f>
        <v>0</v>
      </c>
      <c r="E123" s="1">
        <f>BOM!F118</f>
        <v>0</v>
      </c>
      <c r="F123" s="1" t="str">
        <f>IF(H123="CSC",BOM!H118,IF(J123="BOFOthers","Sheet Metal-B",""))</f>
        <v/>
      </c>
      <c r="G123" s="1">
        <f>BOM!I118</f>
        <v>0</v>
      </c>
      <c r="H123" s="1">
        <f>BOM!J118</f>
        <v>0</v>
      </c>
      <c r="I123" s="1" t="str">
        <f t="shared" si="7"/>
        <v>Others</v>
      </c>
      <c r="J123" s="1" t="str">
        <f t="shared" si="8"/>
        <v>0Others</v>
      </c>
      <c r="K123" s="3" t="str">
        <f>IF($J123="InhouseCSC",VLOOKUP($D123,Group!$C:$E,3,0),"")</f>
        <v/>
      </c>
      <c r="L123" s="3" t="str">
        <f>IF(OR($J123="BOSFCSC",$J123="BOFCSC"),VLOOKUP($D123,Group!$C:$E,3,0),"")</f>
        <v/>
      </c>
      <c r="M123" s="3" t="str">
        <f>IF(OR($J123="BOSFCSC",$J123="BOFCSC"),VLOOKUP($D123,Group!$C:$F,4,0),"")</f>
        <v/>
      </c>
      <c r="N123" s="3" t="str">
        <f>IF(OR($J123="InhouseCSC",$J123="BOSFCSC"),VLOOKUP($D123,Group!$C:$G,5,0),"")</f>
        <v/>
      </c>
      <c r="O123" s="3" t="str">
        <f>IF($J123="InhouseCSC",ROUND(VLOOKUP($D123,Group!$C:$H,6,0),5),"")</f>
        <v/>
      </c>
      <c r="P123" s="3" t="str">
        <f>IF(OR($J123="BOSFCSC",$J123="BOFCSC"),VLOOKUP($D123,Group!$C:$H,6,0),"")</f>
        <v/>
      </c>
      <c r="Q123" s="1" t="str">
        <f>IF($J123="Inhouseothers",VLOOKUP($D123,Group!$C:$E,3,0),"")</f>
        <v/>
      </c>
      <c r="R123" s="1" t="str">
        <f>IF($J123="BOSFOthers",VLOOKUP($D123,Group!$C:$E,3,0),"")</f>
        <v/>
      </c>
      <c r="S123" s="3" t="str">
        <f>IF($J123="BOFOthers",VLOOKUP($D123,Group!$C:$E,3,0),"")</f>
        <v/>
      </c>
      <c r="U123" s="1" t="str">
        <f>IFERROR(Backend!$L123*VLOOKUP($F123,'OH,Profit &amp; Other Base'!$A:$V,Backend!U$6,0),"")</f>
        <v/>
      </c>
      <c r="V123" s="1" t="str">
        <f>IFERROR(Backend!$M123*VLOOKUP($F123,'OH,Profit &amp; Other Base'!$A:$V,Backend!V$6,0),"")</f>
        <v/>
      </c>
      <c r="W123" s="1" t="str">
        <f>IFERROR(Backend!$L123*VLOOKUP($F123,'OH,Profit &amp; Other Base'!$A:$V,Backend!W$6,0),"")</f>
        <v/>
      </c>
      <c r="X123" s="1" t="str">
        <f>IFERROR(Backend!$M123*VLOOKUP($F123,'OH,Profit &amp; Other Base'!$A:$V,Backend!X$6,0),"")</f>
        <v/>
      </c>
      <c r="Y123" s="1" t="str">
        <f>IFERROR(Backend!$L123*VLOOKUP($F123,'OH,Profit &amp; Other Base'!$A:$V,Backend!Y$6,0),"")</f>
        <v/>
      </c>
      <c r="Z123" s="1" t="str">
        <f>IFERROR(Backend!$M123*VLOOKUP($F123,'OH,Profit &amp; Other Base'!$A:$V,Backend!Z$6,0),"")</f>
        <v/>
      </c>
      <c r="AA123" s="1" t="str">
        <f>IFERROR(Backend!$L123*VLOOKUP($F123,'OH,Profit &amp; Other Base'!$A:$V,Backend!AA$6,0),"")</f>
        <v/>
      </c>
      <c r="AB123" s="1" t="str">
        <f>IFERROR(Backend!$M123*VLOOKUP($F123,'OH,Profit &amp; Other Base'!$A:$V,Backend!AB$6,0),"")</f>
        <v/>
      </c>
      <c r="AC123" s="1" t="str">
        <f>IFERROR(Backend!$L123*VLOOKUP($F123,'OH,Profit &amp; Other Base'!$A:$V,Backend!AC$6,0),"")</f>
        <v/>
      </c>
      <c r="AD123" s="1" t="str">
        <f>IFERROR(Backend!$M123*VLOOKUP($F123,'OH,Profit &amp; Other Base'!$A:$V,Backend!AD$6,0),"")</f>
        <v/>
      </c>
      <c r="AE123" s="1" t="str">
        <f>IFERROR(Backend!$L123*VLOOKUP($F123,'OH,Profit &amp; Other Base'!$A:$V,Backend!AE$6,0),"")</f>
        <v/>
      </c>
      <c r="AF123" s="1" t="str">
        <f>IFERROR(Backend!$M123*VLOOKUP($F123,'OH,Profit &amp; Other Base'!$A:$V,Backend!AF$6,0),"")</f>
        <v/>
      </c>
      <c r="AG123" s="1" t="str">
        <f>IFERROR(Backend!$L123*VLOOKUP($F123,'OH,Profit &amp; Other Base'!$A:$V,Backend!AG$6,0),"")</f>
        <v/>
      </c>
      <c r="AH123" s="1" t="str">
        <f>IFERROR(Backend!$M123*VLOOKUP($F123,'OH,Profit &amp; Other Base'!$A:$V,Backend!AH$6,0),"")</f>
        <v/>
      </c>
      <c r="AI123" s="3">
        <f t="shared" si="9"/>
        <v>0</v>
      </c>
      <c r="AL123" s="1" t="str">
        <f t="shared" si="10"/>
        <v/>
      </c>
      <c r="AM123" s="1" t="str">
        <f t="shared" si="11"/>
        <v/>
      </c>
      <c r="AN123" s="1" t="str">
        <f t="shared" si="12"/>
        <v/>
      </c>
      <c r="AO123" s="1" t="str">
        <f t="shared" si="13"/>
        <v/>
      </c>
      <c r="AP123" s="1" t="str">
        <f>IFERROR(ROUND(Backend!$AL123*VLOOKUP($F123,'OH,Profit &amp; Other Base'!$A:$V,Backend!AP$6,0),5),"")</f>
        <v/>
      </c>
      <c r="AQ123" s="1" t="str">
        <f>IFERROR(ROUND(Backend!$AO123*VLOOKUP($F123,'OH,Profit &amp; Other Base'!$A:$V,Backend!AQ$6,0),5),"")</f>
        <v/>
      </c>
      <c r="AR123" s="1" t="str">
        <f>IFERROR(ROUND(Backend!$AM123*VLOOKUP($F123,'OH,Profit &amp; Other Base'!$A:$V,Backend!AR$6,0),5),"")</f>
        <v/>
      </c>
      <c r="AS123" s="1" t="str">
        <f>IFERROR(ROUND(Backend!$AL123*VLOOKUP($F123,'OH,Profit &amp; Other Base'!$A:$V,Backend!AS$6,0),5),"")</f>
        <v/>
      </c>
      <c r="AT123" s="1" t="str">
        <f>IFERROR(ROUND(Backend!$AO123*VLOOKUP($F123,'OH,Profit &amp; Other Base'!$A:$V,Backend!AT$6,0),5),"")</f>
        <v/>
      </c>
      <c r="AU123" s="1" t="str">
        <f>IFERROR(ROUND(Backend!$AM123*VLOOKUP($F123,'OH,Profit &amp; Other Base'!$A:$V,Backend!AU$6,0),5),"")</f>
        <v/>
      </c>
      <c r="AV123" s="1" t="str">
        <f>IFERROR(ROUND(Backend!$AL123*VLOOKUP($F123,'OH,Profit &amp; Other Base'!$A:$V,Backend!AV$6,0),5),"")</f>
        <v/>
      </c>
      <c r="AW123" s="1" t="str">
        <f>IFERROR(ROUND(Backend!$AO123*VLOOKUP($F123,'OH,Profit &amp; Other Base'!$A:$V,Backend!AW$6,0),5),"")</f>
        <v/>
      </c>
      <c r="AX123" s="1" t="str">
        <f>IFERROR(ROUND(Backend!$AM123*VLOOKUP($F123,'OH,Profit &amp; Other Base'!$A:$V,Backend!AX$6,0),5),"")</f>
        <v/>
      </c>
      <c r="AY123" s="1" t="str">
        <f>IFERROR(ROUND(Backend!$AL123*VLOOKUP($F123,'OH,Profit &amp; Other Base'!$A:$V,Backend!AY$6,0),5),"")</f>
        <v/>
      </c>
      <c r="AZ123" s="1" t="str">
        <f>IFERROR(ROUND(Backend!$AO123*VLOOKUP($F123,'OH,Profit &amp; Other Base'!$A:$V,Backend!AZ$6,0),5),"")</f>
        <v/>
      </c>
      <c r="BA123" s="1" t="str">
        <f>IFERROR(ROUND(Backend!$AM123*VLOOKUP($F123,'OH,Profit &amp; Other Base'!$A:$V,Backend!BA$6,0),5),"")</f>
        <v/>
      </c>
      <c r="BB123" s="1" t="str">
        <f>IFERROR(ROUND(Backend!$AL123*VLOOKUP($F123,'OH,Profit &amp; Other Base'!$A:$V,Backend!BB$6,0),5),"")</f>
        <v/>
      </c>
      <c r="BC123" s="1" t="str">
        <f>IFERROR(ROUND(Backend!$AO123*VLOOKUP($F123,'OH,Profit &amp; Other Base'!$A:$V,Backend!BC$6,0),5),"")</f>
        <v/>
      </c>
      <c r="BD123" s="1" t="str">
        <f>IFERROR(ROUND(Backend!$AM123*VLOOKUP($F123,'OH,Profit &amp; Other Base'!$A:$V,Backend!BD$6,0),5),"")</f>
        <v/>
      </c>
      <c r="BE123" s="1" t="str">
        <f>IFERROR(ROUND(Backend!$AL123*VLOOKUP($F123,'OH,Profit &amp; Other Base'!$A:$V,Backend!BE$6,0),5),"")</f>
        <v/>
      </c>
      <c r="BF123" s="1" t="str">
        <f>IFERROR(ROUND(Backend!$AO123*VLOOKUP($F123,'OH,Profit &amp; Other Base'!$A:$V,Backend!BF$6,0),5),"")</f>
        <v/>
      </c>
      <c r="BG123" s="1" t="str">
        <f>IFERROR(ROUND(Backend!$AM123*VLOOKUP($F123,'OH,Profit &amp; Other Base'!$A:$V,Backend!BG$6,0),5),"")</f>
        <v/>
      </c>
      <c r="BH123" s="1" t="str">
        <f>IFERROR(ROUND(Backend!$AL123*VLOOKUP($F123,'OH,Profit &amp; Other Base'!$A:$V,Backend!BH$6,0),5),"")</f>
        <v/>
      </c>
      <c r="BI123" s="1" t="str">
        <f>IFERROR(ROUND(Backend!$AO123*VLOOKUP($F123,'OH,Profit &amp; Other Base'!$A:$V,Backend!BI$6,0),5),"")</f>
        <v/>
      </c>
      <c r="BJ123" s="1" t="str">
        <f>IFERROR(ROUND(Backend!$AM123*VLOOKUP($F123,'OH,Profit &amp; Other Base'!$A:$V,Backend!BJ$6,0),5),"")</f>
        <v/>
      </c>
      <c r="BK123" s="3">
        <f>SUM(AN123:BJ123,Backend!O123)</f>
        <v>0</v>
      </c>
    </row>
    <row r="124" spans="1:63">
      <c r="A124" s="1">
        <f>BOM!A119</f>
        <v>0</v>
      </c>
      <c r="B124" s="1">
        <f>BOM!B119</f>
        <v>0</v>
      </c>
      <c r="C124" s="1">
        <f>BOM!C119</f>
        <v>0</v>
      </c>
      <c r="D124" s="1">
        <f>BOM!D119</f>
        <v>0</v>
      </c>
      <c r="E124" s="1">
        <f>BOM!F119</f>
        <v>0</v>
      </c>
      <c r="F124" s="1" t="str">
        <f>IF(H124="CSC",BOM!H119,IF(J124="BOFOthers","Sheet Metal-B",""))</f>
        <v/>
      </c>
      <c r="G124" s="1">
        <f>BOM!I119</f>
        <v>0</v>
      </c>
      <c r="H124" s="1">
        <f>BOM!J119</f>
        <v>0</v>
      </c>
      <c r="I124" s="1" t="str">
        <f t="shared" si="7"/>
        <v>Others</v>
      </c>
      <c r="J124" s="1" t="str">
        <f t="shared" si="8"/>
        <v>0Others</v>
      </c>
      <c r="K124" s="3" t="str">
        <f>IF($J124="InhouseCSC",VLOOKUP($D124,Group!$C:$E,3,0),"")</f>
        <v/>
      </c>
      <c r="L124" s="3" t="str">
        <f>IF(OR($J124="BOSFCSC",$J124="BOFCSC"),VLOOKUP($D124,Group!$C:$E,3,0),"")</f>
        <v/>
      </c>
      <c r="M124" s="3" t="str">
        <f>IF(OR($J124="BOSFCSC",$J124="BOFCSC"),VLOOKUP($D124,Group!$C:$F,4,0),"")</f>
        <v/>
      </c>
      <c r="N124" s="3" t="str">
        <f>IF(OR($J124="InhouseCSC",$J124="BOSFCSC"),VLOOKUP($D124,Group!$C:$G,5,0),"")</f>
        <v/>
      </c>
      <c r="O124" s="3" t="str">
        <f>IF($J124="InhouseCSC",ROUND(VLOOKUP($D124,Group!$C:$H,6,0),5),"")</f>
        <v/>
      </c>
      <c r="P124" s="3" t="str">
        <f>IF(OR($J124="BOSFCSC",$J124="BOFCSC"),VLOOKUP($D124,Group!$C:$H,6,0),"")</f>
        <v/>
      </c>
      <c r="Q124" s="1" t="str">
        <f>IF($J124="Inhouseothers",VLOOKUP($D124,Group!$C:$E,3,0),"")</f>
        <v/>
      </c>
      <c r="R124" s="1" t="str">
        <f>IF($J124="BOSFOthers",VLOOKUP($D124,Group!$C:$E,3,0),"")</f>
        <v/>
      </c>
      <c r="S124" s="3" t="str">
        <f>IF($J124="BOFOthers",VLOOKUP($D124,Group!$C:$E,3,0),"")</f>
        <v/>
      </c>
      <c r="U124" s="1" t="str">
        <f>IFERROR(Backend!$L124*VLOOKUP($F124,'OH,Profit &amp; Other Base'!$A:$V,Backend!U$6,0),"")</f>
        <v/>
      </c>
      <c r="V124" s="1" t="str">
        <f>IFERROR(Backend!$M124*VLOOKUP($F124,'OH,Profit &amp; Other Base'!$A:$V,Backend!V$6,0),"")</f>
        <v/>
      </c>
      <c r="W124" s="1" t="str">
        <f>IFERROR(Backend!$L124*VLOOKUP($F124,'OH,Profit &amp; Other Base'!$A:$V,Backend!W$6,0),"")</f>
        <v/>
      </c>
      <c r="X124" s="1" t="str">
        <f>IFERROR(Backend!$M124*VLOOKUP($F124,'OH,Profit &amp; Other Base'!$A:$V,Backend!X$6,0),"")</f>
        <v/>
      </c>
      <c r="Y124" s="1" t="str">
        <f>IFERROR(Backend!$L124*VLOOKUP($F124,'OH,Profit &amp; Other Base'!$A:$V,Backend!Y$6,0),"")</f>
        <v/>
      </c>
      <c r="Z124" s="1" t="str">
        <f>IFERROR(Backend!$M124*VLOOKUP($F124,'OH,Profit &amp; Other Base'!$A:$V,Backend!Z$6,0),"")</f>
        <v/>
      </c>
      <c r="AA124" s="1" t="str">
        <f>IFERROR(Backend!$L124*VLOOKUP($F124,'OH,Profit &amp; Other Base'!$A:$V,Backend!AA$6,0),"")</f>
        <v/>
      </c>
      <c r="AB124" s="1" t="str">
        <f>IFERROR(Backend!$M124*VLOOKUP($F124,'OH,Profit &amp; Other Base'!$A:$V,Backend!AB$6,0),"")</f>
        <v/>
      </c>
      <c r="AC124" s="1" t="str">
        <f>IFERROR(Backend!$L124*VLOOKUP($F124,'OH,Profit &amp; Other Base'!$A:$V,Backend!AC$6,0),"")</f>
        <v/>
      </c>
      <c r="AD124" s="1" t="str">
        <f>IFERROR(Backend!$M124*VLOOKUP($F124,'OH,Profit &amp; Other Base'!$A:$V,Backend!AD$6,0),"")</f>
        <v/>
      </c>
      <c r="AE124" s="1" t="str">
        <f>IFERROR(Backend!$L124*VLOOKUP($F124,'OH,Profit &amp; Other Base'!$A:$V,Backend!AE$6,0),"")</f>
        <v/>
      </c>
      <c r="AF124" s="1" t="str">
        <f>IFERROR(Backend!$M124*VLOOKUP($F124,'OH,Profit &amp; Other Base'!$A:$V,Backend!AF$6,0),"")</f>
        <v/>
      </c>
      <c r="AG124" s="1" t="str">
        <f>IFERROR(Backend!$L124*VLOOKUP($F124,'OH,Profit &amp; Other Base'!$A:$V,Backend!AG$6,0),"")</f>
        <v/>
      </c>
      <c r="AH124" s="1" t="str">
        <f>IFERROR(Backend!$M124*VLOOKUP($F124,'OH,Profit &amp; Other Base'!$A:$V,Backend!AH$6,0),"")</f>
        <v/>
      </c>
      <c r="AI124" s="3">
        <f t="shared" si="9"/>
        <v>0</v>
      </c>
      <c r="AL124" s="1" t="str">
        <f t="shared" si="10"/>
        <v/>
      </c>
      <c r="AM124" s="1" t="str">
        <f t="shared" si="11"/>
        <v/>
      </c>
      <c r="AN124" s="1" t="str">
        <f t="shared" si="12"/>
        <v/>
      </c>
      <c r="AO124" s="1" t="str">
        <f t="shared" si="13"/>
        <v/>
      </c>
      <c r="AP124" s="1" t="str">
        <f>IFERROR(ROUND(Backend!$AL124*VLOOKUP($F124,'OH,Profit &amp; Other Base'!$A:$V,Backend!AP$6,0),5),"")</f>
        <v/>
      </c>
      <c r="AQ124" s="1" t="str">
        <f>IFERROR(ROUND(Backend!$AO124*VLOOKUP($F124,'OH,Profit &amp; Other Base'!$A:$V,Backend!AQ$6,0),5),"")</f>
        <v/>
      </c>
      <c r="AR124" s="1" t="str">
        <f>IFERROR(ROUND(Backend!$AM124*VLOOKUP($F124,'OH,Profit &amp; Other Base'!$A:$V,Backend!AR$6,0),5),"")</f>
        <v/>
      </c>
      <c r="AS124" s="1" t="str">
        <f>IFERROR(ROUND(Backend!$AL124*VLOOKUP($F124,'OH,Profit &amp; Other Base'!$A:$V,Backend!AS$6,0),5),"")</f>
        <v/>
      </c>
      <c r="AT124" s="1" t="str">
        <f>IFERROR(ROUND(Backend!$AO124*VLOOKUP($F124,'OH,Profit &amp; Other Base'!$A:$V,Backend!AT$6,0),5),"")</f>
        <v/>
      </c>
      <c r="AU124" s="1" t="str">
        <f>IFERROR(ROUND(Backend!$AM124*VLOOKUP($F124,'OH,Profit &amp; Other Base'!$A:$V,Backend!AU$6,0),5),"")</f>
        <v/>
      </c>
      <c r="AV124" s="1" t="str">
        <f>IFERROR(ROUND(Backend!$AL124*VLOOKUP($F124,'OH,Profit &amp; Other Base'!$A:$V,Backend!AV$6,0),5),"")</f>
        <v/>
      </c>
      <c r="AW124" s="1" t="str">
        <f>IFERROR(ROUND(Backend!$AO124*VLOOKUP($F124,'OH,Profit &amp; Other Base'!$A:$V,Backend!AW$6,0),5),"")</f>
        <v/>
      </c>
      <c r="AX124" s="1" t="str">
        <f>IFERROR(ROUND(Backend!$AM124*VLOOKUP($F124,'OH,Profit &amp; Other Base'!$A:$V,Backend!AX$6,0),5),"")</f>
        <v/>
      </c>
      <c r="AY124" s="1" t="str">
        <f>IFERROR(ROUND(Backend!$AL124*VLOOKUP($F124,'OH,Profit &amp; Other Base'!$A:$V,Backend!AY$6,0),5),"")</f>
        <v/>
      </c>
      <c r="AZ124" s="1" t="str">
        <f>IFERROR(ROUND(Backend!$AO124*VLOOKUP($F124,'OH,Profit &amp; Other Base'!$A:$V,Backend!AZ$6,0),5),"")</f>
        <v/>
      </c>
      <c r="BA124" s="1" t="str">
        <f>IFERROR(ROUND(Backend!$AM124*VLOOKUP($F124,'OH,Profit &amp; Other Base'!$A:$V,Backend!BA$6,0),5),"")</f>
        <v/>
      </c>
      <c r="BB124" s="1" t="str">
        <f>IFERROR(ROUND(Backend!$AL124*VLOOKUP($F124,'OH,Profit &amp; Other Base'!$A:$V,Backend!BB$6,0),5),"")</f>
        <v/>
      </c>
      <c r="BC124" s="1" t="str">
        <f>IFERROR(ROUND(Backend!$AO124*VLOOKUP($F124,'OH,Profit &amp; Other Base'!$A:$V,Backend!BC$6,0),5),"")</f>
        <v/>
      </c>
      <c r="BD124" s="1" t="str">
        <f>IFERROR(ROUND(Backend!$AM124*VLOOKUP($F124,'OH,Profit &amp; Other Base'!$A:$V,Backend!BD$6,0),5),"")</f>
        <v/>
      </c>
      <c r="BE124" s="1" t="str">
        <f>IFERROR(ROUND(Backend!$AL124*VLOOKUP($F124,'OH,Profit &amp; Other Base'!$A:$V,Backend!BE$6,0),5),"")</f>
        <v/>
      </c>
      <c r="BF124" s="1" t="str">
        <f>IFERROR(ROUND(Backend!$AO124*VLOOKUP($F124,'OH,Profit &amp; Other Base'!$A:$V,Backend!BF$6,0),5),"")</f>
        <v/>
      </c>
      <c r="BG124" s="1" t="str">
        <f>IFERROR(ROUND(Backend!$AM124*VLOOKUP($F124,'OH,Profit &amp; Other Base'!$A:$V,Backend!BG$6,0),5),"")</f>
        <v/>
      </c>
      <c r="BH124" s="1" t="str">
        <f>IFERROR(ROUND(Backend!$AL124*VLOOKUP($F124,'OH,Profit &amp; Other Base'!$A:$V,Backend!BH$6,0),5),"")</f>
        <v/>
      </c>
      <c r="BI124" s="1" t="str">
        <f>IFERROR(ROUND(Backend!$AO124*VLOOKUP($F124,'OH,Profit &amp; Other Base'!$A:$V,Backend!BI$6,0),5),"")</f>
        <v/>
      </c>
      <c r="BJ124" s="1" t="str">
        <f>IFERROR(ROUND(Backend!$AM124*VLOOKUP($F124,'OH,Profit &amp; Other Base'!$A:$V,Backend!BJ$6,0),5),"")</f>
        <v/>
      </c>
      <c r="BK124" s="3">
        <f>SUM(AN124:BJ124,Backend!O124)</f>
        <v>0</v>
      </c>
    </row>
    <row r="125" spans="1:63">
      <c r="A125" s="1">
        <f>BOM!A120</f>
        <v>0</v>
      </c>
      <c r="B125" s="1">
        <f>BOM!B120</f>
        <v>0</v>
      </c>
      <c r="C125" s="1">
        <f>BOM!C120</f>
        <v>0</v>
      </c>
      <c r="D125" s="1">
        <f>BOM!D120</f>
        <v>0</v>
      </c>
      <c r="E125" s="1">
        <f>BOM!F120</f>
        <v>0</v>
      </c>
      <c r="F125" s="1" t="str">
        <f>IF(H125="CSC",BOM!H120,IF(J125="BOFOthers","Sheet Metal-B",""))</f>
        <v/>
      </c>
      <c r="G125" s="1">
        <f>BOM!I120</f>
        <v>0</v>
      </c>
      <c r="H125" s="1">
        <f>BOM!J120</f>
        <v>0</v>
      </c>
      <c r="I125" s="1" t="str">
        <f t="shared" si="7"/>
        <v>Others</v>
      </c>
      <c r="J125" s="1" t="str">
        <f t="shared" si="8"/>
        <v>0Others</v>
      </c>
      <c r="K125" s="3" t="str">
        <f>IF($J125="InhouseCSC",VLOOKUP($D125,Group!$C:$E,3,0),"")</f>
        <v/>
      </c>
      <c r="L125" s="3" t="str">
        <f>IF(OR($J125="BOSFCSC",$J125="BOFCSC"),VLOOKUP($D125,Group!$C:$E,3,0),"")</f>
        <v/>
      </c>
      <c r="M125" s="3" t="str">
        <f>IF(OR($J125="BOSFCSC",$J125="BOFCSC"),VLOOKUP($D125,Group!$C:$F,4,0),"")</f>
        <v/>
      </c>
      <c r="N125" s="3" t="str">
        <f>IF(OR($J125="InhouseCSC",$J125="BOSFCSC"),VLOOKUP($D125,Group!$C:$G,5,0),"")</f>
        <v/>
      </c>
      <c r="O125" s="3" t="str">
        <f>IF($J125="InhouseCSC",ROUND(VLOOKUP($D125,Group!$C:$H,6,0),5),"")</f>
        <v/>
      </c>
      <c r="P125" s="3" t="str">
        <f>IF(OR($J125="BOSFCSC",$J125="BOFCSC"),VLOOKUP($D125,Group!$C:$H,6,0),"")</f>
        <v/>
      </c>
      <c r="Q125" s="1" t="str">
        <f>IF($J125="Inhouseothers",VLOOKUP($D125,Group!$C:$E,3,0),"")</f>
        <v/>
      </c>
      <c r="R125" s="1" t="str">
        <f>IF($J125="BOSFOthers",VLOOKUP($D125,Group!$C:$E,3,0),"")</f>
        <v/>
      </c>
      <c r="S125" s="3" t="str">
        <f>IF($J125="BOFOthers",VLOOKUP($D125,Group!$C:$E,3,0),"")</f>
        <v/>
      </c>
      <c r="U125" s="1" t="str">
        <f>IFERROR(Backend!$L125*VLOOKUP($F125,'OH,Profit &amp; Other Base'!$A:$V,Backend!U$6,0),"")</f>
        <v/>
      </c>
      <c r="V125" s="1" t="str">
        <f>IFERROR(Backend!$M125*VLOOKUP($F125,'OH,Profit &amp; Other Base'!$A:$V,Backend!V$6,0),"")</f>
        <v/>
      </c>
      <c r="W125" s="1" t="str">
        <f>IFERROR(Backend!$L125*VLOOKUP($F125,'OH,Profit &amp; Other Base'!$A:$V,Backend!W$6,0),"")</f>
        <v/>
      </c>
      <c r="X125" s="1" t="str">
        <f>IFERROR(Backend!$M125*VLOOKUP($F125,'OH,Profit &amp; Other Base'!$A:$V,Backend!X$6,0),"")</f>
        <v/>
      </c>
      <c r="Y125" s="1" t="str">
        <f>IFERROR(Backend!$L125*VLOOKUP($F125,'OH,Profit &amp; Other Base'!$A:$V,Backend!Y$6,0),"")</f>
        <v/>
      </c>
      <c r="Z125" s="1" t="str">
        <f>IFERROR(Backend!$M125*VLOOKUP($F125,'OH,Profit &amp; Other Base'!$A:$V,Backend!Z$6,0),"")</f>
        <v/>
      </c>
      <c r="AA125" s="1" t="str">
        <f>IFERROR(Backend!$L125*VLOOKUP($F125,'OH,Profit &amp; Other Base'!$A:$V,Backend!AA$6,0),"")</f>
        <v/>
      </c>
      <c r="AB125" s="1" t="str">
        <f>IFERROR(Backend!$M125*VLOOKUP($F125,'OH,Profit &amp; Other Base'!$A:$V,Backend!AB$6,0),"")</f>
        <v/>
      </c>
      <c r="AC125" s="1" t="str">
        <f>IFERROR(Backend!$L125*VLOOKUP($F125,'OH,Profit &amp; Other Base'!$A:$V,Backend!AC$6,0),"")</f>
        <v/>
      </c>
      <c r="AD125" s="1" t="str">
        <f>IFERROR(Backend!$M125*VLOOKUP($F125,'OH,Profit &amp; Other Base'!$A:$V,Backend!AD$6,0),"")</f>
        <v/>
      </c>
      <c r="AE125" s="1" t="str">
        <f>IFERROR(Backend!$L125*VLOOKUP($F125,'OH,Profit &amp; Other Base'!$A:$V,Backend!AE$6,0),"")</f>
        <v/>
      </c>
      <c r="AF125" s="1" t="str">
        <f>IFERROR(Backend!$M125*VLOOKUP($F125,'OH,Profit &amp; Other Base'!$A:$V,Backend!AF$6,0),"")</f>
        <v/>
      </c>
      <c r="AG125" s="1" t="str">
        <f>IFERROR(Backend!$L125*VLOOKUP($F125,'OH,Profit &amp; Other Base'!$A:$V,Backend!AG$6,0),"")</f>
        <v/>
      </c>
      <c r="AH125" s="1" t="str">
        <f>IFERROR(Backend!$M125*VLOOKUP($F125,'OH,Profit &amp; Other Base'!$A:$V,Backend!AH$6,0),"")</f>
        <v/>
      </c>
      <c r="AI125" s="3">
        <f t="shared" si="9"/>
        <v>0</v>
      </c>
      <c r="AL125" s="1" t="str">
        <f t="shared" si="10"/>
        <v/>
      </c>
      <c r="AM125" s="1" t="str">
        <f t="shared" si="11"/>
        <v/>
      </c>
      <c r="AN125" s="1" t="str">
        <f t="shared" si="12"/>
        <v/>
      </c>
      <c r="AO125" s="1" t="str">
        <f t="shared" si="13"/>
        <v/>
      </c>
      <c r="AP125" s="1" t="str">
        <f>IFERROR(ROUND(Backend!$AL125*VLOOKUP($F125,'OH,Profit &amp; Other Base'!$A:$V,Backend!AP$6,0),5),"")</f>
        <v/>
      </c>
      <c r="AQ125" s="1" t="str">
        <f>IFERROR(ROUND(Backend!$AO125*VLOOKUP($F125,'OH,Profit &amp; Other Base'!$A:$V,Backend!AQ$6,0),5),"")</f>
        <v/>
      </c>
      <c r="AR125" s="1" t="str">
        <f>IFERROR(ROUND(Backend!$AM125*VLOOKUP($F125,'OH,Profit &amp; Other Base'!$A:$V,Backend!AR$6,0),5),"")</f>
        <v/>
      </c>
      <c r="AS125" s="1" t="str">
        <f>IFERROR(ROUND(Backend!$AL125*VLOOKUP($F125,'OH,Profit &amp; Other Base'!$A:$V,Backend!AS$6,0),5),"")</f>
        <v/>
      </c>
      <c r="AT125" s="1" t="str">
        <f>IFERROR(ROUND(Backend!$AO125*VLOOKUP($F125,'OH,Profit &amp; Other Base'!$A:$V,Backend!AT$6,0),5),"")</f>
        <v/>
      </c>
      <c r="AU125" s="1" t="str">
        <f>IFERROR(ROUND(Backend!$AM125*VLOOKUP($F125,'OH,Profit &amp; Other Base'!$A:$V,Backend!AU$6,0),5),"")</f>
        <v/>
      </c>
      <c r="AV125" s="1" t="str">
        <f>IFERROR(ROUND(Backend!$AL125*VLOOKUP($F125,'OH,Profit &amp; Other Base'!$A:$V,Backend!AV$6,0),5),"")</f>
        <v/>
      </c>
      <c r="AW125" s="1" t="str">
        <f>IFERROR(ROUND(Backend!$AO125*VLOOKUP($F125,'OH,Profit &amp; Other Base'!$A:$V,Backend!AW$6,0),5),"")</f>
        <v/>
      </c>
      <c r="AX125" s="1" t="str">
        <f>IFERROR(ROUND(Backend!$AM125*VLOOKUP($F125,'OH,Profit &amp; Other Base'!$A:$V,Backend!AX$6,0),5),"")</f>
        <v/>
      </c>
      <c r="AY125" s="1" t="str">
        <f>IFERROR(ROUND(Backend!$AL125*VLOOKUP($F125,'OH,Profit &amp; Other Base'!$A:$V,Backend!AY$6,0),5),"")</f>
        <v/>
      </c>
      <c r="AZ125" s="1" t="str">
        <f>IFERROR(ROUND(Backend!$AO125*VLOOKUP($F125,'OH,Profit &amp; Other Base'!$A:$V,Backend!AZ$6,0),5),"")</f>
        <v/>
      </c>
      <c r="BA125" s="1" t="str">
        <f>IFERROR(ROUND(Backend!$AM125*VLOOKUP($F125,'OH,Profit &amp; Other Base'!$A:$V,Backend!BA$6,0),5),"")</f>
        <v/>
      </c>
      <c r="BB125" s="1" t="str">
        <f>IFERROR(ROUND(Backend!$AL125*VLOOKUP($F125,'OH,Profit &amp; Other Base'!$A:$V,Backend!BB$6,0),5),"")</f>
        <v/>
      </c>
      <c r="BC125" s="1" t="str">
        <f>IFERROR(ROUND(Backend!$AO125*VLOOKUP($F125,'OH,Profit &amp; Other Base'!$A:$V,Backend!BC$6,0),5),"")</f>
        <v/>
      </c>
      <c r="BD125" s="1" t="str">
        <f>IFERROR(ROUND(Backend!$AM125*VLOOKUP($F125,'OH,Profit &amp; Other Base'!$A:$V,Backend!BD$6,0),5),"")</f>
        <v/>
      </c>
      <c r="BE125" s="1" t="str">
        <f>IFERROR(ROUND(Backend!$AL125*VLOOKUP($F125,'OH,Profit &amp; Other Base'!$A:$V,Backend!BE$6,0),5),"")</f>
        <v/>
      </c>
      <c r="BF125" s="1" t="str">
        <f>IFERROR(ROUND(Backend!$AO125*VLOOKUP($F125,'OH,Profit &amp; Other Base'!$A:$V,Backend!BF$6,0),5),"")</f>
        <v/>
      </c>
      <c r="BG125" s="1" t="str">
        <f>IFERROR(ROUND(Backend!$AM125*VLOOKUP($F125,'OH,Profit &amp; Other Base'!$A:$V,Backend!BG$6,0),5),"")</f>
        <v/>
      </c>
      <c r="BH125" s="1" t="str">
        <f>IFERROR(ROUND(Backend!$AL125*VLOOKUP($F125,'OH,Profit &amp; Other Base'!$A:$V,Backend!BH$6,0),5),"")</f>
        <v/>
      </c>
      <c r="BI125" s="1" t="str">
        <f>IFERROR(ROUND(Backend!$AO125*VLOOKUP($F125,'OH,Profit &amp; Other Base'!$A:$V,Backend!BI$6,0),5),"")</f>
        <v/>
      </c>
      <c r="BJ125" s="1" t="str">
        <f>IFERROR(ROUND(Backend!$AM125*VLOOKUP($F125,'OH,Profit &amp; Other Base'!$A:$V,Backend!BJ$6,0),5),"")</f>
        <v/>
      </c>
      <c r="BK125" s="3">
        <f>SUM(AN125:BJ125,Backend!O125)</f>
        <v>0</v>
      </c>
    </row>
    <row r="126" spans="1:63">
      <c r="A126" s="1">
        <f>BOM!A121</f>
        <v>0</v>
      </c>
      <c r="B126" s="1">
        <f>BOM!B121</f>
        <v>0</v>
      </c>
      <c r="C126" s="1">
        <f>BOM!C121</f>
        <v>0</v>
      </c>
      <c r="D126" s="1">
        <f>BOM!D121</f>
        <v>0</v>
      </c>
      <c r="E126" s="1">
        <f>BOM!F121</f>
        <v>0</v>
      </c>
      <c r="F126" s="1" t="str">
        <f>IF(H126="CSC",BOM!H121,IF(J126="BOFOthers","Sheet Metal-B",""))</f>
        <v/>
      </c>
      <c r="G126" s="1">
        <f>BOM!I121</f>
        <v>0</v>
      </c>
      <c r="H126" s="1">
        <f>BOM!J121</f>
        <v>0</v>
      </c>
      <c r="I126" s="1" t="str">
        <f t="shared" si="7"/>
        <v>Others</v>
      </c>
      <c r="J126" s="1" t="str">
        <f t="shared" si="8"/>
        <v>0Others</v>
      </c>
      <c r="K126" s="3" t="str">
        <f>IF($J126="InhouseCSC",VLOOKUP($D126,Group!$C:$E,3,0),"")</f>
        <v/>
      </c>
      <c r="L126" s="3" t="str">
        <f>IF(OR($J126="BOSFCSC",$J126="BOFCSC"),VLOOKUP($D126,Group!$C:$E,3,0),"")</f>
        <v/>
      </c>
      <c r="M126" s="3" t="str">
        <f>IF(OR($J126="BOSFCSC",$J126="BOFCSC"),VLOOKUP($D126,Group!$C:$F,4,0),"")</f>
        <v/>
      </c>
      <c r="N126" s="3" t="str">
        <f>IF(OR($J126="InhouseCSC",$J126="BOSFCSC"),VLOOKUP($D126,Group!$C:$G,5,0),"")</f>
        <v/>
      </c>
      <c r="O126" s="3" t="str">
        <f>IF($J126="InhouseCSC",ROUND(VLOOKUP($D126,Group!$C:$H,6,0),5),"")</f>
        <v/>
      </c>
      <c r="P126" s="3" t="str">
        <f>IF(OR($J126="BOSFCSC",$J126="BOFCSC"),VLOOKUP($D126,Group!$C:$H,6,0),"")</f>
        <v/>
      </c>
      <c r="Q126" s="1" t="str">
        <f>IF($J126="Inhouseothers",VLOOKUP($D126,Group!$C:$E,3,0),"")</f>
        <v/>
      </c>
      <c r="R126" s="1" t="str">
        <f>IF($J126="BOSFOthers",VLOOKUP($D126,Group!$C:$E,3,0),"")</f>
        <v/>
      </c>
      <c r="S126" s="3" t="str">
        <f>IF($J126="BOFOthers",VLOOKUP($D126,Group!$C:$E,3,0),"")</f>
        <v/>
      </c>
      <c r="U126" s="1" t="str">
        <f>IFERROR(Backend!$L126*VLOOKUP($F126,'OH,Profit &amp; Other Base'!$A:$V,Backend!U$6,0),"")</f>
        <v/>
      </c>
      <c r="V126" s="1" t="str">
        <f>IFERROR(Backend!$M126*VLOOKUP($F126,'OH,Profit &amp; Other Base'!$A:$V,Backend!V$6,0),"")</f>
        <v/>
      </c>
      <c r="W126" s="1" t="str">
        <f>IFERROR(Backend!$L126*VLOOKUP($F126,'OH,Profit &amp; Other Base'!$A:$V,Backend!W$6,0),"")</f>
        <v/>
      </c>
      <c r="X126" s="1" t="str">
        <f>IFERROR(Backend!$M126*VLOOKUP($F126,'OH,Profit &amp; Other Base'!$A:$V,Backend!X$6,0),"")</f>
        <v/>
      </c>
      <c r="Y126" s="1" t="str">
        <f>IFERROR(Backend!$L126*VLOOKUP($F126,'OH,Profit &amp; Other Base'!$A:$V,Backend!Y$6,0),"")</f>
        <v/>
      </c>
      <c r="Z126" s="1" t="str">
        <f>IFERROR(Backend!$M126*VLOOKUP($F126,'OH,Profit &amp; Other Base'!$A:$V,Backend!Z$6,0),"")</f>
        <v/>
      </c>
      <c r="AA126" s="1" t="str">
        <f>IFERROR(Backend!$L126*VLOOKUP($F126,'OH,Profit &amp; Other Base'!$A:$V,Backend!AA$6,0),"")</f>
        <v/>
      </c>
      <c r="AB126" s="1" t="str">
        <f>IFERROR(Backend!$M126*VLOOKUP($F126,'OH,Profit &amp; Other Base'!$A:$V,Backend!AB$6,0),"")</f>
        <v/>
      </c>
      <c r="AC126" s="1" t="str">
        <f>IFERROR(Backend!$L126*VLOOKUP($F126,'OH,Profit &amp; Other Base'!$A:$V,Backend!AC$6,0),"")</f>
        <v/>
      </c>
      <c r="AD126" s="1" t="str">
        <f>IFERROR(Backend!$M126*VLOOKUP($F126,'OH,Profit &amp; Other Base'!$A:$V,Backend!AD$6,0),"")</f>
        <v/>
      </c>
      <c r="AE126" s="1" t="str">
        <f>IFERROR(Backend!$L126*VLOOKUP($F126,'OH,Profit &amp; Other Base'!$A:$V,Backend!AE$6,0),"")</f>
        <v/>
      </c>
      <c r="AF126" s="1" t="str">
        <f>IFERROR(Backend!$M126*VLOOKUP($F126,'OH,Profit &amp; Other Base'!$A:$V,Backend!AF$6,0),"")</f>
        <v/>
      </c>
      <c r="AG126" s="1" t="str">
        <f>IFERROR(Backend!$L126*VLOOKUP($F126,'OH,Profit &amp; Other Base'!$A:$V,Backend!AG$6,0),"")</f>
        <v/>
      </c>
      <c r="AH126" s="1" t="str">
        <f>IFERROR(Backend!$M126*VLOOKUP($F126,'OH,Profit &amp; Other Base'!$A:$V,Backend!AH$6,0),"")</f>
        <v/>
      </c>
      <c r="AI126" s="3">
        <f t="shared" si="9"/>
        <v>0</v>
      </c>
      <c r="AL126" s="1" t="str">
        <f t="shared" si="10"/>
        <v/>
      </c>
      <c r="AM126" s="1" t="str">
        <f t="shared" si="11"/>
        <v/>
      </c>
      <c r="AN126" s="1" t="str">
        <f t="shared" si="12"/>
        <v/>
      </c>
      <c r="AO126" s="1" t="str">
        <f t="shared" si="13"/>
        <v/>
      </c>
      <c r="AP126" s="1" t="str">
        <f>IFERROR(ROUND(Backend!$AL126*VLOOKUP($F126,'OH,Profit &amp; Other Base'!$A:$V,Backend!AP$6,0),5),"")</f>
        <v/>
      </c>
      <c r="AQ126" s="1" t="str">
        <f>IFERROR(ROUND(Backend!$AO126*VLOOKUP($F126,'OH,Profit &amp; Other Base'!$A:$V,Backend!AQ$6,0),5),"")</f>
        <v/>
      </c>
      <c r="AR126" s="1" t="str">
        <f>IFERROR(ROUND(Backend!$AM126*VLOOKUP($F126,'OH,Profit &amp; Other Base'!$A:$V,Backend!AR$6,0),5),"")</f>
        <v/>
      </c>
      <c r="AS126" s="1" t="str">
        <f>IFERROR(ROUND(Backend!$AL126*VLOOKUP($F126,'OH,Profit &amp; Other Base'!$A:$V,Backend!AS$6,0),5),"")</f>
        <v/>
      </c>
      <c r="AT126" s="1" t="str">
        <f>IFERROR(ROUND(Backend!$AO126*VLOOKUP($F126,'OH,Profit &amp; Other Base'!$A:$V,Backend!AT$6,0),5),"")</f>
        <v/>
      </c>
      <c r="AU126" s="1" t="str">
        <f>IFERROR(ROUND(Backend!$AM126*VLOOKUP($F126,'OH,Profit &amp; Other Base'!$A:$V,Backend!AU$6,0),5),"")</f>
        <v/>
      </c>
      <c r="AV126" s="1" t="str">
        <f>IFERROR(ROUND(Backend!$AL126*VLOOKUP($F126,'OH,Profit &amp; Other Base'!$A:$V,Backend!AV$6,0),5),"")</f>
        <v/>
      </c>
      <c r="AW126" s="1" t="str">
        <f>IFERROR(ROUND(Backend!$AO126*VLOOKUP($F126,'OH,Profit &amp; Other Base'!$A:$V,Backend!AW$6,0),5),"")</f>
        <v/>
      </c>
      <c r="AX126" s="1" t="str">
        <f>IFERROR(ROUND(Backend!$AM126*VLOOKUP($F126,'OH,Profit &amp; Other Base'!$A:$V,Backend!AX$6,0),5),"")</f>
        <v/>
      </c>
      <c r="AY126" s="1" t="str">
        <f>IFERROR(ROUND(Backend!$AL126*VLOOKUP($F126,'OH,Profit &amp; Other Base'!$A:$V,Backend!AY$6,0),5),"")</f>
        <v/>
      </c>
      <c r="AZ126" s="1" t="str">
        <f>IFERROR(ROUND(Backend!$AO126*VLOOKUP($F126,'OH,Profit &amp; Other Base'!$A:$V,Backend!AZ$6,0),5),"")</f>
        <v/>
      </c>
      <c r="BA126" s="1" t="str">
        <f>IFERROR(ROUND(Backend!$AM126*VLOOKUP($F126,'OH,Profit &amp; Other Base'!$A:$V,Backend!BA$6,0),5),"")</f>
        <v/>
      </c>
      <c r="BB126" s="1" t="str">
        <f>IFERROR(ROUND(Backend!$AL126*VLOOKUP($F126,'OH,Profit &amp; Other Base'!$A:$V,Backend!BB$6,0),5),"")</f>
        <v/>
      </c>
      <c r="BC126" s="1" t="str">
        <f>IFERROR(ROUND(Backend!$AO126*VLOOKUP($F126,'OH,Profit &amp; Other Base'!$A:$V,Backend!BC$6,0),5),"")</f>
        <v/>
      </c>
      <c r="BD126" s="1" t="str">
        <f>IFERROR(ROUND(Backend!$AM126*VLOOKUP($F126,'OH,Profit &amp; Other Base'!$A:$V,Backend!BD$6,0),5),"")</f>
        <v/>
      </c>
      <c r="BE126" s="1" t="str">
        <f>IFERROR(ROUND(Backend!$AL126*VLOOKUP($F126,'OH,Profit &amp; Other Base'!$A:$V,Backend!BE$6,0),5),"")</f>
        <v/>
      </c>
      <c r="BF126" s="1" t="str">
        <f>IFERROR(ROUND(Backend!$AO126*VLOOKUP($F126,'OH,Profit &amp; Other Base'!$A:$V,Backend!BF$6,0),5),"")</f>
        <v/>
      </c>
      <c r="BG126" s="1" t="str">
        <f>IFERROR(ROUND(Backend!$AM126*VLOOKUP($F126,'OH,Profit &amp; Other Base'!$A:$V,Backend!BG$6,0),5),"")</f>
        <v/>
      </c>
      <c r="BH126" s="1" t="str">
        <f>IFERROR(ROUND(Backend!$AL126*VLOOKUP($F126,'OH,Profit &amp; Other Base'!$A:$V,Backend!BH$6,0),5),"")</f>
        <v/>
      </c>
      <c r="BI126" s="1" t="str">
        <f>IFERROR(ROUND(Backend!$AO126*VLOOKUP($F126,'OH,Profit &amp; Other Base'!$A:$V,Backend!BI$6,0),5),"")</f>
        <v/>
      </c>
      <c r="BJ126" s="1" t="str">
        <f>IFERROR(ROUND(Backend!$AM126*VLOOKUP($F126,'OH,Profit &amp; Other Base'!$A:$V,Backend!BJ$6,0),5),"")</f>
        <v/>
      </c>
      <c r="BK126" s="3">
        <f>SUM(AN126:BJ126,Backend!O126)</f>
        <v>0</v>
      </c>
    </row>
    <row r="127" spans="1:63">
      <c r="A127" s="1">
        <f>BOM!A122</f>
        <v>0</v>
      </c>
      <c r="B127" s="1">
        <f>BOM!B122</f>
        <v>0</v>
      </c>
      <c r="C127" s="1">
        <f>BOM!C122</f>
        <v>0</v>
      </c>
      <c r="D127" s="1">
        <f>BOM!D122</f>
        <v>0</v>
      </c>
      <c r="E127" s="1">
        <f>BOM!F122</f>
        <v>0</v>
      </c>
      <c r="F127" s="1" t="str">
        <f>IF(H127="CSC",BOM!H122,IF(J127="BOFOthers","Sheet Metal-B",""))</f>
        <v/>
      </c>
      <c r="G127" s="1">
        <f>BOM!I122</f>
        <v>0</v>
      </c>
      <c r="H127" s="1">
        <f>BOM!J122</f>
        <v>0</v>
      </c>
      <c r="I127" s="1" t="str">
        <f t="shared" si="7"/>
        <v>Others</v>
      </c>
      <c r="J127" s="1" t="str">
        <f t="shared" si="8"/>
        <v>0Others</v>
      </c>
      <c r="K127" s="3" t="str">
        <f>IF($J127="InhouseCSC",VLOOKUP($D127,Group!$C:$E,3,0),"")</f>
        <v/>
      </c>
      <c r="L127" s="3" t="str">
        <f>IF(OR($J127="BOSFCSC",$J127="BOFCSC"),VLOOKUP($D127,Group!$C:$E,3,0),"")</f>
        <v/>
      </c>
      <c r="M127" s="3" t="str">
        <f>IF(OR($J127="BOSFCSC",$J127="BOFCSC"),VLOOKUP($D127,Group!$C:$F,4,0),"")</f>
        <v/>
      </c>
      <c r="N127" s="3" t="str">
        <f>IF(OR($J127="InhouseCSC",$J127="BOSFCSC"),VLOOKUP($D127,Group!$C:$G,5,0),"")</f>
        <v/>
      </c>
      <c r="O127" s="3" t="str">
        <f>IF($J127="InhouseCSC",ROUND(VLOOKUP($D127,Group!$C:$H,6,0),5),"")</f>
        <v/>
      </c>
      <c r="P127" s="3" t="str">
        <f>IF(OR($J127="BOSFCSC",$J127="BOFCSC"),VLOOKUP($D127,Group!$C:$H,6,0),"")</f>
        <v/>
      </c>
      <c r="Q127" s="1" t="str">
        <f>IF($J127="Inhouseothers",VLOOKUP($D127,Group!$C:$E,3,0),"")</f>
        <v/>
      </c>
      <c r="R127" s="1" t="str">
        <f>IF($J127="BOSFOthers",VLOOKUP($D127,Group!$C:$E,3,0),"")</f>
        <v/>
      </c>
      <c r="S127" s="3" t="str">
        <f>IF($J127="BOFOthers",VLOOKUP($D127,Group!$C:$E,3,0),"")</f>
        <v/>
      </c>
      <c r="U127" s="1" t="str">
        <f>IFERROR(Backend!$L127*VLOOKUP($F127,'OH,Profit &amp; Other Base'!$A:$V,Backend!U$6,0),"")</f>
        <v/>
      </c>
      <c r="V127" s="1" t="str">
        <f>IFERROR(Backend!$M127*VLOOKUP($F127,'OH,Profit &amp; Other Base'!$A:$V,Backend!V$6,0),"")</f>
        <v/>
      </c>
      <c r="W127" s="1" t="str">
        <f>IFERROR(Backend!$L127*VLOOKUP($F127,'OH,Profit &amp; Other Base'!$A:$V,Backend!W$6,0),"")</f>
        <v/>
      </c>
      <c r="X127" s="1" t="str">
        <f>IFERROR(Backend!$M127*VLOOKUP($F127,'OH,Profit &amp; Other Base'!$A:$V,Backend!X$6,0),"")</f>
        <v/>
      </c>
      <c r="Y127" s="1" t="str">
        <f>IFERROR(Backend!$L127*VLOOKUP($F127,'OH,Profit &amp; Other Base'!$A:$V,Backend!Y$6,0),"")</f>
        <v/>
      </c>
      <c r="Z127" s="1" t="str">
        <f>IFERROR(Backend!$M127*VLOOKUP($F127,'OH,Profit &amp; Other Base'!$A:$V,Backend!Z$6,0),"")</f>
        <v/>
      </c>
      <c r="AA127" s="1" t="str">
        <f>IFERROR(Backend!$L127*VLOOKUP($F127,'OH,Profit &amp; Other Base'!$A:$V,Backend!AA$6,0),"")</f>
        <v/>
      </c>
      <c r="AB127" s="1" t="str">
        <f>IFERROR(Backend!$M127*VLOOKUP($F127,'OH,Profit &amp; Other Base'!$A:$V,Backend!AB$6,0),"")</f>
        <v/>
      </c>
      <c r="AC127" s="1" t="str">
        <f>IFERROR(Backend!$L127*VLOOKUP($F127,'OH,Profit &amp; Other Base'!$A:$V,Backend!AC$6,0),"")</f>
        <v/>
      </c>
      <c r="AD127" s="1" t="str">
        <f>IFERROR(Backend!$M127*VLOOKUP($F127,'OH,Profit &amp; Other Base'!$A:$V,Backend!AD$6,0),"")</f>
        <v/>
      </c>
      <c r="AE127" s="1" t="str">
        <f>IFERROR(Backend!$L127*VLOOKUP($F127,'OH,Profit &amp; Other Base'!$A:$V,Backend!AE$6,0),"")</f>
        <v/>
      </c>
      <c r="AF127" s="1" t="str">
        <f>IFERROR(Backend!$M127*VLOOKUP($F127,'OH,Profit &amp; Other Base'!$A:$V,Backend!AF$6,0),"")</f>
        <v/>
      </c>
      <c r="AG127" s="1" t="str">
        <f>IFERROR(Backend!$L127*VLOOKUP($F127,'OH,Profit &amp; Other Base'!$A:$V,Backend!AG$6,0),"")</f>
        <v/>
      </c>
      <c r="AH127" s="1" t="str">
        <f>IFERROR(Backend!$M127*VLOOKUP($F127,'OH,Profit &amp; Other Base'!$A:$V,Backend!AH$6,0),"")</f>
        <v/>
      </c>
      <c r="AI127" s="3">
        <f t="shared" si="9"/>
        <v>0</v>
      </c>
      <c r="AL127" s="1" t="str">
        <f t="shared" si="10"/>
        <v/>
      </c>
      <c r="AM127" s="1" t="str">
        <f t="shared" si="11"/>
        <v/>
      </c>
      <c r="AN127" s="1" t="str">
        <f t="shared" si="12"/>
        <v/>
      </c>
      <c r="AO127" s="1" t="str">
        <f t="shared" si="13"/>
        <v/>
      </c>
      <c r="AP127" s="1" t="str">
        <f>IFERROR(ROUND(Backend!$AL127*VLOOKUP($F127,'OH,Profit &amp; Other Base'!$A:$V,Backend!AP$6,0),5),"")</f>
        <v/>
      </c>
      <c r="AQ127" s="1" t="str">
        <f>IFERROR(ROUND(Backend!$AO127*VLOOKUP($F127,'OH,Profit &amp; Other Base'!$A:$V,Backend!AQ$6,0),5),"")</f>
        <v/>
      </c>
      <c r="AR127" s="1" t="str">
        <f>IFERROR(ROUND(Backend!$AM127*VLOOKUP($F127,'OH,Profit &amp; Other Base'!$A:$V,Backend!AR$6,0),5),"")</f>
        <v/>
      </c>
      <c r="AS127" s="1" t="str">
        <f>IFERROR(ROUND(Backend!$AL127*VLOOKUP($F127,'OH,Profit &amp; Other Base'!$A:$V,Backend!AS$6,0),5),"")</f>
        <v/>
      </c>
      <c r="AT127" s="1" t="str">
        <f>IFERROR(ROUND(Backend!$AO127*VLOOKUP($F127,'OH,Profit &amp; Other Base'!$A:$V,Backend!AT$6,0),5),"")</f>
        <v/>
      </c>
      <c r="AU127" s="1" t="str">
        <f>IFERROR(ROUND(Backend!$AM127*VLOOKUP($F127,'OH,Profit &amp; Other Base'!$A:$V,Backend!AU$6,0),5),"")</f>
        <v/>
      </c>
      <c r="AV127" s="1" t="str">
        <f>IFERROR(ROUND(Backend!$AL127*VLOOKUP($F127,'OH,Profit &amp; Other Base'!$A:$V,Backend!AV$6,0),5),"")</f>
        <v/>
      </c>
      <c r="AW127" s="1" t="str">
        <f>IFERROR(ROUND(Backend!$AO127*VLOOKUP($F127,'OH,Profit &amp; Other Base'!$A:$V,Backend!AW$6,0),5),"")</f>
        <v/>
      </c>
      <c r="AX127" s="1" t="str">
        <f>IFERROR(ROUND(Backend!$AM127*VLOOKUP($F127,'OH,Profit &amp; Other Base'!$A:$V,Backend!AX$6,0),5),"")</f>
        <v/>
      </c>
      <c r="AY127" s="1" t="str">
        <f>IFERROR(ROUND(Backend!$AL127*VLOOKUP($F127,'OH,Profit &amp; Other Base'!$A:$V,Backend!AY$6,0),5),"")</f>
        <v/>
      </c>
      <c r="AZ127" s="1" t="str">
        <f>IFERROR(ROUND(Backend!$AO127*VLOOKUP($F127,'OH,Profit &amp; Other Base'!$A:$V,Backend!AZ$6,0),5),"")</f>
        <v/>
      </c>
      <c r="BA127" s="1" t="str">
        <f>IFERROR(ROUND(Backend!$AM127*VLOOKUP($F127,'OH,Profit &amp; Other Base'!$A:$V,Backend!BA$6,0),5),"")</f>
        <v/>
      </c>
      <c r="BB127" s="1" t="str">
        <f>IFERROR(ROUND(Backend!$AL127*VLOOKUP($F127,'OH,Profit &amp; Other Base'!$A:$V,Backend!BB$6,0),5),"")</f>
        <v/>
      </c>
      <c r="BC127" s="1" t="str">
        <f>IFERROR(ROUND(Backend!$AO127*VLOOKUP($F127,'OH,Profit &amp; Other Base'!$A:$V,Backend!BC$6,0),5),"")</f>
        <v/>
      </c>
      <c r="BD127" s="1" t="str">
        <f>IFERROR(ROUND(Backend!$AM127*VLOOKUP($F127,'OH,Profit &amp; Other Base'!$A:$V,Backend!BD$6,0),5),"")</f>
        <v/>
      </c>
      <c r="BE127" s="1" t="str">
        <f>IFERROR(ROUND(Backend!$AL127*VLOOKUP($F127,'OH,Profit &amp; Other Base'!$A:$V,Backend!BE$6,0),5),"")</f>
        <v/>
      </c>
      <c r="BF127" s="1" t="str">
        <f>IFERROR(ROUND(Backend!$AO127*VLOOKUP($F127,'OH,Profit &amp; Other Base'!$A:$V,Backend!BF$6,0),5),"")</f>
        <v/>
      </c>
      <c r="BG127" s="1" t="str">
        <f>IFERROR(ROUND(Backend!$AM127*VLOOKUP($F127,'OH,Profit &amp; Other Base'!$A:$V,Backend!BG$6,0),5),"")</f>
        <v/>
      </c>
      <c r="BH127" s="1" t="str">
        <f>IFERROR(ROUND(Backend!$AL127*VLOOKUP($F127,'OH,Profit &amp; Other Base'!$A:$V,Backend!BH$6,0),5),"")</f>
        <v/>
      </c>
      <c r="BI127" s="1" t="str">
        <f>IFERROR(ROUND(Backend!$AO127*VLOOKUP($F127,'OH,Profit &amp; Other Base'!$A:$V,Backend!BI$6,0),5),"")</f>
        <v/>
      </c>
      <c r="BJ127" s="1" t="str">
        <f>IFERROR(ROUND(Backend!$AM127*VLOOKUP($F127,'OH,Profit &amp; Other Base'!$A:$V,Backend!BJ$6,0),5),"")</f>
        <v/>
      </c>
      <c r="BK127" s="3">
        <f>SUM(AN127:BJ127,Backend!O127)</f>
        <v>0</v>
      </c>
    </row>
    <row r="128" spans="1:63">
      <c r="A128" s="1">
        <f>BOM!A123</f>
        <v>0</v>
      </c>
      <c r="B128" s="1">
        <f>BOM!B123</f>
        <v>0</v>
      </c>
      <c r="C128" s="1">
        <f>BOM!C123</f>
        <v>0</v>
      </c>
      <c r="D128" s="1">
        <f>BOM!D123</f>
        <v>0</v>
      </c>
      <c r="E128" s="1">
        <f>BOM!F123</f>
        <v>0</v>
      </c>
      <c r="F128" s="1" t="str">
        <f>IF(H128="CSC",BOM!H123,IF(J128="BOFOthers","Sheet Metal-B",""))</f>
        <v/>
      </c>
      <c r="G128" s="1">
        <f>BOM!I123</f>
        <v>0</v>
      </c>
      <c r="H128" s="1">
        <f>BOM!J123</f>
        <v>0</v>
      </c>
      <c r="I128" s="1" t="str">
        <f t="shared" si="7"/>
        <v>Others</v>
      </c>
      <c r="J128" s="1" t="str">
        <f t="shared" si="8"/>
        <v>0Others</v>
      </c>
      <c r="K128" s="3" t="str">
        <f>IF($J128="InhouseCSC",VLOOKUP($D128,Group!$C:$E,3,0),"")</f>
        <v/>
      </c>
      <c r="L128" s="3" t="str">
        <f>IF(OR($J128="BOSFCSC",$J128="BOFCSC"),VLOOKUP($D128,Group!$C:$E,3,0),"")</f>
        <v/>
      </c>
      <c r="M128" s="3" t="str">
        <f>IF(OR($J128="BOSFCSC",$J128="BOFCSC"),VLOOKUP($D128,Group!$C:$F,4,0),"")</f>
        <v/>
      </c>
      <c r="N128" s="3" t="str">
        <f>IF(OR($J128="InhouseCSC",$J128="BOSFCSC"),VLOOKUP($D128,Group!$C:$G,5,0),"")</f>
        <v/>
      </c>
      <c r="O128" s="3" t="str">
        <f>IF($J128="InhouseCSC",ROUND(VLOOKUP($D128,Group!$C:$H,6,0),5),"")</f>
        <v/>
      </c>
      <c r="P128" s="3" t="str">
        <f>IF(OR($J128="BOSFCSC",$J128="BOFCSC"),VLOOKUP($D128,Group!$C:$H,6,0),"")</f>
        <v/>
      </c>
      <c r="Q128" s="1" t="str">
        <f>IF($J128="Inhouseothers",VLOOKUP($D128,Group!$C:$E,3,0),"")</f>
        <v/>
      </c>
      <c r="R128" s="1" t="str">
        <f>IF($J128="BOSFOthers",VLOOKUP($D128,Group!$C:$E,3,0),"")</f>
        <v/>
      </c>
      <c r="S128" s="3" t="str">
        <f>IF($J128="BOFOthers",VLOOKUP($D128,Group!$C:$E,3,0),"")</f>
        <v/>
      </c>
      <c r="U128" s="1" t="str">
        <f>IFERROR(Backend!$L128*VLOOKUP($F128,'OH,Profit &amp; Other Base'!$A:$V,Backend!U$6,0),"")</f>
        <v/>
      </c>
      <c r="V128" s="1" t="str">
        <f>IFERROR(Backend!$M128*VLOOKUP($F128,'OH,Profit &amp; Other Base'!$A:$V,Backend!V$6,0),"")</f>
        <v/>
      </c>
      <c r="W128" s="1" t="str">
        <f>IFERROR(Backend!$L128*VLOOKUP($F128,'OH,Profit &amp; Other Base'!$A:$V,Backend!W$6,0),"")</f>
        <v/>
      </c>
      <c r="X128" s="1" t="str">
        <f>IFERROR(Backend!$M128*VLOOKUP($F128,'OH,Profit &amp; Other Base'!$A:$V,Backend!X$6,0),"")</f>
        <v/>
      </c>
      <c r="Y128" s="1" t="str">
        <f>IFERROR(Backend!$L128*VLOOKUP($F128,'OH,Profit &amp; Other Base'!$A:$V,Backend!Y$6,0),"")</f>
        <v/>
      </c>
      <c r="Z128" s="1" t="str">
        <f>IFERROR(Backend!$M128*VLOOKUP($F128,'OH,Profit &amp; Other Base'!$A:$V,Backend!Z$6,0),"")</f>
        <v/>
      </c>
      <c r="AA128" s="1" t="str">
        <f>IFERROR(Backend!$L128*VLOOKUP($F128,'OH,Profit &amp; Other Base'!$A:$V,Backend!AA$6,0),"")</f>
        <v/>
      </c>
      <c r="AB128" s="1" t="str">
        <f>IFERROR(Backend!$M128*VLOOKUP($F128,'OH,Profit &amp; Other Base'!$A:$V,Backend!AB$6,0),"")</f>
        <v/>
      </c>
      <c r="AC128" s="1" t="str">
        <f>IFERROR(Backend!$L128*VLOOKUP($F128,'OH,Profit &amp; Other Base'!$A:$V,Backend!AC$6,0),"")</f>
        <v/>
      </c>
      <c r="AD128" s="1" t="str">
        <f>IFERROR(Backend!$M128*VLOOKUP($F128,'OH,Profit &amp; Other Base'!$A:$V,Backend!AD$6,0),"")</f>
        <v/>
      </c>
      <c r="AE128" s="1" t="str">
        <f>IFERROR(Backend!$L128*VLOOKUP($F128,'OH,Profit &amp; Other Base'!$A:$V,Backend!AE$6,0),"")</f>
        <v/>
      </c>
      <c r="AF128" s="1" t="str">
        <f>IFERROR(Backend!$M128*VLOOKUP($F128,'OH,Profit &amp; Other Base'!$A:$V,Backend!AF$6,0),"")</f>
        <v/>
      </c>
      <c r="AG128" s="1" t="str">
        <f>IFERROR(Backend!$L128*VLOOKUP($F128,'OH,Profit &amp; Other Base'!$A:$V,Backend!AG$6,0),"")</f>
        <v/>
      </c>
      <c r="AH128" s="1" t="str">
        <f>IFERROR(Backend!$M128*VLOOKUP($F128,'OH,Profit &amp; Other Base'!$A:$V,Backend!AH$6,0),"")</f>
        <v/>
      </c>
      <c r="AI128" s="3">
        <f t="shared" si="9"/>
        <v>0</v>
      </c>
      <c r="AL128" s="1" t="str">
        <f t="shared" si="10"/>
        <v/>
      </c>
      <c r="AM128" s="1" t="str">
        <f t="shared" si="11"/>
        <v/>
      </c>
      <c r="AN128" s="1" t="str">
        <f t="shared" si="12"/>
        <v/>
      </c>
      <c r="AO128" s="1" t="str">
        <f t="shared" si="13"/>
        <v/>
      </c>
      <c r="AP128" s="1" t="str">
        <f>IFERROR(ROUND(Backend!$AL128*VLOOKUP($F128,'OH,Profit &amp; Other Base'!$A:$V,Backend!AP$6,0),5),"")</f>
        <v/>
      </c>
      <c r="AQ128" s="1" t="str">
        <f>IFERROR(ROUND(Backend!$AO128*VLOOKUP($F128,'OH,Profit &amp; Other Base'!$A:$V,Backend!AQ$6,0),5),"")</f>
        <v/>
      </c>
      <c r="AR128" s="1" t="str">
        <f>IFERROR(ROUND(Backend!$AM128*VLOOKUP($F128,'OH,Profit &amp; Other Base'!$A:$V,Backend!AR$6,0),5),"")</f>
        <v/>
      </c>
      <c r="AS128" s="1" t="str">
        <f>IFERROR(ROUND(Backend!$AL128*VLOOKUP($F128,'OH,Profit &amp; Other Base'!$A:$V,Backend!AS$6,0),5),"")</f>
        <v/>
      </c>
      <c r="AT128" s="1" t="str">
        <f>IFERROR(ROUND(Backend!$AO128*VLOOKUP($F128,'OH,Profit &amp; Other Base'!$A:$V,Backend!AT$6,0),5),"")</f>
        <v/>
      </c>
      <c r="AU128" s="1" t="str">
        <f>IFERROR(ROUND(Backend!$AM128*VLOOKUP($F128,'OH,Profit &amp; Other Base'!$A:$V,Backend!AU$6,0),5),"")</f>
        <v/>
      </c>
      <c r="AV128" s="1" t="str">
        <f>IFERROR(ROUND(Backend!$AL128*VLOOKUP($F128,'OH,Profit &amp; Other Base'!$A:$V,Backend!AV$6,0),5),"")</f>
        <v/>
      </c>
      <c r="AW128" s="1" t="str">
        <f>IFERROR(ROUND(Backend!$AO128*VLOOKUP($F128,'OH,Profit &amp; Other Base'!$A:$V,Backend!AW$6,0),5),"")</f>
        <v/>
      </c>
      <c r="AX128" s="1" t="str">
        <f>IFERROR(ROUND(Backend!$AM128*VLOOKUP($F128,'OH,Profit &amp; Other Base'!$A:$V,Backend!AX$6,0),5),"")</f>
        <v/>
      </c>
      <c r="AY128" s="1" t="str">
        <f>IFERROR(ROUND(Backend!$AL128*VLOOKUP($F128,'OH,Profit &amp; Other Base'!$A:$V,Backend!AY$6,0),5),"")</f>
        <v/>
      </c>
      <c r="AZ128" s="1" t="str">
        <f>IFERROR(ROUND(Backend!$AO128*VLOOKUP($F128,'OH,Profit &amp; Other Base'!$A:$V,Backend!AZ$6,0),5),"")</f>
        <v/>
      </c>
      <c r="BA128" s="1" t="str">
        <f>IFERROR(ROUND(Backend!$AM128*VLOOKUP($F128,'OH,Profit &amp; Other Base'!$A:$V,Backend!BA$6,0),5),"")</f>
        <v/>
      </c>
      <c r="BB128" s="1" t="str">
        <f>IFERROR(ROUND(Backend!$AL128*VLOOKUP($F128,'OH,Profit &amp; Other Base'!$A:$V,Backend!BB$6,0),5),"")</f>
        <v/>
      </c>
      <c r="BC128" s="1" t="str">
        <f>IFERROR(ROUND(Backend!$AO128*VLOOKUP($F128,'OH,Profit &amp; Other Base'!$A:$V,Backend!BC$6,0),5),"")</f>
        <v/>
      </c>
      <c r="BD128" s="1" t="str">
        <f>IFERROR(ROUND(Backend!$AM128*VLOOKUP($F128,'OH,Profit &amp; Other Base'!$A:$V,Backend!BD$6,0),5),"")</f>
        <v/>
      </c>
      <c r="BE128" s="1" t="str">
        <f>IFERROR(ROUND(Backend!$AL128*VLOOKUP($F128,'OH,Profit &amp; Other Base'!$A:$V,Backend!BE$6,0),5),"")</f>
        <v/>
      </c>
      <c r="BF128" s="1" t="str">
        <f>IFERROR(ROUND(Backend!$AO128*VLOOKUP($F128,'OH,Profit &amp; Other Base'!$A:$V,Backend!BF$6,0),5),"")</f>
        <v/>
      </c>
      <c r="BG128" s="1" t="str">
        <f>IFERROR(ROUND(Backend!$AM128*VLOOKUP($F128,'OH,Profit &amp; Other Base'!$A:$V,Backend!BG$6,0),5),"")</f>
        <v/>
      </c>
      <c r="BH128" s="1" t="str">
        <f>IFERROR(ROUND(Backend!$AL128*VLOOKUP($F128,'OH,Profit &amp; Other Base'!$A:$V,Backend!BH$6,0),5),"")</f>
        <v/>
      </c>
      <c r="BI128" s="1" t="str">
        <f>IFERROR(ROUND(Backend!$AO128*VLOOKUP($F128,'OH,Profit &amp; Other Base'!$A:$V,Backend!BI$6,0),5),"")</f>
        <v/>
      </c>
      <c r="BJ128" s="1" t="str">
        <f>IFERROR(ROUND(Backend!$AM128*VLOOKUP($F128,'OH,Profit &amp; Other Base'!$A:$V,Backend!BJ$6,0),5),"")</f>
        <v/>
      </c>
      <c r="BK128" s="3">
        <f>SUM(AN128:BJ128,Backend!O128)</f>
        <v>0</v>
      </c>
    </row>
    <row r="129" spans="1:63">
      <c r="A129" s="1">
        <f>BOM!A124</f>
        <v>0</v>
      </c>
      <c r="B129" s="1">
        <f>BOM!B124</f>
        <v>0</v>
      </c>
      <c r="C129" s="1">
        <f>BOM!C124</f>
        <v>0</v>
      </c>
      <c r="D129" s="1">
        <f>BOM!D124</f>
        <v>0</v>
      </c>
      <c r="E129" s="1">
        <f>BOM!F124</f>
        <v>0</v>
      </c>
      <c r="F129" s="1" t="str">
        <f>IF(H129="CSC",BOM!H124,IF(J129="BOFOthers","Sheet Metal-B",""))</f>
        <v/>
      </c>
      <c r="G129" s="1">
        <f>BOM!I124</f>
        <v>0</v>
      </c>
      <c r="H129" s="1">
        <f>BOM!J124</f>
        <v>0</v>
      </c>
      <c r="I129" s="1" t="str">
        <f t="shared" si="7"/>
        <v>Others</v>
      </c>
      <c r="J129" s="1" t="str">
        <f t="shared" si="8"/>
        <v>0Others</v>
      </c>
      <c r="K129" s="3" t="str">
        <f>IF($J129="InhouseCSC",VLOOKUP($D129,Group!$C:$E,3,0),"")</f>
        <v/>
      </c>
      <c r="L129" s="3" t="str">
        <f>IF(OR($J129="BOSFCSC",$J129="BOFCSC"),VLOOKUP($D129,Group!$C:$E,3,0),"")</f>
        <v/>
      </c>
      <c r="M129" s="3" t="str">
        <f>IF(OR($J129="BOSFCSC",$J129="BOFCSC"),VLOOKUP($D129,Group!$C:$F,4,0),"")</f>
        <v/>
      </c>
      <c r="N129" s="3" t="str">
        <f>IF(OR($J129="InhouseCSC",$J129="BOSFCSC"),VLOOKUP($D129,Group!$C:$G,5,0),"")</f>
        <v/>
      </c>
      <c r="O129" s="3" t="str">
        <f>IF($J129="InhouseCSC",ROUND(VLOOKUP($D129,Group!$C:$H,6,0),5),"")</f>
        <v/>
      </c>
      <c r="P129" s="3" t="str">
        <f>IF(OR($J129="BOSFCSC",$J129="BOFCSC"),VLOOKUP($D129,Group!$C:$H,6,0),"")</f>
        <v/>
      </c>
      <c r="Q129" s="1" t="str">
        <f>IF($J129="Inhouseothers",VLOOKUP($D129,Group!$C:$E,3,0),"")</f>
        <v/>
      </c>
      <c r="R129" s="1" t="str">
        <f>IF($J129="BOSFOthers",VLOOKUP($D129,Group!$C:$E,3,0),"")</f>
        <v/>
      </c>
      <c r="S129" s="3" t="str">
        <f>IF($J129="BOFOthers",VLOOKUP($D129,Group!$C:$E,3,0),"")</f>
        <v/>
      </c>
      <c r="U129" s="1" t="str">
        <f>IFERROR(Backend!$L129*VLOOKUP($F129,'OH,Profit &amp; Other Base'!$A:$V,Backend!U$6,0),"")</f>
        <v/>
      </c>
      <c r="V129" s="1" t="str">
        <f>IFERROR(Backend!$M129*VLOOKUP($F129,'OH,Profit &amp; Other Base'!$A:$V,Backend!V$6,0),"")</f>
        <v/>
      </c>
      <c r="W129" s="1" t="str">
        <f>IFERROR(Backend!$L129*VLOOKUP($F129,'OH,Profit &amp; Other Base'!$A:$V,Backend!W$6,0),"")</f>
        <v/>
      </c>
      <c r="X129" s="1" t="str">
        <f>IFERROR(Backend!$M129*VLOOKUP($F129,'OH,Profit &amp; Other Base'!$A:$V,Backend!X$6,0),"")</f>
        <v/>
      </c>
      <c r="Y129" s="1" t="str">
        <f>IFERROR(Backend!$L129*VLOOKUP($F129,'OH,Profit &amp; Other Base'!$A:$V,Backend!Y$6,0),"")</f>
        <v/>
      </c>
      <c r="Z129" s="1" t="str">
        <f>IFERROR(Backend!$M129*VLOOKUP($F129,'OH,Profit &amp; Other Base'!$A:$V,Backend!Z$6,0),"")</f>
        <v/>
      </c>
      <c r="AA129" s="1" t="str">
        <f>IFERROR(Backend!$L129*VLOOKUP($F129,'OH,Profit &amp; Other Base'!$A:$V,Backend!AA$6,0),"")</f>
        <v/>
      </c>
      <c r="AB129" s="1" t="str">
        <f>IFERROR(Backend!$M129*VLOOKUP($F129,'OH,Profit &amp; Other Base'!$A:$V,Backend!AB$6,0),"")</f>
        <v/>
      </c>
      <c r="AC129" s="1" t="str">
        <f>IFERROR(Backend!$L129*VLOOKUP($F129,'OH,Profit &amp; Other Base'!$A:$V,Backend!AC$6,0),"")</f>
        <v/>
      </c>
      <c r="AD129" s="1" t="str">
        <f>IFERROR(Backend!$M129*VLOOKUP($F129,'OH,Profit &amp; Other Base'!$A:$V,Backend!AD$6,0),"")</f>
        <v/>
      </c>
      <c r="AE129" s="1" t="str">
        <f>IFERROR(Backend!$L129*VLOOKUP($F129,'OH,Profit &amp; Other Base'!$A:$V,Backend!AE$6,0),"")</f>
        <v/>
      </c>
      <c r="AF129" s="1" t="str">
        <f>IFERROR(Backend!$M129*VLOOKUP($F129,'OH,Profit &amp; Other Base'!$A:$V,Backend!AF$6,0),"")</f>
        <v/>
      </c>
      <c r="AG129" s="1" t="str">
        <f>IFERROR(Backend!$L129*VLOOKUP($F129,'OH,Profit &amp; Other Base'!$A:$V,Backend!AG$6,0),"")</f>
        <v/>
      </c>
      <c r="AH129" s="1" t="str">
        <f>IFERROR(Backend!$M129*VLOOKUP($F129,'OH,Profit &amp; Other Base'!$A:$V,Backend!AH$6,0),"")</f>
        <v/>
      </c>
      <c r="AI129" s="3">
        <f t="shared" si="9"/>
        <v>0</v>
      </c>
      <c r="AL129" s="1" t="str">
        <f t="shared" si="10"/>
        <v/>
      </c>
      <c r="AM129" s="1" t="str">
        <f t="shared" si="11"/>
        <v/>
      </c>
      <c r="AN129" s="1" t="str">
        <f t="shared" si="12"/>
        <v/>
      </c>
      <c r="AO129" s="1" t="str">
        <f t="shared" si="13"/>
        <v/>
      </c>
      <c r="AP129" s="1" t="str">
        <f>IFERROR(ROUND(Backend!$AL129*VLOOKUP($F129,'OH,Profit &amp; Other Base'!$A:$V,Backend!AP$6,0),5),"")</f>
        <v/>
      </c>
      <c r="AQ129" s="1" t="str">
        <f>IFERROR(ROUND(Backend!$AO129*VLOOKUP($F129,'OH,Profit &amp; Other Base'!$A:$V,Backend!AQ$6,0),5),"")</f>
        <v/>
      </c>
      <c r="AR129" s="1" t="str">
        <f>IFERROR(ROUND(Backend!$AM129*VLOOKUP($F129,'OH,Profit &amp; Other Base'!$A:$V,Backend!AR$6,0),5),"")</f>
        <v/>
      </c>
      <c r="AS129" s="1" t="str">
        <f>IFERROR(ROUND(Backend!$AL129*VLOOKUP($F129,'OH,Profit &amp; Other Base'!$A:$V,Backend!AS$6,0),5),"")</f>
        <v/>
      </c>
      <c r="AT129" s="1" t="str">
        <f>IFERROR(ROUND(Backend!$AO129*VLOOKUP($F129,'OH,Profit &amp; Other Base'!$A:$V,Backend!AT$6,0),5),"")</f>
        <v/>
      </c>
      <c r="AU129" s="1" t="str">
        <f>IFERROR(ROUND(Backend!$AM129*VLOOKUP($F129,'OH,Profit &amp; Other Base'!$A:$V,Backend!AU$6,0),5),"")</f>
        <v/>
      </c>
      <c r="AV129" s="1" t="str">
        <f>IFERROR(ROUND(Backend!$AL129*VLOOKUP($F129,'OH,Profit &amp; Other Base'!$A:$V,Backend!AV$6,0),5),"")</f>
        <v/>
      </c>
      <c r="AW129" s="1" t="str">
        <f>IFERROR(ROUND(Backend!$AO129*VLOOKUP($F129,'OH,Profit &amp; Other Base'!$A:$V,Backend!AW$6,0),5),"")</f>
        <v/>
      </c>
      <c r="AX129" s="1" t="str">
        <f>IFERROR(ROUND(Backend!$AM129*VLOOKUP($F129,'OH,Profit &amp; Other Base'!$A:$V,Backend!AX$6,0),5),"")</f>
        <v/>
      </c>
      <c r="AY129" s="1" t="str">
        <f>IFERROR(ROUND(Backend!$AL129*VLOOKUP($F129,'OH,Profit &amp; Other Base'!$A:$V,Backend!AY$6,0),5),"")</f>
        <v/>
      </c>
      <c r="AZ129" s="1" t="str">
        <f>IFERROR(ROUND(Backend!$AO129*VLOOKUP($F129,'OH,Profit &amp; Other Base'!$A:$V,Backend!AZ$6,0),5),"")</f>
        <v/>
      </c>
      <c r="BA129" s="1" t="str">
        <f>IFERROR(ROUND(Backend!$AM129*VLOOKUP($F129,'OH,Profit &amp; Other Base'!$A:$V,Backend!BA$6,0),5),"")</f>
        <v/>
      </c>
      <c r="BB129" s="1" t="str">
        <f>IFERROR(ROUND(Backend!$AL129*VLOOKUP($F129,'OH,Profit &amp; Other Base'!$A:$V,Backend!BB$6,0),5),"")</f>
        <v/>
      </c>
      <c r="BC129" s="1" t="str">
        <f>IFERROR(ROUND(Backend!$AO129*VLOOKUP($F129,'OH,Profit &amp; Other Base'!$A:$V,Backend!BC$6,0),5),"")</f>
        <v/>
      </c>
      <c r="BD129" s="1" t="str">
        <f>IFERROR(ROUND(Backend!$AM129*VLOOKUP($F129,'OH,Profit &amp; Other Base'!$A:$V,Backend!BD$6,0),5),"")</f>
        <v/>
      </c>
      <c r="BE129" s="1" t="str">
        <f>IFERROR(ROUND(Backend!$AL129*VLOOKUP($F129,'OH,Profit &amp; Other Base'!$A:$V,Backend!BE$6,0),5),"")</f>
        <v/>
      </c>
      <c r="BF129" s="1" t="str">
        <f>IFERROR(ROUND(Backend!$AO129*VLOOKUP($F129,'OH,Profit &amp; Other Base'!$A:$V,Backend!BF$6,0),5),"")</f>
        <v/>
      </c>
      <c r="BG129" s="1" t="str">
        <f>IFERROR(ROUND(Backend!$AM129*VLOOKUP($F129,'OH,Profit &amp; Other Base'!$A:$V,Backend!BG$6,0),5),"")</f>
        <v/>
      </c>
      <c r="BH129" s="1" t="str">
        <f>IFERROR(ROUND(Backend!$AL129*VLOOKUP($F129,'OH,Profit &amp; Other Base'!$A:$V,Backend!BH$6,0),5),"")</f>
        <v/>
      </c>
      <c r="BI129" s="1" t="str">
        <f>IFERROR(ROUND(Backend!$AO129*VLOOKUP($F129,'OH,Profit &amp; Other Base'!$A:$V,Backend!BI$6,0),5),"")</f>
        <v/>
      </c>
      <c r="BJ129" s="1" t="str">
        <f>IFERROR(ROUND(Backend!$AM129*VLOOKUP($F129,'OH,Profit &amp; Other Base'!$A:$V,Backend!BJ$6,0),5),"")</f>
        <v/>
      </c>
      <c r="BK129" s="3">
        <f>SUM(AN129:BJ129,Backend!O129)</f>
        <v>0</v>
      </c>
    </row>
    <row r="130" spans="1:63">
      <c r="A130" s="1">
        <f>BOM!A125</f>
        <v>0</v>
      </c>
      <c r="B130" s="1">
        <f>BOM!B125</f>
        <v>0</v>
      </c>
      <c r="C130" s="1">
        <f>BOM!C125</f>
        <v>0</v>
      </c>
      <c r="D130" s="1">
        <f>BOM!D125</f>
        <v>0</v>
      </c>
      <c r="E130" s="1">
        <f>BOM!F125</f>
        <v>0</v>
      </c>
      <c r="F130" s="1" t="str">
        <f>IF(H130="CSC",BOM!H125,IF(J130="BOFOthers","Sheet Metal-B",""))</f>
        <v/>
      </c>
      <c r="G130" s="1">
        <f>BOM!I125</f>
        <v>0</v>
      </c>
      <c r="H130" s="1">
        <f>BOM!J125</f>
        <v>0</v>
      </c>
      <c r="I130" s="1" t="str">
        <f t="shared" ref="I130:I185" si="14">IF(G130="Assy","",IF(H130="CSC","CSC","Others"))</f>
        <v>Others</v>
      </c>
      <c r="J130" s="1" t="str">
        <f t="shared" ref="J130:J185" si="15">CONCATENATE(G130,I130)</f>
        <v>0Others</v>
      </c>
      <c r="K130" s="3" t="str">
        <f>IF($J130="InhouseCSC",VLOOKUP($D130,Group!$C:$E,3,0),"")</f>
        <v/>
      </c>
      <c r="L130" s="3" t="str">
        <f>IF(OR($J130="BOSFCSC",$J130="BOFCSC"),VLOOKUP($D130,Group!$C:$E,3,0),"")</f>
        <v/>
      </c>
      <c r="M130" s="3" t="str">
        <f>IF(OR($J130="BOSFCSC",$J130="BOFCSC"),VLOOKUP($D130,Group!$C:$F,4,0),"")</f>
        <v/>
      </c>
      <c r="N130" s="3" t="str">
        <f>IF(OR($J130="InhouseCSC",$J130="BOSFCSC"),VLOOKUP($D130,Group!$C:$G,5,0),"")</f>
        <v/>
      </c>
      <c r="O130" s="3" t="str">
        <f>IF($J130="InhouseCSC",ROUND(VLOOKUP($D130,Group!$C:$H,6,0),5),"")</f>
        <v/>
      </c>
      <c r="P130" s="3" t="str">
        <f>IF(OR($J130="BOSFCSC",$J130="BOFCSC"),VLOOKUP($D130,Group!$C:$H,6,0),"")</f>
        <v/>
      </c>
      <c r="Q130" s="1" t="str">
        <f>IF($J130="Inhouseothers",VLOOKUP($D130,Group!$C:$E,3,0),"")</f>
        <v/>
      </c>
      <c r="R130" s="1" t="str">
        <f>IF($J130="BOSFOthers",VLOOKUP($D130,Group!$C:$E,3,0),"")</f>
        <v/>
      </c>
      <c r="S130" s="3" t="str">
        <f>IF($J130="BOFOthers",VLOOKUP($D130,Group!$C:$E,3,0),"")</f>
        <v/>
      </c>
      <c r="U130" s="1" t="str">
        <f>IFERROR(Backend!$L130*VLOOKUP($F130,'OH,Profit &amp; Other Base'!$A:$V,Backend!U$6,0),"")</f>
        <v/>
      </c>
      <c r="V130" s="1" t="str">
        <f>IFERROR(Backend!$M130*VLOOKUP($F130,'OH,Profit &amp; Other Base'!$A:$V,Backend!V$6,0),"")</f>
        <v/>
      </c>
      <c r="W130" s="1" t="str">
        <f>IFERROR(Backend!$L130*VLOOKUP($F130,'OH,Profit &amp; Other Base'!$A:$V,Backend!W$6,0),"")</f>
        <v/>
      </c>
      <c r="X130" s="1" t="str">
        <f>IFERROR(Backend!$M130*VLOOKUP($F130,'OH,Profit &amp; Other Base'!$A:$V,Backend!X$6,0),"")</f>
        <v/>
      </c>
      <c r="Y130" s="1" t="str">
        <f>IFERROR(Backend!$L130*VLOOKUP($F130,'OH,Profit &amp; Other Base'!$A:$V,Backend!Y$6,0),"")</f>
        <v/>
      </c>
      <c r="Z130" s="1" t="str">
        <f>IFERROR(Backend!$M130*VLOOKUP($F130,'OH,Profit &amp; Other Base'!$A:$V,Backend!Z$6,0),"")</f>
        <v/>
      </c>
      <c r="AA130" s="1" t="str">
        <f>IFERROR(Backend!$L130*VLOOKUP($F130,'OH,Profit &amp; Other Base'!$A:$V,Backend!AA$6,0),"")</f>
        <v/>
      </c>
      <c r="AB130" s="1" t="str">
        <f>IFERROR(Backend!$M130*VLOOKUP($F130,'OH,Profit &amp; Other Base'!$A:$V,Backend!AB$6,0),"")</f>
        <v/>
      </c>
      <c r="AC130" s="1" t="str">
        <f>IFERROR(Backend!$L130*VLOOKUP($F130,'OH,Profit &amp; Other Base'!$A:$V,Backend!AC$6,0),"")</f>
        <v/>
      </c>
      <c r="AD130" s="1" t="str">
        <f>IFERROR(Backend!$M130*VLOOKUP($F130,'OH,Profit &amp; Other Base'!$A:$V,Backend!AD$6,0),"")</f>
        <v/>
      </c>
      <c r="AE130" s="1" t="str">
        <f>IFERROR(Backend!$L130*VLOOKUP($F130,'OH,Profit &amp; Other Base'!$A:$V,Backend!AE$6,0),"")</f>
        <v/>
      </c>
      <c r="AF130" s="1" t="str">
        <f>IFERROR(Backend!$M130*VLOOKUP($F130,'OH,Profit &amp; Other Base'!$A:$V,Backend!AF$6,0),"")</f>
        <v/>
      </c>
      <c r="AG130" s="1" t="str">
        <f>IFERROR(Backend!$L130*VLOOKUP($F130,'OH,Profit &amp; Other Base'!$A:$V,Backend!AG$6,0),"")</f>
        <v/>
      </c>
      <c r="AH130" s="1" t="str">
        <f>IFERROR(Backend!$M130*VLOOKUP($F130,'OH,Profit &amp; Other Base'!$A:$V,Backend!AH$6,0),"")</f>
        <v/>
      </c>
      <c r="AI130" s="3">
        <f t="shared" ref="AI130:AI185" si="16">SUM(L130,M130,P130,U130:AH130)</f>
        <v>0</v>
      </c>
      <c r="AL130" s="1" t="str">
        <f t="shared" ref="AL130:AL185" si="17">IF($J130="InhouseCSC",K130,IF($J130="BOSFCSC",AI130,""))</f>
        <v/>
      </c>
      <c r="AM130" s="1" t="str">
        <f t="shared" ref="AM130:AM185" si="18">IF(J130="BOFCSC",AI130,IF(J130="BOFOthers",S130,""))</f>
        <v/>
      </c>
      <c r="AN130" s="1" t="str">
        <f t="shared" ref="AN130:AN185" si="19">IFERROR(ROUND(IF(OR(J130="InhouseCSC",J130="BOSFCSC"),AL130,IF(OR(J130="BOFCSC",J130="BOFOthers"),AM130,IF(J130="InhouseOthers",Q130,IF(J130="BOSFOthers",R130,"")))),5),"")</f>
        <v/>
      </c>
      <c r="AO130" s="1" t="str">
        <f t="shared" ref="AO130:AO185" si="20">IFERROR(ROUND(IF(OR($J130="InhouseCSC",$J130="BOSFCSC"),N130,""),5),"")</f>
        <v/>
      </c>
      <c r="AP130" s="1" t="str">
        <f>IFERROR(ROUND(Backend!$AL130*VLOOKUP($F130,'OH,Profit &amp; Other Base'!$A:$V,Backend!AP$6,0),5),"")</f>
        <v/>
      </c>
      <c r="AQ130" s="1" t="str">
        <f>IFERROR(ROUND(Backend!$AO130*VLOOKUP($F130,'OH,Profit &amp; Other Base'!$A:$V,Backend!AQ$6,0),5),"")</f>
        <v/>
      </c>
      <c r="AR130" s="1" t="str">
        <f>IFERROR(ROUND(Backend!$AM130*VLOOKUP($F130,'OH,Profit &amp; Other Base'!$A:$V,Backend!AR$6,0),5),"")</f>
        <v/>
      </c>
      <c r="AS130" s="1" t="str">
        <f>IFERROR(ROUND(Backend!$AL130*VLOOKUP($F130,'OH,Profit &amp; Other Base'!$A:$V,Backend!AS$6,0),5),"")</f>
        <v/>
      </c>
      <c r="AT130" s="1" t="str">
        <f>IFERROR(ROUND(Backend!$AO130*VLOOKUP($F130,'OH,Profit &amp; Other Base'!$A:$V,Backend!AT$6,0),5),"")</f>
        <v/>
      </c>
      <c r="AU130" s="1" t="str">
        <f>IFERROR(ROUND(Backend!$AM130*VLOOKUP($F130,'OH,Profit &amp; Other Base'!$A:$V,Backend!AU$6,0),5),"")</f>
        <v/>
      </c>
      <c r="AV130" s="1" t="str">
        <f>IFERROR(ROUND(Backend!$AL130*VLOOKUP($F130,'OH,Profit &amp; Other Base'!$A:$V,Backend!AV$6,0),5),"")</f>
        <v/>
      </c>
      <c r="AW130" s="1" t="str">
        <f>IFERROR(ROUND(Backend!$AO130*VLOOKUP($F130,'OH,Profit &amp; Other Base'!$A:$V,Backend!AW$6,0),5),"")</f>
        <v/>
      </c>
      <c r="AX130" s="1" t="str">
        <f>IFERROR(ROUND(Backend!$AM130*VLOOKUP($F130,'OH,Profit &amp; Other Base'!$A:$V,Backend!AX$6,0),5),"")</f>
        <v/>
      </c>
      <c r="AY130" s="1" t="str">
        <f>IFERROR(ROUND(Backend!$AL130*VLOOKUP($F130,'OH,Profit &amp; Other Base'!$A:$V,Backend!AY$6,0),5),"")</f>
        <v/>
      </c>
      <c r="AZ130" s="1" t="str">
        <f>IFERROR(ROUND(Backend!$AO130*VLOOKUP($F130,'OH,Profit &amp; Other Base'!$A:$V,Backend!AZ$6,0),5),"")</f>
        <v/>
      </c>
      <c r="BA130" s="1" t="str">
        <f>IFERROR(ROUND(Backend!$AM130*VLOOKUP($F130,'OH,Profit &amp; Other Base'!$A:$V,Backend!BA$6,0),5),"")</f>
        <v/>
      </c>
      <c r="BB130" s="1" t="str">
        <f>IFERROR(ROUND(Backend!$AL130*VLOOKUP($F130,'OH,Profit &amp; Other Base'!$A:$V,Backend!BB$6,0),5),"")</f>
        <v/>
      </c>
      <c r="BC130" s="1" t="str">
        <f>IFERROR(ROUND(Backend!$AO130*VLOOKUP($F130,'OH,Profit &amp; Other Base'!$A:$V,Backend!BC$6,0),5),"")</f>
        <v/>
      </c>
      <c r="BD130" s="1" t="str">
        <f>IFERROR(ROUND(Backend!$AM130*VLOOKUP($F130,'OH,Profit &amp; Other Base'!$A:$V,Backend!BD$6,0),5),"")</f>
        <v/>
      </c>
      <c r="BE130" s="1" t="str">
        <f>IFERROR(ROUND(Backend!$AL130*VLOOKUP($F130,'OH,Profit &amp; Other Base'!$A:$V,Backend!BE$6,0),5),"")</f>
        <v/>
      </c>
      <c r="BF130" s="1" t="str">
        <f>IFERROR(ROUND(Backend!$AO130*VLOOKUP($F130,'OH,Profit &amp; Other Base'!$A:$V,Backend!BF$6,0),5),"")</f>
        <v/>
      </c>
      <c r="BG130" s="1" t="str">
        <f>IFERROR(ROUND(Backend!$AM130*VLOOKUP($F130,'OH,Profit &amp; Other Base'!$A:$V,Backend!BG$6,0),5),"")</f>
        <v/>
      </c>
      <c r="BH130" s="1" t="str">
        <f>IFERROR(ROUND(Backend!$AL130*VLOOKUP($F130,'OH,Profit &amp; Other Base'!$A:$V,Backend!BH$6,0),5),"")</f>
        <v/>
      </c>
      <c r="BI130" s="1" t="str">
        <f>IFERROR(ROUND(Backend!$AO130*VLOOKUP($F130,'OH,Profit &amp; Other Base'!$A:$V,Backend!BI$6,0),5),"")</f>
        <v/>
      </c>
      <c r="BJ130" s="1" t="str">
        <f>IFERROR(ROUND(Backend!$AM130*VLOOKUP($F130,'OH,Profit &amp; Other Base'!$A:$V,Backend!BJ$6,0),5),"")</f>
        <v/>
      </c>
      <c r="BK130" s="3">
        <f>SUM(AN130:BJ130,Backend!O130)</f>
        <v>0</v>
      </c>
    </row>
    <row r="131" spans="1:63">
      <c r="A131" s="1">
        <f>BOM!A126</f>
        <v>0</v>
      </c>
      <c r="B131" s="1">
        <f>BOM!B126</f>
        <v>0</v>
      </c>
      <c r="C131" s="1">
        <f>BOM!C126</f>
        <v>0</v>
      </c>
      <c r="D131" s="1">
        <f>BOM!D126</f>
        <v>0</v>
      </c>
      <c r="E131" s="1">
        <f>BOM!F126</f>
        <v>0</v>
      </c>
      <c r="F131" s="1" t="str">
        <f>IF(H131="CSC",BOM!H126,IF(J131="BOFOthers","Sheet Metal-B",""))</f>
        <v/>
      </c>
      <c r="G131" s="1">
        <f>BOM!I126</f>
        <v>0</v>
      </c>
      <c r="H131" s="1">
        <f>BOM!J126</f>
        <v>0</v>
      </c>
      <c r="I131" s="1" t="str">
        <f t="shared" si="14"/>
        <v>Others</v>
      </c>
      <c r="J131" s="1" t="str">
        <f t="shared" si="15"/>
        <v>0Others</v>
      </c>
      <c r="K131" s="3" t="str">
        <f>IF($J131="InhouseCSC",VLOOKUP($D131,Group!$C:$E,3,0),"")</f>
        <v/>
      </c>
      <c r="L131" s="3" t="str">
        <f>IF(OR($J131="BOSFCSC",$J131="BOFCSC"),VLOOKUP($D131,Group!$C:$E,3,0),"")</f>
        <v/>
      </c>
      <c r="M131" s="3" t="str">
        <f>IF(OR($J131="BOSFCSC",$J131="BOFCSC"),VLOOKUP($D131,Group!$C:$F,4,0),"")</f>
        <v/>
      </c>
      <c r="N131" s="3" t="str">
        <f>IF(OR($J131="InhouseCSC",$J131="BOSFCSC"),VLOOKUP($D131,Group!$C:$G,5,0),"")</f>
        <v/>
      </c>
      <c r="O131" s="3" t="str">
        <f>IF($J131="InhouseCSC",ROUND(VLOOKUP($D131,Group!$C:$H,6,0),5),"")</f>
        <v/>
      </c>
      <c r="P131" s="3" t="str">
        <f>IF(OR($J131="BOSFCSC",$J131="BOFCSC"),VLOOKUP($D131,Group!$C:$H,6,0),"")</f>
        <v/>
      </c>
      <c r="Q131" s="1" t="str">
        <f>IF($J131="Inhouseothers",VLOOKUP($D131,Group!$C:$E,3,0),"")</f>
        <v/>
      </c>
      <c r="R131" s="1" t="str">
        <f>IF($J131="BOSFOthers",VLOOKUP($D131,Group!$C:$E,3,0),"")</f>
        <v/>
      </c>
      <c r="S131" s="3" t="str">
        <f>IF($J131="BOFOthers",VLOOKUP($D131,Group!$C:$E,3,0),"")</f>
        <v/>
      </c>
      <c r="U131" s="1" t="str">
        <f>IFERROR(Backend!$L131*VLOOKUP($F131,'OH,Profit &amp; Other Base'!$A:$V,Backend!U$6,0),"")</f>
        <v/>
      </c>
      <c r="V131" s="1" t="str">
        <f>IFERROR(Backend!$M131*VLOOKUP($F131,'OH,Profit &amp; Other Base'!$A:$V,Backend!V$6,0),"")</f>
        <v/>
      </c>
      <c r="W131" s="1" t="str">
        <f>IFERROR(Backend!$L131*VLOOKUP($F131,'OH,Profit &amp; Other Base'!$A:$V,Backend!W$6,0),"")</f>
        <v/>
      </c>
      <c r="X131" s="1" t="str">
        <f>IFERROR(Backend!$M131*VLOOKUP($F131,'OH,Profit &amp; Other Base'!$A:$V,Backend!X$6,0),"")</f>
        <v/>
      </c>
      <c r="Y131" s="1" t="str">
        <f>IFERROR(Backend!$L131*VLOOKUP($F131,'OH,Profit &amp; Other Base'!$A:$V,Backend!Y$6,0),"")</f>
        <v/>
      </c>
      <c r="Z131" s="1" t="str">
        <f>IFERROR(Backend!$M131*VLOOKUP($F131,'OH,Profit &amp; Other Base'!$A:$V,Backend!Z$6,0),"")</f>
        <v/>
      </c>
      <c r="AA131" s="1" t="str">
        <f>IFERROR(Backend!$L131*VLOOKUP($F131,'OH,Profit &amp; Other Base'!$A:$V,Backend!AA$6,0),"")</f>
        <v/>
      </c>
      <c r="AB131" s="1" t="str">
        <f>IFERROR(Backend!$M131*VLOOKUP($F131,'OH,Profit &amp; Other Base'!$A:$V,Backend!AB$6,0),"")</f>
        <v/>
      </c>
      <c r="AC131" s="1" t="str">
        <f>IFERROR(Backend!$L131*VLOOKUP($F131,'OH,Profit &amp; Other Base'!$A:$V,Backend!AC$6,0),"")</f>
        <v/>
      </c>
      <c r="AD131" s="1" t="str">
        <f>IFERROR(Backend!$M131*VLOOKUP($F131,'OH,Profit &amp; Other Base'!$A:$V,Backend!AD$6,0),"")</f>
        <v/>
      </c>
      <c r="AE131" s="1" t="str">
        <f>IFERROR(Backend!$L131*VLOOKUP($F131,'OH,Profit &amp; Other Base'!$A:$V,Backend!AE$6,0),"")</f>
        <v/>
      </c>
      <c r="AF131" s="1" t="str">
        <f>IFERROR(Backend!$M131*VLOOKUP($F131,'OH,Profit &amp; Other Base'!$A:$V,Backend!AF$6,0),"")</f>
        <v/>
      </c>
      <c r="AG131" s="1" t="str">
        <f>IFERROR(Backend!$L131*VLOOKUP($F131,'OH,Profit &amp; Other Base'!$A:$V,Backend!AG$6,0),"")</f>
        <v/>
      </c>
      <c r="AH131" s="1" t="str">
        <f>IFERROR(Backend!$M131*VLOOKUP($F131,'OH,Profit &amp; Other Base'!$A:$V,Backend!AH$6,0),"")</f>
        <v/>
      </c>
      <c r="AI131" s="3">
        <f t="shared" si="16"/>
        <v>0</v>
      </c>
      <c r="AL131" s="1" t="str">
        <f t="shared" si="17"/>
        <v/>
      </c>
      <c r="AM131" s="1" t="str">
        <f t="shared" si="18"/>
        <v/>
      </c>
      <c r="AN131" s="1" t="str">
        <f t="shared" si="19"/>
        <v/>
      </c>
      <c r="AO131" s="1" t="str">
        <f t="shared" si="20"/>
        <v/>
      </c>
      <c r="AP131" s="1" t="str">
        <f>IFERROR(ROUND(Backend!$AL131*VLOOKUP($F131,'OH,Profit &amp; Other Base'!$A:$V,Backend!AP$6,0),5),"")</f>
        <v/>
      </c>
      <c r="AQ131" s="1" t="str">
        <f>IFERROR(ROUND(Backend!$AO131*VLOOKUP($F131,'OH,Profit &amp; Other Base'!$A:$V,Backend!AQ$6,0),5),"")</f>
        <v/>
      </c>
      <c r="AR131" s="1" t="str">
        <f>IFERROR(ROUND(Backend!$AM131*VLOOKUP($F131,'OH,Profit &amp; Other Base'!$A:$V,Backend!AR$6,0),5),"")</f>
        <v/>
      </c>
      <c r="AS131" s="1" t="str">
        <f>IFERROR(ROUND(Backend!$AL131*VLOOKUP($F131,'OH,Profit &amp; Other Base'!$A:$V,Backend!AS$6,0),5),"")</f>
        <v/>
      </c>
      <c r="AT131" s="1" t="str">
        <f>IFERROR(ROUND(Backend!$AO131*VLOOKUP($F131,'OH,Profit &amp; Other Base'!$A:$V,Backend!AT$6,0),5),"")</f>
        <v/>
      </c>
      <c r="AU131" s="1" t="str">
        <f>IFERROR(ROUND(Backend!$AM131*VLOOKUP($F131,'OH,Profit &amp; Other Base'!$A:$V,Backend!AU$6,0),5),"")</f>
        <v/>
      </c>
      <c r="AV131" s="1" t="str">
        <f>IFERROR(ROUND(Backend!$AL131*VLOOKUP($F131,'OH,Profit &amp; Other Base'!$A:$V,Backend!AV$6,0),5),"")</f>
        <v/>
      </c>
      <c r="AW131" s="1" t="str">
        <f>IFERROR(ROUND(Backend!$AO131*VLOOKUP($F131,'OH,Profit &amp; Other Base'!$A:$V,Backend!AW$6,0),5),"")</f>
        <v/>
      </c>
      <c r="AX131" s="1" t="str">
        <f>IFERROR(ROUND(Backend!$AM131*VLOOKUP($F131,'OH,Profit &amp; Other Base'!$A:$V,Backend!AX$6,0),5),"")</f>
        <v/>
      </c>
      <c r="AY131" s="1" t="str">
        <f>IFERROR(ROUND(Backend!$AL131*VLOOKUP($F131,'OH,Profit &amp; Other Base'!$A:$V,Backend!AY$6,0),5),"")</f>
        <v/>
      </c>
      <c r="AZ131" s="1" t="str">
        <f>IFERROR(ROUND(Backend!$AO131*VLOOKUP($F131,'OH,Profit &amp; Other Base'!$A:$V,Backend!AZ$6,0),5),"")</f>
        <v/>
      </c>
      <c r="BA131" s="1" t="str">
        <f>IFERROR(ROUND(Backend!$AM131*VLOOKUP($F131,'OH,Profit &amp; Other Base'!$A:$V,Backend!BA$6,0),5),"")</f>
        <v/>
      </c>
      <c r="BB131" s="1" t="str">
        <f>IFERROR(ROUND(Backend!$AL131*VLOOKUP($F131,'OH,Profit &amp; Other Base'!$A:$V,Backend!BB$6,0),5),"")</f>
        <v/>
      </c>
      <c r="BC131" s="1" t="str">
        <f>IFERROR(ROUND(Backend!$AO131*VLOOKUP($F131,'OH,Profit &amp; Other Base'!$A:$V,Backend!BC$6,0),5),"")</f>
        <v/>
      </c>
      <c r="BD131" s="1" t="str">
        <f>IFERROR(ROUND(Backend!$AM131*VLOOKUP($F131,'OH,Profit &amp; Other Base'!$A:$V,Backend!BD$6,0),5),"")</f>
        <v/>
      </c>
      <c r="BE131" s="1" t="str">
        <f>IFERROR(ROUND(Backend!$AL131*VLOOKUP($F131,'OH,Profit &amp; Other Base'!$A:$V,Backend!BE$6,0),5),"")</f>
        <v/>
      </c>
      <c r="BF131" s="1" t="str">
        <f>IFERROR(ROUND(Backend!$AO131*VLOOKUP($F131,'OH,Profit &amp; Other Base'!$A:$V,Backend!BF$6,0),5),"")</f>
        <v/>
      </c>
      <c r="BG131" s="1" t="str">
        <f>IFERROR(ROUND(Backend!$AM131*VLOOKUP($F131,'OH,Profit &amp; Other Base'!$A:$V,Backend!BG$6,0),5),"")</f>
        <v/>
      </c>
      <c r="BH131" s="1" t="str">
        <f>IFERROR(ROUND(Backend!$AL131*VLOOKUP($F131,'OH,Profit &amp; Other Base'!$A:$V,Backend!BH$6,0),5),"")</f>
        <v/>
      </c>
      <c r="BI131" s="1" t="str">
        <f>IFERROR(ROUND(Backend!$AO131*VLOOKUP($F131,'OH,Profit &amp; Other Base'!$A:$V,Backend!BI$6,0),5),"")</f>
        <v/>
      </c>
      <c r="BJ131" s="1" t="str">
        <f>IFERROR(ROUND(Backend!$AM131*VLOOKUP($F131,'OH,Profit &amp; Other Base'!$A:$V,Backend!BJ$6,0),5),"")</f>
        <v/>
      </c>
      <c r="BK131" s="3">
        <f>SUM(AN131:BJ131,Backend!O131)</f>
        <v>0</v>
      </c>
    </row>
    <row r="132" spans="1:63">
      <c r="A132" s="1">
        <f>BOM!A127</f>
        <v>0</v>
      </c>
      <c r="B132" s="1">
        <f>BOM!B127</f>
        <v>0</v>
      </c>
      <c r="C132" s="1">
        <f>BOM!C127</f>
        <v>0</v>
      </c>
      <c r="D132" s="1">
        <f>BOM!D127</f>
        <v>0</v>
      </c>
      <c r="E132" s="1">
        <f>BOM!F127</f>
        <v>0</v>
      </c>
      <c r="F132" s="1" t="str">
        <f>IF(H132="CSC",BOM!H127,IF(J132="BOFOthers","Sheet Metal-B",""))</f>
        <v/>
      </c>
      <c r="G132" s="1">
        <f>BOM!I127</f>
        <v>0</v>
      </c>
      <c r="H132" s="1">
        <f>BOM!J127</f>
        <v>0</v>
      </c>
      <c r="I132" s="1" t="str">
        <f t="shared" si="14"/>
        <v>Others</v>
      </c>
      <c r="J132" s="1" t="str">
        <f t="shared" si="15"/>
        <v>0Others</v>
      </c>
      <c r="K132" s="3" t="str">
        <f>IF($J132="InhouseCSC",VLOOKUP($D132,Group!$C:$E,3,0),"")</f>
        <v/>
      </c>
      <c r="L132" s="3" t="str">
        <f>IF(OR($J132="BOSFCSC",$J132="BOFCSC"),VLOOKUP($D132,Group!$C:$E,3,0),"")</f>
        <v/>
      </c>
      <c r="M132" s="3" t="str">
        <f>IF(OR($J132="BOSFCSC",$J132="BOFCSC"),VLOOKUP($D132,Group!$C:$F,4,0),"")</f>
        <v/>
      </c>
      <c r="N132" s="3" t="str">
        <f>IF(OR($J132="InhouseCSC",$J132="BOSFCSC"),VLOOKUP($D132,Group!$C:$G,5,0),"")</f>
        <v/>
      </c>
      <c r="O132" s="3" t="str">
        <f>IF($J132="InhouseCSC",ROUND(VLOOKUP($D132,Group!$C:$H,6,0),5),"")</f>
        <v/>
      </c>
      <c r="P132" s="3" t="str">
        <f>IF(OR($J132="BOSFCSC",$J132="BOFCSC"),VLOOKUP($D132,Group!$C:$H,6,0),"")</f>
        <v/>
      </c>
      <c r="Q132" s="1" t="str">
        <f>IF($J132="Inhouseothers",VLOOKUP($D132,Group!$C:$E,3,0),"")</f>
        <v/>
      </c>
      <c r="R132" s="1" t="str">
        <f>IF($J132="BOSFOthers",VLOOKUP($D132,Group!$C:$E,3,0),"")</f>
        <v/>
      </c>
      <c r="S132" s="3" t="str">
        <f>IF($J132="BOFOthers",VLOOKUP($D132,Group!$C:$E,3,0),"")</f>
        <v/>
      </c>
      <c r="U132" s="1" t="str">
        <f>IFERROR(Backend!$L132*VLOOKUP($F132,'OH,Profit &amp; Other Base'!$A:$V,Backend!U$6,0),"")</f>
        <v/>
      </c>
      <c r="V132" s="1" t="str">
        <f>IFERROR(Backend!$M132*VLOOKUP($F132,'OH,Profit &amp; Other Base'!$A:$V,Backend!V$6,0),"")</f>
        <v/>
      </c>
      <c r="W132" s="1" t="str">
        <f>IFERROR(Backend!$L132*VLOOKUP($F132,'OH,Profit &amp; Other Base'!$A:$V,Backend!W$6,0),"")</f>
        <v/>
      </c>
      <c r="X132" s="1" t="str">
        <f>IFERROR(Backend!$M132*VLOOKUP($F132,'OH,Profit &amp; Other Base'!$A:$V,Backend!X$6,0),"")</f>
        <v/>
      </c>
      <c r="Y132" s="1" t="str">
        <f>IFERROR(Backend!$L132*VLOOKUP($F132,'OH,Profit &amp; Other Base'!$A:$V,Backend!Y$6,0),"")</f>
        <v/>
      </c>
      <c r="Z132" s="1" t="str">
        <f>IFERROR(Backend!$M132*VLOOKUP($F132,'OH,Profit &amp; Other Base'!$A:$V,Backend!Z$6,0),"")</f>
        <v/>
      </c>
      <c r="AA132" s="1" t="str">
        <f>IFERROR(Backend!$L132*VLOOKUP($F132,'OH,Profit &amp; Other Base'!$A:$V,Backend!AA$6,0),"")</f>
        <v/>
      </c>
      <c r="AB132" s="1" t="str">
        <f>IFERROR(Backend!$M132*VLOOKUP($F132,'OH,Profit &amp; Other Base'!$A:$V,Backend!AB$6,0),"")</f>
        <v/>
      </c>
      <c r="AC132" s="1" t="str">
        <f>IFERROR(Backend!$L132*VLOOKUP($F132,'OH,Profit &amp; Other Base'!$A:$V,Backend!AC$6,0),"")</f>
        <v/>
      </c>
      <c r="AD132" s="1" t="str">
        <f>IFERROR(Backend!$M132*VLOOKUP($F132,'OH,Profit &amp; Other Base'!$A:$V,Backend!AD$6,0),"")</f>
        <v/>
      </c>
      <c r="AE132" s="1" t="str">
        <f>IFERROR(Backend!$L132*VLOOKUP($F132,'OH,Profit &amp; Other Base'!$A:$V,Backend!AE$6,0),"")</f>
        <v/>
      </c>
      <c r="AF132" s="1" t="str">
        <f>IFERROR(Backend!$M132*VLOOKUP($F132,'OH,Profit &amp; Other Base'!$A:$V,Backend!AF$6,0),"")</f>
        <v/>
      </c>
      <c r="AG132" s="1" t="str">
        <f>IFERROR(Backend!$L132*VLOOKUP($F132,'OH,Profit &amp; Other Base'!$A:$V,Backend!AG$6,0),"")</f>
        <v/>
      </c>
      <c r="AH132" s="1" t="str">
        <f>IFERROR(Backend!$M132*VLOOKUP($F132,'OH,Profit &amp; Other Base'!$A:$V,Backend!AH$6,0),"")</f>
        <v/>
      </c>
      <c r="AI132" s="3">
        <f t="shared" si="16"/>
        <v>0</v>
      </c>
      <c r="AL132" s="1" t="str">
        <f t="shared" si="17"/>
        <v/>
      </c>
      <c r="AM132" s="1" t="str">
        <f t="shared" si="18"/>
        <v/>
      </c>
      <c r="AN132" s="1" t="str">
        <f t="shared" si="19"/>
        <v/>
      </c>
      <c r="AO132" s="1" t="str">
        <f t="shared" si="20"/>
        <v/>
      </c>
      <c r="AP132" s="1" t="str">
        <f>IFERROR(ROUND(Backend!$AL132*VLOOKUP($F132,'OH,Profit &amp; Other Base'!$A:$V,Backend!AP$6,0),5),"")</f>
        <v/>
      </c>
      <c r="AQ132" s="1" t="str">
        <f>IFERROR(ROUND(Backend!$AO132*VLOOKUP($F132,'OH,Profit &amp; Other Base'!$A:$V,Backend!AQ$6,0),5),"")</f>
        <v/>
      </c>
      <c r="AR132" s="1" t="str">
        <f>IFERROR(ROUND(Backend!$AM132*VLOOKUP($F132,'OH,Profit &amp; Other Base'!$A:$V,Backend!AR$6,0),5),"")</f>
        <v/>
      </c>
      <c r="AS132" s="1" t="str">
        <f>IFERROR(ROUND(Backend!$AL132*VLOOKUP($F132,'OH,Profit &amp; Other Base'!$A:$V,Backend!AS$6,0),5),"")</f>
        <v/>
      </c>
      <c r="AT132" s="1" t="str">
        <f>IFERROR(ROUND(Backend!$AO132*VLOOKUP($F132,'OH,Profit &amp; Other Base'!$A:$V,Backend!AT$6,0),5),"")</f>
        <v/>
      </c>
      <c r="AU132" s="1" t="str">
        <f>IFERROR(ROUND(Backend!$AM132*VLOOKUP($F132,'OH,Profit &amp; Other Base'!$A:$V,Backend!AU$6,0),5),"")</f>
        <v/>
      </c>
      <c r="AV132" s="1" t="str">
        <f>IFERROR(ROUND(Backend!$AL132*VLOOKUP($F132,'OH,Profit &amp; Other Base'!$A:$V,Backend!AV$6,0),5),"")</f>
        <v/>
      </c>
      <c r="AW132" s="1" t="str">
        <f>IFERROR(ROUND(Backend!$AO132*VLOOKUP($F132,'OH,Profit &amp; Other Base'!$A:$V,Backend!AW$6,0),5),"")</f>
        <v/>
      </c>
      <c r="AX132" s="1" t="str">
        <f>IFERROR(ROUND(Backend!$AM132*VLOOKUP($F132,'OH,Profit &amp; Other Base'!$A:$V,Backend!AX$6,0),5),"")</f>
        <v/>
      </c>
      <c r="AY132" s="1" t="str">
        <f>IFERROR(ROUND(Backend!$AL132*VLOOKUP($F132,'OH,Profit &amp; Other Base'!$A:$V,Backend!AY$6,0),5),"")</f>
        <v/>
      </c>
      <c r="AZ132" s="1" t="str">
        <f>IFERROR(ROUND(Backend!$AO132*VLOOKUP($F132,'OH,Profit &amp; Other Base'!$A:$V,Backend!AZ$6,0),5),"")</f>
        <v/>
      </c>
      <c r="BA132" s="1" t="str">
        <f>IFERROR(ROUND(Backend!$AM132*VLOOKUP($F132,'OH,Profit &amp; Other Base'!$A:$V,Backend!BA$6,0),5),"")</f>
        <v/>
      </c>
      <c r="BB132" s="1" t="str">
        <f>IFERROR(ROUND(Backend!$AL132*VLOOKUP($F132,'OH,Profit &amp; Other Base'!$A:$V,Backend!BB$6,0),5),"")</f>
        <v/>
      </c>
      <c r="BC132" s="1" t="str">
        <f>IFERROR(ROUND(Backend!$AO132*VLOOKUP($F132,'OH,Profit &amp; Other Base'!$A:$V,Backend!BC$6,0),5),"")</f>
        <v/>
      </c>
      <c r="BD132" s="1" t="str">
        <f>IFERROR(ROUND(Backend!$AM132*VLOOKUP($F132,'OH,Profit &amp; Other Base'!$A:$V,Backend!BD$6,0),5),"")</f>
        <v/>
      </c>
      <c r="BE132" s="1" t="str">
        <f>IFERROR(ROUND(Backend!$AL132*VLOOKUP($F132,'OH,Profit &amp; Other Base'!$A:$V,Backend!BE$6,0),5),"")</f>
        <v/>
      </c>
      <c r="BF132" s="1" t="str">
        <f>IFERROR(ROUND(Backend!$AO132*VLOOKUP($F132,'OH,Profit &amp; Other Base'!$A:$V,Backend!BF$6,0),5),"")</f>
        <v/>
      </c>
      <c r="BG132" s="1" t="str">
        <f>IFERROR(ROUND(Backend!$AM132*VLOOKUP($F132,'OH,Profit &amp; Other Base'!$A:$V,Backend!BG$6,0),5),"")</f>
        <v/>
      </c>
      <c r="BH132" s="1" t="str">
        <f>IFERROR(ROUND(Backend!$AL132*VLOOKUP($F132,'OH,Profit &amp; Other Base'!$A:$V,Backend!BH$6,0),5),"")</f>
        <v/>
      </c>
      <c r="BI132" s="1" t="str">
        <f>IFERROR(ROUND(Backend!$AO132*VLOOKUP($F132,'OH,Profit &amp; Other Base'!$A:$V,Backend!BI$6,0),5),"")</f>
        <v/>
      </c>
      <c r="BJ132" s="1" t="str">
        <f>IFERROR(ROUND(Backend!$AM132*VLOOKUP($F132,'OH,Profit &amp; Other Base'!$A:$V,Backend!BJ$6,0),5),"")</f>
        <v/>
      </c>
      <c r="BK132" s="3">
        <f>SUM(AN132:BJ132,Backend!O132)</f>
        <v>0</v>
      </c>
    </row>
    <row r="133" spans="1:63">
      <c r="A133" s="1">
        <f>BOM!A128</f>
        <v>0</v>
      </c>
      <c r="B133" s="1">
        <f>BOM!B128</f>
        <v>0</v>
      </c>
      <c r="C133" s="1">
        <f>BOM!C128</f>
        <v>0</v>
      </c>
      <c r="D133" s="1">
        <f>BOM!D128</f>
        <v>0</v>
      </c>
      <c r="E133" s="1">
        <f>BOM!F128</f>
        <v>0</v>
      </c>
      <c r="F133" s="1" t="str">
        <f>IF(H133="CSC",BOM!H128,IF(J133="BOFOthers","Sheet Metal-B",""))</f>
        <v/>
      </c>
      <c r="G133" s="1">
        <f>BOM!I128</f>
        <v>0</v>
      </c>
      <c r="H133" s="1">
        <f>BOM!J128</f>
        <v>0</v>
      </c>
      <c r="I133" s="1" t="str">
        <f t="shared" si="14"/>
        <v>Others</v>
      </c>
      <c r="J133" s="1" t="str">
        <f t="shared" si="15"/>
        <v>0Others</v>
      </c>
      <c r="K133" s="3" t="str">
        <f>IF($J133="InhouseCSC",VLOOKUP($D133,Group!$C:$E,3,0),"")</f>
        <v/>
      </c>
      <c r="L133" s="3" t="str">
        <f>IF(OR($J133="BOSFCSC",$J133="BOFCSC"),VLOOKUP($D133,Group!$C:$E,3,0),"")</f>
        <v/>
      </c>
      <c r="M133" s="3" t="str">
        <f>IF(OR($J133="BOSFCSC",$J133="BOFCSC"),VLOOKUP($D133,Group!$C:$F,4,0),"")</f>
        <v/>
      </c>
      <c r="N133" s="3" t="str">
        <f>IF(OR($J133="InhouseCSC",$J133="BOSFCSC"),VLOOKUP($D133,Group!$C:$G,5,0),"")</f>
        <v/>
      </c>
      <c r="O133" s="3" t="str">
        <f>IF($J133="InhouseCSC",ROUND(VLOOKUP($D133,Group!$C:$H,6,0),5),"")</f>
        <v/>
      </c>
      <c r="P133" s="3" t="str">
        <f>IF(OR($J133="BOSFCSC",$J133="BOFCSC"),VLOOKUP($D133,Group!$C:$H,6,0),"")</f>
        <v/>
      </c>
      <c r="Q133" s="1" t="str">
        <f>IF($J133="Inhouseothers",VLOOKUP($D133,Group!$C:$E,3,0),"")</f>
        <v/>
      </c>
      <c r="R133" s="1" t="str">
        <f>IF($J133="BOSFOthers",VLOOKUP($D133,Group!$C:$E,3,0),"")</f>
        <v/>
      </c>
      <c r="S133" s="3" t="str">
        <f>IF($J133="BOFOthers",VLOOKUP($D133,Group!$C:$E,3,0),"")</f>
        <v/>
      </c>
      <c r="U133" s="1" t="str">
        <f>IFERROR(Backend!$L133*VLOOKUP($F133,'OH,Profit &amp; Other Base'!$A:$V,Backend!U$6,0),"")</f>
        <v/>
      </c>
      <c r="V133" s="1" t="str">
        <f>IFERROR(Backend!$M133*VLOOKUP($F133,'OH,Profit &amp; Other Base'!$A:$V,Backend!V$6,0),"")</f>
        <v/>
      </c>
      <c r="W133" s="1" t="str">
        <f>IFERROR(Backend!$L133*VLOOKUP($F133,'OH,Profit &amp; Other Base'!$A:$V,Backend!W$6,0),"")</f>
        <v/>
      </c>
      <c r="X133" s="1" t="str">
        <f>IFERROR(Backend!$M133*VLOOKUP($F133,'OH,Profit &amp; Other Base'!$A:$V,Backend!X$6,0),"")</f>
        <v/>
      </c>
      <c r="Y133" s="1" t="str">
        <f>IFERROR(Backend!$L133*VLOOKUP($F133,'OH,Profit &amp; Other Base'!$A:$V,Backend!Y$6,0),"")</f>
        <v/>
      </c>
      <c r="Z133" s="1" t="str">
        <f>IFERROR(Backend!$M133*VLOOKUP($F133,'OH,Profit &amp; Other Base'!$A:$V,Backend!Z$6,0),"")</f>
        <v/>
      </c>
      <c r="AA133" s="1" t="str">
        <f>IFERROR(Backend!$L133*VLOOKUP($F133,'OH,Profit &amp; Other Base'!$A:$V,Backend!AA$6,0),"")</f>
        <v/>
      </c>
      <c r="AB133" s="1" t="str">
        <f>IFERROR(Backend!$M133*VLOOKUP($F133,'OH,Profit &amp; Other Base'!$A:$V,Backend!AB$6,0),"")</f>
        <v/>
      </c>
      <c r="AC133" s="1" t="str">
        <f>IFERROR(Backend!$L133*VLOOKUP($F133,'OH,Profit &amp; Other Base'!$A:$V,Backend!AC$6,0),"")</f>
        <v/>
      </c>
      <c r="AD133" s="1" t="str">
        <f>IFERROR(Backend!$M133*VLOOKUP($F133,'OH,Profit &amp; Other Base'!$A:$V,Backend!AD$6,0),"")</f>
        <v/>
      </c>
      <c r="AE133" s="1" t="str">
        <f>IFERROR(Backend!$L133*VLOOKUP($F133,'OH,Profit &amp; Other Base'!$A:$V,Backend!AE$6,0),"")</f>
        <v/>
      </c>
      <c r="AF133" s="1" t="str">
        <f>IFERROR(Backend!$M133*VLOOKUP($F133,'OH,Profit &amp; Other Base'!$A:$V,Backend!AF$6,0),"")</f>
        <v/>
      </c>
      <c r="AG133" s="1" t="str">
        <f>IFERROR(Backend!$L133*VLOOKUP($F133,'OH,Profit &amp; Other Base'!$A:$V,Backend!AG$6,0),"")</f>
        <v/>
      </c>
      <c r="AH133" s="1" t="str">
        <f>IFERROR(Backend!$M133*VLOOKUP($F133,'OH,Profit &amp; Other Base'!$A:$V,Backend!AH$6,0),"")</f>
        <v/>
      </c>
      <c r="AI133" s="3">
        <f t="shared" si="16"/>
        <v>0</v>
      </c>
      <c r="AL133" s="1" t="str">
        <f t="shared" si="17"/>
        <v/>
      </c>
      <c r="AM133" s="1" t="str">
        <f t="shared" si="18"/>
        <v/>
      </c>
      <c r="AN133" s="1" t="str">
        <f t="shared" si="19"/>
        <v/>
      </c>
      <c r="AO133" s="1" t="str">
        <f t="shared" si="20"/>
        <v/>
      </c>
      <c r="AP133" s="1" t="str">
        <f>IFERROR(ROUND(Backend!$AL133*VLOOKUP($F133,'OH,Profit &amp; Other Base'!$A:$V,Backend!AP$6,0),5),"")</f>
        <v/>
      </c>
      <c r="AQ133" s="1" t="str">
        <f>IFERROR(ROUND(Backend!$AO133*VLOOKUP($F133,'OH,Profit &amp; Other Base'!$A:$V,Backend!AQ$6,0),5),"")</f>
        <v/>
      </c>
      <c r="AR133" s="1" t="str">
        <f>IFERROR(ROUND(Backend!$AM133*VLOOKUP($F133,'OH,Profit &amp; Other Base'!$A:$V,Backend!AR$6,0),5),"")</f>
        <v/>
      </c>
      <c r="AS133" s="1" t="str">
        <f>IFERROR(ROUND(Backend!$AL133*VLOOKUP($F133,'OH,Profit &amp; Other Base'!$A:$V,Backend!AS$6,0),5),"")</f>
        <v/>
      </c>
      <c r="AT133" s="1" t="str">
        <f>IFERROR(ROUND(Backend!$AO133*VLOOKUP($F133,'OH,Profit &amp; Other Base'!$A:$V,Backend!AT$6,0),5),"")</f>
        <v/>
      </c>
      <c r="AU133" s="1" t="str">
        <f>IFERROR(ROUND(Backend!$AM133*VLOOKUP($F133,'OH,Profit &amp; Other Base'!$A:$V,Backend!AU$6,0),5),"")</f>
        <v/>
      </c>
      <c r="AV133" s="1" t="str">
        <f>IFERROR(ROUND(Backend!$AL133*VLOOKUP($F133,'OH,Profit &amp; Other Base'!$A:$V,Backend!AV$6,0),5),"")</f>
        <v/>
      </c>
      <c r="AW133" s="1" t="str">
        <f>IFERROR(ROUND(Backend!$AO133*VLOOKUP($F133,'OH,Profit &amp; Other Base'!$A:$V,Backend!AW$6,0),5),"")</f>
        <v/>
      </c>
      <c r="AX133" s="1" t="str">
        <f>IFERROR(ROUND(Backend!$AM133*VLOOKUP($F133,'OH,Profit &amp; Other Base'!$A:$V,Backend!AX$6,0),5),"")</f>
        <v/>
      </c>
      <c r="AY133" s="1" t="str">
        <f>IFERROR(ROUND(Backend!$AL133*VLOOKUP($F133,'OH,Profit &amp; Other Base'!$A:$V,Backend!AY$6,0),5),"")</f>
        <v/>
      </c>
      <c r="AZ133" s="1" t="str">
        <f>IFERROR(ROUND(Backend!$AO133*VLOOKUP($F133,'OH,Profit &amp; Other Base'!$A:$V,Backend!AZ$6,0),5),"")</f>
        <v/>
      </c>
      <c r="BA133" s="1" t="str">
        <f>IFERROR(ROUND(Backend!$AM133*VLOOKUP($F133,'OH,Profit &amp; Other Base'!$A:$V,Backend!BA$6,0),5),"")</f>
        <v/>
      </c>
      <c r="BB133" s="1" t="str">
        <f>IFERROR(ROUND(Backend!$AL133*VLOOKUP($F133,'OH,Profit &amp; Other Base'!$A:$V,Backend!BB$6,0),5),"")</f>
        <v/>
      </c>
      <c r="BC133" s="1" t="str">
        <f>IFERROR(ROUND(Backend!$AO133*VLOOKUP($F133,'OH,Profit &amp; Other Base'!$A:$V,Backend!BC$6,0),5),"")</f>
        <v/>
      </c>
      <c r="BD133" s="1" t="str">
        <f>IFERROR(ROUND(Backend!$AM133*VLOOKUP($F133,'OH,Profit &amp; Other Base'!$A:$V,Backend!BD$6,0),5),"")</f>
        <v/>
      </c>
      <c r="BE133" s="1" t="str">
        <f>IFERROR(ROUND(Backend!$AL133*VLOOKUP($F133,'OH,Profit &amp; Other Base'!$A:$V,Backend!BE$6,0),5),"")</f>
        <v/>
      </c>
      <c r="BF133" s="1" t="str">
        <f>IFERROR(ROUND(Backend!$AO133*VLOOKUP($F133,'OH,Profit &amp; Other Base'!$A:$V,Backend!BF$6,0),5),"")</f>
        <v/>
      </c>
      <c r="BG133" s="1" t="str">
        <f>IFERROR(ROUND(Backend!$AM133*VLOOKUP($F133,'OH,Profit &amp; Other Base'!$A:$V,Backend!BG$6,0),5),"")</f>
        <v/>
      </c>
      <c r="BH133" s="1" t="str">
        <f>IFERROR(ROUND(Backend!$AL133*VLOOKUP($F133,'OH,Profit &amp; Other Base'!$A:$V,Backend!BH$6,0),5),"")</f>
        <v/>
      </c>
      <c r="BI133" s="1" t="str">
        <f>IFERROR(ROUND(Backend!$AO133*VLOOKUP($F133,'OH,Profit &amp; Other Base'!$A:$V,Backend!BI$6,0),5),"")</f>
        <v/>
      </c>
      <c r="BJ133" s="1" t="str">
        <f>IFERROR(ROUND(Backend!$AM133*VLOOKUP($F133,'OH,Profit &amp; Other Base'!$A:$V,Backend!BJ$6,0),5),"")</f>
        <v/>
      </c>
      <c r="BK133" s="3">
        <f>SUM(AN133:BJ133,Backend!O133)</f>
        <v>0</v>
      </c>
    </row>
    <row r="134" spans="1:63">
      <c r="A134" s="1">
        <f>BOM!A129</f>
        <v>0</v>
      </c>
      <c r="B134" s="1">
        <f>BOM!B129</f>
        <v>0</v>
      </c>
      <c r="C134" s="1">
        <f>BOM!C129</f>
        <v>0</v>
      </c>
      <c r="D134" s="1">
        <f>BOM!D129</f>
        <v>0</v>
      </c>
      <c r="E134" s="1">
        <f>BOM!F129</f>
        <v>0</v>
      </c>
      <c r="F134" s="1" t="str">
        <f>IF(H134="CSC",BOM!H129,IF(J134="BOFOthers","Sheet Metal-B",""))</f>
        <v/>
      </c>
      <c r="G134" s="1">
        <f>BOM!I129</f>
        <v>0</v>
      </c>
      <c r="H134" s="1">
        <f>BOM!J129</f>
        <v>0</v>
      </c>
      <c r="I134" s="1" t="str">
        <f t="shared" si="14"/>
        <v>Others</v>
      </c>
      <c r="J134" s="1" t="str">
        <f t="shared" si="15"/>
        <v>0Others</v>
      </c>
      <c r="K134" s="3" t="str">
        <f>IF($J134="InhouseCSC",VLOOKUP($D134,Group!$C:$E,3,0),"")</f>
        <v/>
      </c>
      <c r="L134" s="3" t="str">
        <f>IF(OR($J134="BOSFCSC",$J134="BOFCSC"),VLOOKUP($D134,Group!$C:$E,3,0),"")</f>
        <v/>
      </c>
      <c r="M134" s="3" t="str">
        <f>IF(OR($J134="BOSFCSC",$J134="BOFCSC"),VLOOKUP($D134,Group!$C:$F,4,0),"")</f>
        <v/>
      </c>
      <c r="N134" s="3" t="str">
        <f>IF(OR($J134="InhouseCSC",$J134="BOSFCSC"),VLOOKUP($D134,Group!$C:$G,5,0),"")</f>
        <v/>
      </c>
      <c r="O134" s="3" t="str">
        <f>IF($J134="InhouseCSC",ROUND(VLOOKUP($D134,Group!$C:$H,6,0),5),"")</f>
        <v/>
      </c>
      <c r="P134" s="3" t="str">
        <f>IF(OR($J134="BOSFCSC",$J134="BOFCSC"),VLOOKUP($D134,Group!$C:$H,6,0),"")</f>
        <v/>
      </c>
      <c r="Q134" s="1" t="str">
        <f>IF($J134="Inhouseothers",VLOOKUP($D134,Group!$C:$E,3,0),"")</f>
        <v/>
      </c>
      <c r="R134" s="1" t="str">
        <f>IF($J134="BOSFOthers",VLOOKUP($D134,Group!$C:$E,3,0),"")</f>
        <v/>
      </c>
      <c r="S134" s="3" t="str">
        <f>IF($J134="BOFOthers",VLOOKUP($D134,Group!$C:$E,3,0),"")</f>
        <v/>
      </c>
      <c r="U134" s="1" t="str">
        <f>IFERROR(Backend!$L134*VLOOKUP($F134,'OH,Profit &amp; Other Base'!$A:$V,Backend!U$6,0),"")</f>
        <v/>
      </c>
      <c r="V134" s="1" t="str">
        <f>IFERROR(Backend!$M134*VLOOKUP($F134,'OH,Profit &amp; Other Base'!$A:$V,Backend!V$6,0),"")</f>
        <v/>
      </c>
      <c r="W134" s="1" t="str">
        <f>IFERROR(Backend!$L134*VLOOKUP($F134,'OH,Profit &amp; Other Base'!$A:$V,Backend!W$6,0),"")</f>
        <v/>
      </c>
      <c r="X134" s="1" t="str">
        <f>IFERROR(Backend!$M134*VLOOKUP($F134,'OH,Profit &amp; Other Base'!$A:$V,Backend!X$6,0),"")</f>
        <v/>
      </c>
      <c r="Y134" s="1" t="str">
        <f>IFERROR(Backend!$L134*VLOOKUP($F134,'OH,Profit &amp; Other Base'!$A:$V,Backend!Y$6,0),"")</f>
        <v/>
      </c>
      <c r="Z134" s="1" t="str">
        <f>IFERROR(Backend!$M134*VLOOKUP($F134,'OH,Profit &amp; Other Base'!$A:$V,Backend!Z$6,0),"")</f>
        <v/>
      </c>
      <c r="AA134" s="1" t="str">
        <f>IFERROR(Backend!$L134*VLOOKUP($F134,'OH,Profit &amp; Other Base'!$A:$V,Backend!AA$6,0),"")</f>
        <v/>
      </c>
      <c r="AB134" s="1" t="str">
        <f>IFERROR(Backend!$M134*VLOOKUP($F134,'OH,Profit &amp; Other Base'!$A:$V,Backend!AB$6,0),"")</f>
        <v/>
      </c>
      <c r="AC134" s="1" t="str">
        <f>IFERROR(Backend!$L134*VLOOKUP($F134,'OH,Profit &amp; Other Base'!$A:$V,Backend!AC$6,0),"")</f>
        <v/>
      </c>
      <c r="AD134" s="1" t="str">
        <f>IFERROR(Backend!$M134*VLOOKUP($F134,'OH,Profit &amp; Other Base'!$A:$V,Backend!AD$6,0),"")</f>
        <v/>
      </c>
      <c r="AE134" s="1" t="str">
        <f>IFERROR(Backend!$L134*VLOOKUP($F134,'OH,Profit &amp; Other Base'!$A:$V,Backend!AE$6,0),"")</f>
        <v/>
      </c>
      <c r="AF134" s="1" t="str">
        <f>IFERROR(Backend!$M134*VLOOKUP($F134,'OH,Profit &amp; Other Base'!$A:$V,Backend!AF$6,0),"")</f>
        <v/>
      </c>
      <c r="AG134" s="1" t="str">
        <f>IFERROR(Backend!$L134*VLOOKUP($F134,'OH,Profit &amp; Other Base'!$A:$V,Backend!AG$6,0),"")</f>
        <v/>
      </c>
      <c r="AH134" s="1" t="str">
        <f>IFERROR(Backend!$M134*VLOOKUP($F134,'OH,Profit &amp; Other Base'!$A:$V,Backend!AH$6,0),"")</f>
        <v/>
      </c>
      <c r="AI134" s="3">
        <f t="shared" si="16"/>
        <v>0</v>
      </c>
      <c r="AL134" s="1" t="str">
        <f t="shared" si="17"/>
        <v/>
      </c>
      <c r="AM134" s="1" t="str">
        <f t="shared" si="18"/>
        <v/>
      </c>
      <c r="AN134" s="1" t="str">
        <f t="shared" si="19"/>
        <v/>
      </c>
      <c r="AO134" s="1" t="str">
        <f t="shared" si="20"/>
        <v/>
      </c>
      <c r="AP134" s="1" t="str">
        <f>IFERROR(ROUND(Backend!$AL134*VLOOKUP($F134,'OH,Profit &amp; Other Base'!$A:$V,Backend!AP$6,0),5),"")</f>
        <v/>
      </c>
      <c r="AQ134" s="1" t="str">
        <f>IFERROR(ROUND(Backend!$AO134*VLOOKUP($F134,'OH,Profit &amp; Other Base'!$A:$V,Backend!AQ$6,0),5),"")</f>
        <v/>
      </c>
      <c r="AR134" s="1" t="str">
        <f>IFERROR(ROUND(Backend!$AM134*VLOOKUP($F134,'OH,Profit &amp; Other Base'!$A:$V,Backend!AR$6,0),5),"")</f>
        <v/>
      </c>
      <c r="AS134" s="1" t="str">
        <f>IFERROR(ROUND(Backend!$AL134*VLOOKUP($F134,'OH,Profit &amp; Other Base'!$A:$V,Backend!AS$6,0),5),"")</f>
        <v/>
      </c>
      <c r="AT134" s="1" t="str">
        <f>IFERROR(ROUND(Backend!$AO134*VLOOKUP($F134,'OH,Profit &amp; Other Base'!$A:$V,Backend!AT$6,0),5),"")</f>
        <v/>
      </c>
      <c r="AU134" s="1" t="str">
        <f>IFERROR(ROUND(Backend!$AM134*VLOOKUP($F134,'OH,Profit &amp; Other Base'!$A:$V,Backend!AU$6,0),5),"")</f>
        <v/>
      </c>
      <c r="AV134" s="1" t="str">
        <f>IFERROR(ROUND(Backend!$AL134*VLOOKUP($F134,'OH,Profit &amp; Other Base'!$A:$V,Backend!AV$6,0),5),"")</f>
        <v/>
      </c>
      <c r="AW134" s="1" t="str">
        <f>IFERROR(ROUND(Backend!$AO134*VLOOKUP($F134,'OH,Profit &amp; Other Base'!$A:$V,Backend!AW$6,0),5),"")</f>
        <v/>
      </c>
      <c r="AX134" s="1" t="str">
        <f>IFERROR(ROUND(Backend!$AM134*VLOOKUP($F134,'OH,Profit &amp; Other Base'!$A:$V,Backend!AX$6,0),5),"")</f>
        <v/>
      </c>
      <c r="AY134" s="1" t="str">
        <f>IFERROR(ROUND(Backend!$AL134*VLOOKUP($F134,'OH,Profit &amp; Other Base'!$A:$V,Backend!AY$6,0),5),"")</f>
        <v/>
      </c>
      <c r="AZ134" s="1" t="str">
        <f>IFERROR(ROUND(Backend!$AO134*VLOOKUP($F134,'OH,Profit &amp; Other Base'!$A:$V,Backend!AZ$6,0),5),"")</f>
        <v/>
      </c>
      <c r="BA134" s="1" t="str">
        <f>IFERROR(ROUND(Backend!$AM134*VLOOKUP($F134,'OH,Profit &amp; Other Base'!$A:$V,Backend!BA$6,0),5),"")</f>
        <v/>
      </c>
      <c r="BB134" s="1" t="str">
        <f>IFERROR(ROUND(Backend!$AL134*VLOOKUP($F134,'OH,Profit &amp; Other Base'!$A:$V,Backend!BB$6,0),5),"")</f>
        <v/>
      </c>
      <c r="BC134" s="1" t="str">
        <f>IFERROR(ROUND(Backend!$AO134*VLOOKUP($F134,'OH,Profit &amp; Other Base'!$A:$V,Backend!BC$6,0),5),"")</f>
        <v/>
      </c>
      <c r="BD134" s="1" t="str">
        <f>IFERROR(ROUND(Backend!$AM134*VLOOKUP($F134,'OH,Profit &amp; Other Base'!$A:$V,Backend!BD$6,0),5),"")</f>
        <v/>
      </c>
      <c r="BE134" s="1" t="str">
        <f>IFERROR(ROUND(Backend!$AL134*VLOOKUP($F134,'OH,Profit &amp; Other Base'!$A:$V,Backend!BE$6,0),5),"")</f>
        <v/>
      </c>
      <c r="BF134" s="1" t="str">
        <f>IFERROR(ROUND(Backend!$AO134*VLOOKUP($F134,'OH,Profit &amp; Other Base'!$A:$V,Backend!BF$6,0),5),"")</f>
        <v/>
      </c>
      <c r="BG134" s="1" t="str">
        <f>IFERROR(ROUND(Backend!$AM134*VLOOKUP($F134,'OH,Profit &amp; Other Base'!$A:$V,Backend!BG$6,0),5),"")</f>
        <v/>
      </c>
      <c r="BH134" s="1" t="str">
        <f>IFERROR(ROUND(Backend!$AL134*VLOOKUP($F134,'OH,Profit &amp; Other Base'!$A:$V,Backend!BH$6,0),5),"")</f>
        <v/>
      </c>
      <c r="BI134" s="1" t="str">
        <f>IFERROR(ROUND(Backend!$AO134*VLOOKUP($F134,'OH,Profit &amp; Other Base'!$A:$V,Backend!BI$6,0),5),"")</f>
        <v/>
      </c>
      <c r="BJ134" s="1" t="str">
        <f>IFERROR(ROUND(Backend!$AM134*VLOOKUP($F134,'OH,Profit &amp; Other Base'!$A:$V,Backend!BJ$6,0),5),"")</f>
        <v/>
      </c>
      <c r="BK134" s="3">
        <f>SUM(AN134:BJ134,Backend!O134)</f>
        <v>0</v>
      </c>
    </row>
    <row r="135" spans="1:63">
      <c r="A135" s="1">
        <f>BOM!A130</f>
        <v>0</v>
      </c>
      <c r="B135" s="1">
        <f>BOM!B130</f>
        <v>0</v>
      </c>
      <c r="C135" s="1">
        <f>BOM!C130</f>
        <v>0</v>
      </c>
      <c r="D135" s="1">
        <f>BOM!D130</f>
        <v>0</v>
      </c>
      <c r="E135" s="1">
        <f>BOM!F130</f>
        <v>0</v>
      </c>
      <c r="F135" s="1" t="str">
        <f>IF(H135="CSC",BOM!H130,IF(J135="BOFOthers","Sheet Metal-B",""))</f>
        <v/>
      </c>
      <c r="G135" s="1">
        <f>BOM!I130</f>
        <v>0</v>
      </c>
      <c r="H135" s="1">
        <f>BOM!J130</f>
        <v>0</v>
      </c>
      <c r="I135" s="1" t="str">
        <f t="shared" si="14"/>
        <v>Others</v>
      </c>
      <c r="J135" s="1" t="str">
        <f t="shared" si="15"/>
        <v>0Others</v>
      </c>
      <c r="K135" s="3" t="str">
        <f>IF($J135="InhouseCSC",VLOOKUP($D135,Group!$C:$E,3,0),"")</f>
        <v/>
      </c>
      <c r="L135" s="3" t="str">
        <f>IF(OR($J135="BOSFCSC",$J135="BOFCSC"),VLOOKUP($D135,Group!$C:$E,3,0),"")</f>
        <v/>
      </c>
      <c r="M135" s="3" t="str">
        <f>IF(OR($J135="BOSFCSC",$J135="BOFCSC"),VLOOKUP($D135,Group!$C:$F,4,0),"")</f>
        <v/>
      </c>
      <c r="N135" s="3" t="str">
        <f>IF(OR($J135="InhouseCSC",$J135="BOSFCSC"),VLOOKUP($D135,Group!$C:$G,5,0),"")</f>
        <v/>
      </c>
      <c r="O135" s="3" t="str">
        <f>IF($J135="InhouseCSC",ROUND(VLOOKUP($D135,Group!$C:$H,6,0),5),"")</f>
        <v/>
      </c>
      <c r="P135" s="3" t="str">
        <f>IF(OR($J135="BOSFCSC",$J135="BOFCSC"),VLOOKUP($D135,Group!$C:$H,6,0),"")</f>
        <v/>
      </c>
      <c r="Q135" s="1" t="str">
        <f>IF($J135="Inhouseothers",VLOOKUP($D135,Group!$C:$E,3,0),"")</f>
        <v/>
      </c>
      <c r="R135" s="1" t="str">
        <f>IF($J135="BOSFOthers",VLOOKUP($D135,Group!$C:$E,3,0),"")</f>
        <v/>
      </c>
      <c r="S135" s="3" t="str">
        <f>IF($J135="BOFOthers",VLOOKUP($D135,Group!$C:$E,3,0),"")</f>
        <v/>
      </c>
      <c r="U135" s="1" t="str">
        <f>IFERROR(Backend!$L135*VLOOKUP($F135,'OH,Profit &amp; Other Base'!$A:$V,Backend!U$6,0),"")</f>
        <v/>
      </c>
      <c r="V135" s="1" t="str">
        <f>IFERROR(Backend!$M135*VLOOKUP($F135,'OH,Profit &amp; Other Base'!$A:$V,Backend!V$6,0),"")</f>
        <v/>
      </c>
      <c r="W135" s="1" t="str">
        <f>IFERROR(Backend!$L135*VLOOKUP($F135,'OH,Profit &amp; Other Base'!$A:$V,Backend!W$6,0),"")</f>
        <v/>
      </c>
      <c r="X135" s="1" t="str">
        <f>IFERROR(Backend!$M135*VLOOKUP($F135,'OH,Profit &amp; Other Base'!$A:$V,Backend!X$6,0),"")</f>
        <v/>
      </c>
      <c r="Y135" s="1" t="str">
        <f>IFERROR(Backend!$L135*VLOOKUP($F135,'OH,Profit &amp; Other Base'!$A:$V,Backend!Y$6,0),"")</f>
        <v/>
      </c>
      <c r="Z135" s="1" t="str">
        <f>IFERROR(Backend!$M135*VLOOKUP($F135,'OH,Profit &amp; Other Base'!$A:$V,Backend!Z$6,0),"")</f>
        <v/>
      </c>
      <c r="AA135" s="1" t="str">
        <f>IFERROR(Backend!$L135*VLOOKUP($F135,'OH,Profit &amp; Other Base'!$A:$V,Backend!AA$6,0),"")</f>
        <v/>
      </c>
      <c r="AB135" s="1" t="str">
        <f>IFERROR(Backend!$M135*VLOOKUP($F135,'OH,Profit &amp; Other Base'!$A:$V,Backend!AB$6,0),"")</f>
        <v/>
      </c>
      <c r="AC135" s="1" t="str">
        <f>IFERROR(Backend!$L135*VLOOKUP($F135,'OH,Profit &amp; Other Base'!$A:$V,Backend!AC$6,0),"")</f>
        <v/>
      </c>
      <c r="AD135" s="1" t="str">
        <f>IFERROR(Backend!$M135*VLOOKUP($F135,'OH,Profit &amp; Other Base'!$A:$V,Backend!AD$6,0),"")</f>
        <v/>
      </c>
      <c r="AE135" s="1" t="str">
        <f>IFERROR(Backend!$L135*VLOOKUP($F135,'OH,Profit &amp; Other Base'!$A:$V,Backend!AE$6,0),"")</f>
        <v/>
      </c>
      <c r="AF135" s="1" t="str">
        <f>IFERROR(Backend!$M135*VLOOKUP($F135,'OH,Profit &amp; Other Base'!$A:$V,Backend!AF$6,0),"")</f>
        <v/>
      </c>
      <c r="AG135" s="1" t="str">
        <f>IFERROR(Backend!$L135*VLOOKUP($F135,'OH,Profit &amp; Other Base'!$A:$V,Backend!AG$6,0),"")</f>
        <v/>
      </c>
      <c r="AH135" s="1" t="str">
        <f>IFERROR(Backend!$M135*VLOOKUP($F135,'OH,Profit &amp; Other Base'!$A:$V,Backend!AH$6,0),"")</f>
        <v/>
      </c>
      <c r="AI135" s="3">
        <f t="shared" si="16"/>
        <v>0</v>
      </c>
      <c r="AL135" s="1" t="str">
        <f t="shared" si="17"/>
        <v/>
      </c>
      <c r="AM135" s="1" t="str">
        <f t="shared" si="18"/>
        <v/>
      </c>
      <c r="AN135" s="1" t="str">
        <f t="shared" si="19"/>
        <v/>
      </c>
      <c r="AO135" s="1" t="str">
        <f t="shared" si="20"/>
        <v/>
      </c>
      <c r="AP135" s="1" t="str">
        <f>IFERROR(ROUND(Backend!$AL135*VLOOKUP($F135,'OH,Profit &amp; Other Base'!$A:$V,Backend!AP$6,0),5),"")</f>
        <v/>
      </c>
      <c r="AQ135" s="1" t="str">
        <f>IFERROR(ROUND(Backend!$AO135*VLOOKUP($F135,'OH,Profit &amp; Other Base'!$A:$V,Backend!AQ$6,0),5),"")</f>
        <v/>
      </c>
      <c r="AR135" s="1" t="str">
        <f>IFERROR(ROUND(Backend!$AM135*VLOOKUP($F135,'OH,Profit &amp; Other Base'!$A:$V,Backend!AR$6,0),5),"")</f>
        <v/>
      </c>
      <c r="AS135" s="1" t="str">
        <f>IFERROR(ROUND(Backend!$AL135*VLOOKUP($F135,'OH,Profit &amp; Other Base'!$A:$V,Backend!AS$6,0),5),"")</f>
        <v/>
      </c>
      <c r="AT135" s="1" t="str">
        <f>IFERROR(ROUND(Backend!$AO135*VLOOKUP($F135,'OH,Profit &amp; Other Base'!$A:$V,Backend!AT$6,0),5),"")</f>
        <v/>
      </c>
      <c r="AU135" s="1" t="str">
        <f>IFERROR(ROUND(Backend!$AM135*VLOOKUP($F135,'OH,Profit &amp; Other Base'!$A:$V,Backend!AU$6,0),5),"")</f>
        <v/>
      </c>
      <c r="AV135" s="1" t="str">
        <f>IFERROR(ROUND(Backend!$AL135*VLOOKUP($F135,'OH,Profit &amp; Other Base'!$A:$V,Backend!AV$6,0),5),"")</f>
        <v/>
      </c>
      <c r="AW135" s="1" t="str">
        <f>IFERROR(ROUND(Backend!$AO135*VLOOKUP($F135,'OH,Profit &amp; Other Base'!$A:$V,Backend!AW$6,0),5),"")</f>
        <v/>
      </c>
      <c r="AX135" s="1" t="str">
        <f>IFERROR(ROUND(Backend!$AM135*VLOOKUP($F135,'OH,Profit &amp; Other Base'!$A:$V,Backend!AX$6,0),5),"")</f>
        <v/>
      </c>
      <c r="AY135" s="1" t="str">
        <f>IFERROR(ROUND(Backend!$AL135*VLOOKUP($F135,'OH,Profit &amp; Other Base'!$A:$V,Backend!AY$6,0),5),"")</f>
        <v/>
      </c>
      <c r="AZ135" s="1" t="str">
        <f>IFERROR(ROUND(Backend!$AO135*VLOOKUP($F135,'OH,Profit &amp; Other Base'!$A:$V,Backend!AZ$6,0),5),"")</f>
        <v/>
      </c>
      <c r="BA135" s="1" t="str">
        <f>IFERROR(ROUND(Backend!$AM135*VLOOKUP($F135,'OH,Profit &amp; Other Base'!$A:$V,Backend!BA$6,0),5),"")</f>
        <v/>
      </c>
      <c r="BB135" s="1" t="str">
        <f>IFERROR(ROUND(Backend!$AL135*VLOOKUP($F135,'OH,Profit &amp; Other Base'!$A:$V,Backend!BB$6,0),5),"")</f>
        <v/>
      </c>
      <c r="BC135" s="1" t="str">
        <f>IFERROR(ROUND(Backend!$AO135*VLOOKUP($F135,'OH,Profit &amp; Other Base'!$A:$V,Backend!BC$6,0),5),"")</f>
        <v/>
      </c>
      <c r="BD135" s="1" t="str">
        <f>IFERROR(ROUND(Backend!$AM135*VLOOKUP($F135,'OH,Profit &amp; Other Base'!$A:$V,Backend!BD$6,0),5),"")</f>
        <v/>
      </c>
      <c r="BE135" s="1" t="str">
        <f>IFERROR(ROUND(Backend!$AL135*VLOOKUP($F135,'OH,Profit &amp; Other Base'!$A:$V,Backend!BE$6,0),5),"")</f>
        <v/>
      </c>
      <c r="BF135" s="1" t="str">
        <f>IFERROR(ROUND(Backend!$AO135*VLOOKUP($F135,'OH,Profit &amp; Other Base'!$A:$V,Backend!BF$6,0),5),"")</f>
        <v/>
      </c>
      <c r="BG135" s="1" t="str">
        <f>IFERROR(ROUND(Backend!$AM135*VLOOKUP($F135,'OH,Profit &amp; Other Base'!$A:$V,Backend!BG$6,0),5),"")</f>
        <v/>
      </c>
      <c r="BH135" s="1" t="str">
        <f>IFERROR(ROUND(Backend!$AL135*VLOOKUP($F135,'OH,Profit &amp; Other Base'!$A:$V,Backend!BH$6,0),5),"")</f>
        <v/>
      </c>
      <c r="BI135" s="1" t="str">
        <f>IFERROR(ROUND(Backend!$AO135*VLOOKUP($F135,'OH,Profit &amp; Other Base'!$A:$V,Backend!BI$6,0),5),"")</f>
        <v/>
      </c>
      <c r="BJ135" s="1" t="str">
        <f>IFERROR(ROUND(Backend!$AM135*VLOOKUP($F135,'OH,Profit &amp; Other Base'!$A:$V,Backend!BJ$6,0),5),"")</f>
        <v/>
      </c>
      <c r="BK135" s="3">
        <f>SUM(AN135:BJ135,Backend!O135)</f>
        <v>0</v>
      </c>
    </row>
    <row r="136" spans="1:63">
      <c r="A136" s="1">
        <f>BOM!A131</f>
        <v>0</v>
      </c>
      <c r="B136" s="1">
        <f>BOM!B131</f>
        <v>0</v>
      </c>
      <c r="C136" s="1">
        <f>BOM!C131</f>
        <v>0</v>
      </c>
      <c r="D136" s="1">
        <f>BOM!D131</f>
        <v>0</v>
      </c>
      <c r="E136" s="1">
        <f>BOM!F131</f>
        <v>0</v>
      </c>
      <c r="F136" s="1" t="str">
        <f>IF(H136="CSC",BOM!H131,IF(J136="BOFOthers","Sheet Metal-B",""))</f>
        <v/>
      </c>
      <c r="G136" s="1">
        <f>BOM!I131</f>
        <v>0</v>
      </c>
      <c r="H136" s="1">
        <f>BOM!J131</f>
        <v>0</v>
      </c>
      <c r="I136" s="1" t="str">
        <f t="shared" si="14"/>
        <v>Others</v>
      </c>
      <c r="J136" s="1" t="str">
        <f t="shared" si="15"/>
        <v>0Others</v>
      </c>
      <c r="K136" s="3" t="str">
        <f>IF($J136="InhouseCSC",VLOOKUP($D136,Group!$C:$E,3,0),"")</f>
        <v/>
      </c>
      <c r="L136" s="3" t="str">
        <f>IF(OR($J136="BOSFCSC",$J136="BOFCSC"),VLOOKUP($D136,Group!$C:$E,3,0),"")</f>
        <v/>
      </c>
      <c r="M136" s="3" t="str">
        <f>IF(OR($J136="BOSFCSC",$J136="BOFCSC"),VLOOKUP($D136,Group!$C:$F,4,0),"")</f>
        <v/>
      </c>
      <c r="N136" s="3" t="str">
        <f>IF(OR($J136="InhouseCSC",$J136="BOSFCSC"),VLOOKUP($D136,Group!$C:$G,5,0),"")</f>
        <v/>
      </c>
      <c r="O136" s="3" t="str">
        <f>IF($J136="InhouseCSC",ROUND(VLOOKUP($D136,Group!$C:$H,6,0),5),"")</f>
        <v/>
      </c>
      <c r="P136" s="3" t="str">
        <f>IF(OR($J136="BOSFCSC",$J136="BOFCSC"),VLOOKUP($D136,Group!$C:$H,6,0),"")</f>
        <v/>
      </c>
      <c r="Q136" s="1" t="str">
        <f>IF($J136="Inhouseothers",VLOOKUP($D136,Group!$C:$E,3,0),"")</f>
        <v/>
      </c>
      <c r="R136" s="1" t="str">
        <f>IF($J136="BOSFOthers",VLOOKUP($D136,Group!$C:$E,3,0),"")</f>
        <v/>
      </c>
      <c r="S136" s="3" t="str">
        <f>IF($J136="BOFOthers",VLOOKUP($D136,Group!$C:$E,3,0),"")</f>
        <v/>
      </c>
      <c r="U136" s="1" t="str">
        <f>IFERROR(Backend!$L136*VLOOKUP($F136,'OH,Profit &amp; Other Base'!$A:$V,Backend!U$6,0),"")</f>
        <v/>
      </c>
      <c r="V136" s="1" t="str">
        <f>IFERROR(Backend!$M136*VLOOKUP($F136,'OH,Profit &amp; Other Base'!$A:$V,Backend!V$6,0),"")</f>
        <v/>
      </c>
      <c r="W136" s="1" t="str">
        <f>IFERROR(Backend!$L136*VLOOKUP($F136,'OH,Profit &amp; Other Base'!$A:$V,Backend!W$6,0),"")</f>
        <v/>
      </c>
      <c r="X136" s="1" t="str">
        <f>IFERROR(Backend!$M136*VLOOKUP($F136,'OH,Profit &amp; Other Base'!$A:$V,Backend!X$6,0),"")</f>
        <v/>
      </c>
      <c r="Y136" s="1" t="str">
        <f>IFERROR(Backend!$L136*VLOOKUP($F136,'OH,Profit &amp; Other Base'!$A:$V,Backend!Y$6,0),"")</f>
        <v/>
      </c>
      <c r="Z136" s="1" t="str">
        <f>IFERROR(Backend!$M136*VLOOKUP($F136,'OH,Profit &amp; Other Base'!$A:$V,Backend!Z$6,0),"")</f>
        <v/>
      </c>
      <c r="AA136" s="1" t="str">
        <f>IFERROR(Backend!$L136*VLOOKUP($F136,'OH,Profit &amp; Other Base'!$A:$V,Backend!AA$6,0),"")</f>
        <v/>
      </c>
      <c r="AB136" s="1" t="str">
        <f>IFERROR(Backend!$M136*VLOOKUP($F136,'OH,Profit &amp; Other Base'!$A:$V,Backend!AB$6,0),"")</f>
        <v/>
      </c>
      <c r="AC136" s="1" t="str">
        <f>IFERROR(Backend!$L136*VLOOKUP($F136,'OH,Profit &amp; Other Base'!$A:$V,Backend!AC$6,0),"")</f>
        <v/>
      </c>
      <c r="AD136" s="1" t="str">
        <f>IFERROR(Backend!$M136*VLOOKUP($F136,'OH,Profit &amp; Other Base'!$A:$V,Backend!AD$6,0),"")</f>
        <v/>
      </c>
      <c r="AE136" s="1" t="str">
        <f>IFERROR(Backend!$L136*VLOOKUP($F136,'OH,Profit &amp; Other Base'!$A:$V,Backend!AE$6,0),"")</f>
        <v/>
      </c>
      <c r="AF136" s="1" t="str">
        <f>IFERROR(Backend!$M136*VLOOKUP($F136,'OH,Profit &amp; Other Base'!$A:$V,Backend!AF$6,0),"")</f>
        <v/>
      </c>
      <c r="AG136" s="1" t="str">
        <f>IFERROR(Backend!$L136*VLOOKUP($F136,'OH,Profit &amp; Other Base'!$A:$V,Backend!AG$6,0),"")</f>
        <v/>
      </c>
      <c r="AH136" s="1" t="str">
        <f>IFERROR(Backend!$M136*VLOOKUP($F136,'OH,Profit &amp; Other Base'!$A:$V,Backend!AH$6,0),"")</f>
        <v/>
      </c>
      <c r="AI136" s="3">
        <f t="shared" si="16"/>
        <v>0</v>
      </c>
      <c r="AL136" s="1" t="str">
        <f t="shared" si="17"/>
        <v/>
      </c>
      <c r="AM136" s="1" t="str">
        <f t="shared" si="18"/>
        <v/>
      </c>
      <c r="AN136" s="1" t="str">
        <f t="shared" si="19"/>
        <v/>
      </c>
      <c r="AO136" s="1" t="str">
        <f t="shared" si="20"/>
        <v/>
      </c>
      <c r="AP136" s="1" t="str">
        <f>IFERROR(ROUND(Backend!$AL136*VLOOKUP($F136,'OH,Profit &amp; Other Base'!$A:$V,Backend!AP$6,0),5),"")</f>
        <v/>
      </c>
      <c r="AQ136" s="1" t="str">
        <f>IFERROR(ROUND(Backend!$AO136*VLOOKUP($F136,'OH,Profit &amp; Other Base'!$A:$V,Backend!AQ$6,0),5),"")</f>
        <v/>
      </c>
      <c r="AR136" s="1" t="str">
        <f>IFERROR(ROUND(Backend!$AM136*VLOOKUP($F136,'OH,Profit &amp; Other Base'!$A:$V,Backend!AR$6,0),5),"")</f>
        <v/>
      </c>
      <c r="AS136" s="1" t="str">
        <f>IFERROR(ROUND(Backend!$AL136*VLOOKUP($F136,'OH,Profit &amp; Other Base'!$A:$V,Backend!AS$6,0),5),"")</f>
        <v/>
      </c>
      <c r="AT136" s="1" t="str">
        <f>IFERROR(ROUND(Backend!$AO136*VLOOKUP($F136,'OH,Profit &amp; Other Base'!$A:$V,Backend!AT$6,0),5),"")</f>
        <v/>
      </c>
      <c r="AU136" s="1" t="str">
        <f>IFERROR(ROUND(Backend!$AM136*VLOOKUP($F136,'OH,Profit &amp; Other Base'!$A:$V,Backend!AU$6,0),5),"")</f>
        <v/>
      </c>
      <c r="AV136" s="1" t="str">
        <f>IFERROR(ROUND(Backend!$AL136*VLOOKUP($F136,'OH,Profit &amp; Other Base'!$A:$V,Backend!AV$6,0),5),"")</f>
        <v/>
      </c>
      <c r="AW136" s="1" t="str">
        <f>IFERROR(ROUND(Backend!$AO136*VLOOKUP($F136,'OH,Profit &amp; Other Base'!$A:$V,Backend!AW$6,0),5),"")</f>
        <v/>
      </c>
      <c r="AX136" s="1" t="str">
        <f>IFERROR(ROUND(Backend!$AM136*VLOOKUP($F136,'OH,Profit &amp; Other Base'!$A:$V,Backend!AX$6,0),5),"")</f>
        <v/>
      </c>
      <c r="AY136" s="1" t="str">
        <f>IFERROR(ROUND(Backend!$AL136*VLOOKUP($F136,'OH,Profit &amp; Other Base'!$A:$V,Backend!AY$6,0),5),"")</f>
        <v/>
      </c>
      <c r="AZ136" s="1" t="str">
        <f>IFERROR(ROUND(Backend!$AO136*VLOOKUP($F136,'OH,Profit &amp; Other Base'!$A:$V,Backend!AZ$6,0),5),"")</f>
        <v/>
      </c>
      <c r="BA136" s="1" t="str">
        <f>IFERROR(ROUND(Backend!$AM136*VLOOKUP($F136,'OH,Profit &amp; Other Base'!$A:$V,Backend!BA$6,0),5),"")</f>
        <v/>
      </c>
      <c r="BB136" s="1" t="str">
        <f>IFERROR(ROUND(Backend!$AL136*VLOOKUP($F136,'OH,Profit &amp; Other Base'!$A:$V,Backend!BB$6,0),5),"")</f>
        <v/>
      </c>
      <c r="BC136" s="1" t="str">
        <f>IFERROR(ROUND(Backend!$AO136*VLOOKUP($F136,'OH,Profit &amp; Other Base'!$A:$V,Backend!BC$6,0),5),"")</f>
        <v/>
      </c>
      <c r="BD136" s="1" t="str">
        <f>IFERROR(ROUND(Backend!$AM136*VLOOKUP($F136,'OH,Profit &amp; Other Base'!$A:$V,Backend!BD$6,0),5),"")</f>
        <v/>
      </c>
      <c r="BE136" s="1" t="str">
        <f>IFERROR(ROUND(Backend!$AL136*VLOOKUP($F136,'OH,Profit &amp; Other Base'!$A:$V,Backend!BE$6,0),5),"")</f>
        <v/>
      </c>
      <c r="BF136" s="1" t="str">
        <f>IFERROR(ROUND(Backend!$AO136*VLOOKUP($F136,'OH,Profit &amp; Other Base'!$A:$V,Backend!BF$6,0),5),"")</f>
        <v/>
      </c>
      <c r="BG136" s="1" t="str">
        <f>IFERROR(ROUND(Backend!$AM136*VLOOKUP($F136,'OH,Profit &amp; Other Base'!$A:$V,Backend!BG$6,0),5),"")</f>
        <v/>
      </c>
      <c r="BH136" s="1" t="str">
        <f>IFERROR(ROUND(Backend!$AL136*VLOOKUP($F136,'OH,Profit &amp; Other Base'!$A:$V,Backend!BH$6,0),5),"")</f>
        <v/>
      </c>
      <c r="BI136" s="1" t="str">
        <f>IFERROR(ROUND(Backend!$AO136*VLOOKUP($F136,'OH,Profit &amp; Other Base'!$A:$V,Backend!BI$6,0),5),"")</f>
        <v/>
      </c>
      <c r="BJ136" s="1" t="str">
        <f>IFERROR(ROUND(Backend!$AM136*VLOOKUP($F136,'OH,Profit &amp; Other Base'!$A:$V,Backend!BJ$6,0),5),"")</f>
        <v/>
      </c>
      <c r="BK136" s="3">
        <f>SUM(AN136:BJ136,Backend!O136)</f>
        <v>0</v>
      </c>
    </row>
    <row r="137" spans="1:63">
      <c r="A137" s="1">
        <f>BOM!A132</f>
        <v>0</v>
      </c>
      <c r="B137" s="1">
        <f>BOM!B132</f>
        <v>0</v>
      </c>
      <c r="C137" s="1">
        <f>BOM!C132</f>
        <v>0</v>
      </c>
      <c r="D137" s="1">
        <f>BOM!D132</f>
        <v>0</v>
      </c>
      <c r="E137" s="1">
        <f>BOM!F132</f>
        <v>0</v>
      </c>
      <c r="F137" s="1" t="str">
        <f>IF(H137="CSC",BOM!H132,IF(J137="BOFOthers","Sheet Metal-B",""))</f>
        <v/>
      </c>
      <c r="G137" s="1">
        <f>BOM!I132</f>
        <v>0</v>
      </c>
      <c r="H137" s="1">
        <f>BOM!J132</f>
        <v>0</v>
      </c>
      <c r="I137" s="1" t="str">
        <f t="shared" si="14"/>
        <v>Others</v>
      </c>
      <c r="J137" s="1" t="str">
        <f t="shared" si="15"/>
        <v>0Others</v>
      </c>
      <c r="K137" s="3" t="str">
        <f>IF($J137="InhouseCSC",VLOOKUP($D137,Group!$C:$E,3,0),"")</f>
        <v/>
      </c>
      <c r="L137" s="3" t="str">
        <f>IF(OR($J137="BOSFCSC",$J137="BOFCSC"),VLOOKUP($D137,Group!$C:$E,3,0),"")</f>
        <v/>
      </c>
      <c r="M137" s="3" t="str">
        <f>IF(OR($J137="BOSFCSC",$J137="BOFCSC"),VLOOKUP($D137,Group!$C:$F,4,0),"")</f>
        <v/>
      </c>
      <c r="N137" s="3" t="str">
        <f>IF(OR($J137="InhouseCSC",$J137="BOSFCSC"),VLOOKUP($D137,Group!$C:$G,5,0),"")</f>
        <v/>
      </c>
      <c r="O137" s="3" t="str">
        <f>IF($J137="InhouseCSC",ROUND(VLOOKUP($D137,Group!$C:$H,6,0),5),"")</f>
        <v/>
      </c>
      <c r="P137" s="3" t="str">
        <f>IF(OR($J137="BOSFCSC",$J137="BOFCSC"),VLOOKUP($D137,Group!$C:$H,6,0),"")</f>
        <v/>
      </c>
      <c r="Q137" s="1" t="str">
        <f>IF($J137="Inhouseothers",VLOOKUP($D137,Group!$C:$E,3,0),"")</f>
        <v/>
      </c>
      <c r="R137" s="1" t="str">
        <f>IF($J137="BOSFOthers",VLOOKUP($D137,Group!$C:$E,3,0),"")</f>
        <v/>
      </c>
      <c r="S137" s="3" t="str">
        <f>IF($J137="BOFOthers",VLOOKUP($D137,Group!$C:$E,3,0),"")</f>
        <v/>
      </c>
      <c r="U137" s="1" t="str">
        <f>IFERROR(Backend!$L137*VLOOKUP($F137,'OH,Profit &amp; Other Base'!$A:$V,Backend!U$6,0),"")</f>
        <v/>
      </c>
      <c r="V137" s="1" t="str">
        <f>IFERROR(Backend!$M137*VLOOKUP($F137,'OH,Profit &amp; Other Base'!$A:$V,Backend!V$6,0),"")</f>
        <v/>
      </c>
      <c r="W137" s="1" t="str">
        <f>IFERROR(Backend!$L137*VLOOKUP($F137,'OH,Profit &amp; Other Base'!$A:$V,Backend!W$6,0),"")</f>
        <v/>
      </c>
      <c r="X137" s="1" t="str">
        <f>IFERROR(Backend!$M137*VLOOKUP($F137,'OH,Profit &amp; Other Base'!$A:$V,Backend!X$6,0),"")</f>
        <v/>
      </c>
      <c r="Y137" s="1" t="str">
        <f>IFERROR(Backend!$L137*VLOOKUP($F137,'OH,Profit &amp; Other Base'!$A:$V,Backend!Y$6,0),"")</f>
        <v/>
      </c>
      <c r="Z137" s="1" t="str">
        <f>IFERROR(Backend!$M137*VLOOKUP($F137,'OH,Profit &amp; Other Base'!$A:$V,Backend!Z$6,0),"")</f>
        <v/>
      </c>
      <c r="AA137" s="1" t="str">
        <f>IFERROR(Backend!$L137*VLOOKUP($F137,'OH,Profit &amp; Other Base'!$A:$V,Backend!AA$6,0),"")</f>
        <v/>
      </c>
      <c r="AB137" s="1" t="str">
        <f>IFERROR(Backend!$M137*VLOOKUP($F137,'OH,Profit &amp; Other Base'!$A:$V,Backend!AB$6,0),"")</f>
        <v/>
      </c>
      <c r="AC137" s="1" t="str">
        <f>IFERROR(Backend!$L137*VLOOKUP($F137,'OH,Profit &amp; Other Base'!$A:$V,Backend!AC$6,0),"")</f>
        <v/>
      </c>
      <c r="AD137" s="1" t="str">
        <f>IFERROR(Backend!$M137*VLOOKUP($F137,'OH,Profit &amp; Other Base'!$A:$V,Backend!AD$6,0),"")</f>
        <v/>
      </c>
      <c r="AE137" s="1" t="str">
        <f>IFERROR(Backend!$L137*VLOOKUP($F137,'OH,Profit &amp; Other Base'!$A:$V,Backend!AE$6,0),"")</f>
        <v/>
      </c>
      <c r="AF137" s="1" t="str">
        <f>IFERROR(Backend!$M137*VLOOKUP($F137,'OH,Profit &amp; Other Base'!$A:$V,Backend!AF$6,0),"")</f>
        <v/>
      </c>
      <c r="AG137" s="1" t="str">
        <f>IFERROR(Backend!$L137*VLOOKUP($F137,'OH,Profit &amp; Other Base'!$A:$V,Backend!AG$6,0),"")</f>
        <v/>
      </c>
      <c r="AH137" s="1" t="str">
        <f>IFERROR(Backend!$M137*VLOOKUP($F137,'OH,Profit &amp; Other Base'!$A:$V,Backend!AH$6,0),"")</f>
        <v/>
      </c>
      <c r="AI137" s="3">
        <f t="shared" si="16"/>
        <v>0</v>
      </c>
      <c r="AL137" s="1" t="str">
        <f t="shared" si="17"/>
        <v/>
      </c>
      <c r="AM137" s="1" t="str">
        <f t="shared" si="18"/>
        <v/>
      </c>
      <c r="AN137" s="1" t="str">
        <f t="shared" si="19"/>
        <v/>
      </c>
      <c r="AO137" s="1" t="str">
        <f t="shared" si="20"/>
        <v/>
      </c>
      <c r="AP137" s="1" t="str">
        <f>IFERROR(ROUND(Backend!$AL137*VLOOKUP($F137,'OH,Profit &amp; Other Base'!$A:$V,Backend!AP$6,0),5),"")</f>
        <v/>
      </c>
      <c r="AQ137" s="1" t="str">
        <f>IFERROR(ROUND(Backend!$AO137*VLOOKUP($F137,'OH,Profit &amp; Other Base'!$A:$V,Backend!AQ$6,0),5),"")</f>
        <v/>
      </c>
      <c r="AR137" s="1" t="str">
        <f>IFERROR(ROUND(Backend!$AM137*VLOOKUP($F137,'OH,Profit &amp; Other Base'!$A:$V,Backend!AR$6,0),5),"")</f>
        <v/>
      </c>
      <c r="AS137" s="1" t="str">
        <f>IFERROR(ROUND(Backend!$AL137*VLOOKUP($F137,'OH,Profit &amp; Other Base'!$A:$V,Backend!AS$6,0),5),"")</f>
        <v/>
      </c>
      <c r="AT137" s="1" t="str">
        <f>IFERROR(ROUND(Backend!$AO137*VLOOKUP($F137,'OH,Profit &amp; Other Base'!$A:$V,Backend!AT$6,0),5),"")</f>
        <v/>
      </c>
      <c r="AU137" s="1" t="str">
        <f>IFERROR(ROUND(Backend!$AM137*VLOOKUP($F137,'OH,Profit &amp; Other Base'!$A:$V,Backend!AU$6,0),5),"")</f>
        <v/>
      </c>
      <c r="AV137" s="1" t="str">
        <f>IFERROR(ROUND(Backend!$AL137*VLOOKUP($F137,'OH,Profit &amp; Other Base'!$A:$V,Backend!AV$6,0),5),"")</f>
        <v/>
      </c>
      <c r="AW137" s="1" t="str">
        <f>IFERROR(ROUND(Backend!$AO137*VLOOKUP($F137,'OH,Profit &amp; Other Base'!$A:$V,Backend!AW$6,0),5),"")</f>
        <v/>
      </c>
      <c r="AX137" s="1" t="str">
        <f>IFERROR(ROUND(Backend!$AM137*VLOOKUP($F137,'OH,Profit &amp; Other Base'!$A:$V,Backend!AX$6,0),5),"")</f>
        <v/>
      </c>
      <c r="AY137" s="1" t="str">
        <f>IFERROR(ROUND(Backend!$AL137*VLOOKUP($F137,'OH,Profit &amp; Other Base'!$A:$V,Backend!AY$6,0),5),"")</f>
        <v/>
      </c>
      <c r="AZ137" s="1" t="str">
        <f>IFERROR(ROUND(Backend!$AO137*VLOOKUP($F137,'OH,Profit &amp; Other Base'!$A:$V,Backend!AZ$6,0),5),"")</f>
        <v/>
      </c>
      <c r="BA137" s="1" t="str">
        <f>IFERROR(ROUND(Backend!$AM137*VLOOKUP($F137,'OH,Profit &amp; Other Base'!$A:$V,Backend!BA$6,0),5),"")</f>
        <v/>
      </c>
      <c r="BB137" s="1" t="str">
        <f>IFERROR(ROUND(Backend!$AL137*VLOOKUP($F137,'OH,Profit &amp; Other Base'!$A:$V,Backend!BB$6,0),5),"")</f>
        <v/>
      </c>
      <c r="BC137" s="1" t="str">
        <f>IFERROR(ROUND(Backend!$AO137*VLOOKUP($F137,'OH,Profit &amp; Other Base'!$A:$V,Backend!BC$6,0),5),"")</f>
        <v/>
      </c>
      <c r="BD137" s="1" t="str">
        <f>IFERROR(ROUND(Backend!$AM137*VLOOKUP($F137,'OH,Profit &amp; Other Base'!$A:$V,Backend!BD$6,0),5),"")</f>
        <v/>
      </c>
      <c r="BE137" s="1" t="str">
        <f>IFERROR(ROUND(Backend!$AL137*VLOOKUP($F137,'OH,Profit &amp; Other Base'!$A:$V,Backend!BE$6,0),5),"")</f>
        <v/>
      </c>
      <c r="BF137" s="1" t="str">
        <f>IFERROR(ROUND(Backend!$AO137*VLOOKUP($F137,'OH,Profit &amp; Other Base'!$A:$V,Backend!BF$6,0),5),"")</f>
        <v/>
      </c>
      <c r="BG137" s="1" t="str">
        <f>IFERROR(ROUND(Backend!$AM137*VLOOKUP($F137,'OH,Profit &amp; Other Base'!$A:$V,Backend!BG$6,0),5),"")</f>
        <v/>
      </c>
      <c r="BH137" s="1" t="str">
        <f>IFERROR(ROUND(Backend!$AL137*VLOOKUP($F137,'OH,Profit &amp; Other Base'!$A:$V,Backend!BH$6,0),5),"")</f>
        <v/>
      </c>
      <c r="BI137" s="1" t="str">
        <f>IFERROR(ROUND(Backend!$AO137*VLOOKUP($F137,'OH,Profit &amp; Other Base'!$A:$V,Backend!BI$6,0),5),"")</f>
        <v/>
      </c>
      <c r="BJ137" s="1" t="str">
        <f>IFERROR(ROUND(Backend!$AM137*VLOOKUP($F137,'OH,Profit &amp; Other Base'!$A:$V,Backend!BJ$6,0),5),"")</f>
        <v/>
      </c>
      <c r="BK137" s="3">
        <f>SUM(AN137:BJ137,Backend!O137)</f>
        <v>0</v>
      </c>
    </row>
    <row r="138" spans="1:63">
      <c r="A138" s="1">
        <f>BOM!A133</f>
        <v>0</v>
      </c>
      <c r="B138" s="1">
        <f>BOM!B133</f>
        <v>0</v>
      </c>
      <c r="C138" s="1">
        <f>BOM!C133</f>
        <v>0</v>
      </c>
      <c r="D138" s="1">
        <f>BOM!D133</f>
        <v>0</v>
      </c>
      <c r="E138" s="1">
        <f>BOM!F133</f>
        <v>0</v>
      </c>
      <c r="F138" s="1" t="str">
        <f>IF(H138="CSC",BOM!H133,IF(J138="BOFOthers","Sheet Metal-B",""))</f>
        <v/>
      </c>
      <c r="G138" s="1">
        <f>BOM!I133</f>
        <v>0</v>
      </c>
      <c r="H138" s="1">
        <f>BOM!J133</f>
        <v>0</v>
      </c>
      <c r="I138" s="1" t="str">
        <f t="shared" si="14"/>
        <v>Others</v>
      </c>
      <c r="J138" s="1" t="str">
        <f t="shared" si="15"/>
        <v>0Others</v>
      </c>
      <c r="K138" s="3" t="str">
        <f>IF($J138="InhouseCSC",VLOOKUP($D138,Group!$C:$E,3,0),"")</f>
        <v/>
      </c>
      <c r="L138" s="3" t="str">
        <f>IF(OR($J138="BOSFCSC",$J138="BOFCSC"),VLOOKUP($D138,Group!$C:$E,3,0),"")</f>
        <v/>
      </c>
      <c r="M138" s="3" t="str">
        <f>IF(OR($J138="BOSFCSC",$J138="BOFCSC"),VLOOKUP($D138,Group!$C:$F,4,0),"")</f>
        <v/>
      </c>
      <c r="N138" s="3" t="str">
        <f>IF(OR($J138="InhouseCSC",$J138="BOSFCSC"),VLOOKUP($D138,Group!$C:$G,5,0),"")</f>
        <v/>
      </c>
      <c r="O138" s="3" t="str">
        <f>IF($J138="InhouseCSC",ROUND(VLOOKUP($D138,Group!$C:$H,6,0),5),"")</f>
        <v/>
      </c>
      <c r="P138" s="3" t="str">
        <f>IF(OR($J138="BOSFCSC",$J138="BOFCSC"),VLOOKUP($D138,Group!$C:$H,6,0),"")</f>
        <v/>
      </c>
      <c r="Q138" s="1" t="str">
        <f>IF($J138="Inhouseothers",VLOOKUP($D138,Group!$C:$E,3,0),"")</f>
        <v/>
      </c>
      <c r="R138" s="1" t="str">
        <f>IF($J138="BOSFOthers",VLOOKUP($D138,Group!$C:$E,3,0),"")</f>
        <v/>
      </c>
      <c r="S138" s="3" t="str">
        <f>IF($J138="BOFOthers",VLOOKUP($D138,Group!$C:$E,3,0),"")</f>
        <v/>
      </c>
      <c r="U138" s="1" t="str">
        <f>IFERROR(Backend!$L138*VLOOKUP($F138,'OH,Profit &amp; Other Base'!$A:$V,Backend!U$6,0),"")</f>
        <v/>
      </c>
      <c r="V138" s="1" t="str">
        <f>IFERROR(Backend!$M138*VLOOKUP($F138,'OH,Profit &amp; Other Base'!$A:$V,Backend!V$6,0),"")</f>
        <v/>
      </c>
      <c r="W138" s="1" t="str">
        <f>IFERROR(Backend!$L138*VLOOKUP($F138,'OH,Profit &amp; Other Base'!$A:$V,Backend!W$6,0),"")</f>
        <v/>
      </c>
      <c r="X138" s="1" t="str">
        <f>IFERROR(Backend!$M138*VLOOKUP($F138,'OH,Profit &amp; Other Base'!$A:$V,Backend!X$6,0),"")</f>
        <v/>
      </c>
      <c r="Y138" s="1" t="str">
        <f>IFERROR(Backend!$L138*VLOOKUP($F138,'OH,Profit &amp; Other Base'!$A:$V,Backend!Y$6,0),"")</f>
        <v/>
      </c>
      <c r="Z138" s="1" t="str">
        <f>IFERROR(Backend!$M138*VLOOKUP($F138,'OH,Profit &amp; Other Base'!$A:$V,Backend!Z$6,0),"")</f>
        <v/>
      </c>
      <c r="AA138" s="1" t="str">
        <f>IFERROR(Backend!$L138*VLOOKUP($F138,'OH,Profit &amp; Other Base'!$A:$V,Backend!AA$6,0),"")</f>
        <v/>
      </c>
      <c r="AB138" s="1" t="str">
        <f>IFERROR(Backend!$M138*VLOOKUP($F138,'OH,Profit &amp; Other Base'!$A:$V,Backend!AB$6,0),"")</f>
        <v/>
      </c>
      <c r="AC138" s="1" t="str">
        <f>IFERROR(Backend!$L138*VLOOKUP($F138,'OH,Profit &amp; Other Base'!$A:$V,Backend!AC$6,0),"")</f>
        <v/>
      </c>
      <c r="AD138" s="1" t="str">
        <f>IFERROR(Backend!$M138*VLOOKUP($F138,'OH,Profit &amp; Other Base'!$A:$V,Backend!AD$6,0),"")</f>
        <v/>
      </c>
      <c r="AE138" s="1" t="str">
        <f>IFERROR(Backend!$L138*VLOOKUP($F138,'OH,Profit &amp; Other Base'!$A:$V,Backend!AE$6,0),"")</f>
        <v/>
      </c>
      <c r="AF138" s="1" t="str">
        <f>IFERROR(Backend!$M138*VLOOKUP($F138,'OH,Profit &amp; Other Base'!$A:$V,Backend!AF$6,0),"")</f>
        <v/>
      </c>
      <c r="AG138" s="1" t="str">
        <f>IFERROR(Backend!$L138*VLOOKUP($F138,'OH,Profit &amp; Other Base'!$A:$V,Backend!AG$6,0),"")</f>
        <v/>
      </c>
      <c r="AH138" s="1" t="str">
        <f>IFERROR(Backend!$M138*VLOOKUP($F138,'OH,Profit &amp; Other Base'!$A:$V,Backend!AH$6,0),"")</f>
        <v/>
      </c>
      <c r="AI138" s="3">
        <f t="shared" si="16"/>
        <v>0</v>
      </c>
      <c r="AL138" s="1" t="str">
        <f t="shared" si="17"/>
        <v/>
      </c>
      <c r="AM138" s="1" t="str">
        <f t="shared" si="18"/>
        <v/>
      </c>
      <c r="AN138" s="1" t="str">
        <f t="shared" si="19"/>
        <v/>
      </c>
      <c r="AO138" s="1" t="str">
        <f t="shared" si="20"/>
        <v/>
      </c>
      <c r="AP138" s="1" t="str">
        <f>IFERROR(ROUND(Backend!$AL138*VLOOKUP($F138,'OH,Profit &amp; Other Base'!$A:$V,Backend!AP$6,0),5),"")</f>
        <v/>
      </c>
      <c r="AQ138" s="1" t="str">
        <f>IFERROR(ROUND(Backend!$AO138*VLOOKUP($F138,'OH,Profit &amp; Other Base'!$A:$V,Backend!AQ$6,0),5),"")</f>
        <v/>
      </c>
      <c r="AR138" s="1" t="str">
        <f>IFERROR(ROUND(Backend!$AM138*VLOOKUP($F138,'OH,Profit &amp; Other Base'!$A:$V,Backend!AR$6,0),5),"")</f>
        <v/>
      </c>
      <c r="AS138" s="1" t="str">
        <f>IFERROR(ROUND(Backend!$AL138*VLOOKUP($F138,'OH,Profit &amp; Other Base'!$A:$V,Backend!AS$6,0),5),"")</f>
        <v/>
      </c>
      <c r="AT138" s="1" t="str">
        <f>IFERROR(ROUND(Backend!$AO138*VLOOKUP($F138,'OH,Profit &amp; Other Base'!$A:$V,Backend!AT$6,0),5),"")</f>
        <v/>
      </c>
      <c r="AU138" s="1" t="str">
        <f>IFERROR(ROUND(Backend!$AM138*VLOOKUP($F138,'OH,Profit &amp; Other Base'!$A:$V,Backend!AU$6,0),5),"")</f>
        <v/>
      </c>
      <c r="AV138" s="1" t="str">
        <f>IFERROR(ROUND(Backend!$AL138*VLOOKUP($F138,'OH,Profit &amp; Other Base'!$A:$V,Backend!AV$6,0),5),"")</f>
        <v/>
      </c>
      <c r="AW138" s="1" t="str">
        <f>IFERROR(ROUND(Backend!$AO138*VLOOKUP($F138,'OH,Profit &amp; Other Base'!$A:$V,Backend!AW$6,0),5),"")</f>
        <v/>
      </c>
      <c r="AX138" s="1" t="str">
        <f>IFERROR(ROUND(Backend!$AM138*VLOOKUP($F138,'OH,Profit &amp; Other Base'!$A:$V,Backend!AX$6,0),5),"")</f>
        <v/>
      </c>
      <c r="AY138" s="1" t="str">
        <f>IFERROR(ROUND(Backend!$AL138*VLOOKUP($F138,'OH,Profit &amp; Other Base'!$A:$V,Backend!AY$6,0),5),"")</f>
        <v/>
      </c>
      <c r="AZ138" s="1" t="str">
        <f>IFERROR(ROUND(Backend!$AO138*VLOOKUP($F138,'OH,Profit &amp; Other Base'!$A:$V,Backend!AZ$6,0),5),"")</f>
        <v/>
      </c>
      <c r="BA138" s="1" t="str">
        <f>IFERROR(ROUND(Backend!$AM138*VLOOKUP($F138,'OH,Profit &amp; Other Base'!$A:$V,Backend!BA$6,0),5),"")</f>
        <v/>
      </c>
      <c r="BB138" s="1" t="str">
        <f>IFERROR(ROUND(Backend!$AL138*VLOOKUP($F138,'OH,Profit &amp; Other Base'!$A:$V,Backend!BB$6,0),5),"")</f>
        <v/>
      </c>
      <c r="BC138" s="1" t="str">
        <f>IFERROR(ROUND(Backend!$AO138*VLOOKUP($F138,'OH,Profit &amp; Other Base'!$A:$V,Backend!BC$6,0),5),"")</f>
        <v/>
      </c>
      <c r="BD138" s="1" t="str">
        <f>IFERROR(ROUND(Backend!$AM138*VLOOKUP($F138,'OH,Profit &amp; Other Base'!$A:$V,Backend!BD$6,0),5),"")</f>
        <v/>
      </c>
      <c r="BE138" s="1" t="str">
        <f>IFERROR(ROUND(Backend!$AL138*VLOOKUP($F138,'OH,Profit &amp; Other Base'!$A:$V,Backend!BE$6,0),5),"")</f>
        <v/>
      </c>
      <c r="BF138" s="1" t="str">
        <f>IFERROR(ROUND(Backend!$AO138*VLOOKUP($F138,'OH,Profit &amp; Other Base'!$A:$V,Backend!BF$6,0),5),"")</f>
        <v/>
      </c>
      <c r="BG138" s="1" t="str">
        <f>IFERROR(ROUND(Backend!$AM138*VLOOKUP($F138,'OH,Profit &amp; Other Base'!$A:$V,Backend!BG$6,0),5),"")</f>
        <v/>
      </c>
      <c r="BH138" s="1" t="str">
        <f>IFERROR(ROUND(Backend!$AL138*VLOOKUP($F138,'OH,Profit &amp; Other Base'!$A:$V,Backend!BH$6,0),5),"")</f>
        <v/>
      </c>
      <c r="BI138" s="1" t="str">
        <f>IFERROR(ROUND(Backend!$AO138*VLOOKUP($F138,'OH,Profit &amp; Other Base'!$A:$V,Backend!BI$6,0),5),"")</f>
        <v/>
      </c>
      <c r="BJ138" s="1" t="str">
        <f>IFERROR(ROUND(Backend!$AM138*VLOOKUP($F138,'OH,Profit &amp; Other Base'!$A:$V,Backend!BJ$6,0),5),"")</f>
        <v/>
      </c>
      <c r="BK138" s="3">
        <f>SUM(AN138:BJ138,Backend!O138)</f>
        <v>0</v>
      </c>
    </row>
    <row r="139" spans="1:63">
      <c r="A139" s="1">
        <f>BOM!A134</f>
        <v>0</v>
      </c>
      <c r="B139" s="1">
        <f>BOM!B134</f>
        <v>0</v>
      </c>
      <c r="C139" s="1">
        <f>BOM!C134</f>
        <v>0</v>
      </c>
      <c r="D139" s="1">
        <f>BOM!D134</f>
        <v>0</v>
      </c>
      <c r="E139" s="1">
        <f>BOM!F134</f>
        <v>0</v>
      </c>
      <c r="F139" s="1" t="str">
        <f>IF(H139="CSC",BOM!H134,IF(J139="BOFOthers","Sheet Metal-B",""))</f>
        <v/>
      </c>
      <c r="G139" s="1">
        <f>BOM!I134</f>
        <v>0</v>
      </c>
      <c r="H139" s="1">
        <f>BOM!J134</f>
        <v>0</v>
      </c>
      <c r="I139" s="1" t="str">
        <f t="shared" si="14"/>
        <v>Others</v>
      </c>
      <c r="J139" s="1" t="str">
        <f t="shared" si="15"/>
        <v>0Others</v>
      </c>
      <c r="K139" s="3" t="str">
        <f>IF($J139="InhouseCSC",VLOOKUP($D139,Group!$C:$E,3,0),"")</f>
        <v/>
      </c>
      <c r="L139" s="3" t="str">
        <f>IF(OR($J139="BOSFCSC",$J139="BOFCSC"),VLOOKUP($D139,Group!$C:$E,3,0),"")</f>
        <v/>
      </c>
      <c r="M139" s="3" t="str">
        <f>IF(OR($J139="BOSFCSC",$J139="BOFCSC"),VLOOKUP($D139,Group!$C:$F,4,0),"")</f>
        <v/>
      </c>
      <c r="N139" s="3" t="str">
        <f>IF(OR($J139="InhouseCSC",$J139="BOSFCSC"),VLOOKUP($D139,Group!$C:$G,5,0),"")</f>
        <v/>
      </c>
      <c r="O139" s="3" t="str">
        <f>IF($J139="InhouseCSC",ROUND(VLOOKUP($D139,Group!$C:$H,6,0),5),"")</f>
        <v/>
      </c>
      <c r="P139" s="3" t="str">
        <f>IF(OR($J139="BOSFCSC",$J139="BOFCSC"),VLOOKUP($D139,Group!$C:$H,6,0),"")</f>
        <v/>
      </c>
      <c r="Q139" s="1" t="str">
        <f>IF($J139="Inhouseothers",VLOOKUP($D139,Group!$C:$E,3,0),"")</f>
        <v/>
      </c>
      <c r="R139" s="1" t="str">
        <f>IF($J139="BOSFOthers",VLOOKUP($D139,Group!$C:$E,3,0),"")</f>
        <v/>
      </c>
      <c r="S139" s="3" t="str">
        <f>IF($J139="BOFOthers",VLOOKUP($D139,Group!$C:$E,3,0),"")</f>
        <v/>
      </c>
      <c r="U139" s="1" t="str">
        <f>IFERROR(Backend!$L139*VLOOKUP($F139,'OH,Profit &amp; Other Base'!$A:$V,Backend!U$6,0),"")</f>
        <v/>
      </c>
      <c r="V139" s="1" t="str">
        <f>IFERROR(Backend!$M139*VLOOKUP($F139,'OH,Profit &amp; Other Base'!$A:$V,Backend!V$6,0),"")</f>
        <v/>
      </c>
      <c r="W139" s="1" t="str">
        <f>IFERROR(Backend!$L139*VLOOKUP($F139,'OH,Profit &amp; Other Base'!$A:$V,Backend!W$6,0),"")</f>
        <v/>
      </c>
      <c r="X139" s="1" t="str">
        <f>IFERROR(Backend!$M139*VLOOKUP($F139,'OH,Profit &amp; Other Base'!$A:$V,Backend!X$6,0),"")</f>
        <v/>
      </c>
      <c r="Y139" s="1" t="str">
        <f>IFERROR(Backend!$L139*VLOOKUP($F139,'OH,Profit &amp; Other Base'!$A:$V,Backend!Y$6,0),"")</f>
        <v/>
      </c>
      <c r="Z139" s="1" t="str">
        <f>IFERROR(Backend!$M139*VLOOKUP($F139,'OH,Profit &amp; Other Base'!$A:$V,Backend!Z$6,0),"")</f>
        <v/>
      </c>
      <c r="AA139" s="1" t="str">
        <f>IFERROR(Backend!$L139*VLOOKUP($F139,'OH,Profit &amp; Other Base'!$A:$V,Backend!AA$6,0),"")</f>
        <v/>
      </c>
      <c r="AB139" s="1" t="str">
        <f>IFERROR(Backend!$M139*VLOOKUP($F139,'OH,Profit &amp; Other Base'!$A:$V,Backend!AB$6,0),"")</f>
        <v/>
      </c>
      <c r="AC139" s="1" t="str">
        <f>IFERROR(Backend!$L139*VLOOKUP($F139,'OH,Profit &amp; Other Base'!$A:$V,Backend!AC$6,0),"")</f>
        <v/>
      </c>
      <c r="AD139" s="1" t="str">
        <f>IFERROR(Backend!$M139*VLOOKUP($F139,'OH,Profit &amp; Other Base'!$A:$V,Backend!AD$6,0),"")</f>
        <v/>
      </c>
      <c r="AE139" s="1" t="str">
        <f>IFERROR(Backend!$L139*VLOOKUP($F139,'OH,Profit &amp; Other Base'!$A:$V,Backend!AE$6,0),"")</f>
        <v/>
      </c>
      <c r="AF139" s="1" t="str">
        <f>IFERROR(Backend!$M139*VLOOKUP($F139,'OH,Profit &amp; Other Base'!$A:$V,Backend!AF$6,0),"")</f>
        <v/>
      </c>
      <c r="AG139" s="1" t="str">
        <f>IFERROR(Backend!$L139*VLOOKUP($F139,'OH,Profit &amp; Other Base'!$A:$V,Backend!AG$6,0),"")</f>
        <v/>
      </c>
      <c r="AH139" s="1" t="str">
        <f>IFERROR(Backend!$M139*VLOOKUP($F139,'OH,Profit &amp; Other Base'!$A:$V,Backend!AH$6,0),"")</f>
        <v/>
      </c>
      <c r="AI139" s="3">
        <f t="shared" si="16"/>
        <v>0</v>
      </c>
      <c r="AL139" s="1" t="str">
        <f t="shared" si="17"/>
        <v/>
      </c>
      <c r="AM139" s="1" t="str">
        <f t="shared" si="18"/>
        <v/>
      </c>
      <c r="AN139" s="1" t="str">
        <f t="shared" si="19"/>
        <v/>
      </c>
      <c r="AO139" s="1" t="str">
        <f t="shared" si="20"/>
        <v/>
      </c>
      <c r="AP139" s="1" t="str">
        <f>IFERROR(ROUND(Backend!$AL139*VLOOKUP($F139,'OH,Profit &amp; Other Base'!$A:$V,Backend!AP$6,0),5),"")</f>
        <v/>
      </c>
      <c r="AQ139" s="1" t="str">
        <f>IFERROR(ROUND(Backend!$AO139*VLOOKUP($F139,'OH,Profit &amp; Other Base'!$A:$V,Backend!AQ$6,0),5),"")</f>
        <v/>
      </c>
      <c r="AR139" s="1" t="str">
        <f>IFERROR(ROUND(Backend!$AM139*VLOOKUP($F139,'OH,Profit &amp; Other Base'!$A:$V,Backend!AR$6,0),5),"")</f>
        <v/>
      </c>
      <c r="AS139" s="1" t="str">
        <f>IFERROR(ROUND(Backend!$AL139*VLOOKUP($F139,'OH,Profit &amp; Other Base'!$A:$V,Backend!AS$6,0),5),"")</f>
        <v/>
      </c>
      <c r="AT139" s="1" t="str">
        <f>IFERROR(ROUND(Backend!$AO139*VLOOKUP($F139,'OH,Profit &amp; Other Base'!$A:$V,Backend!AT$6,0),5),"")</f>
        <v/>
      </c>
      <c r="AU139" s="1" t="str">
        <f>IFERROR(ROUND(Backend!$AM139*VLOOKUP($F139,'OH,Profit &amp; Other Base'!$A:$V,Backend!AU$6,0),5),"")</f>
        <v/>
      </c>
      <c r="AV139" s="1" t="str">
        <f>IFERROR(ROUND(Backend!$AL139*VLOOKUP($F139,'OH,Profit &amp; Other Base'!$A:$V,Backend!AV$6,0),5),"")</f>
        <v/>
      </c>
      <c r="AW139" s="1" t="str">
        <f>IFERROR(ROUND(Backend!$AO139*VLOOKUP($F139,'OH,Profit &amp; Other Base'!$A:$V,Backend!AW$6,0),5),"")</f>
        <v/>
      </c>
      <c r="AX139" s="1" t="str">
        <f>IFERROR(ROUND(Backend!$AM139*VLOOKUP($F139,'OH,Profit &amp; Other Base'!$A:$V,Backend!AX$6,0),5),"")</f>
        <v/>
      </c>
      <c r="AY139" s="1" t="str">
        <f>IFERROR(ROUND(Backend!$AL139*VLOOKUP($F139,'OH,Profit &amp; Other Base'!$A:$V,Backend!AY$6,0),5),"")</f>
        <v/>
      </c>
      <c r="AZ139" s="1" t="str">
        <f>IFERROR(ROUND(Backend!$AO139*VLOOKUP($F139,'OH,Profit &amp; Other Base'!$A:$V,Backend!AZ$6,0),5),"")</f>
        <v/>
      </c>
      <c r="BA139" s="1" t="str">
        <f>IFERROR(ROUND(Backend!$AM139*VLOOKUP($F139,'OH,Profit &amp; Other Base'!$A:$V,Backend!BA$6,0),5),"")</f>
        <v/>
      </c>
      <c r="BB139" s="1" t="str">
        <f>IFERROR(ROUND(Backend!$AL139*VLOOKUP($F139,'OH,Profit &amp; Other Base'!$A:$V,Backend!BB$6,0),5),"")</f>
        <v/>
      </c>
      <c r="BC139" s="1" t="str">
        <f>IFERROR(ROUND(Backend!$AO139*VLOOKUP($F139,'OH,Profit &amp; Other Base'!$A:$V,Backend!BC$6,0),5),"")</f>
        <v/>
      </c>
      <c r="BD139" s="1" t="str">
        <f>IFERROR(ROUND(Backend!$AM139*VLOOKUP($F139,'OH,Profit &amp; Other Base'!$A:$V,Backend!BD$6,0),5),"")</f>
        <v/>
      </c>
      <c r="BE139" s="1" t="str">
        <f>IFERROR(ROUND(Backend!$AL139*VLOOKUP($F139,'OH,Profit &amp; Other Base'!$A:$V,Backend!BE$6,0),5),"")</f>
        <v/>
      </c>
      <c r="BF139" s="1" t="str">
        <f>IFERROR(ROUND(Backend!$AO139*VLOOKUP($F139,'OH,Profit &amp; Other Base'!$A:$V,Backend!BF$6,0),5),"")</f>
        <v/>
      </c>
      <c r="BG139" s="1" t="str">
        <f>IFERROR(ROUND(Backend!$AM139*VLOOKUP($F139,'OH,Profit &amp; Other Base'!$A:$V,Backend!BG$6,0),5),"")</f>
        <v/>
      </c>
      <c r="BH139" s="1" t="str">
        <f>IFERROR(ROUND(Backend!$AL139*VLOOKUP($F139,'OH,Profit &amp; Other Base'!$A:$V,Backend!BH$6,0),5),"")</f>
        <v/>
      </c>
      <c r="BI139" s="1" t="str">
        <f>IFERROR(ROUND(Backend!$AO139*VLOOKUP($F139,'OH,Profit &amp; Other Base'!$A:$V,Backend!BI$6,0),5),"")</f>
        <v/>
      </c>
      <c r="BJ139" s="1" t="str">
        <f>IFERROR(ROUND(Backend!$AM139*VLOOKUP($F139,'OH,Profit &amp; Other Base'!$A:$V,Backend!BJ$6,0),5),"")</f>
        <v/>
      </c>
      <c r="BK139" s="3">
        <f>SUM(AN139:BJ139,Backend!O139)</f>
        <v>0</v>
      </c>
    </row>
    <row r="140" spans="1:63">
      <c r="A140" s="1">
        <f>BOM!A135</f>
        <v>0</v>
      </c>
      <c r="B140" s="1">
        <f>BOM!B135</f>
        <v>0</v>
      </c>
      <c r="C140" s="1">
        <f>BOM!C135</f>
        <v>0</v>
      </c>
      <c r="D140" s="1">
        <f>BOM!D135</f>
        <v>0</v>
      </c>
      <c r="E140" s="1">
        <f>BOM!F135</f>
        <v>0</v>
      </c>
      <c r="F140" s="1" t="str">
        <f>IF(H140="CSC",BOM!H135,IF(J140="BOFOthers","Sheet Metal-B",""))</f>
        <v/>
      </c>
      <c r="G140" s="1">
        <f>BOM!I135</f>
        <v>0</v>
      </c>
      <c r="H140" s="1">
        <f>BOM!J135</f>
        <v>0</v>
      </c>
      <c r="I140" s="1" t="str">
        <f t="shared" si="14"/>
        <v>Others</v>
      </c>
      <c r="J140" s="1" t="str">
        <f t="shared" si="15"/>
        <v>0Others</v>
      </c>
      <c r="K140" s="3" t="str">
        <f>IF($J140="InhouseCSC",VLOOKUP($D140,Group!$C:$E,3,0),"")</f>
        <v/>
      </c>
      <c r="L140" s="3" t="str">
        <f>IF(OR($J140="BOSFCSC",$J140="BOFCSC"),VLOOKUP($D140,Group!$C:$E,3,0),"")</f>
        <v/>
      </c>
      <c r="M140" s="3" t="str">
        <f>IF(OR($J140="BOSFCSC",$J140="BOFCSC"),VLOOKUP($D140,Group!$C:$F,4,0),"")</f>
        <v/>
      </c>
      <c r="N140" s="3" t="str">
        <f>IF(OR($J140="InhouseCSC",$J140="BOSFCSC"),VLOOKUP($D140,Group!$C:$G,5,0),"")</f>
        <v/>
      </c>
      <c r="O140" s="3" t="str">
        <f>IF($J140="InhouseCSC",ROUND(VLOOKUP($D140,Group!$C:$H,6,0),5),"")</f>
        <v/>
      </c>
      <c r="P140" s="3" t="str">
        <f>IF(OR($J140="BOSFCSC",$J140="BOFCSC"),VLOOKUP($D140,Group!$C:$H,6,0),"")</f>
        <v/>
      </c>
      <c r="Q140" s="1" t="str">
        <f>IF($J140="Inhouseothers",VLOOKUP($D140,Group!$C:$E,3,0),"")</f>
        <v/>
      </c>
      <c r="R140" s="1" t="str">
        <f>IF($J140="BOSFOthers",VLOOKUP($D140,Group!$C:$E,3,0),"")</f>
        <v/>
      </c>
      <c r="S140" s="3" t="str">
        <f>IF($J140="BOFOthers",VLOOKUP($D140,Group!$C:$E,3,0),"")</f>
        <v/>
      </c>
      <c r="U140" s="1" t="str">
        <f>IFERROR(Backend!$L140*VLOOKUP($F140,'OH,Profit &amp; Other Base'!$A:$V,Backend!U$6,0),"")</f>
        <v/>
      </c>
      <c r="V140" s="1" t="str">
        <f>IFERROR(Backend!$M140*VLOOKUP($F140,'OH,Profit &amp; Other Base'!$A:$V,Backend!V$6,0),"")</f>
        <v/>
      </c>
      <c r="W140" s="1" t="str">
        <f>IFERROR(Backend!$L140*VLOOKUP($F140,'OH,Profit &amp; Other Base'!$A:$V,Backend!W$6,0),"")</f>
        <v/>
      </c>
      <c r="X140" s="1" t="str">
        <f>IFERROR(Backend!$M140*VLOOKUP($F140,'OH,Profit &amp; Other Base'!$A:$V,Backend!X$6,0),"")</f>
        <v/>
      </c>
      <c r="Y140" s="1" t="str">
        <f>IFERROR(Backend!$L140*VLOOKUP($F140,'OH,Profit &amp; Other Base'!$A:$V,Backend!Y$6,0),"")</f>
        <v/>
      </c>
      <c r="Z140" s="1" t="str">
        <f>IFERROR(Backend!$M140*VLOOKUP($F140,'OH,Profit &amp; Other Base'!$A:$V,Backend!Z$6,0),"")</f>
        <v/>
      </c>
      <c r="AA140" s="1" t="str">
        <f>IFERROR(Backend!$L140*VLOOKUP($F140,'OH,Profit &amp; Other Base'!$A:$V,Backend!AA$6,0),"")</f>
        <v/>
      </c>
      <c r="AB140" s="1" t="str">
        <f>IFERROR(Backend!$M140*VLOOKUP($F140,'OH,Profit &amp; Other Base'!$A:$V,Backend!AB$6,0),"")</f>
        <v/>
      </c>
      <c r="AC140" s="1" t="str">
        <f>IFERROR(Backend!$L140*VLOOKUP($F140,'OH,Profit &amp; Other Base'!$A:$V,Backend!AC$6,0),"")</f>
        <v/>
      </c>
      <c r="AD140" s="1" t="str">
        <f>IFERROR(Backend!$M140*VLOOKUP($F140,'OH,Profit &amp; Other Base'!$A:$V,Backend!AD$6,0),"")</f>
        <v/>
      </c>
      <c r="AE140" s="1" t="str">
        <f>IFERROR(Backend!$L140*VLOOKUP($F140,'OH,Profit &amp; Other Base'!$A:$V,Backend!AE$6,0),"")</f>
        <v/>
      </c>
      <c r="AF140" s="1" t="str">
        <f>IFERROR(Backend!$M140*VLOOKUP($F140,'OH,Profit &amp; Other Base'!$A:$V,Backend!AF$6,0),"")</f>
        <v/>
      </c>
      <c r="AG140" s="1" t="str">
        <f>IFERROR(Backend!$L140*VLOOKUP($F140,'OH,Profit &amp; Other Base'!$A:$V,Backend!AG$6,0),"")</f>
        <v/>
      </c>
      <c r="AH140" s="1" t="str">
        <f>IFERROR(Backend!$M140*VLOOKUP($F140,'OH,Profit &amp; Other Base'!$A:$V,Backend!AH$6,0),"")</f>
        <v/>
      </c>
      <c r="AI140" s="3">
        <f t="shared" si="16"/>
        <v>0</v>
      </c>
      <c r="AL140" s="1" t="str">
        <f t="shared" si="17"/>
        <v/>
      </c>
      <c r="AM140" s="1" t="str">
        <f t="shared" si="18"/>
        <v/>
      </c>
      <c r="AN140" s="1" t="str">
        <f t="shared" si="19"/>
        <v/>
      </c>
      <c r="AO140" s="1" t="str">
        <f t="shared" si="20"/>
        <v/>
      </c>
      <c r="AP140" s="1" t="str">
        <f>IFERROR(ROUND(Backend!$AL140*VLOOKUP($F140,'OH,Profit &amp; Other Base'!$A:$V,Backend!AP$6,0),5),"")</f>
        <v/>
      </c>
      <c r="AQ140" s="1" t="str">
        <f>IFERROR(ROUND(Backend!$AO140*VLOOKUP($F140,'OH,Profit &amp; Other Base'!$A:$V,Backend!AQ$6,0),5),"")</f>
        <v/>
      </c>
      <c r="AR140" s="1" t="str">
        <f>IFERROR(ROUND(Backend!$AM140*VLOOKUP($F140,'OH,Profit &amp; Other Base'!$A:$V,Backend!AR$6,0),5),"")</f>
        <v/>
      </c>
      <c r="AS140" s="1" t="str">
        <f>IFERROR(ROUND(Backend!$AL140*VLOOKUP($F140,'OH,Profit &amp; Other Base'!$A:$V,Backend!AS$6,0),5),"")</f>
        <v/>
      </c>
      <c r="AT140" s="1" t="str">
        <f>IFERROR(ROUND(Backend!$AO140*VLOOKUP($F140,'OH,Profit &amp; Other Base'!$A:$V,Backend!AT$6,0),5),"")</f>
        <v/>
      </c>
      <c r="AU140" s="1" t="str">
        <f>IFERROR(ROUND(Backend!$AM140*VLOOKUP($F140,'OH,Profit &amp; Other Base'!$A:$V,Backend!AU$6,0),5),"")</f>
        <v/>
      </c>
      <c r="AV140" s="1" t="str">
        <f>IFERROR(ROUND(Backend!$AL140*VLOOKUP($F140,'OH,Profit &amp; Other Base'!$A:$V,Backend!AV$6,0),5),"")</f>
        <v/>
      </c>
      <c r="AW140" s="1" t="str">
        <f>IFERROR(ROUND(Backend!$AO140*VLOOKUP($F140,'OH,Profit &amp; Other Base'!$A:$V,Backend!AW$6,0),5),"")</f>
        <v/>
      </c>
      <c r="AX140" s="1" t="str">
        <f>IFERROR(ROUND(Backend!$AM140*VLOOKUP($F140,'OH,Profit &amp; Other Base'!$A:$V,Backend!AX$6,0),5),"")</f>
        <v/>
      </c>
      <c r="AY140" s="1" t="str">
        <f>IFERROR(ROUND(Backend!$AL140*VLOOKUP($F140,'OH,Profit &amp; Other Base'!$A:$V,Backend!AY$6,0),5),"")</f>
        <v/>
      </c>
      <c r="AZ140" s="1" t="str">
        <f>IFERROR(ROUND(Backend!$AO140*VLOOKUP($F140,'OH,Profit &amp; Other Base'!$A:$V,Backend!AZ$6,0),5),"")</f>
        <v/>
      </c>
      <c r="BA140" s="1" t="str">
        <f>IFERROR(ROUND(Backend!$AM140*VLOOKUP($F140,'OH,Profit &amp; Other Base'!$A:$V,Backend!BA$6,0),5),"")</f>
        <v/>
      </c>
      <c r="BB140" s="1" t="str">
        <f>IFERROR(ROUND(Backend!$AL140*VLOOKUP($F140,'OH,Profit &amp; Other Base'!$A:$V,Backend!BB$6,0),5),"")</f>
        <v/>
      </c>
      <c r="BC140" s="1" t="str">
        <f>IFERROR(ROUND(Backend!$AO140*VLOOKUP($F140,'OH,Profit &amp; Other Base'!$A:$V,Backend!BC$6,0),5),"")</f>
        <v/>
      </c>
      <c r="BD140" s="1" t="str">
        <f>IFERROR(ROUND(Backend!$AM140*VLOOKUP($F140,'OH,Profit &amp; Other Base'!$A:$V,Backend!BD$6,0),5),"")</f>
        <v/>
      </c>
      <c r="BE140" s="1" t="str">
        <f>IFERROR(ROUND(Backend!$AL140*VLOOKUP($F140,'OH,Profit &amp; Other Base'!$A:$V,Backend!BE$6,0),5),"")</f>
        <v/>
      </c>
      <c r="BF140" s="1" t="str">
        <f>IFERROR(ROUND(Backend!$AO140*VLOOKUP($F140,'OH,Profit &amp; Other Base'!$A:$V,Backend!BF$6,0),5),"")</f>
        <v/>
      </c>
      <c r="BG140" s="1" t="str">
        <f>IFERROR(ROUND(Backend!$AM140*VLOOKUP($F140,'OH,Profit &amp; Other Base'!$A:$V,Backend!BG$6,0),5),"")</f>
        <v/>
      </c>
      <c r="BH140" s="1" t="str">
        <f>IFERROR(ROUND(Backend!$AL140*VLOOKUP($F140,'OH,Profit &amp; Other Base'!$A:$V,Backend!BH$6,0),5),"")</f>
        <v/>
      </c>
      <c r="BI140" s="1" t="str">
        <f>IFERROR(ROUND(Backend!$AO140*VLOOKUP($F140,'OH,Profit &amp; Other Base'!$A:$V,Backend!BI$6,0),5),"")</f>
        <v/>
      </c>
      <c r="BJ140" s="1" t="str">
        <f>IFERROR(ROUND(Backend!$AM140*VLOOKUP($F140,'OH,Profit &amp; Other Base'!$A:$V,Backend!BJ$6,0),5),"")</f>
        <v/>
      </c>
      <c r="BK140" s="3">
        <f>SUM(AN140:BJ140,Backend!O140)</f>
        <v>0</v>
      </c>
    </row>
    <row r="141" spans="1:63">
      <c r="A141" s="1">
        <f>BOM!A136</f>
        <v>0</v>
      </c>
      <c r="B141" s="1">
        <f>BOM!B136</f>
        <v>0</v>
      </c>
      <c r="C141" s="1">
        <f>BOM!C136</f>
        <v>0</v>
      </c>
      <c r="D141" s="1">
        <f>BOM!D136</f>
        <v>0</v>
      </c>
      <c r="E141" s="1">
        <f>BOM!F136</f>
        <v>0</v>
      </c>
      <c r="F141" s="1" t="str">
        <f>IF(H141="CSC",BOM!H136,IF(J141="BOFOthers","Sheet Metal-B",""))</f>
        <v/>
      </c>
      <c r="G141" s="1">
        <f>BOM!I136</f>
        <v>0</v>
      </c>
      <c r="H141" s="1">
        <f>BOM!J136</f>
        <v>0</v>
      </c>
      <c r="I141" s="1" t="str">
        <f t="shared" si="14"/>
        <v>Others</v>
      </c>
      <c r="J141" s="1" t="str">
        <f t="shared" si="15"/>
        <v>0Others</v>
      </c>
      <c r="K141" s="3" t="str">
        <f>IF($J141="InhouseCSC",VLOOKUP($D141,Group!$C:$E,3,0),"")</f>
        <v/>
      </c>
      <c r="L141" s="3" t="str">
        <f>IF(OR($J141="BOSFCSC",$J141="BOFCSC"),VLOOKUP($D141,Group!$C:$E,3,0),"")</f>
        <v/>
      </c>
      <c r="M141" s="3" t="str">
        <f>IF(OR($J141="BOSFCSC",$J141="BOFCSC"),VLOOKUP($D141,Group!$C:$F,4,0),"")</f>
        <v/>
      </c>
      <c r="N141" s="3" t="str">
        <f>IF(OR($J141="InhouseCSC",$J141="BOSFCSC"),VLOOKUP($D141,Group!$C:$G,5,0),"")</f>
        <v/>
      </c>
      <c r="O141" s="3" t="str">
        <f>IF($J141="InhouseCSC",ROUND(VLOOKUP($D141,Group!$C:$H,6,0),5),"")</f>
        <v/>
      </c>
      <c r="P141" s="3" t="str">
        <f>IF(OR($J141="BOSFCSC",$J141="BOFCSC"),VLOOKUP($D141,Group!$C:$H,6,0),"")</f>
        <v/>
      </c>
      <c r="Q141" s="1" t="str">
        <f>IF($J141="Inhouseothers",VLOOKUP($D141,Group!$C:$E,3,0),"")</f>
        <v/>
      </c>
      <c r="R141" s="1" t="str">
        <f>IF($J141="BOSFOthers",VLOOKUP($D141,Group!$C:$E,3,0),"")</f>
        <v/>
      </c>
      <c r="S141" s="3" t="str">
        <f>IF($J141="BOFOthers",VLOOKUP($D141,Group!$C:$E,3,0),"")</f>
        <v/>
      </c>
      <c r="U141" s="1" t="str">
        <f>IFERROR(Backend!$L141*VLOOKUP($F141,'OH,Profit &amp; Other Base'!$A:$V,Backend!U$6,0),"")</f>
        <v/>
      </c>
      <c r="V141" s="1" t="str">
        <f>IFERROR(Backend!$M141*VLOOKUP($F141,'OH,Profit &amp; Other Base'!$A:$V,Backend!V$6,0),"")</f>
        <v/>
      </c>
      <c r="W141" s="1" t="str">
        <f>IFERROR(Backend!$L141*VLOOKUP($F141,'OH,Profit &amp; Other Base'!$A:$V,Backend!W$6,0),"")</f>
        <v/>
      </c>
      <c r="X141" s="1" t="str">
        <f>IFERROR(Backend!$M141*VLOOKUP($F141,'OH,Profit &amp; Other Base'!$A:$V,Backend!X$6,0),"")</f>
        <v/>
      </c>
      <c r="Y141" s="1" t="str">
        <f>IFERROR(Backend!$L141*VLOOKUP($F141,'OH,Profit &amp; Other Base'!$A:$V,Backend!Y$6,0),"")</f>
        <v/>
      </c>
      <c r="Z141" s="1" t="str">
        <f>IFERROR(Backend!$M141*VLOOKUP($F141,'OH,Profit &amp; Other Base'!$A:$V,Backend!Z$6,0),"")</f>
        <v/>
      </c>
      <c r="AA141" s="1" t="str">
        <f>IFERROR(Backend!$L141*VLOOKUP($F141,'OH,Profit &amp; Other Base'!$A:$V,Backend!AA$6,0),"")</f>
        <v/>
      </c>
      <c r="AB141" s="1" t="str">
        <f>IFERROR(Backend!$M141*VLOOKUP($F141,'OH,Profit &amp; Other Base'!$A:$V,Backend!AB$6,0),"")</f>
        <v/>
      </c>
      <c r="AC141" s="1" t="str">
        <f>IFERROR(Backend!$L141*VLOOKUP($F141,'OH,Profit &amp; Other Base'!$A:$V,Backend!AC$6,0),"")</f>
        <v/>
      </c>
      <c r="AD141" s="1" t="str">
        <f>IFERROR(Backend!$M141*VLOOKUP($F141,'OH,Profit &amp; Other Base'!$A:$V,Backend!AD$6,0),"")</f>
        <v/>
      </c>
      <c r="AE141" s="1" t="str">
        <f>IFERROR(Backend!$L141*VLOOKUP($F141,'OH,Profit &amp; Other Base'!$A:$V,Backend!AE$6,0),"")</f>
        <v/>
      </c>
      <c r="AF141" s="1" t="str">
        <f>IFERROR(Backend!$M141*VLOOKUP($F141,'OH,Profit &amp; Other Base'!$A:$V,Backend!AF$6,0),"")</f>
        <v/>
      </c>
      <c r="AG141" s="1" t="str">
        <f>IFERROR(Backend!$L141*VLOOKUP($F141,'OH,Profit &amp; Other Base'!$A:$V,Backend!AG$6,0),"")</f>
        <v/>
      </c>
      <c r="AH141" s="1" t="str">
        <f>IFERROR(Backend!$M141*VLOOKUP($F141,'OH,Profit &amp; Other Base'!$A:$V,Backend!AH$6,0),"")</f>
        <v/>
      </c>
      <c r="AI141" s="3">
        <f t="shared" si="16"/>
        <v>0</v>
      </c>
      <c r="AL141" s="1" t="str">
        <f t="shared" si="17"/>
        <v/>
      </c>
      <c r="AM141" s="1" t="str">
        <f t="shared" si="18"/>
        <v/>
      </c>
      <c r="AN141" s="1" t="str">
        <f t="shared" si="19"/>
        <v/>
      </c>
      <c r="AO141" s="1" t="str">
        <f t="shared" si="20"/>
        <v/>
      </c>
      <c r="AP141" s="1" t="str">
        <f>IFERROR(ROUND(Backend!$AL141*VLOOKUP($F141,'OH,Profit &amp; Other Base'!$A:$V,Backend!AP$6,0),5),"")</f>
        <v/>
      </c>
      <c r="AQ141" s="1" t="str">
        <f>IFERROR(ROUND(Backend!$AO141*VLOOKUP($F141,'OH,Profit &amp; Other Base'!$A:$V,Backend!AQ$6,0),5),"")</f>
        <v/>
      </c>
      <c r="AR141" s="1" t="str">
        <f>IFERROR(ROUND(Backend!$AM141*VLOOKUP($F141,'OH,Profit &amp; Other Base'!$A:$V,Backend!AR$6,0),5),"")</f>
        <v/>
      </c>
      <c r="AS141" s="1" t="str">
        <f>IFERROR(ROUND(Backend!$AL141*VLOOKUP($F141,'OH,Profit &amp; Other Base'!$A:$V,Backend!AS$6,0),5),"")</f>
        <v/>
      </c>
      <c r="AT141" s="1" t="str">
        <f>IFERROR(ROUND(Backend!$AO141*VLOOKUP($F141,'OH,Profit &amp; Other Base'!$A:$V,Backend!AT$6,0),5),"")</f>
        <v/>
      </c>
      <c r="AU141" s="1" t="str">
        <f>IFERROR(ROUND(Backend!$AM141*VLOOKUP($F141,'OH,Profit &amp; Other Base'!$A:$V,Backend!AU$6,0),5),"")</f>
        <v/>
      </c>
      <c r="AV141" s="1" t="str">
        <f>IFERROR(ROUND(Backend!$AL141*VLOOKUP($F141,'OH,Profit &amp; Other Base'!$A:$V,Backend!AV$6,0),5),"")</f>
        <v/>
      </c>
      <c r="AW141" s="1" t="str">
        <f>IFERROR(ROUND(Backend!$AO141*VLOOKUP($F141,'OH,Profit &amp; Other Base'!$A:$V,Backend!AW$6,0),5),"")</f>
        <v/>
      </c>
      <c r="AX141" s="1" t="str">
        <f>IFERROR(ROUND(Backend!$AM141*VLOOKUP($F141,'OH,Profit &amp; Other Base'!$A:$V,Backend!AX$6,0),5),"")</f>
        <v/>
      </c>
      <c r="AY141" s="1" t="str">
        <f>IFERROR(ROUND(Backend!$AL141*VLOOKUP($F141,'OH,Profit &amp; Other Base'!$A:$V,Backend!AY$6,0),5),"")</f>
        <v/>
      </c>
      <c r="AZ141" s="1" t="str">
        <f>IFERROR(ROUND(Backend!$AO141*VLOOKUP($F141,'OH,Profit &amp; Other Base'!$A:$V,Backend!AZ$6,0),5),"")</f>
        <v/>
      </c>
      <c r="BA141" s="1" t="str">
        <f>IFERROR(ROUND(Backend!$AM141*VLOOKUP($F141,'OH,Profit &amp; Other Base'!$A:$V,Backend!BA$6,0),5),"")</f>
        <v/>
      </c>
      <c r="BB141" s="1" t="str">
        <f>IFERROR(ROUND(Backend!$AL141*VLOOKUP($F141,'OH,Profit &amp; Other Base'!$A:$V,Backend!BB$6,0),5),"")</f>
        <v/>
      </c>
      <c r="BC141" s="1" t="str">
        <f>IFERROR(ROUND(Backend!$AO141*VLOOKUP($F141,'OH,Profit &amp; Other Base'!$A:$V,Backend!BC$6,0),5),"")</f>
        <v/>
      </c>
      <c r="BD141" s="1" t="str">
        <f>IFERROR(ROUND(Backend!$AM141*VLOOKUP($F141,'OH,Profit &amp; Other Base'!$A:$V,Backend!BD$6,0),5),"")</f>
        <v/>
      </c>
      <c r="BE141" s="1" t="str">
        <f>IFERROR(ROUND(Backend!$AL141*VLOOKUP($F141,'OH,Profit &amp; Other Base'!$A:$V,Backend!BE$6,0),5),"")</f>
        <v/>
      </c>
      <c r="BF141" s="1" t="str">
        <f>IFERROR(ROUND(Backend!$AO141*VLOOKUP($F141,'OH,Profit &amp; Other Base'!$A:$V,Backend!BF$6,0),5),"")</f>
        <v/>
      </c>
      <c r="BG141" s="1" t="str">
        <f>IFERROR(ROUND(Backend!$AM141*VLOOKUP($F141,'OH,Profit &amp; Other Base'!$A:$V,Backend!BG$6,0),5),"")</f>
        <v/>
      </c>
      <c r="BH141" s="1" t="str">
        <f>IFERROR(ROUND(Backend!$AL141*VLOOKUP($F141,'OH,Profit &amp; Other Base'!$A:$V,Backend!BH$6,0),5),"")</f>
        <v/>
      </c>
      <c r="BI141" s="1" t="str">
        <f>IFERROR(ROUND(Backend!$AO141*VLOOKUP($F141,'OH,Profit &amp; Other Base'!$A:$V,Backend!BI$6,0),5),"")</f>
        <v/>
      </c>
      <c r="BJ141" s="1" t="str">
        <f>IFERROR(ROUND(Backend!$AM141*VLOOKUP($F141,'OH,Profit &amp; Other Base'!$A:$V,Backend!BJ$6,0),5),"")</f>
        <v/>
      </c>
      <c r="BK141" s="3">
        <f>SUM(AN141:BJ141,Backend!O141)</f>
        <v>0</v>
      </c>
    </row>
    <row r="142" spans="1:63">
      <c r="A142" s="1">
        <f>BOM!A137</f>
        <v>0</v>
      </c>
      <c r="B142" s="1">
        <f>BOM!B137</f>
        <v>0</v>
      </c>
      <c r="C142" s="1">
        <f>BOM!C137</f>
        <v>0</v>
      </c>
      <c r="D142" s="1">
        <f>BOM!D137</f>
        <v>0</v>
      </c>
      <c r="E142" s="1">
        <f>BOM!F137</f>
        <v>0</v>
      </c>
      <c r="F142" s="1" t="str">
        <f>IF(H142="CSC",BOM!H137,IF(J142="BOFOthers","Sheet Metal-B",""))</f>
        <v/>
      </c>
      <c r="G142" s="1">
        <f>BOM!I137</f>
        <v>0</v>
      </c>
      <c r="H142" s="1">
        <f>BOM!J137</f>
        <v>0</v>
      </c>
      <c r="I142" s="1" t="str">
        <f t="shared" si="14"/>
        <v>Others</v>
      </c>
      <c r="J142" s="1" t="str">
        <f t="shared" si="15"/>
        <v>0Others</v>
      </c>
      <c r="K142" s="3" t="str">
        <f>IF($J142="InhouseCSC",VLOOKUP($D142,Group!$C:$E,3,0),"")</f>
        <v/>
      </c>
      <c r="L142" s="3" t="str">
        <f>IF(OR($J142="BOSFCSC",$J142="BOFCSC"),VLOOKUP($D142,Group!$C:$E,3,0),"")</f>
        <v/>
      </c>
      <c r="M142" s="3" t="str">
        <f>IF(OR($J142="BOSFCSC",$J142="BOFCSC"),VLOOKUP($D142,Group!$C:$F,4,0),"")</f>
        <v/>
      </c>
      <c r="N142" s="3" t="str">
        <f>IF(OR($J142="InhouseCSC",$J142="BOSFCSC"),VLOOKUP($D142,Group!$C:$G,5,0),"")</f>
        <v/>
      </c>
      <c r="O142" s="3" t="str">
        <f>IF($J142="InhouseCSC",ROUND(VLOOKUP($D142,Group!$C:$H,6,0),5),"")</f>
        <v/>
      </c>
      <c r="P142" s="3" t="str">
        <f>IF(OR($J142="BOSFCSC",$J142="BOFCSC"),VLOOKUP($D142,Group!$C:$H,6,0),"")</f>
        <v/>
      </c>
      <c r="Q142" s="1" t="str">
        <f>IF($J142="Inhouseothers",VLOOKUP($D142,Group!$C:$E,3,0),"")</f>
        <v/>
      </c>
      <c r="R142" s="1" t="str">
        <f>IF($J142="BOSFOthers",VLOOKUP($D142,Group!$C:$E,3,0),"")</f>
        <v/>
      </c>
      <c r="S142" s="3" t="str">
        <f>IF($J142="BOFOthers",VLOOKUP($D142,Group!$C:$E,3,0),"")</f>
        <v/>
      </c>
      <c r="U142" s="1" t="str">
        <f>IFERROR(Backend!$L142*VLOOKUP($F142,'OH,Profit &amp; Other Base'!$A:$V,Backend!U$6,0),"")</f>
        <v/>
      </c>
      <c r="V142" s="1" t="str">
        <f>IFERROR(Backend!$M142*VLOOKUP($F142,'OH,Profit &amp; Other Base'!$A:$V,Backend!V$6,0),"")</f>
        <v/>
      </c>
      <c r="W142" s="1" t="str">
        <f>IFERROR(Backend!$L142*VLOOKUP($F142,'OH,Profit &amp; Other Base'!$A:$V,Backend!W$6,0),"")</f>
        <v/>
      </c>
      <c r="X142" s="1" t="str">
        <f>IFERROR(Backend!$M142*VLOOKUP($F142,'OH,Profit &amp; Other Base'!$A:$V,Backend!X$6,0),"")</f>
        <v/>
      </c>
      <c r="Y142" s="1" t="str">
        <f>IFERROR(Backend!$L142*VLOOKUP($F142,'OH,Profit &amp; Other Base'!$A:$V,Backend!Y$6,0),"")</f>
        <v/>
      </c>
      <c r="Z142" s="1" t="str">
        <f>IFERROR(Backend!$M142*VLOOKUP($F142,'OH,Profit &amp; Other Base'!$A:$V,Backend!Z$6,0),"")</f>
        <v/>
      </c>
      <c r="AA142" s="1" t="str">
        <f>IFERROR(Backend!$L142*VLOOKUP($F142,'OH,Profit &amp; Other Base'!$A:$V,Backend!AA$6,0),"")</f>
        <v/>
      </c>
      <c r="AB142" s="1" t="str">
        <f>IFERROR(Backend!$M142*VLOOKUP($F142,'OH,Profit &amp; Other Base'!$A:$V,Backend!AB$6,0),"")</f>
        <v/>
      </c>
      <c r="AC142" s="1" t="str">
        <f>IFERROR(Backend!$L142*VLOOKUP($F142,'OH,Profit &amp; Other Base'!$A:$V,Backend!AC$6,0),"")</f>
        <v/>
      </c>
      <c r="AD142" s="1" t="str">
        <f>IFERROR(Backend!$M142*VLOOKUP($F142,'OH,Profit &amp; Other Base'!$A:$V,Backend!AD$6,0),"")</f>
        <v/>
      </c>
      <c r="AE142" s="1" t="str">
        <f>IFERROR(Backend!$L142*VLOOKUP($F142,'OH,Profit &amp; Other Base'!$A:$V,Backend!AE$6,0),"")</f>
        <v/>
      </c>
      <c r="AF142" s="1" t="str">
        <f>IFERROR(Backend!$M142*VLOOKUP($F142,'OH,Profit &amp; Other Base'!$A:$V,Backend!AF$6,0),"")</f>
        <v/>
      </c>
      <c r="AG142" s="1" t="str">
        <f>IFERROR(Backend!$L142*VLOOKUP($F142,'OH,Profit &amp; Other Base'!$A:$V,Backend!AG$6,0),"")</f>
        <v/>
      </c>
      <c r="AH142" s="1" t="str">
        <f>IFERROR(Backend!$M142*VLOOKUP($F142,'OH,Profit &amp; Other Base'!$A:$V,Backend!AH$6,0),"")</f>
        <v/>
      </c>
      <c r="AI142" s="3">
        <f t="shared" si="16"/>
        <v>0</v>
      </c>
      <c r="AL142" s="1" t="str">
        <f t="shared" si="17"/>
        <v/>
      </c>
      <c r="AM142" s="1" t="str">
        <f t="shared" si="18"/>
        <v/>
      </c>
      <c r="AN142" s="1" t="str">
        <f t="shared" si="19"/>
        <v/>
      </c>
      <c r="AO142" s="1" t="str">
        <f t="shared" si="20"/>
        <v/>
      </c>
      <c r="AP142" s="1" t="str">
        <f>IFERROR(ROUND(Backend!$AL142*VLOOKUP($F142,'OH,Profit &amp; Other Base'!$A:$V,Backend!AP$6,0),5),"")</f>
        <v/>
      </c>
      <c r="AQ142" s="1" t="str">
        <f>IFERROR(ROUND(Backend!$AO142*VLOOKUP($F142,'OH,Profit &amp; Other Base'!$A:$V,Backend!AQ$6,0),5),"")</f>
        <v/>
      </c>
      <c r="AR142" s="1" t="str">
        <f>IFERROR(ROUND(Backend!$AM142*VLOOKUP($F142,'OH,Profit &amp; Other Base'!$A:$V,Backend!AR$6,0),5),"")</f>
        <v/>
      </c>
      <c r="AS142" s="1" t="str">
        <f>IFERROR(ROUND(Backend!$AL142*VLOOKUP($F142,'OH,Profit &amp; Other Base'!$A:$V,Backend!AS$6,0),5),"")</f>
        <v/>
      </c>
      <c r="AT142" s="1" t="str">
        <f>IFERROR(ROUND(Backend!$AO142*VLOOKUP($F142,'OH,Profit &amp; Other Base'!$A:$V,Backend!AT$6,0),5),"")</f>
        <v/>
      </c>
      <c r="AU142" s="1" t="str">
        <f>IFERROR(ROUND(Backend!$AM142*VLOOKUP($F142,'OH,Profit &amp; Other Base'!$A:$V,Backend!AU$6,0),5),"")</f>
        <v/>
      </c>
      <c r="AV142" s="1" t="str">
        <f>IFERROR(ROUND(Backend!$AL142*VLOOKUP($F142,'OH,Profit &amp; Other Base'!$A:$V,Backend!AV$6,0),5),"")</f>
        <v/>
      </c>
      <c r="AW142" s="1" t="str">
        <f>IFERROR(ROUND(Backend!$AO142*VLOOKUP($F142,'OH,Profit &amp; Other Base'!$A:$V,Backend!AW$6,0),5),"")</f>
        <v/>
      </c>
      <c r="AX142" s="1" t="str">
        <f>IFERROR(ROUND(Backend!$AM142*VLOOKUP($F142,'OH,Profit &amp; Other Base'!$A:$V,Backend!AX$6,0),5),"")</f>
        <v/>
      </c>
      <c r="AY142" s="1" t="str">
        <f>IFERROR(ROUND(Backend!$AL142*VLOOKUP($F142,'OH,Profit &amp; Other Base'!$A:$V,Backend!AY$6,0),5),"")</f>
        <v/>
      </c>
      <c r="AZ142" s="1" t="str">
        <f>IFERROR(ROUND(Backend!$AO142*VLOOKUP($F142,'OH,Profit &amp; Other Base'!$A:$V,Backend!AZ$6,0),5),"")</f>
        <v/>
      </c>
      <c r="BA142" s="1" t="str">
        <f>IFERROR(ROUND(Backend!$AM142*VLOOKUP($F142,'OH,Profit &amp; Other Base'!$A:$V,Backend!BA$6,0),5),"")</f>
        <v/>
      </c>
      <c r="BB142" s="1" t="str">
        <f>IFERROR(ROUND(Backend!$AL142*VLOOKUP($F142,'OH,Profit &amp; Other Base'!$A:$V,Backend!BB$6,0),5),"")</f>
        <v/>
      </c>
      <c r="BC142" s="1" t="str">
        <f>IFERROR(ROUND(Backend!$AO142*VLOOKUP($F142,'OH,Profit &amp; Other Base'!$A:$V,Backend!BC$6,0),5),"")</f>
        <v/>
      </c>
      <c r="BD142" s="1" t="str">
        <f>IFERROR(ROUND(Backend!$AM142*VLOOKUP($F142,'OH,Profit &amp; Other Base'!$A:$V,Backend!BD$6,0),5),"")</f>
        <v/>
      </c>
      <c r="BE142" s="1" t="str">
        <f>IFERROR(ROUND(Backend!$AL142*VLOOKUP($F142,'OH,Profit &amp; Other Base'!$A:$V,Backend!BE$6,0),5),"")</f>
        <v/>
      </c>
      <c r="BF142" s="1" t="str">
        <f>IFERROR(ROUND(Backend!$AO142*VLOOKUP($F142,'OH,Profit &amp; Other Base'!$A:$V,Backend!BF$6,0),5),"")</f>
        <v/>
      </c>
      <c r="BG142" s="1" t="str">
        <f>IFERROR(ROUND(Backend!$AM142*VLOOKUP($F142,'OH,Profit &amp; Other Base'!$A:$V,Backend!BG$6,0),5),"")</f>
        <v/>
      </c>
      <c r="BH142" s="1" t="str">
        <f>IFERROR(ROUND(Backend!$AL142*VLOOKUP($F142,'OH,Profit &amp; Other Base'!$A:$V,Backend!BH$6,0),5),"")</f>
        <v/>
      </c>
      <c r="BI142" s="1" t="str">
        <f>IFERROR(ROUND(Backend!$AO142*VLOOKUP($F142,'OH,Profit &amp; Other Base'!$A:$V,Backend!BI$6,0),5),"")</f>
        <v/>
      </c>
      <c r="BJ142" s="1" t="str">
        <f>IFERROR(ROUND(Backend!$AM142*VLOOKUP($F142,'OH,Profit &amp; Other Base'!$A:$V,Backend!BJ$6,0),5),"")</f>
        <v/>
      </c>
      <c r="BK142" s="3">
        <f>SUM(AN142:BJ142,Backend!O142)</f>
        <v>0</v>
      </c>
    </row>
    <row r="143" spans="1:63">
      <c r="A143" s="1">
        <f>BOM!A138</f>
        <v>0</v>
      </c>
      <c r="B143" s="1">
        <f>BOM!B138</f>
        <v>0</v>
      </c>
      <c r="C143" s="1">
        <f>BOM!C138</f>
        <v>0</v>
      </c>
      <c r="D143" s="1">
        <f>BOM!D138</f>
        <v>0</v>
      </c>
      <c r="E143" s="1">
        <f>BOM!F138</f>
        <v>0</v>
      </c>
      <c r="F143" s="1" t="str">
        <f>IF(H143="CSC",BOM!H138,IF(J143="BOFOthers","Sheet Metal-B",""))</f>
        <v/>
      </c>
      <c r="G143" s="1">
        <f>BOM!I138</f>
        <v>0</v>
      </c>
      <c r="H143" s="1">
        <f>BOM!J138</f>
        <v>0</v>
      </c>
      <c r="I143" s="1" t="str">
        <f t="shared" si="14"/>
        <v>Others</v>
      </c>
      <c r="J143" s="1" t="str">
        <f t="shared" si="15"/>
        <v>0Others</v>
      </c>
      <c r="K143" s="3" t="str">
        <f>IF($J143="InhouseCSC",VLOOKUP($D143,Group!$C:$E,3,0),"")</f>
        <v/>
      </c>
      <c r="L143" s="3" t="str">
        <f>IF(OR($J143="BOSFCSC",$J143="BOFCSC"),VLOOKUP($D143,Group!$C:$E,3,0),"")</f>
        <v/>
      </c>
      <c r="M143" s="3" t="str">
        <f>IF(OR($J143="BOSFCSC",$J143="BOFCSC"),VLOOKUP($D143,Group!$C:$F,4,0),"")</f>
        <v/>
      </c>
      <c r="N143" s="3" t="str">
        <f>IF(OR($J143="InhouseCSC",$J143="BOSFCSC"),VLOOKUP($D143,Group!$C:$G,5,0),"")</f>
        <v/>
      </c>
      <c r="O143" s="3" t="str">
        <f>IF($J143="InhouseCSC",ROUND(VLOOKUP($D143,Group!$C:$H,6,0),5),"")</f>
        <v/>
      </c>
      <c r="P143" s="3" t="str">
        <f>IF(OR($J143="BOSFCSC",$J143="BOFCSC"),VLOOKUP($D143,Group!$C:$H,6,0),"")</f>
        <v/>
      </c>
      <c r="Q143" s="1" t="str">
        <f>IF($J143="Inhouseothers",VLOOKUP($D143,Group!$C:$E,3,0),"")</f>
        <v/>
      </c>
      <c r="R143" s="1" t="str">
        <f>IF($J143="BOSFOthers",VLOOKUP($D143,Group!$C:$E,3,0),"")</f>
        <v/>
      </c>
      <c r="S143" s="3" t="str">
        <f>IF($J143="BOFOthers",VLOOKUP($D143,Group!$C:$E,3,0),"")</f>
        <v/>
      </c>
      <c r="U143" s="1" t="str">
        <f>IFERROR(Backend!$L143*VLOOKUP($F143,'OH,Profit &amp; Other Base'!$A:$V,Backend!U$6,0),"")</f>
        <v/>
      </c>
      <c r="V143" s="1" t="str">
        <f>IFERROR(Backend!$M143*VLOOKUP($F143,'OH,Profit &amp; Other Base'!$A:$V,Backend!V$6,0),"")</f>
        <v/>
      </c>
      <c r="W143" s="1" t="str">
        <f>IFERROR(Backend!$L143*VLOOKUP($F143,'OH,Profit &amp; Other Base'!$A:$V,Backend!W$6,0),"")</f>
        <v/>
      </c>
      <c r="X143" s="1" t="str">
        <f>IFERROR(Backend!$M143*VLOOKUP($F143,'OH,Profit &amp; Other Base'!$A:$V,Backend!X$6,0),"")</f>
        <v/>
      </c>
      <c r="Y143" s="1" t="str">
        <f>IFERROR(Backend!$L143*VLOOKUP($F143,'OH,Profit &amp; Other Base'!$A:$V,Backend!Y$6,0),"")</f>
        <v/>
      </c>
      <c r="Z143" s="1" t="str">
        <f>IFERROR(Backend!$M143*VLOOKUP($F143,'OH,Profit &amp; Other Base'!$A:$V,Backend!Z$6,0),"")</f>
        <v/>
      </c>
      <c r="AA143" s="1" t="str">
        <f>IFERROR(Backend!$L143*VLOOKUP($F143,'OH,Profit &amp; Other Base'!$A:$V,Backend!AA$6,0),"")</f>
        <v/>
      </c>
      <c r="AB143" s="1" t="str">
        <f>IFERROR(Backend!$M143*VLOOKUP($F143,'OH,Profit &amp; Other Base'!$A:$V,Backend!AB$6,0),"")</f>
        <v/>
      </c>
      <c r="AC143" s="1" t="str">
        <f>IFERROR(Backend!$L143*VLOOKUP($F143,'OH,Profit &amp; Other Base'!$A:$V,Backend!AC$6,0),"")</f>
        <v/>
      </c>
      <c r="AD143" s="1" t="str">
        <f>IFERROR(Backend!$M143*VLOOKUP($F143,'OH,Profit &amp; Other Base'!$A:$V,Backend!AD$6,0),"")</f>
        <v/>
      </c>
      <c r="AE143" s="1" t="str">
        <f>IFERROR(Backend!$L143*VLOOKUP($F143,'OH,Profit &amp; Other Base'!$A:$V,Backend!AE$6,0),"")</f>
        <v/>
      </c>
      <c r="AF143" s="1" t="str">
        <f>IFERROR(Backend!$M143*VLOOKUP($F143,'OH,Profit &amp; Other Base'!$A:$V,Backend!AF$6,0),"")</f>
        <v/>
      </c>
      <c r="AG143" s="1" t="str">
        <f>IFERROR(Backend!$L143*VLOOKUP($F143,'OH,Profit &amp; Other Base'!$A:$V,Backend!AG$6,0),"")</f>
        <v/>
      </c>
      <c r="AH143" s="1" t="str">
        <f>IFERROR(Backend!$M143*VLOOKUP($F143,'OH,Profit &amp; Other Base'!$A:$V,Backend!AH$6,0),"")</f>
        <v/>
      </c>
      <c r="AI143" s="3">
        <f t="shared" si="16"/>
        <v>0</v>
      </c>
      <c r="AL143" s="1" t="str">
        <f t="shared" si="17"/>
        <v/>
      </c>
      <c r="AM143" s="1" t="str">
        <f t="shared" si="18"/>
        <v/>
      </c>
      <c r="AN143" s="1" t="str">
        <f t="shared" si="19"/>
        <v/>
      </c>
      <c r="AO143" s="1" t="str">
        <f t="shared" si="20"/>
        <v/>
      </c>
      <c r="AP143" s="1" t="str">
        <f>IFERROR(ROUND(Backend!$AL143*VLOOKUP($F143,'OH,Profit &amp; Other Base'!$A:$V,Backend!AP$6,0),5),"")</f>
        <v/>
      </c>
      <c r="AQ143" s="1" t="str">
        <f>IFERROR(ROUND(Backend!$AO143*VLOOKUP($F143,'OH,Profit &amp; Other Base'!$A:$V,Backend!AQ$6,0),5),"")</f>
        <v/>
      </c>
      <c r="AR143" s="1" t="str">
        <f>IFERROR(ROUND(Backend!$AM143*VLOOKUP($F143,'OH,Profit &amp; Other Base'!$A:$V,Backend!AR$6,0),5),"")</f>
        <v/>
      </c>
      <c r="AS143" s="1" t="str">
        <f>IFERROR(ROUND(Backend!$AL143*VLOOKUP($F143,'OH,Profit &amp; Other Base'!$A:$V,Backend!AS$6,0),5),"")</f>
        <v/>
      </c>
      <c r="AT143" s="1" t="str">
        <f>IFERROR(ROUND(Backend!$AO143*VLOOKUP($F143,'OH,Profit &amp; Other Base'!$A:$V,Backend!AT$6,0),5),"")</f>
        <v/>
      </c>
      <c r="AU143" s="1" t="str">
        <f>IFERROR(ROUND(Backend!$AM143*VLOOKUP($F143,'OH,Profit &amp; Other Base'!$A:$V,Backend!AU$6,0),5),"")</f>
        <v/>
      </c>
      <c r="AV143" s="1" t="str">
        <f>IFERROR(ROUND(Backend!$AL143*VLOOKUP($F143,'OH,Profit &amp; Other Base'!$A:$V,Backend!AV$6,0),5),"")</f>
        <v/>
      </c>
      <c r="AW143" s="1" t="str">
        <f>IFERROR(ROUND(Backend!$AO143*VLOOKUP($F143,'OH,Profit &amp; Other Base'!$A:$V,Backend!AW$6,0),5),"")</f>
        <v/>
      </c>
      <c r="AX143" s="1" t="str">
        <f>IFERROR(ROUND(Backend!$AM143*VLOOKUP($F143,'OH,Profit &amp; Other Base'!$A:$V,Backend!AX$6,0),5),"")</f>
        <v/>
      </c>
      <c r="AY143" s="1" t="str">
        <f>IFERROR(ROUND(Backend!$AL143*VLOOKUP($F143,'OH,Profit &amp; Other Base'!$A:$V,Backend!AY$6,0),5),"")</f>
        <v/>
      </c>
      <c r="AZ143" s="1" t="str">
        <f>IFERROR(ROUND(Backend!$AO143*VLOOKUP($F143,'OH,Profit &amp; Other Base'!$A:$V,Backend!AZ$6,0),5),"")</f>
        <v/>
      </c>
      <c r="BA143" s="1" t="str">
        <f>IFERROR(ROUND(Backend!$AM143*VLOOKUP($F143,'OH,Profit &amp; Other Base'!$A:$V,Backend!BA$6,0),5),"")</f>
        <v/>
      </c>
      <c r="BB143" s="1" t="str">
        <f>IFERROR(ROUND(Backend!$AL143*VLOOKUP($F143,'OH,Profit &amp; Other Base'!$A:$V,Backend!BB$6,0),5),"")</f>
        <v/>
      </c>
      <c r="BC143" s="1" t="str">
        <f>IFERROR(ROUND(Backend!$AO143*VLOOKUP($F143,'OH,Profit &amp; Other Base'!$A:$V,Backend!BC$6,0),5),"")</f>
        <v/>
      </c>
      <c r="BD143" s="1" t="str">
        <f>IFERROR(ROUND(Backend!$AM143*VLOOKUP($F143,'OH,Profit &amp; Other Base'!$A:$V,Backend!BD$6,0),5),"")</f>
        <v/>
      </c>
      <c r="BE143" s="1" t="str">
        <f>IFERROR(ROUND(Backend!$AL143*VLOOKUP($F143,'OH,Profit &amp; Other Base'!$A:$V,Backend!BE$6,0),5),"")</f>
        <v/>
      </c>
      <c r="BF143" s="1" t="str">
        <f>IFERROR(ROUND(Backend!$AO143*VLOOKUP($F143,'OH,Profit &amp; Other Base'!$A:$V,Backend!BF$6,0),5),"")</f>
        <v/>
      </c>
      <c r="BG143" s="1" t="str">
        <f>IFERROR(ROUND(Backend!$AM143*VLOOKUP($F143,'OH,Profit &amp; Other Base'!$A:$V,Backend!BG$6,0),5),"")</f>
        <v/>
      </c>
      <c r="BH143" s="1" t="str">
        <f>IFERROR(ROUND(Backend!$AL143*VLOOKUP($F143,'OH,Profit &amp; Other Base'!$A:$V,Backend!BH$6,0),5),"")</f>
        <v/>
      </c>
      <c r="BI143" s="1" t="str">
        <f>IFERROR(ROUND(Backend!$AO143*VLOOKUP($F143,'OH,Profit &amp; Other Base'!$A:$V,Backend!BI$6,0),5),"")</f>
        <v/>
      </c>
      <c r="BJ143" s="1" t="str">
        <f>IFERROR(ROUND(Backend!$AM143*VLOOKUP($F143,'OH,Profit &amp; Other Base'!$A:$V,Backend!BJ$6,0),5),"")</f>
        <v/>
      </c>
      <c r="BK143" s="3">
        <f>SUM(AN143:BJ143,Backend!O143)</f>
        <v>0</v>
      </c>
    </row>
    <row r="144" spans="1:63">
      <c r="A144" s="1">
        <f>BOM!A139</f>
        <v>0</v>
      </c>
      <c r="B144" s="1">
        <f>BOM!B139</f>
        <v>0</v>
      </c>
      <c r="C144" s="1">
        <f>BOM!C139</f>
        <v>0</v>
      </c>
      <c r="D144" s="1">
        <f>BOM!D139</f>
        <v>0</v>
      </c>
      <c r="E144" s="1">
        <f>BOM!F139</f>
        <v>0</v>
      </c>
      <c r="F144" s="1" t="str">
        <f>IF(H144="CSC",BOM!H139,IF(J144="BOFOthers","Sheet Metal-B",""))</f>
        <v/>
      </c>
      <c r="G144" s="1">
        <f>BOM!I139</f>
        <v>0</v>
      </c>
      <c r="H144" s="1">
        <f>BOM!J139</f>
        <v>0</v>
      </c>
      <c r="I144" s="1" t="str">
        <f t="shared" si="14"/>
        <v>Others</v>
      </c>
      <c r="J144" s="1" t="str">
        <f t="shared" si="15"/>
        <v>0Others</v>
      </c>
      <c r="K144" s="3" t="str">
        <f>IF($J144="InhouseCSC",VLOOKUP($D144,Group!$C:$E,3,0),"")</f>
        <v/>
      </c>
      <c r="L144" s="3" t="str">
        <f>IF(OR($J144="BOSFCSC",$J144="BOFCSC"),VLOOKUP($D144,Group!$C:$E,3,0),"")</f>
        <v/>
      </c>
      <c r="M144" s="3" t="str">
        <f>IF(OR($J144="BOSFCSC",$J144="BOFCSC"),VLOOKUP($D144,Group!$C:$F,4,0),"")</f>
        <v/>
      </c>
      <c r="N144" s="3" t="str">
        <f>IF(OR($J144="InhouseCSC",$J144="BOSFCSC"),VLOOKUP($D144,Group!$C:$G,5,0),"")</f>
        <v/>
      </c>
      <c r="O144" s="3" t="str">
        <f>IF($J144="InhouseCSC",ROUND(VLOOKUP($D144,Group!$C:$H,6,0),5),"")</f>
        <v/>
      </c>
      <c r="P144" s="3" t="str">
        <f>IF(OR($J144="BOSFCSC",$J144="BOFCSC"),VLOOKUP($D144,Group!$C:$H,6,0),"")</f>
        <v/>
      </c>
      <c r="Q144" s="1" t="str">
        <f>IF($J144="Inhouseothers",VLOOKUP($D144,Group!$C:$E,3,0),"")</f>
        <v/>
      </c>
      <c r="R144" s="1" t="str">
        <f>IF($J144="BOSFOthers",VLOOKUP($D144,Group!$C:$E,3,0),"")</f>
        <v/>
      </c>
      <c r="S144" s="3" t="str">
        <f>IF($J144="BOFOthers",VLOOKUP($D144,Group!$C:$E,3,0),"")</f>
        <v/>
      </c>
      <c r="U144" s="1" t="str">
        <f>IFERROR(Backend!$L144*VLOOKUP($F144,'OH,Profit &amp; Other Base'!$A:$V,Backend!U$6,0),"")</f>
        <v/>
      </c>
      <c r="V144" s="1" t="str">
        <f>IFERROR(Backend!$M144*VLOOKUP($F144,'OH,Profit &amp; Other Base'!$A:$V,Backend!V$6,0),"")</f>
        <v/>
      </c>
      <c r="W144" s="1" t="str">
        <f>IFERROR(Backend!$L144*VLOOKUP($F144,'OH,Profit &amp; Other Base'!$A:$V,Backend!W$6,0),"")</f>
        <v/>
      </c>
      <c r="X144" s="1" t="str">
        <f>IFERROR(Backend!$M144*VLOOKUP($F144,'OH,Profit &amp; Other Base'!$A:$V,Backend!X$6,0),"")</f>
        <v/>
      </c>
      <c r="Y144" s="1" t="str">
        <f>IFERROR(Backend!$L144*VLOOKUP($F144,'OH,Profit &amp; Other Base'!$A:$V,Backend!Y$6,0),"")</f>
        <v/>
      </c>
      <c r="Z144" s="1" t="str">
        <f>IFERROR(Backend!$M144*VLOOKUP($F144,'OH,Profit &amp; Other Base'!$A:$V,Backend!Z$6,0),"")</f>
        <v/>
      </c>
      <c r="AA144" s="1" t="str">
        <f>IFERROR(Backend!$L144*VLOOKUP($F144,'OH,Profit &amp; Other Base'!$A:$V,Backend!AA$6,0),"")</f>
        <v/>
      </c>
      <c r="AB144" s="1" t="str">
        <f>IFERROR(Backend!$M144*VLOOKUP($F144,'OH,Profit &amp; Other Base'!$A:$V,Backend!AB$6,0),"")</f>
        <v/>
      </c>
      <c r="AC144" s="1" t="str">
        <f>IFERROR(Backend!$L144*VLOOKUP($F144,'OH,Profit &amp; Other Base'!$A:$V,Backend!AC$6,0),"")</f>
        <v/>
      </c>
      <c r="AD144" s="1" t="str">
        <f>IFERROR(Backend!$M144*VLOOKUP($F144,'OH,Profit &amp; Other Base'!$A:$V,Backend!AD$6,0),"")</f>
        <v/>
      </c>
      <c r="AE144" s="1" t="str">
        <f>IFERROR(Backend!$L144*VLOOKUP($F144,'OH,Profit &amp; Other Base'!$A:$V,Backend!AE$6,0),"")</f>
        <v/>
      </c>
      <c r="AF144" s="1" t="str">
        <f>IFERROR(Backend!$M144*VLOOKUP($F144,'OH,Profit &amp; Other Base'!$A:$V,Backend!AF$6,0),"")</f>
        <v/>
      </c>
      <c r="AG144" s="1" t="str">
        <f>IFERROR(Backend!$L144*VLOOKUP($F144,'OH,Profit &amp; Other Base'!$A:$V,Backend!AG$6,0),"")</f>
        <v/>
      </c>
      <c r="AH144" s="1" t="str">
        <f>IFERROR(Backend!$M144*VLOOKUP($F144,'OH,Profit &amp; Other Base'!$A:$V,Backend!AH$6,0),"")</f>
        <v/>
      </c>
      <c r="AI144" s="3">
        <f t="shared" si="16"/>
        <v>0</v>
      </c>
      <c r="AL144" s="1" t="str">
        <f t="shared" si="17"/>
        <v/>
      </c>
      <c r="AM144" s="1" t="str">
        <f t="shared" si="18"/>
        <v/>
      </c>
      <c r="AN144" s="1" t="str">
        <f t="shared" si="19"/>
        <v/>
      </c>
      <c r="AO144" s="1" t="str">
        <f t="shared" si="20"/>
        <v/>
      </c>
      <c r="AP144" s="1" t="str">
        <f>IFERROR(ROUND(Backend!$AL144*VLOOKUP($F144,'OH,Profit &amp; Other Base'!$A:$V,Backend!AP$6,0),5),"")</f>
        <v/>
      </c>
      <c r="AQ144" s="1" t="str">
        <f>IFERROR(ROUND(Backend!$AO144*VLOOKUP($F144,'OH,Profit &amp; Other Base'!$A:$V,Backend!AQ$6,0),5),"")</f>
        <v/>
      </c>
      <c r="AR144" s="1" t="str">
        <f>IFERROR(ROUND(Backend!$AM144*VLOOKUP($F144,'OH,Profit &amp; Other Base'!$A:$V,Backend!AR$6,0),5),"")</f>
        <v/>
      </c>
      <c r="AS144" s="1" t="str">
        <f>IFERROR(ROUND(Backend!$AL144*VLOOKUP($F144,'OH,Profit &amp; Other Base'!$A:$V,Backend!AS$6,0),5),"")</f>
        <v/>
      </c>
      <c r="AT144" s="1" t="str">
        <f>IFERROR(ROUND(Backend!$AO144*VLOOKUP($F144,'OH,Profit &amp; Other Base'!$A:$V,Backend!AT$6,0),5),"")</f>
        <v/>
      </c>
      <c r="AU144" s="1" t="str">
        <f>IFERROR(ROUND(Backend!$AM144*VLOOKUP($F144,'OH,Profit &amp; Other Base'!$A:$V,Backend!AU$6,0),5),"")</f>
        <v/>
      </c>
      <c r="AV144" s="1" t="str">
        <f>IFERROR(ROUND(Backend!$AL144*VLOOKUP($F144,'OH,Profit &amp; Other Base'!$A:$V,Backend!AV$6,0),5),"")</f>
        <v/>
      </c>
      <c r="AW144" s="1" t="str">
        <f>IFERROR(ROUND(Backend!$AO144*VLOOKUP($F144,'OH,Profit &amp; Other Base'!$A:$V,Backend!AW$6,0),5),"")</f>
        <v/>
      </c>
      <c r="AX144" s="1" t="str">
        <f>IFERROR(ROUND(Backend!$AM144*VLOOKUP($F144,'OH,Profit &amp; Other Base'!$A:$V,Backend!AX$6,0),5),"")</f>
        <v/>
      </c>
      <c r="AY144" s="1" t="str">
        <f>IFERROR(ROUND(Backend!$AL144*VLOOKUP($F144,'OH,Profit &amp; Other Base'!$A:$V,Backend!AY$6,0),5),"")</f>
        <v/>
      </c>
      <c r="AZ144" s="1" t="str">
        <f>IFERROR(ROUND(Backend!$AO144*VLOOKUP($F144,'OH,Profit &amp; Other Base'!$A:$V,Backend!AZ$6,0),5),"")</f>
        <v/>
      </c>
      <c r="BA144" s="1" t="str">
        <f>IFERROR(ROUND(Backend!$AM144*VLOOKUP($F144,'OH,Profit &amp; Other Base'!$A:$V,Backend!BA$6,0),5),"")</f>
        <v/>
      </c>
      <c r="BB144" s="1" t="str">
        <f>IFERROR(ROUND(Backend!$AL144*VLOOKUP($F144,'OH,Profit &amp; Other Base'!$A:$V,Backend!BB$6,0),5),"")</f>
        <v/>
      </c>
      <c r="BC144" s="1" t="str">
        <f>IFERROR(ROUND(Backend!$AO144*VLOOKUP($F144,'OH,Profit &amp; Other Base'!$A:$V,Backend!BC$6,0),5),"")</f>
        <v/>
      </c>
      <c r="BD144" s="1" t="str">
        <f>IFERROR(ROUND(Backend!$AM144*VLOOKUP($F144,'OH,Profit &amp; Other Base'!$A:$V,Backend!BD$6,0),5),"")</f>
        <v/>
      </c>
      <c r="BE144" s="1" t="str">
        <f>IFERROR(ROUND(Backend!$AL144*VLOOKUP($F144,'OH,Profit &amp; Other Base'!$A:$V,Backend!BE$6,0),5),"")</f>
        <v/>
      </c>
      <c r="BF144" s="1" t="str">
        <f>IFERROR(ROUND(Backend!$AO144*VLOOKUP($F144,'OH,Profit &amp; Other Base'!$A:$V,Backend!BF$6,0),5),"")</f>
        <v/>
      </c>
      <c r="BG144" s="1" t="str">
        <f>IFERROR(ROUND(Backend!$AM144*VLOOKUP($F144,'OH,Profit &amp; Other Base'!$A:$V,Backend!BG$6,0),5),"")</f>
        <v/>
      </c>
      <c r="BH144" s="1" t="str">
        <f>IFERROR(ROUND(Backend!$AL144*VLOOKUP($F144,'OH,Profit &amp; Other Base'!$A:$V,Backend!BH$6,0),5),"")</f>
        <v/>
      </c>
      <c r="BI144" s="1" t="str">
        <f>IFERROR(ROUND(Backend!$AO144*VLOOKUP($F144,'OH,Profit &amp; Other Base'!$A:$V,Backend!BI$6,0),5),"")</f>
        <v/>
      </c>
      <c r="BJ144" s="1" t="str">
        <f>IFERROR(ROUND(Backend!$AM144*VLOOKUP($F144,'OH,Profit &amp; Other Base'!$A:$V,Backend!BJ$6,0),5),"")</f>
        <v/>
      </c>
      <c r="BK144" s="3">
        <f>SUM(AN144:BJ144,Backend!O144)</f>
        <v>0</v>
      </c>
    </row>
    <row r="145" spans="1:63">
      <c r="A145" s="1">
        <f>BOM!A140</f>
        <v>0</v>
      </c>
      <c r="B145" s="1">
        <f>BOM!B140</f>
        <v>0</v>
      </c>
      <c r="C145" s="1">
        <f>BOM!C140</f>
        <v>0</v>
      </c>
      <c r="D145" s="1">
        <f>BOM!D140</f>
        <v>0</v>
      </c>
      <c r="E145" s="1">
        <f>BOM!F140</f>
        <v>0</v>
      </c>
      <c r="F145" s="1" t="str">
        <f>IF(H145="CSC",BOM!H140,IF(J145="BOFOthers","Sheet Metal-B",""))</f>
        <v/>
      </c>
      <c r="G145" s="1">
        <f>BOM!I140</f>
        <v>0</v>
      </c>
      <c r="H145" s="1">
        <f>BOM!J140</f>
        <v>0</v>
      </c>
      <c r="I145" s="1" t="str">
        <f t="shared" si="14"/>
        <v>Others</v>
      </c>
      <c r="J145" s="1" t="str">
        <f t="shared" si="15"/>
        <v>0Others</v>
      </c>
      <c r="K145" s="3" t="str">
        <f>IF($J145="InhouseCSC",VLOOKUP($D145,Group!$C:$E,3,0),"")</f>
        <v/>
      </c>
      <c r="L145" s="3" t="str">
        <f>IF(OR($J145="BOSFCSC",$J145="BOFCSC"),VLOOKUP($D145,Group!$C:$E,3,0),"")</f>
        <v/>
      </c>
      <c r="M145" s="3" t="str">
        <f>IF(OR($J145="BOSFCSC",$J145="BOFCSC"),VLOOKUP($D145,Group!$C:$F,4,0),"")</f>
        <v/>
      </c>
      <c r="N145" s="3" t="str">
        <f>IF(OR($J145="InhouseCSC",$J145="BOSFCSC"),VLOOKUP($D145,Group!$C:$G,5,0),"")</f>
        <v/>
      </c>
      <c r="O145" s="3" t="str">
        <f>IF($J145="InhouseCSC",ROUND(VLOOKUP($D145,Group!$C:$H,6,0),5),"")</f>
        <v/>
      </c>
      <c r="P145" s="3" t="str">
        <f>IF(OR($J145="BOSFCSC",$J145="BOFCSC"),VLOOKUP($D145,Group!$C:$H,6,0),"")</f>
        <v/>
      </c>
      <c r="Q145" s="1" t="str">
        <f>IF($J145="Inhouseothers",VLOOKUP($D145,Group!$C:$E,3,0),"")</f>
        <v/>
      </c>
      <c r="R145" s="1" t="str">
        <f>IF($J145="BOSFOthers",VLOOKUP($D145,Group!$C:$E,3,0),"")</f>
        <v/>
      </c>
      <c r="S145" s="3" t="str">
        <f>IF($J145="BOFOthers",VLOOKUP($D145,Group!$C:$E,3,0),"")</f>
        <v/>
      </c>
      <c r="U145" s="1" t="str">
        <f>IFERROR(Backend!$L145*VLOOKUP($F145,'OH,Profit &amp; Other Base'!$A:$V,Backend!U$6,0),"")</f>
        <v/>
      </c>
      <c r="V145" s="1" t="str">
        <f>IFERROR(Backend!$M145*VLOOKUP($F145,'OH,Profit &amp; Other Base'!$A:$V,Backend!V$6,0),"")</f>
        <v/>
      </c>
      <c r="W145" s="1" t="str">
        <f>IFERROR(Backend!$L145*VLOOKUP($F145,'OH,Profit &amp; Other Base'!$A:$V,Backend!W$6,0),"")</f>
        <v/>
      </c>
      <c r="X145" s="1" t="str">
        <f>IFERROR(Backend!$M145*VLOOKUP($F145,'OH,Profit &amp; Other Base'!$A:$V,Backend!X$6,0),"")</f>
        <v/>
      </c>
      <c r="Y145" s="1" t="str">
        <f>IFERROR(Backend!$L145*VLOOKUP($F145,'OH,Profit &amp; Other Base'!$A:$V,Backend!Y$6,0),"")</f>
        <v/>
      </c>
      <c r="Z145" s="1" t="str">
        <f>IFERROR(Backend!$M145*VLOOKUP($F145,'OH,Profit &amp; Other Base'!$A:$V,Backend!Z$6,0),"")</f>
        <v/>
      </c>
      <c r="AA145" s="1" t="str">
        <f>IFERROR(Backend!$L145*VLOOKUP($F145,'OH,Profit &amp; Other Base'!$A:$V,Backend!AA$6,0),"")</f>
        <v/>
      </c>
      <c r="AB145" s="1" t="str">
        <f>IFERROR(Backend!$M145*VLOOKUP($F145,'OH,Profit &amp; Other Base'!$A:$V,Backend!AB$6,0),"")</f>
        <v/>
      </c>
      <c r="AC145" s="1" t="str">
        <f>IFERROR(Backend!$L145*VLOOKUP($F145,'OH,Profit &amp; Other Base'!$A:$V,Backend!AC$6,0),"")</f>
        <v/>
      </c>
      <c r="AD145" s="1" t="str">
        <f>IFERROR(Backend!$M145*VLOOKUP($F145,'OH,Profit &amp; Other Base'!$A:$V,Backend!AD$6,0),"")</f>
        <v/>
      </c>
      <c r="AE145" s="1" t="str">
        <f>IFERROR(Backend!$L145*VLOOKUP($F145,'OH,Profit &amp; Other Base'!$A:$V,Backend!AE$6,0),"")</f>
        <v/>
      </c>
      <c r="AF145" s="1" t="str">
        <f>IFERROR(Backend!$M145*VLOOKUP($F145,'OH,Profit &amp; Other Base'!$A:$V,Backend!AF$6,0),"")</f>
        <v/>
      </c>
      <c r="AG145" s="1" t="str">
        <f>IFERROR(Backend!$L145*VLOOKUP($F145,'OH,Profit &amp; Other Base'!$A:$V,Backend!AG$6,0),"")</f>
        <v/>
      </c>
      <c r="AH145" s="1" t="str">
        <f>IFERROR(Backend!$M145*VLOOKUP($F145,'OH,Profit &amp; Other Base'!$A:$V,Backend!AH$6,0),"")</f>
        <v/>
      </c>
      <c r="AI145" s="3">
        <f t="shared" si="16"/>
        <v>0</v>
      </c>
      <c r="AL145" s="1" t="str">
        <f t="shared" si="17"/>
        <v/>
      </c>
      <c r="AM145" s="1" t="str">
        <f t="shared" si="18"/>
        <v/>
      </c>
      <c r="AN145" s="1" t="str">
        <f t="shared" si="19"/>
        <v/>
      </c>
      <c r="AO145" s="1" t="str">
        <f t="shared" si="20"/>
        <v/>
      </c>
      <c r="AP145" s="1" t="str">
        <f>IFERROR(ROUND(Backend!$AL145*VLOOKUP($F145,'OH,Profit &amp; Other Base'!$A:$V,Backend!AP$6,0),5),"")</f>
        <v/>
      </c>
      <c r="AQ145" s="1" t="str">
        <f>IFERROR(ROUND(Backend!$AO145*VLOOKUP($F145,'OH,Profit &amp; Other Base'!$A:$V,Backend!AQ$6,0),5),"")</f>
        <v/>
      </c>
      <c r="AR145" s="1" t="str">
        <f>IFERROR(ROUND(Backend!$AM145*VLOOKUP($F145,'OH,Profit &amp; Other Base'!$A:$V,Backend!AR$6,0),5),"")</f>
        <v/>
      </c>
      <c r="AS145" s="1" t="str">
        <f>IFERROR(ROUND(Backend!$AL145*VLOOKUP($F145,'OH,Profit &amp; Other Base'!$A:$V,Backend!AS$6,0),5),"")</f>
        <v/>
      </c>
      <c r="AT145" s="1" t="str">
        <f>IFERROR(ROUND(Backend!$AO145*VLOOKUP($F145,'OH,Profit &amp; Other Base'!$A:$V,Backend!AT$6,0),5),"")</f>
        <v/>
      </c>
      <c r="AU145" s="1" t="str">
        <f>IFERROR(ROUND(Backend!$AM145*VLOOKUP($F145,'OH,Profit &amp; Other Base'!$A:$V,Backend!AU$6,0),5),"")</f>
        <v/>
      </c>
      <c r="AV145" s="1" t="str">
        <f>IFERROR(ROUND(Backend!$AL145*VLOOKUP($F145,'OH,Profit &amp; Other Base'!$A:$V,Backend!AV$6,0),5),"")</f>
        <v/>
      </c>
      <c r="AW145" s="1" t="str">
        <f>IFERROR(ROUND(Backend!$AO145*VLOOKUP($F145,'OH,Profit &amp; Other Base'!$A:$V,Backend!AW$6,0),5),"")</f>
        <v/>
      </c>
      <c r="AX145" s="1" t="str">
        <f>IFERROR(ROUND(Backend!$AM145*VLOOKUP($F145,'OH,Profit &amp; Other Base'!$A:$V,Backend!AX$6,0),5),"")</f>
        <v/>
      </c>
      <c r="AY145" s="1" t="str">
        <f>IFERROR(ROUND(Backend!$AL145*VLOOKUP($F145,'OH,Profit &amp; Other Base'!$A:$V,Backend!AY$6,0),5),"")</f>
        <v/>
      </c>
      <c r="AZ145" s="1" t="str">
        <f>IFERROR(ROUND(Backend!$AO145*VLOOKUP($F145,'OH,Profit &amp; Other Base'!$A:$V,Backend!AZ$6,0),5),"")</f>
        <v/>
      </c>
      <c r="BA145" s="1" t="str">
        <f>IFERROR(ROUND(Backend!$AM145*VLOOKUP($F145,'OH,Profit &amp; Other Base'!$A:$V,Backend!BA$6,0),5),"")</f>
        <v/>
      </c>
      <c r="BB145" s="1" t="str">
        <f>IFERROR(ROUND(Backend!$AL145*VLOOKUP($F145,'OH,Profit &amp; Other Base'!$A:$V,Backend!BB$6,0),5),"")</f>
        <v/>
      </c>
      <c r="BC145" s="1" t="str">
        <f>IFERROR(ROUND(Backend!$AO145*VLOOKUP($F145,'OH,Profit &amp; Other Base'!$A:$V,Backend!BC$6,0),5),"")</f>
        <v/>
      </c>
      <c r="BD145" s="1" t="str">
        <f>IFERROR(ROUND(Backend!$AM145*VLOOKUP($F145,'OH,Profit &amp; Other Base'!$A:$V,Backend!BD$6,0),5),"")</f>
        <v/>
      </c>
      <c r="BE145" s="1" t="str">
        <f>IFERROR(ROUND(Backend!$AL145*VLOOKUP($F145,'OH,Profit &amp; Other Base'!$A:$V,Backend!BE$6,0),5),"")</f>
        <v/>
      </c>
      <c r="BF145" s="1" t="str">
        <f>IFERROR(ROUND(Backend!$AO145*VLOOKUP($F145,'OH,Profit &amp; Other Base'!$A:$V,Backend!BF$6,0),5),"")</f>
        <v/>
      </c>
      <c r="BG145" s="1" t="str">
        <f>IFERROR(ROUND(Backend!$AM145*VLOOKUP($F145,'OH,Profit &amp; Other Base'!$A:$V,Backend!BG$6,0),5),"")</f>
        <v/>
      </c>
      <c r="BH145" s="1" t="str">
        <f>IFERROR(ROUND(Backend!$AL145*VLOOKUP($F145,'OH,Profit &amp; Other Base'!$A:$V,Backend!BH$6,0),5),"")</f>
        <v/>
      </c>
      <c r="BI145" s="1" t="str">
        <f>IFERROR(ROUND(Backend!$AO145*VLOOKUP($F145,'OH,Profit &amp; Other Base'!$A:$V,Backend!BI$6,0),5),"")</f>
        <v/>
      </c>
      <c r="BJ145" s="1" t="str">
        <f>IFERROR(ROUND(Backend!$AM145*VLOOKUP($F145,'OH,Profit &amp; Other Base'!$A:$V,Backend!BJ$6,0),5),"")</f>
        <v/>
      </c>
      <c r="BK145" s="3">
        <f>SUM(AN145:BJ145,Backend!O145)</f>
        <v>0</v>
      </c>
    </row>
    <row r="146" spans="1:63">
      <c r="A146" s="1">
        <f>BOM!A141</f>
        <v>0</v>
      </c>
      <c r="B146" s="1">
        <f>BOM!B141</f>
        <v>0</v>
      </c>
      <c r="C146" s="1">
        <f>BOM!C141</f>
        <v>0</v>
      </c>
      <c r="D146" s="1">
        <f>BOM!D141</f>
        <v>0</v>
      </c>
      <c r="E146" s="1">
        <f>BOM!F141</f>
        <v>0</v>
      </c>
      <c r="F146" s="1" t="str">
        <f>IF(H146="CSC",BOM!H141,IF(J146="BOFOthers","Sheet Metal-B",""))</f>
        <v/>
      </c>
      <c r="G146" s="1">
        <f>BOM!I141</f>
        <v>0</v>
      </c>
      <c r="H146" s="1">
        <f>BOM!J141</f>
        <v>0</v>
      </c>
      <c r="I146" s="1" t="str">
        <f t="shared" si="14"/>
        <v>Others</v>
      </c>
      <c r="J146" s="1" t="str">
        <f t="shared" si="15"/>
        <v>0Others</v>
      </c>
      <c r="K146" s="3" t="str">
        <f>IF($J146="InhouseCSC",VLOOKUP($D146,Group!$C:$E,3,0),"")</f>
        <v/>
      </c>
      <c r="L146" s="3" t="str">
        <f>IF(OR($J146="BOSFCSC",$J146="BOFCSC"),VLOOKUP($D146,Group!$C:$E,3,0),"")</f>
        <v/>
      </c>
      <c r="M146" s="3" t="str">
        <f>IF(OR($J146="BOSFCSC",$J146="BOFCSC"),VLOOKUP($D146,Group!$C:$F,4,0),"")</f>
        <v/>
      </c>
      <c r="N146" s="3" t="str">
        <f>IF(OR($J146="InhouseCSC",$J146="BOSFCSC"),VLOOKUP($D146,Group!$C:$G,5,0),"")</f>
        <v/>
      </c>
      <c r="O146" s="3" t="str">
        <f>IF($J146="InhouseCSC",ROUND(VLOOKUP($D146,Group!$C:$H,6,0),5),"")</f>
        <v/>
      </c>
      <c r="P146" s="3" t="str">
        <f>IF(OR($J146="BOSFCSC",$J146="BOFCSC"),VLOOKUP($D146,Group!$C:$H,6,0),"")</f>
        <v/>
      </c>
      <c r="Q146" s="1" t="str">
        <f>IF($J146="Inhouseothers",VLOOKUP($D146,Group!$C:$E,3,0),"")</f>
        <v/>
      </c>
      <c r="R146" s="1" t="str">
        <f>IF($J146="BOSFOthers",VLOOKUP($D146,Group!$C:$E,3,0),"")</f>
        <v/>
      </c>
      <c r="S146" s="3" t="str">
        <f>IF($J146="BOFOthers",VLOOKUP($D146,Group!$C:$E,3,0),"")</f>
        <v/>
      </c>
      <c r="U146" s="1" t="str">
        <f>IFERROR(Backend!$L146*VLOOKUP($F146,'OH,Profit &amp; Other Base'!$A:$V,Backend!U$6,0),"")</f>
        <v/>
      </c>
      <c r="V146" s="1" t="str">
        <f>IFERROR(Backend!$M146*VLOOKUP($F146,'OH,Profit &amp; Other Base'!$A:$V,Backend!V$6,0),"")</f>
        <v/>
      </c>
      <c r="W146" s="1" t="str">
        <f>IFERROR(Backend!$L146*VLOOKUP($F146,'OH,Profit &amp; Other Base'!$A:$V,Backend!W$6,0),"")</f>
        <v/>
      </c>
      <c r="X146" s="1" t="str">
        <f>IFERROR(Backend!$M146*VLOOKUP($F146,'OH,Profit &amp; Other Base'!$A:$V,Backend!X$6,0),"")</f>
        <v/>
      </c>
      <c r="Y146" s="1" t="str">
        <f>IFERROR(Backend!$L146*VLOOKUP($F146,'OH,Profit &amp; Other Base'!$A:$V,Backend!Y$6,0),"")</f>
        <v/>
      </c>
      <c r="Z146" s="1" t="str">
        <f>IFERROR(Backend!$M146*VLOOKUP($F146,'OH,Profit &amp; Other Base'!$A:$V,Backend!Z$6,0),"")</f>
        <v/>
      </c>
      <c r="AA146" s="1" t="str">
        <f>IFERROR(Backend!$L146*VLOOKUP($F146,'OH,Profit &amp; Other Base'!$A:$V,Backend!AA$6,0),"")</f>
        <v/>
      </c>
      <c r="AB146" s="1" t="str">
        <f>IFERROR(Backend!$M146*VLOOKUP($F146,'OH,Profit &amp; Other Base'!$A:$V,Backend!AB$6,0),"")</f>
        <v/>
      </c>
      <c r="AC146" s="1" t="str">
        <f>IFERROR(Backend!$L146*VLOOKUP($F146,'OH,Profit &amp; Other Base'!$A:$V,Backend!AC$6,0),"")</f>
        <v/>
      </c>
      <c r="AD146" s="1" t="str">
        <f>IFERROR(Backend!$M146*VLOOKUP($F146,'OH,Profit &amp; Other Base'!$A:$V,Backend!AD$6,0),"")</f>
        <v/>
      </c>
      <c r="AE146" s="1" t="str">
        <f>IFERROR(Backend!$L146*VLOOKUP($F146,'OH,Profit &amp; Other Base'!$A:$V,Backend!AE$6,0),"")</f>
        <v/>
      </c>
      <c r="AF146" s="1" t="str">
        <f>IFERROR(Backend!$M146*VLOOKUP($F146,'OH,Profit &amp; Other Base'!$A:$V,Backend!AF$6,0),"")</f>
        <v/>
      </c>
      <c r="AG146" s="1" t="str">
        <f>IFERROR(Backend!$L146*VLOOKUP($F146,'OH,Profit &amp; Other Base'!$A:$V,Backend!AG$6,0),"")</f>
        <v/>
      </c>
      <c r="AH146" s="1" t="str">
        <f>IFERROR(Backend!$M146*VLOOKUP($F146,'OH,Profit &amp; Other Base'!$A:$V,Backend!AH$6,0),"")</f>
        <v/>
      </c>
      <c r="AI146" s="3">
        <f t="shared" si="16"/>
        <v>0</v>
      </c>
      <c r="AL146" s="1" t="str">
        <f t="shared" si="17"/>
        <v/>
      </c>
      <c r="AM146" s="1" t="str">
        <f t="shared" si="18"/>
        <v/>
      </c>
      <c r="AN146" s="1" t="str">
        <f t="shared" si="19"/>
        <v/>
      </c>
      <c r="AO146" s="1" t="str">
        <f t="shared" si="20"/>
        <v/>
      </c>
      <c r="AP146" s="1" t="str">
        <f>IFERROR(ROUND(Backend!$AL146*VLOOKUP($F146,'OH,Profit &amp; Other Base'!$A:$V,Backend!AP$6,0),5),"")</f>
        <v/>
      </c>
      <c r="AQ146" s="1" t="str">
        <f>IFERROR(ROUND(Backend!$AO146*VLOOKUP($F146,'OH,Profit &amp; Other Base'!$A:$V,Backend!AQ$6,0),5),"")</f>
        <v/>
      </c>
      <c r="AR146" s="1" t="str">
        <f>IFERROR(ROUND(Backend!$AM146*VLOOKUP($F146,'OH,Profit &amp; Other Base'!$A:$V,Backend!AR$6,0),5),"")</f>
        <v/>
      </c>
      <c r="AS146" s="1" t="str">
        <f>IFERROR(ROUND(Backend!$AL146*VLOOKUP($F146,'OH,Profit &amp; Other Base'!$A:$V,Backend!AS$6,0),5),"")</f>
        <v/>
      </c>
      <c r="AT146" s="1" t="str">
        <f>IFERROR(ROUND(Backend!$AO146*VLOOKUP($F146,'OH,Profit &amp; Other Base'!$A:$V,Backend!AT$6,0),5),"")</f>
        <v/>
      </c>
      <c r="AU146" s="1" t="str">
        <f>IFERROR(ROUND(Backend!$AM146*VLOOKUP($F146,'OH,Profit &amp; Other Base'!$A:$V,Backend!AU$6,0),5),"")</f>
        <v/>
      </c>
      <c r="AV146" s="1" t="str">
        <f>IFERROR(ROUND(Backend!$AL146*VLOOKUP($F146,'OH,Profit &amp; Other Base'!$A:$V,Backend!AV$6,0),5),"")</f>
        <v/>
      </c>
      <c r="AW146" s="1" t="str">
        <f>IFERROR(ROUND(Backend!$AO146*VLOOKUP($F146,'OH,Profit &amp; Other Base'!$A:$V,Backend!AW$6,0),5),"")</f>
        <v/>
      </c>
      <c r="AX146" s="1" t="str">
        <f>IFERROR(ROUND(Backend!$AM146*VLOOKUP($F146,'OH,Profit &amp; Other Base'!$A:$V,Backend!AX$6,0),5),"")</f>
        <v/>
      </c>
      <c r="AY146" s="1" t="str">
        <f>IFERROR(ROUND(Backend!$AL146*VLOOKUP($F146,'OH,Profit &amp; Other Base'!$A:$V,Backend!AY$6,0),5),"")</f>
        <v/>
      </c>
      <c r="AZ146" s="1" t="str">
        <f>IFERROR(ROUND(Backend!$AO146*VLOOKUP($F146,'OH,Profit &amp; Other Base'!$A:$V,Backend!AZ$6,0),5),"")</f>
        <v/>
      </c>
      <c r="BA146" s="1" t="str">
        <f>IFERROR(ROUND(Backend!$AM146*VLOOKUP($F146,'OH,Profit &amp; Other Base'!$A:$V,Backend!BA$6,0),5),"")</f>
        <v/>
      </c>
      <c r="BB146" s="1" t="str">
        <f>IFERROR(ROUND(Backend!$AL146*VLOOKUP($F146,'OH,Profit &amp; Other Base'!$A:$V,Backend!BB$6,0),5),"")</f>
        <v/>
      </c>
      <c r="BC146" s="1" t="str">
        <f>IFERROR(ROUND(Backend!$AO146*VLOOKUP($F146,'OH,Profit &amp; Other Base'!$A:$V,Backend!BC$6,0),5),"")</f>
        <v/>
      </c>
      <c r="BD146" s="1" t="str">
        <f>IFERROR(ROUND(Backend!$AM146*VLOOKUP($F146,'OH,Profit &amp; Other Base'!$A:$V,Backend!BD$6,0),5),"")</f>
        <v/>
      </c>
      <c r="BE146" s="1" t="str">
        <f>IFERROR(ROUND(Backend!$AL146*VLOOKUP($F146,'OH,Profit &amp; Other Base'!$A:$V,Backend!BE$6,0),5),"")</f>
        <v/>
      </c>
      <c r="BF146" s="1" t="str">
        <f>IFERROR(ROUND(Backend!$AO146*VLOOKUP($F146,'OH,Profit &amp; Other Base'!$A:$V,Backend!BF$6,0),5),"")</f>
        <v/>
      </c>
      <c r="BG146" s="1" t="str">
        <f>IFERROR(ROUND(Backend!$AM146*VLOOKUP($F146,'OH,Profit &amp; Other Base'!$A:$V,Backend!BG$6,0),5),"")</f>
        <v/>
      </c>
      <c r="BH146" s="1" t="str">
        <f>IFERROR(ROUND(Backend!$AL146*VLOOKUP($F146,'OH,Profit &amp; Other Base'!$A:$V,Backend!BH$6,0),5),"")</f>
        <v/>
      </c>
      <c r="BI146" s="1" t="str">
        <f>IFERROR(ROUND(Backend!$AO146*VLOOKUP($F146,'OH,Profit &amp; Other Base'!$A:$V,Backend!BI$6,0),5),"")</f>
        <v/>
      </c>
      <c r="BJ146" s="1" t="str">
        <f>IFERROR(ROUND(Backend!$AM146*VLOOKUP($F146,'OH,Profit &amp; Other Base'!$A:$V,Backend!BJ$6,0),5),"")</f>
        <v/>
      </c>
      <c r="BK146" s="3">
        <f>SUM(AN146:BJ146,Backend!O146)</f>
        <v>0</v>
      </c>
    </row>
    <row r="147" spans="1:63">
      <c r="A147" s="1">
        <f>BOM!A142</f>
        <v>0</v>
      </c>
      <c r="B147" s="1">
        <f>BOM!B142</f>
        <v>0</v>
      </c>
      <c r="C147" s="1">
        <f>BOM!C142</f>
        <v>0</v>
      </c>
      <c r="D147" s="1">
        <f>BOM!D142</f>
        <v>0</v>
      </c>
      <c r="E147" s="1">
        <f>BOM!F142</f>
        <v>0</v>
      </c>
      <c r="F147" s="1" t="str">
        <f>IF(H147="CSC",BOM!H142,IF(J147="BOFOthers","Sheet Metal-B",""))</f>
        <v/>
      </c>
      <c r="G147" s="1">
        <f>BOM!I142</f>
        <v>0</v>
      </c>
      <c r="H147" s="1">
        <f>BOM!J142</f>
        <v>0</v>
      </c>
      <c r="I147" s="1" t="str">
        <f t="shared" si="14"/>
        <v>Others</v>
      </c>
      <c r="J147" s="1" t="str">
        <f t="shared" si="15"/>
        <v>0Others</v>
      </c>
      <c r="K147" s="3" t="str">
        <f>IF($J147="InhouseCSC",VLOOKUP($D147,Group!$C:$E,3,0),"")</f>
        <v/>
      </c>
      <c r="L147" s="3" t="str">
        <f>IF(OR($J147="BOSFCSC",$J147="BOFCSC"),VLOOKUP($D147,Group!$C:$E,3,0),"")</f>
        <v/>
      </c>
      <c r="M147" s="3" t="str">
        <f>IF(OR($J147="BOSFCSC",$J147="BOFCSC"),VLOOKUP($D147,Group!$C:$F,4,0),"")</f>
        <v/>
      </c>
      <c r="N147" s="3" t="str">
        <f>IF(OR($J147="InhouseCSC",$J147="BOSFCSC"),VLOOKUP($D147,Group!$C:$G,5,0),"")</f>
        <v/>
      </c>
      <c r="O147" s="3" t="str">
        <f>IF($J147="InhouseCSC",ROUND(VLOOKUP($D147,Group!$C:$H,6,0),5),"")</f>
        <v/>
      </c>
      <c r="P147" s="3" t="str">
        <f>IF(OR($J147="BOSFCSC",$J147="BOFCSC"),VLOOKUP($D147,Group!$C:$H,6,0),"")</f>
        <v/>
      </c>
      <c r="Q147" s="1" t="str">
        <f>IF($J147="Inhouseothers",VLOOKUP($D147,Group!$C:$E,3,0),"")</f>
        <v/>
      </c>
      <c r="R147" s="1" t="str">
        <f>IF($J147="BOSFOthers",VLOOKUP($D147,Group!$C:$E,3,0),"")</f>
        <v/>
      </c>
      <c r="S147" s="3" t="str">
        <f>IF($J147="BOFOthers",VLOOKUP($D147,Group!$C:$E,3,0),"")</f>
        <v/>
      </c>
      <c r="U147" s="1" t="str">
        <f>IFERROR(Backend!$L147*VLOOKUP($F147,'OH,Profit &amp; Other Base'!$A:$V,Backend!U$6,0),"")</f>
        <v/>
      </c>
      <c r="V147" s="1" t="str">
        <f>IFERROR(Backend!$M147*VLOOKUP($F147,'OH,Profit &amp; Other Base'!$A:$V,Backend!V$6,0),"")</f>
        <v/>
      </c>
      <c r="W147" s="1" t="str">
        <f>IFERROR(Backend!$L147*VLOOKUP($F147,'OH,Profit &amp; Other Base'!$A:$V,Backend!W$6,0),"")</f>
        <v/>
      </c>
      <c r="X147" s="1" t="str">
        <f>IFERROR(Backend!$M147*VLOOKUP($F147,'OH,Profit &amp; Other Base'!$A:$V,Backend!X$6,0),"")</f>
        <v/>
      </c>
      <c r="Y147" s="1" t="str">
        <f>IFERROR(Backend!$L147*VLOOKUP($F147,'OH,Profit &amp; Other Base'!$A:$V,Backend!Y$6,0),"")</f>
        <v/>
      </c>
      <c r="Z147" s="1" t="str">
        <f>IFERROR(Backend!$M147*VLOOKUP($F147,'OH,Profit &amp; Other Base'!$A:$V,Backend!Z$6,0),"")</f>
        <v/>
      </c>
      <c r="AA147" s="1" t="str">
        <f>IFERROR(Backend!$L147*VLOOKUP($F147,'OH,Profit &amp; Other Base'!$A:$V,Backend!AA$6,0),"")</f>
        <v/>
      </c>
      <c r="AB147" s="1" t="str">
        <f>IFERROR(Backend!$M147*VLOOKUP($F147,'OH,Profit &amp; Other Base'!$A:$V,Backend!AB$6,0),"")</f>
        <v/>
      </c>
      <c r="AC147" s="1" t="str">
        <f>IFERROR(Backend!$L147*VLOOKUP($F147,'OH,Profit &amp; Other Base'!$A:$V,Backend!AC$6,0),"")</f>
        <v/>
      </c>
      <c r="AD147" s="1" t="str">
        <f>IFERROR(Backend!$M147*VLOOKUP($F147,'OH,Profit &amp; Other Base'!$A:$V,Backend!AD$6,0),"")</f>
        <v/>
      </c>
      <c r="AE147" s="1" t="str">
        <f>IFERROR(Backend!$L147*VLOOKUP($F147,'OH,Profit &amp; Other Base'!$A:$V,Backend!AE$6,0),"")</f>
        <v/>
      </c>
      <c r="AF147" s="1" t="str">
        <f>IFERROR(Backend!$M147*VLOOKUP($F147,'OH,Profit &amp; Other Base'!$A:$V,Backend!AF$6,0),"")</f>
        <v/>
      </c>
      <c r="AG147" s="1" t="str">
        <f>IFERROR(Backend!$L147*VLOOKUP($F147,'OH,Profit &amp; Other Base'!$A:$V,Backend!AG$6,0),"")</f>
        <v/>
      </c>
      <c r="AH147" s="1" t="str">
        <f>IFERROR(Backend!$M147*VLOOKUP($F147,'OH,Profit &amp; Other Base'!$A:$V,Backend!AH$6,0),"")</f>
        <v/>
      </c>
      <c r="AI147" s="3">
        <f t="shared" si="16"/>
        <v>0</v>
      </c>
      <c r="AL147" s="1" t="str">
        <f t="shared" si="17"/>
        <v/>
      </c>
      <c r="AM147" s="1" t="str">
        <f t="shared" si="18"/>
        <v/>
      </c>
      <c r="AN147" s="1" t="str">
        <f t="shared" si="19"/>
        <v/>
      </c>
      <c r="AO147" s="1" t="str">
        <f t="shared" si="20"/>
        <v/>
      </c>
      <c r="AP147" s="1" t="str">
        <f>IFERROR(ROUND(Backend!$AL147*VLOOKUP($F147,'OH,Profit &amp; Other Base'!$A:$V,Backend!AP$6,0),5),"")</f>
        <v/>
      </c>
      <c r="AQ147" s="1" t="str">
        <f>IFERROR(ROUND(Backend!$AO147*VLOOKUP($F147,'OH,Profit &amp; Other Base'!$A:$V,Backend!AQ$6,0),5),"")</f>
        <v/>
      </c>
      <c r="AR147" s="1" t="str">
        <f>IFERROR(ROUND(Backend!$AM147*VLOOKUP($F147,'OH,Profit &amp; Other Base'!$A:$V,Backend!AR$6,0),5),"")</f>
        <v/>
      </c>
      <c r="AS147" s="1" t="str">
        <f>IFERROR(ROUND(Backend!$AL147*VLOOKUP($F147,'OH,Profit &amp; Other Base'!$A:$V,Backend!AS$6,0),5),"")</f>
        <v/>
      </c>
      <c r="AT147" s="1" t="str">
        <f>IFERROR(ROUND(Backend!$AO147*VLOOKUP($F147,'OH,Profit &amp; Other Base'!$A:$V,Backend!AT$6,0),5),"")</f>
        <v/>
      </c>
      <c r="AU147" s="1" t="str">
        <f>IFERROR(ROUND(Backend!$AM147*VLOOKUP($F147,'OH,Profit &amp; Other Base'!$A:$V,Backend!AU$6,0),5),"")</f>
        <v/>
      </c>
      <c r="AV147" s="1" t="str">
        <f>IFERROR(ROUND(Backend!$AL147*VLOOKUP($F147,'OH,Profit &amp; Other Base'!$A:$V,Backend!AV$6,0),5),"")</f>
        <v/>
      </c>
      <c r="AW147" s="1" t="str">
        <f>IFERROR(ROUND(Backend!$AO147*VLOOKUP($F147,'OH,Profit &amp; Other Base'!$A:$V,Backend!AW$6,0),5),"")</f>
        <v/>
      </c>
      <c r="AX147" s="1" t="str">
        <f>IFERROR(ROUND(Backend!$AM147*VLOOKUP($F147,'OH,Profit &amp; Other Base'!$A:$V,Backend!AX$6,0),5),"")</f>
        <v/>
      </c>
      <c r="AY147" s="1" t="str">
        <f>IFERROR(ROUND(Backend!$AL147*VLOOKUP($F147,'OH,Profit &amp; Other Base'!$A:$V,Backend!AY$6,0),5),"")</f>
        <v/>
      </c>
      <c r="AZ147" s="1" t="str">
        <f>IFERROR(ROUND(Backend!$AO147*VLOOKUP($F147,'OH,Profit &amp; Other Base'!$A:$V,Backend!AZ$6,0),5),"")</f>
        <v/>
      </c>
      <c r="BA147" s="1" t="str">
        <f>IFERROR(ROUND(Backend!$AM147*VLOOKUP($F147,'OH,Profit &amp; Other Base'!$A:$V,Backend!BA$6,0),5),"")</f>
        <v/>
      </c>
      <c r="BB147" s="1" t="str">
        <f>IFERROR(ROUND(Backend!$AL147*VLOOKUP($F147,'OH,Profit &amp; Other Base'!$A:$V,Backend!BB$6,0),5),"")</f>
        <v/>
      </c>
      <c r="BC147" s="1" t="str">
        <f>IFERROR(ROUND(Backend!$AO147*VLOOKUP($F147,'OH,Profit &amp; Other Base'!$A:$V,Backend!BC$6,0),5),"")</f>
        <v/>
      </c>
      <c r="BD147" s="1" t="str">
        <f>IFERROR(ROUND(Backend!$AM147*VLOOKUP($F147,'OH,Profit &amp; Other Base'!$A:$V,Backend!BD$6,0),5),"")</f>
        <v/>
      </c>
      <c r="BE147" s="1" t="str">
        <f>IFERROR(ROUND(Backend!$AL147*VLOOKUP($F147,'OH,Profit &amp; Other Base'!$A:$V,Backend!BE$6,0),5),"")</f>
        <v/>
      </c>
      <c r="BF147" s="1" t="str">
        <f>IFERROR(ROUND(Backend!$AO147*VLOOKUP($F147,'OH,Profit &amp; Other Base'!$A:$V,Backend!BF$6,0),5),"")</f>
        <v/>
      </c>
      <c r="BG147" s="1" t="str">
        <f>IFERROR(ROUND(Backend!$AM147*VLOOKUP($F147,'OH,Profit &amp; Other Base'!$A:$V,Backend!BG$6,0),5),"")</f>
        <v/>
      </c>
      <c r="BH147" s="1" t="str">
        <f>IFERROR(ROUND(Backend!$AL147*VLOOKUP($F147,'OH,Profit &amp; Other Base'!$A:$V,Backend!BH$6,0),5),"")</f>
        <v/>
      </c>
      <c r="BI147" s="1" t="str">
        <f>IFERROR(ROUND(Backend!$AO147*VLOOKUP($F147,'OH,Profit &amp; Other Base'!$A:$V,Backend!BI$6,0),5),"")</f>
        <v/>
      </c>
      <c r="BJ147" s="1" t="str">
        <f>IFERROR(ROUND(Backend!$AM147*VLOOKUP($F147,'OH,Profit &amp; Other Base'!$A:$V,Backend!BJ$6,0),5),"")</f>
        <v/>
      </c>
      <c r="BK147" s="3">
        <f>SUM(AN147:BJ147,Backend!O147)</f>
        <v>0</v>
      </c>
    </row>
    <row r="148" spans="1:63">
      <c r="A148" s="1">
        <f>BOM!A143</f>
        <v>0</v>
      </c>
      <c r="B148" s="1">
        <f>BOM!B143</f>
        <v>0</v>
      </c>
      <c r="C148" s="1">
        <f>BOM!C143</f>
        <v>0</v>
      </c>
      <c r="D148" s="1">
        <f>BOM!D143</f>
        <v>0</v>
      </c>
      <c r="E148" s="1">
        <f>BOM!F143</f>
        <v>0</v>
      </c>
      <c r="F148" s="1" t="str">
        <f>IF(H148="CSC",BOM!H143,IF(J148="BOFOthers","Sheet Metal-B",""))</f>
        <v/>
      </c>
      <c r="G148" s="1">
        <f>BOM!I143</f>
        <v>0</v>
      </c>
      <c r="H148" s="1">
        <f>BOM!J143</f>
        <v>0</v>
      </c>
      <c r="I148" s="1" t="str">
        <f t="shared" si="14"/>
        <v>Others</v>
      </c>
      <c r="J148" s="1" t="str">
        <f t="shared" si="15"/>
        <v>0Others</v>
      </c>
      <c r="K148" s="3" t="str">
        <f>IF($J148="InhouseCSC",VLOOKUP($D148,Group!$C:$E,3,0),"")</f>
        <v/>
      </c>
      <c r="L148" s="3" t="str">
        <f>IF(OR($J148="BOSFCSC",$J148="BOFCSC"),VLOOKUP($D148,Group!$C:$E,3,0),"")</f>
        <v/>
      </c>
      <c r="M148" s="3" t="str">
        <f>IF(OR($J148="BOSFCSC",$J148="BOFCSC"),VLOOKUP($D148,Group!$C:$F,4,0),"")</f>
        <v/>
      </c>
      <c r="N148" s="3" t="str">
        <f>IF(OR($J148="InhouseCSC",$J148="BOSFCSC"),VLOOKUP($D148,Group!$C:$G,5,0),"")</f>
        <v/>
      </c>
      <c r="O148" s="3" t="str">
        <f>IF($J148="InhouseCSC",ROUND(VLOOKUP($D148,Group!$C:$H,6,0),5),"")</f>
        <v/>
      </c>
      <c r="P148" s="3" t="str">
        <f>IF(OR($J148="BOSFCSC",$J148="BOFCSC"),VLOOKUP($D148,Group!$C:$H,6,0),"")</f>
        <v/>
      </c>
      <c r="Q148" s="1" t="str">
        <f>IF($J148="Inhouseothers",VLOOKUP($D148,Group!$C:$E,3,0),"")</f>
        <v/>
      </c>
      <c r="R148" s="1" t="str">
        <f>IF($J148="BOSFOthers",VLOOKUP($D148,Group!$C:$E,3,0),"")</f>
        <v/>
      </c>
      <c r="S148" s="3" t="str">
        <f>IF($J148="BOFOthers",VLOOKUP($D148,Group!$C:$E,3,0),"")</f>
        <v/>
      </c>
      <c r="U148" s="1" t="str">
        <f>IFERROR(Backend!$L148*VLOOKUP($F148,'OH,Profit &amp; Other Base'!$A:$V,Backend!U$6,0),"")</f>
        <v/>
      </c>
      <c r="V148" s="1" t="str">
        <f>IFERROR(Backend!$M148*VLOOKUP($F148,'OH,Profit &amp; Other Base'!$A:$V,Backend!V$6,0),"")</f>
        <v/>
      </c>
      <c r="W148" s="1" t="str">
        <f>IFERROR(Backend!$L148*VLOOKUP($F148,'OH,Profit &amp; Other Base'!$A:$V,Backend!W$6,0),"")</f>
        <v/>
      </c>
      <c r="X148" s="1" t="str">
        <f>IFERROR(Backend!$M148*VLOOKUP($F148,'OH,Profit &amp; Other Base'!$A:$V,Backend!X$6,0),"")</f>
        <v/>
      </c>
      <c r="Y148" s="1" t="str">
        <f>IFERROR(Backend!$L148*VLOOKUP($F148,'OH,Profit &amp; Other Base'!$A:$V,Backend!Y$6,0),"")</f>
        <v/>
      </c>
      <c r="Z148" s="1" t="str">
        <f>IFERROR(Backend!$M148*VLOOKUP($F148,'OH,Profit &amp; Other Base'!$A:$V,Backend!Z$6,0),"")</f>
        <v/>
      </c>
      <c r="AA148" s="1" t="str">
        <f>IFERROR(Backend!$L148*VLOOKUP($F148,'OH,Profit &amp; Other Base'!$A:$V,Backend!AA$6,0),"")</f>
        <v/>
      </c>
      <c r="AB148" s="1" t="str">
        <f>IFERROR(Backend!$M148*VLOOKUP($F148,'OH,Profit &amp; Other Base'!$A:$V,Backend!AB$6,0),"")</f>
        <v/>
      </c>
      <c r="AC148" s="1" t="str">
        <f>IFERROR(Backend!$L148*VLOOKUP($F148,'OH,Profit &amp; Other Base'!$A:$V,Backend!AC$6,0),"")</f>
        <v/>
      </c>
      <c r="AD148" s="1" t="str">
        <f>IFERROR(Backend!$M148*VLOOKUP($F148,'OH,Profit &amp; Other Base'!$A:$V,Backend!AD$6,0),"")</f>
        <v/>
      </c>
      <c r="AE148" s="1" t="str">
        <f>IFERROR(Backend!$L148*VLOOKUP($F148,'OH,Profit &amp; Other Base'!$A:$V,Backend!AE$6,0),"")</f>
        <v/>
      </c>
      <c r="AF148" s="1" t="str">
        <f>IFERROR(Backend!$M148*VLOOKUP($F148,'OH,Profit &amp; Other Base'!$A:$V,Backend!AF$6,0),"")</f>
        <v/>
      </c>
      <c r="AG148" s="1" t="str">
        <f>IFERROR(Backend!$L148*VLOOKUP($F148,'OH,Profit &amp; Other Base'!$A:$V,Backend!AG$6,0),"")</f>
        <v/>
      </c>
      <c r="AH148" s="1" t="str">
        <f>IFERROR(Backend!$M148*VLOOKUP($F148,'OH,Profit &amp; Other Base'!$A:$V,Backend!AH$6,0),"")</f>
        <v/>
      </c>
      <c r="AI148" s="3">
        <f t="shared" si="16"/>
        <v>0</v>
      </c>
      <c r="AL148" s="1" t="str">
        <f t="shared" si="17"/>
        <v/>
      </c>
      <c r="AM148" s="1" t="str">
        <f t="shared" si="18"/>
        <v/>
      </c>
      <c r="AN148" s="1" t="str">
        <f t="shared" si="19"/>
        <v/>
      </c>
      <c r="AO148" s="1" t="str">
        <f t="shared" si="20"/>
        <v/>
      </c>
      <c r="AP148" s="1" t="str">
        <f>IFERROR(ROUND(Backend!$AL148*VLOOKUP($F148,'OH,Profit &amp; Other Base'!$A:$V,Backend!AP$6,0),5),"")</f>
        <v/>
      </c>
      <c r="AQ148" s="1" t="str">
        <f>IFERROR(ROUND(Backend!$AO148*VLOOKUP($F148,'OH,Profit &amp; Other Base'!$A:$V,Backend!AQ$6,0),5),"")</f>
        <v/>
      </c>
      <c r="AR148" s="1" t="str">
        <f>IFERROR(ROUND(Backend!$AM148*VLOOKUP($F148,'OH,Profit &amp; Other Base'!$A:$V,Backend!AR$6,0),5),"")</f>
        <v/>
      </c>
      <c r="AS148" s="1" t="str">
        <f>IFERROR(ROUND(Backend!$AL148*VLOOKUP($F148,'OH,Profit &amp; Other Base'!$A:$V,Backend!AS$6,0),5),"")</f>
        <v/>
      </c>
      <c r="AT148" s="1" t="str">
        <f>IFERROR(ROUND(Backend!$AO148*VLOOKUP($F148,'OH,Profit &amp; Other Base'!$A:$V,Backend!AT$6,0),5),"")</f>
        <v/>
      </c>
      <c r="AU148" s="1" t="str">
        <f>IFERROR(ROUND(Backend!$AM148*VLOOKUP($F148,'OH,Profit &amp; Other Base'!$A:$V,Backend!AU$6,0),5),"")</f>
        <v/>
      </c>
      <c r="AV148" s="1" t="str">
        <f>IFERROR(ROUND(Backend!$AL148*VLOOKUP($F148,'OH,Profit &amp; Other Base'!$A:$V,Backend!AV$6,0),5),"")</f>
        <v/>
      </c>
      <c r="AW148" s="1" t="str">
        <f>IFERROR(ROUND(Backend!$AO148*VLOOKUP($F148,'OH,Profit &amp; Other Base'!$A:$V,Backend!AW$6,0),5),"")</f>
        <v/>
      </c>
      <c r="AX148" s="1" t="str">
        <f>IFERROR(ROUND(Backend!$AM148*VLOOKUP($F148,'OH,Profit &amp; Other Base'!$A:$V,Backend!AX$6,0),5),"")</f>
        <v/>
      </c>
      <c r="AY148" s="1" t="str">
        <f>IFERROR(ROUND(Backend!$AL148*VLOOKUP($F148,'OH,Profit &amp; Other Base'!$A:$V,Backend!AY$6,0),5),"")</f>
        <v/>
      </c>
      <c r="AZ148" s="1" t="str">
        <f>IFERROR(ROUND(Backend!$AO148*VLOOKUP($F148,'OH,Profit &amp; Other Base'!$A:$V,Backend!AZ$6,0),5),"")</f>
        <v/>
      </c>
      <c r="BA148" s="1" t="str">
        <f>IFERROR(ROUND(Backend!$AM148*VLOOKUP($F148,'OH,Profit &amp; Other Base'!$A:$V,Backend!BA$6,0),5),"")</f>
        <v/>
      </c>
      <c r="BB148" s="1" t="str">
        <f>IFERROR(ROUND(Backend!$AL148*VLOOKUP($F148,'OH,Profit &amp; Other Base'!$A:$V,Backend!BB$6,0),5),"")</f>
        <v/>
      </c>
      <c r="BC148" s="1" t="str">
        <f>IFERROR(ROUND(Backend!$AO148*VLOOKUP($F148,'OH,Profit &amp; Other Base'!$A:$V,Backend!BC$6,0),5),"")</f>
        <v/>
      </c>
      <c r="BD148" s="1" t="str">
        <f>IFERROR(ROUND(Backend!$AM148*VLOOKUP($F148,'OH,Profit &amp; Other Base'!$A:$V,Backend!BD$6,0),5),"")</f>
        <v/>
      </c>
      <c r="BE148" s="1" t="str">
        <f>IFERROR(ROUND(Backend!$AL148*VLOOKUP($F148,'OH,Profit &amp; Other Base'!$A:$V,Backend!BE$6,0),5),"")</f>
        <v/>
      </c>
      <c r="BF148" s="1" t="str">
        <f>IFERROR(ROUND(Backend!$AO148*VLOOKUP($F148,'OH,Profit &amp; Other Base'!$A:$V,Backend!BF$6,0),5),"")</f>
        <v/>
      </c>
      <c r="BG148" s="1" t="str">
        <f>IFERROR(ROUND(Backend!$AM148*VLOOKUP($F148,'OH,Profit &amp; Other Base'!$A:$V,Backend!BG$6,0),5),"")</f>
        <v/>
      </c>
      <c r="BH148" s="1" t="str">
        <f>IFERROR(ROUND(Backend!$AL148*VLOOKUP($F148,'OH,Profit &amp; Other Base'!$A:$V,Backend!BH$6,0),5),"")</f>
        <v/>
      </c>
      <c r="BI148" s="1" t="str">
        <f>IFERROR(ROUND(Backend!$AO148*VLOOKUP($F148,'OH,Profit &amp; Other Base'!$A:$V,Backend!BI$6,0),5),"")</f>
        <v/>
      </c>
      <c r="BJ148" s="1" t="str">
        <f>IFERROR(ROUND(Backend!$AM148*VLOOKUP($F148,'OH,Profit &amp; Other Base'!$A:$V,Backend!BJ$6,0),5),"")</f>
        <v/>
      </c>
      <c r="BK148" s="3">
        <f>SUM(AN148:BJ148,Backend!O148)</f>
        <v>0</v>
      </c>
    </row>
    <row r="149" spans="1:63">
      <c r="A149" s="1">
        <f>BOM!A144</f>
        <v>0</v>
      </c>
      <c r="B149" s="1">
        <f>BOM!B144</f>
        <v>0</v>
      </c>
      <c r="C149" s="1">
        <f>BOM!C144</f>
        <v>0</v>
      </c>
      <c r="D149" s="1">
        <f>BOM!D144</f>
        <v>0</v>
      </c>
      <c r="E149" s="1">
        <f>BOM!F144</f>
        <v>0</v>
      </c>
      <c r="F149" s="1" t="str">
        <f>IF(H149="CSC",BOM!H144,IF(J149="BOFOthers","Sheet Metal-B",""))</f>
        <v/>
      </c>
      <c r="G149" s="1">
        <f>BOM!I144</f>
        <v>0</v>
      </c>
      <c r="H149" s="1">
        <f>BOM!J144</f>
        <v>0</v>
      </c>
      <c r="I149" s="1" t="str">
        <f t="shared" si="14"/>
        <v>Others</v>
      </c>
      <c r="J149" s="1" t="str">
        <f t="shared" si="15"/>
        <v>0Others</v>
      </c>
      <c r="K149" s="3" t="str">
        <f>IF($J149="InhouseCSC",VLOOKUP($D149,Group!$C:$E,3,0),"")</f>
        <v/>
      </c>
      <c r="L149" s="3" t="str">
        <f>IF(OR($J149="BOSFCSC",$J149="BOFCSC"),VLOOKUP($D149,Group!$C:$E,3,0),"")</f>
        <v/>
      </c>
      <c r="M149" s="3" t="str">
        <f>IF(OR($J149="BOSFCSC",$J149="BOFCSC"),VLOOKUP($D149,Group!$C:$F,4,0),"")</f>
        <v/>
      </c>
      <c r="N149" s="3" t="str">
        <f>IF(OR($J149="InhouseCSC",$J149="BOSFCSC"),VLOOKUP($D149,Group!$C:$G,5,0),"")</f>
        <v/>
      </c>
      <c r="O149" s="3" t="str">
        <f>IF($J149="InhouseCSC",ROUND(VLOOKUP($D149,Group!$C:$H,6,0),5),"")</f>
        <v/>
      </c>
      <c r="P149" s="3" t="str">
        <f>IF(OR($J149="BOSFCSC",$J149="BOFCSC"),VLOOKUP($D149,Group!$C:$H,6,0),"")</f>
        <v/>
      </c>
      <c r="Q149" s="1" t="str">
        <f>IF($J149="Inhouseothers",VLOOKUP($D149,Group!$C:$E,3,0),"")</f>
        <v/>
      </c>
      <c r="R149" s="1" t="str">
        <f>IF($J149="BOSFOthers",VLOOKUP($D149,Group!$C:$E,3,0),"")</f>
        <v/>
      </c>
      <c r="S149" s="3" t="str">
        <f>IF($J149="BOFOthers",VLOOKUP($D149,Group!$C:$E,3,0),"")</f>
        <v/>
      </c>
      <c r="U149" s="1" t="str">
        <f>IFERROR(Backend!$L149*VLOOKUP($F149,'OH,Profit &amp; Other Base'!$A:$V,Backend!U$6,0),"")</f>
        <v/>
      </c>
      <c r="V149" s="1" t="str">
        <f>IFERROR(Backend!$M149*VLOOKUP($F149,'OH,Profit &amp; Other Base'!$A:$V,Backend!V$6,0),"")</f>
        <v/>
      </c>
      <c r="W149" s="1" t="str">
        <f>IFERROR(Backend!$L149*VLOOKUP($F149,'OH,Profit &amp; Other Base'!$A:$V,Backend!W$6,0),"")</f>
        <v/>
      </c>
      <c r="X149" s="1" t="str">
        <f>IFERROR(Backend!$M149*VLOOKUP($F149,'OH,Profit &amp; Other Base'!$A:$V,Backend!X$6,0),"")</f>
        <v/>
      </c>
      <c r="Y149" s="1" t="str">
        <f>IFERROR(Backend!$L149*VLOOKUP($F149,'OH,Profit &amp; Other Base'!$A:$V,Backend!Y$6,0),"")</f>
        <v/>
      </c>
      <c r="Z149" s="1" t="str">
        <f>IFERROR(Backend!$M149*VLOOKUP($F149,'OH,Profit &amp; Other Base'!$A:$V,Backend!Z$6,0),"")</f>
        <v/>
      </c>
      <c r="AA149" s="1" t="str">
        <f>IFERROR(Backend!$L149*VLOOKUP($F149,'OH,Profit &amp; Other Base'!$A:$V,Backend!AA$6,0),"")</f>
        <v/>
      </c>
      <c r="AB149" s="1" t="str">
        <f>IFERROR(Backend!$M149*VLOOKUP($F149,'OH,Profit &amp; Other Base'!$A:$V,Backend!AB$6,0),"")</f>
        <v/>
      </c>
      <c r="AC149" s="1" t="str">
        <f>IFERROR(Backend!$L149*VLOOKUP($F149,'OH,Profit &amp; Other Base'!$A:$V,Backend!AC$6,0),"")</f>
        <v/>
      </c>
      <c r="AD149" s="1" t="str">
        <f>IFERROR(Backend!$M149*VLOOKUP($F149,'OH,Profit &amp; Other Base'!$A:$V,Backend!AD$6,0),"")</f>
        <v/>
      </c>
      <c r="AE149" s="1" t="str">
        <f>IFERROR(Backend!$L149*VLOOKUP($F149,'OH,Profit &amp; Other Base'!$A:$V,Backend!AE$6,0),"")</f>
        <v/>
      </c>
      <c r="AF149" s="1" t="str">
        <f>IFERROR(Backend!$M149*VLOOKUP($F149,'OH,Profit &amp; Other Base'!$A:$V,Backend!AF$6,0),"")</f>
        <v/>
      </c>
      <c r="AG149" s="1" t="str">
        <f>IFERROR(Backend!$L149*VLOOKUP($F149,'OH,Profit &amp; Other Base'!$A:$V,Backend!AG$6,0),"")</f>
        <v/>
      </c>
      <c r="AH149" s="1" t="str">
        <f>IFERROR(Backend!$M149*VLOOKUP($F149,'OH,Profit &amp; Other Base'!$A:$V,Backend!AH$6,0),"")</f>
        <v/>
      </c>
      <c r="AI149" s="3">
        <f t="shared" si="16"/>
        <v>0</v>
      </c>
      <c r="AL149" s="1" t="str">
        <f t="shared" si="17"/>
        <v/>
      </c>
      <c r="AM149" s="1" t="str">
        <f t="shared" si="18"/>
        <v/>
      </c>
      <c r="AN149" s="1" t="str">
        <f t="shared" si="19"/>
        <v/>
      </c>
      <c r="AO149" s="1" t="str">
        <f t="shared" si="20"/>
        <v/>
      </c>
      <c r="AP149" s="1" t="str">
        <f>IFERROR(ROUND(Backend!$AL149*VLOOKUP($F149,'OH,Profit &amp; Other Base'!$A:$V,Backend!AP$6,0),5),"")</f>
        <v/>
      </c>
      <c r="AQ149" s="1" t="str">
        <f>IFERROR(ROUND(Backend!$AO149*VLOOKUP($F149,'OH,Profit &amp; Other Base'!$A:$V,Backend!AQ$6,0),5),"")</f>
        <v/>
      </c>
      <c r="AR149" s="1" t="str">
        <f>IFERROR(ROUND(Backend!$AM149*VLOOKUP($F149,'OH,Profit &amp; Other Base'!$A:$V,Backend!AR$6,0),5),"")</f>
        <v/>
      </c>
      <c r="AS149" s="1" t="str">
        <f>IFERROR(ROUND(Backend!$AL149*VLOOKUP($F149,'OH,Profit &amp; Other Base'!$A:$V,Backend!AS$6,0),5),"")</f>
        <v/>
      </c>
      <c r="AT149" s="1" t="str">
        <f>IFERROR(ROUND(Backend!$AO149*VLOOKUP($F149,'OH,Profit &amp; Other Base'!$A:$V,Backend!AT$6,0),5),"")</f>
        <v/>
      </c>
      <c r="AU149" s="1" t="str">
        <f>IFERROR(ROUND(Backend!$AM149*VLOOKUP($F149,'OH,Profit &amp; Other Base'!$A:$V,Backend!AU$6,0),5),"")</f>
        <v/>
      </c>
      <c r="AV149" s="1" t="str">
        <f>IFERROR(ROUND(Backend!$AL149*VLOOKUP($F149,'OH,Profit &amp; Other Base'!$A:$V,Backend!AV$6,0),5),"")</f>
        <v/>
      </c>
      <c r="AW149" s="1" t="str">
        <f>IFERROR(ROUND(Backend!$AO149*VLOOKUP($F149,'OH,Profit &amp; Other Base'!$A:$V,Backend!AW$6,0),5),"")</f>
        <v/>
      </c>
      <c r="AX149" s="1" t="str">
        <f>IFERROR(ROUND(Backend!$AM149*VLOOKUP($F149,'OH,Profit &amp; Other Base'!$A:$V,Backend!AX$6,0),5),"")</f>
        <v/>
      </c>
      <c r="AY149" s="1" t="str">
        <f>IFERROR(ROUND(Backend!$AL149*VLOOKUP($F149,'OH,Profit &amp; Other Base'!$A:$V,Backend!AY$6,0),5),"")</f>
        <v/>
      </c>
      <c r="AZ149" s="1" t="str">
        <f>IFERROR(ROUND(Backend!$AO149*VLOOKUP($F149,'OH,Profit &amp; Other Base'!$A:$V,Backend!AZ$6,0),5),"")</f>
        <v/>
      </c>
      <c r="BA149" s="1" t="str">
        <f>IFERROR(ROUND(Backend!$AM149*VLOOKUP($F149,'OH,Profit &amp; Other Base'!$A:$V,Backend!BA$6,0),5),"")</f>
        <v/>
      </c>
      <c r="BB149" s="1" t="str">
        <f>IFERROR(ROUND(Backend!$AL149*VLOOKUP($F149,'OH,Profit &amp; Other Base'!$A:$V,Backend!BB$6,0),5),"")</f>
        <v/>
      </c>
      <c r="BC149" s="1" t="str">
        <f>IFERROR(ROUND(Backend!$AO149*VLOOKUP($F149,'OH,Profit &amp; Other Base'!$A:$V,Backend!BC$6,0),5),"")</f>
        <v/>
      </c>
      <c r="BD149" s="1" t="str">
        <f>IFERROR(ROUND(Backend!$AM149*VLOOKUP($F149,'OH,Profit &amp; Other Base'!$A:$V,Backend!BD$6,0),5),"")</f>
        <v/>
      </c>
      <c r="BE149" s="1" t="str">
        <f>IFERROR(ROUND(Backend!$AL149*VLOOKUP($F149,'OH,Profit &amp; Other Base'!$A:$V,Backend!BE$6,0),5),"")</f>
        <v/>
      </c>
      <c r="BF149" s="1" t="str">
        <f>IFERROR(ROUND(Backend!$AO149*VLOOKUP($F149,'OH,Profit &amp; Other Base'!$A:$V,Backend!BF$6,0),5),"")</f>
        <v/>
      </c>
      <c r="BG149" s="1" t="str">
        <f>IFERROR(ROUND(Backend!$AM149*VLOOKUP($F149,'OH,Profit &amp; Other Base'!$A:$V,Backend!BG$6,0),5),"")</f>
        <v/>
      </c>
      <c r="BH149" s="1" t="str">
        <f>IFERROR(ROUND(Backend!$AL149*VLOOKUP($F149,'OH,Profit &amp; Other Base'!$A:$V,Backend!BH$6,0),5),"")</f>
        <v/>
      </c>
      <c r="BI149" s="1" t="str">
        <f>IFERROR(ROUND(Backend!$AO149*VLOOKUP($F149,'OH,Profit &amp; Other Base'!$A:$V,Backend!BI$6,0),5),"")</f>
        <v/>
      </c>
      <c r="BJ149" s="1" t="str">
        <f>IFERROR(ROUND(Backend!$AM149*VLOOKUP($F149,'OH,Profit &amp; Other Base'!$A:$V,Backend!BJ$6,0),5),"")</f>
        <v/>
      </c>
      <c r="BK149" s="3">
        <f>SUM(AN149:BJ149,Backend!O149)</f>
        <v>0</v>
      </c>
    </row>
    <row r="150" spans="1:63">
      <c r="A150" s="1">
        <f>BOM!A145</f>
        <v>0</v>
      </c>
      <c r="B150" s="1">
        <f>BOM!B145</f>
        <v>0</v>
      </c>
      <c r="C150" s="1">
        <f>BOM!C145</f>
        <v>0</v>
      </c>
      <c r="D150" s="1">
        <f>BOM!D145</f>
        <v>0</v>
      </c>
      <c r="E150" s="1">
        <f>BOM!F145</f>
        <v>0</v>
      </c>
      <c r="F150" s="1" t="str">
        <f>IF(H150="CSC",BOM!H145,IF(J150="BOFOthers","Sheet Metal-B",""))</f>
        <v/>
      </c>
      <c r="G150" s="1">
        <f>BOM!I145</f>
        <v>0</v>
      </c>
      <c r="H150" s="1">
        <f>BOM!J145</f>
        <v>0</v>
      </c>
      <c r="I150" s="1" t="str">
        <f t="shared" si="14"/>
        <v>Others</v>
      </c>
      <c r="J150" s="1" t="str">
        <f t="shared" si="15"/>
        <v>0Others</v>
      </c>
      <c r="K150" s="3" t="str">
        <f>IF($J150="InhouseCSC",VLOOKUP($D150,Group!$C:$E,3,0),"")</f>
        <v/>
      </c>
      <c r="L150" s="3" t="str">
        <f>IF(OR($J150="BOSFCSC",$J150="BOFCSC"),VLOOKUP($D150,Group!$C:$E,3,0),"")</f>
        <v/>
      </c>
      <c r="M150" s="3" t="str">
        <f>IF(OR($J150="BOSFCSC",$J150="BOFCSC"),VLOOKUP($D150,Group!$C:$F,4,0),"")</f>
        <v/>
      </c>
      <c r="N150" s="3" t="str">
        <f>IF(OR($J150="InhouseCSC",$J150="BOSFCSC"),VLOOKUP($D150,Group!$C:$G,5,0),"")</f>
        <v/>
      </c>
      <c r="O150" s="3" t="str">
        <f>IF($J150="InhouseCSC",ROUND(VLOOKUP($D150,Group!$C:$H,6,0),5),"")</f>
        <v/>
      </c>
      <c r="P150" s="3" t="str">
        <f>IF(OR($J150="BOSFCSC",$J150="BOFCSC"),VLOOKUP($D150,Group!$C:$H,6,0),"")</f>
        <v/>
      </c>
      <c r="Q150" s="1" t="str">
        <f>IF($J150="Inhouseothers",VLOOKUP($D150,Group!$C:$E,3,0),"")</f>
        <v/>
      </c>
      <c r="R150" s="1" t="str">
        <f>IF($J150="BOSFOthers",VLOOKUP($D150,Group!$C:$E,3,0),"")</f>
        <v/>
      </c>
      <c r="S150" s="3" t="str">
        <f>IF($J150="BOFOthers",VLOOKUP($D150,Group!$C:$E,3,0),"")</f>
        <v/>
      </c>
      <c r="U150" s="1" t="str">
        <f>IFERROR(Backend!$L150*VLOOKUP($F150,'OH,Profit &amp; Other Base'!$A:$V,Backend!U$6,0),"")</f>
        <v/>
      </c>
      <c r="V150" s="1" t="str">
        <f>IFERROR(Backend!$M150*VLOOKUP($F150,'OH,Profit &amp; Other Base'!$A:$V,Backend!V$6,0),"")</f>
        <v/>
      </c>
      <c r="W150" s="1" t="str">
        <f>IFERROR(Backend!$L150*VLOOKUP($F150,'OH,Profit &amp; Other Base'!$A:$V,Backend!W$6,0),"")</f>
        <v/>
      </c>
      <c r="X150" s="1" t="str">
        <f>IFERROR(Backend!$M150*VLOOKUP($F150,'OH,Profit &amp; Other Base'!$A:$V,Backend!X$6,0),"")</f>
        <v/>
      </c>
      <c r="Y150" s="1" t="str">
        <f>IFERROR(Backend!$L150*VLOOKUP($F150,'OH,Profit &amp; Other Base'!$A:$V,Backend!Y$6,0),"")</f>
        <v/>
      </c>
      <c r="Z150" s="1" t="str">
        <f>IFERROR(Backend!$M150*VLOOKUP($F150,'OH,Profit &amp; Other Base'!$A:$V,Backend!Z$6,0),"")</f>
        <v/>
      </c>
      <c r="AA150" s="1" t="str">
        <f>IFERROR(Backend!$L150*VLOOKUP($F150,'OH,Profit &amp; Other Base'!$A:$V,Backend!AA$6,0),"")</f>
        <v/>
      </c>
      <c r="AB150" s="1" t="str">
        <f>IFERROR(Backend!$M150*VLOOKUP($F150,'OH,Profit &amp; Other Base'!$A:$V,Backend!AB$6,0),"")</f>
        <v/>
      </c>
      <c r="AC150" s="1" t="str">
        <f>IFERROR(Backend!$L150*VLOOKUP($F150,'OH,Profit &amp; Other Base'!$A:$V,Backend!AC$6,0),"")</f>
        <v/>
      </c>
      <c r="AD150" s="1" t="str">
        <f>IFERROR(Backend!$M150*VLOOKUP($F150,'OH,Profit &amp; Other Base'!$A:$V,Backend!AD$6,0),"")</f>
        <v/>
      </c>
      <c r="AE150" s="1" t="str">
        <f>IFERROR(Backend!$L150*VLOOKUP($F150,'OH,Profit &amp; Other Base'!$A:$V,Backend!AE$6,0),"")</f>
        <v/>
      </c>
      <c r="AF150" s="1" t="str">
        <f>IFERROR(Backend!$M150*VLOOKUP($F150,'OH,Profit &amp; Other Base'!$A:$V,Backend!AF$6,0),"")</f>
        <v/>
      </c>
      <c r="AG150" s="1" t="str">
        <f>IFERROR(Backend!$L150*VLOOKUP($F150,'OH,Profit &amp; Other Base'!$A:$V,Backend!AG$6,0),"")</f>
        <v/>
      </c>
      <c r="AH150" s="1" t="str">
        <f>IFERROR(Backend!$M150*VLOOKUP($F150,'OH,Profit &amp; Other Base'!$A:$V,Backend!AH$6,0),"")</f>
        <v/>
      </c>
      <c r="AI150" s="3">
        <f t="shared" si="16"/>
        <v>0</v>
      </c>
      <c r="AL150" s="1" t="str">
        <f t="shared" si="17"/>
        <v/>
      </c>
      <c r="AM150" s="1" t="str">
        <f t="shared" si="18"/>
        <v/>
      </c>
      <c r="AN150" s="1" t="str">
        <f t="shared" si="19"/>
        <v/>
      </c>
      <c r="AO150" s="1" t="str">
        <f t="shared" si="20"/>
        <v/>
      </c>
      <c r="AP150" s="1" t="str">
        <f>IFERROR(ROUND(Backend!$AL150*VLOOKUP($F150,'OH,Profit &amp; Other Base'!$A:$V,Backend!AP$6,0),5),"")</f>
        <v/>
      </c>
      <c r="AQ150" s="1" t="str">
        <f>IFERROR(ROUND(Backend!$AO150*VLOOKUP($F150,'OH,Profit &amp; Other Base'!$A:$V,Backend!AQ$6,0),5),"")</f>
        <v/>
      </c>
      <c r="AR150" s="1" t="str">
        <f>IFERROR(ROUND(Backend!$AM150*VLOOKUP($F150,'OH,Profit &amp; Other Base'!$A:$V,Backend!AR$6,0),5),"")</f>
        <v/>
      </c>
      <c r="AS150" s="1" t="str">
        <f>IFERROR(ROUND(Backend!$AL150*VLOOKUP($F150,'OH,Profit &amp; Other Base'!$A:$V,Backend!AS$6,0),5),"")</f>
        <v/>
      </c>
      <c r="AT150" s="1" t="str">
        <f>IFERROR(ROUND(Backend!$AO150*VLOOKUP($F150,'OH,Profit &amp; Other Base'!$A:$V,Backend!AT$6,0),5),"")</f>
        <v/>
      </c>
      <c r="AU150" s="1" t="str">
        <f>IFERROR(ROUND(Backend!$AM150*VLOOKUP($F150,'OH,Profit &amp; Other Base'!$A:$V,Backend!AU$6,0),5),"")</f>
        <v/>
      </c>
      <c r="AV150" s="1" t="str">
        <f>IFERROR(ROUND(Backend!$AL150*VLOOKUP($F150,'OH,Profit &amp; Other Base'!$A:$V,Backend!AV$6,0),5),"")</f>
        <v/>
      </c>
      <c r="AW150" s="1" t="str">
        <f>IFERROR(ROUND(Backend!$AO150*VLOOKUP($F150,'OH,Profit &amp; Other Base'!$A:$V,Backend!AW$6,0),5),"")</f>
        <v/>
      </c>
      <c r="AX150" s="1" t="str">
        <f>IFERROR(ROUND(Backend!$AM150*VLOOKUP($F150,'OH,Profit &amp; Other Base'!$A:$V,Backend!AX$6,0),5),"")</f>
        <v/>
      </c>
      <c r="AY150" s="1" t="str">
        <f>IFERROR(ROUND(Backend!$AL150*VLOOKUP($F150,'OH,Profit &amp; Other Base'!$A:$V,Backend!AY$6,0),5),"")</f>
        <v/>
      </c>
      <c r="AZ150" s="1" t="str">
        <f>IFERROR(ROUND(Backend!$AO150*VLOOKUP($F150,'OH,Profit &amp; Other Base'!$A:$V,Backend!AZ$6,0),5),"")</f>
        <v/>
      </c>
      <c r="BA150" s="1" t="str">
        <f>IFERROR(ROUND(Backend!$AM150*VLOOKUP($F150,'OH,Profit &amp; Other Base'!$A:$V,Backend!BA$6,0),5),"")</f>
        <v/>
      </c>
      <c r="BB150" s="1" t="str">
        <f>IFERROR(ROUND(Backend!$AL150*VLOOKUP($F150,'OH,Profit &amp; Other Base'!$A:$V,Backend!BB$6,0),5),"")</f>
        <v/>
      </c>
      <c r="BC150" s="1" t="str">
        <f>IFERROR(ROUND(Backend!$AO150*VLOOKUP($F150,'OH,Profit &amp; Other Base'!$A:$V,Backend!BC$6,0),5),"")</f>
        <v/>
      </c>
      <c r="BD150" s="1" t="str">
        <f>IFERROR(ROUND(Backend!$AM150*VLOOKUP($F150,'OH,Profit &amp; Other Base'!$A:$V,Backend!BD$6,0),5),"")</f>
        <v/>
      </c>
      <c r="BE150" s="1" t="str">
        <f>IFERROR(ROUND(Backend!$AL150*VLOOKUP($F150,'OH,Profit &amp; Other Base'!$A:$V,Backend!BE$6,0),5),"")</f>
        <v/>
      </c>
      <c r="BF150" s="1" t="str">
        <f>IFERROR(ROUND(Backend!$AO150*VLOOKUP($F150,'OH,Profit &amp; Other Base'!$A:$V,Backend!BF$6,0),5),"")</f>
        <v/>
      </c>
      <c r="BG150" s="1" t="str">
        <f>IFERROR(ROUND(Backend!$AM150*VLOOKUP($F150,'OH,Profit &amp; Other Base'!$A:$V,Backend!BG$6,0),5),"")</f>
        <v/>
      </c>
      <c r="BH150" s="1" t="str">
        <f>IFERROR(ROUND(Backend!$AL150*VLOOKUP($F150,'OH,Profit &amp; Other Base'!$A:$V,Backend!BH$6,0),5),"")</f>
        <v/>
      </c>
      <c r="BI150" s="1" t="str">
        <f>IFERROR(ROUND(Backend!$AO150*VLOOKUP($F150,'OH,Profit &amp; Other Base'!$A:$V,Backend!BI$6,0),5),"")</f>
        <v/>
      </c>
      <c r="BJ150" s="1" t="str">
        <f>IFERROR(ROUND(Backend!$AM150*VLOOKUP($F150,'OH,Profit &amp; Other Base'!$A:$V,Backend!BJ$6,0),5),"")</f>
        <v/>
      </c>
      <c r="BK150" s="3">
        <f>SUM(AN150:BJ150,Backend!O150)</f>
        <v>0</v>
      </c>
    </row>
    <row r="151" spans="1:63">
      <c r="A151" s="1">
        <f>BOM!A146</f>
        <v>0</v>
      </c>
      <c r="B151" s="1">
        <f>BOM!B146</f>
        <v>0</v>
      </c>
      <c r="C151" s="1">
        <f>BOM!C146</f>
        <v>0</v>
      </c>
      <c r="D151" s="1">
        <f>BOM!D146</f>
        <v>0</v>
      </c>
      <c r="E151" s="1">
        <f>BOM!F146</f>
        <v>0</v>
      </c>
      <c r="F151" s="1" t="str">
        <f>IF(H151="CSC",BOM!H146,IF(J151="BOFOthers","Sheet Metal-B",""))</f>
        <v/>
      </c>
      <c r="G151" s="1">
        <f>BOM!I146</f>
        <v>0</v>
      </c>
      <c r="H151" s="1">
        <f>BOM!J146</f>
        <v>0</v>
      </c>
      <c r="I151" s="1" t="str">
        <f t="shared" si="14"/>
        <v>Others</v>
      </c>
      <c r="J151" s="1" t="str">
        <f t="shared" si="15"/>
        <v>0Others</v>
      </c>
      <c r="K151" s="3" t="str">
        <f>IF($J151="InhouseCSC",VLOOKUP($D151,Group!$C:$E,3,0),"")</f>
        <v/>
      </c>
      <c r="L151" s="3" t="str">
        <f>IF(OR($J151="BOSFCSC",$J151="BOFCSC"),VLOOKUP($D151,Group!$C:$E,3,0),"")</f>
        <v/>
      </c>
      <c r="M151" s="3" t="str">
        <f>IF(OR($J151="BOSFCSC",$J151="BOFCSC"),VLOOKUP($D151,Group!$C:$F,4,0),"")</f>
        <v/>
      </c>
      <c r="N151" s="3" t="str">
        <f>IF(OR($J151="InhouseCSC",$J151="BOSFCSC"),VLOOKUP($D151,Group!$C:$G,5,0),"")</f>
        <v/>
      </c>
      <c r="O151" s="3" t="str">
        <f>IF($J151="InhouseCSC",ROUND(VLOOKUP($D151,Group!$C:$H,6,0),5),"")</f>
        <v/>
      </c>
      <c r="P151" s="3" t="str">
        <f>IF(OR($J151="BOSFCSC",$J151="BOFCSC"),VLOOKUP($D151,Group!$C:$H,6,0),"")</f>
        <v/>
      </c>
      <c r="Q151" s="1" t="str">
        <f>IF($J151="Inhouseothers",VLOOKUP($D151,Group!$C:$E,3,0),"")</f>
        <v/>
      </c>
      <c r="R151" s="1" t="str">
        <f>IF($J151="BOSFOthers",VLOOKUP($D151,Group!$C:$E,3,0),"")</f>
        <v/>
      </c>
      <c r="S151" s="3" t="str">
        <f>IF($J151="BOFOthers",VLOOKUP($D151,Group!$C:$E,3,0),"")</f>
        <v/>
      </c>
      <c r="U151" s="1" t="str">
        <f>IFERROR(Backend!$L151*VLOOKUP($F151,'OH,Profit &amp; Other Base'!$A:$V,Backend!U$6,0),"")</f>
        <v/>
      </c>
      <c r="V151" s="1" t="str">
        <f>IFERROR(Backend!$M151*VLOOKUP($F151,'OH,Profit &amp; Other Base'!$A:$V,Backend!V$6,0),"")</f>
        <v/>
      </c>
      <c r="W151" s="1" t="str">
        <f>IFERROR(Backend!$L151*VLOOKUP($F151,'OH,Profit &amp; Other Base'!$A:$V,Backend!W$6,0),"")</f>
        <v/>
      </c>
      <c r="X151" s="1" t="str">
        <f>IFERROR(Backend!$M151*VLOOKUP($F151,'OH,Profit &amp; Other Base'!$A:$V,Backend!X$6,0),"")</f>
        <v/>
      </c>
      <c r="Y151" s="1" t="str">
        <f>IFERROR(Backend!$L151*VLOOKUP($F151,'OH,Profit &amp; Other Base'!$A:$V,Backend!Y$6,0),"")</f>
        <v/>
      </c>
      <c r="Z151" s="1" t="str">
        <f>IFERROR(Backend!$M151*VLOOKUP($F151,'OH,Profit &amp; Other Base'!$A:$V,Backend!Z$6,0),"")</f>
        <v/>
      </c>
      <c r="AA151" s="1" t="str">
        <f>IFERROR(Backend!$L151*VLOOKUP($F151,'OH,Profit &amp; Other Base'!$A:$V,Backend!AA$6,0),"")</f>
        <v/>
      </c>
      <c r="AB151" s="1" t="str">
        <f>IFERROR(Backend!$M151*VLOOKUP($F151,'OH,Profit &amp; Other Base'!$A:$V,Backend!AB$6,0),"")</f>
        <v/>
      </c>
      <c r="AC151" s="1" t="str">
        <f>IFERROR(Backend!$L151*VLOOKUP($F151,'OH,Profit &amp; Other Base'!$A:$V,Backend!AC$6,0),"")</f>
        <v/>
      </c>
      <c r="AD151" s="1" t="str">
        <f>IFERROR(Backend!$M151*VLOOKUP($F151,'OH,Profit &amp; Other Base'!$A:$V,Backend!AD$6,0),"")</f>
        <v/>
      </c>
      <c r="AE151" s="1" t="str">
        <f>IFERROR(Backend!$L151*VLOOKUP($F151,'OH,Profit &amp; Other Base'!$A:$V,Backend!AE$6,0),"")</f>
        <v/>
      </c>
      <c r="AF151" s="1" t="str">
        <f>IFERROR(Backend!$M151*VLOOKUP($F151,'OH,Profit &amp; Other Base'!$A:$V,Backend!AF$6,0),"")</f>
        <v/>
      </c>
      <c r="AG151" s="1" t="str">
        <f>IFERROR(Backend!$L151*VLOOKUP($F151,'OH,Profit &amp; Other Base'!$A:$V,Backend!AG$6,0),"")</f>
        <v/>
      </c>
      <c r="AH151" s="1" t="str">
        <f>IFERROR(Backend!$M151*VLOOKUP($F151,'OH,Profit &amp; Other Base'!$A:$V,Backend!AH$6,0),"")</f>
        <v/>
      </c>
      <c r="AI151" s="3">
        <f t="shared" si="16"/>
        <v>0</v>
      </c>
      <c r="AL151" s="1" t="str">
        <f t="shared" si="17"/>
        <v/>
      </c>
      <c r="AM151" s="1" t="str">
        <f t="shared" si="18"/>
        <v/>
      </c>
      <c r="AN151" s="1" t="str">
        <f t="shared" si="19"/>
        <v/>
      </c>
      <c r="AO151" s="1" t="str">
        <f t="shared" si="20"/>
        <v/>
      </c>
      <c r="AP151" s="1" t="str">
        <f>IFERROR(ROUND(Backend!$AL151*VLOOKUP($F151,'OH,Profit &amp; Other Base'!$A:$V,Backend!AP$6,0),5),"")</f>
        <v/>
      </c>
      <c r="AQ151" s="1" t="str">
        <f>IFERROR(ROUND(Backend!$AO151*VLOOKUP($F151,'OH,Profit &amp; Other Base'!$A:$V,Backend!AQ$6,0),5),"")</f>
        <v/>
      </c>
      <c r="AR151" s="1" t="str">
        <f>IFERROR(ROUND(Backend!$AM151*VLOOKUP($F151,'OH,Profit &amp; Other Base'!$A:$V,Backend!AR$6,0),5),"")</f>
        <v/>
      </c>
      <c r="AS151" s="1" t="str">
        <f>IFERROR(ROUND(Backend!$AL151*VLOOKUP($F151,'OH,Profit &amp; Other Base'!$A:$V,Backend!AS$6,0),5),"")</f>
        <v/>
      </c>
      <c r="AT151" s="1" t="str">
        <f>IFERROR(ROUND(Backend!$AO151*VLOOKUP($F151,'OH,Profit &amp; Other Base'!$A:$V,Backend!AT$6,0),5),"")</f>
        <v/>
      </c>
      <c r="AU151" s="1" t="str">
        <f>IFERROR(ROUND(Backend!$AM151*VLOOKUP($F151,'OH,Profit &amp; Other Base'!$A:$V,Backend!AU$6,0),5),"")</f>
        <v/>
      </c>
      <c r="AV151" s="1" t="str">
        <f>IFERROR(ROUND(Backend!$AL151*VLOOKUP($F151,'OH,Profit &amp; Other Base'!$A:$V,Backend!AV$6,0),5),"")</f>
        <v/>
      </c>
      <c r="AW151" s="1" t="str">
        <f>IFERROR(ROUND(Backend!$AO151*VLOOKUP($F151,'OH,Profit &amp; Other Base'!$A:$V,Backend!AW$6,0),5),"")</f>
        <v/>
      </c>
      <c r="AX151" s="1" t="str">
        <f>IFERROR(ROUND(Backend!$AM151*VLOOKUP($F151,'OH,Profit &amp; Other Base'!$A:$V,Backend!AX$6,0),5),"")</f>
        <v/>
      </c>
      <c r="AY151" s="1" t="str">
        <f>IFERROR(ROUND(Backend!$AL151*VLOOKUP($F151,'OH,Profit &amp; Other Base'!$A:$V,Backend!AY$6,0),5),"")</f>
        <v/>
      </c>
      <c r="AZ151" s="1" t="str">
        <f>IFERROR(ROUND(Backend!$AO151*VLOOKUP($F151,'OH,Profit &amp; Other Base'!$A:$V,Backend!AZ$6,0),5),"")</f>
        <v/>
      </c>
      <c r="BA151" s="1" t="str">
        <f>IFERROR(ROUND(Backend!$AM151*VLOOKUP($F151,'OH,Profit &amp; Other Base'!$A:$V,Backend!BA$6,0),5),"")</f>
        <v/>
      </c>
      <c r="BB151" s="1" t="str">
        <f>IFERROR(ROUND(Backend!$AL151*VLOOKUP($F151,'OH,Profit &amp; Other Base'!$A:$V,Backend!BB$6,0),5),"")</f>
        <v/>
      </c>
      <c r="BC151" s="1" t="str">
        <f>IFERROR(ROUND(Backend!$AO151*VLOOKUP($F151,'OH,Profit &amp; Other Base'!$A:$V,Backend!BC$6,0),5),"")</f>
        <v/>
      </c>
      <c r="BD151" s="1" t="str">
        <f>IFERROR(ROUND(Backend!$AM151*VLOOKUP($F151,'OH,Profit &amp; Other Base'!$A:$V,Backend!BD$6,0),5),"")</f>
        <v/>
      </c>
      <c r="BE151" s="1" t="str">
        <f>IFERROR(ROUND(Backend!$AL151*VLOOKUP($F151,'OH,Profit &amp; Other Base'!$A:$V,Backend!BE$6,0),5),"")</f>
        <v/>
      </c>
      <c r="BF151" s="1" t="str">
        <f>IFERROR(ROUND(Backend!$AO151*VLOOKUP($F151,'OH,Profit &amp; Other Base'!$A:$V,Backend!BF$6,0),5),"")</f>
        <v/>
      </c>
      <c r="BG151" s="1" t="str">
        <f>IFERROR(ROUND(Backend!$AM151*VLOOKUP($F151,'OH,Profit &amp; Other Base'!$A:$V,Backend!BG$6,0),5),"")</f>
        <v/>
      </c>
      <c r="BH151" s="1" t="str">
        <f>IFERROR(ROUND(Backend!$AL151*VLOOKUP($F151,'OH,Profit &amp; Other Base'!$A:$V,Backend!BH$6,0),5),"")</f>
        <v/>
      </c>
      <c r="BI151" s="1" t="str">
        <f>IFERROR(ROUND(Backend!$AO151*VLOOKUP($F151,'OH,Profit &amp; Other Base'!$A:$V,Backend!BI$6,0),5),"")</f>
        <v/>
      </c>
      <c r="BJ151" s="1" t="str">
        <f>IFERROR(ROUND(Backend!$AM151*VLOOKUP($F151,'OH,Profit &amp; Other Base'!$A:$V,Backend!BJ$6,0),5),"")</f>
        <v/>
      </c>
      <c r="BK151" s="3">
        <f>SUM(AN151:BJ151,Backend!O151)</f>
        <v>0</v>
      </c>
    </row>
    <row r="152" spans="1:63">
      <c r="A152" s="1">
        <f>BOM!A147</f>
        <v>0</v>
      </c>
      <c r="B152" s="1">
        <f>BOM!B147</f>
        <v>0</v>
      </c>
      <c r="C152" s="1">
        <f>BOM!C147</f>
        <v>0</v>
      </c>
      <c r="D152" s="1">
        <f>BOM!D147</f>
        <v>0</v>
      </c>
      <c r="E152" s="1">
        <f>BOM!F147</f>
        <v>0</v>
      </c>
      <c r="F152" s="1" t="str">
        <f>IF(H152="CSC",BOM!H147,IF(J152="BOFOthers","Sheet Metal-B",""))</f>
        <v/>
      </c>
      <c r="G152" s="1">
        <f>BOM!I147</f>
        <v>0</v>
      </c>
      <c r="H152" s="1">
        <f>BOM!J147</f>
        <v>0</v>
      </c>
      <c r="I152" s="1" t="str">
        <f t="shared" si="14"/>
        <v>Others</v>
      </c>
      <c r="J152" s="1" t="str">
        <f t="shared" si="15"/>
        <v>0Others</v>
      </c>
      <c r="K152" s="3" t="str">
        <f>IF($J152="InhouseCSC",VLOOKUP($D152,Group!$C:$E,3,0),"")</f>
        <v/>
      </c>
      <c r="L152" s="3" t="str">
        <f>IF(OR($J152="BOSFCSC",$J152="BOFCSC"),VLOOKUP($D152,Group!$C:$E,3,0),"")</f>
        <v/>
      </c>
      <c r="M152" s="3" t="str">
        <f>IF(OR($J152="BOSFCSC",$J152="BOFCSC"),VLOOKUP($D152,Group!$C:$F,4,0),"")</f>
        <v/>
      </c>
      <c r="N152" s="3" t="str">
        <f>IF(OR($J152="InhouseCSC",$J152="BOSFCSC"),VLOOKUP($D152,Group!$C:$G,5,0),"")</f>
        <v/>
      </c>
      <c r="O152" s="3" t="str">
        <f>IF($J152="InhouseCSC",ROUND(VLOOKUP($D152,Group!$C:$H,6,0),5),"")</f>
        <v/>
      </c>
      <c r="P152" s="3" t="str">
        <f>IF(OR($J152="BOSFCSC",$J152="BOFCSC"),VLOOKUP($D152,Group!$C:$H,6,0),"")</f>
        <v/>
      </c>
      <c r="Q152" s="1" t="str">
        <f>IF($J152="Inhouseothers",VLOOKUP($D152,Group!$C:$E,3,0),"")</f>
        <v/>
      </c>
      <c r="R152" s="1" t="str">
        <f>IF($J152="BOSFOthers",VLOOKUP($D152,Group!$C:$E,3,0),"")</f>
        <v/>
      </c>
      <c r="S152" s="3" t="str">
        <f>IF($J152="BOFOthers",VLOOKUP($D152,Group!$C:$E,3,0),"")</f>
        <v/>
      </c>
      <c r="U152" s="1" t="str">
        <f>IFERROR(Backend!$L152*VLOOKUP($F152,'OH,Profit &amp; Other Base'!$A:$V,Backend!U$6,0),"")</f>
        <v/>
      </c>
      <c r="V152" s="1" t="str">
        <f>IFERROR(Backend!$M152*VLOOKUP($F152,'OH,Profit &amp; Other Base'!$A:$V,Backend!V$6,0),"")</f>
        <v/>
      </c>
      <c r="W152" s="1" t="str">
        <f>IFERROR(Backend!$L152*VLOOKUP($F152,'OH,Profit &amp; Other Base'!$A:$V,Backend!W$6,0),"")</f>
        <v/>
      </c>
      <c r="X152" s="1" t="str">
        <f>IFERROR(Backend!$M152*VLOOKUP($F152,'OH,Profit &amp; Other Base'!$A:$V,Backend!X$6,0),"")</f>
        <v/>
      </c>
      <c r="Y152" s="1" t="str">
        <f>IFERROR(Backend!$L152*VLOOKUP($F152,'OH,Profit &amp; Other Base'!$A:$V,Backend!Y$6,0),"")</f>
        <v/>
      </c>
      <c r="Z152" s="1" t="str">
        <f>IFERROR(Backend!$M152*VLOOKUP($F152,'OH,Profit &amp; Other Base'!$A:$V,Backend!Z$6,0),"")</f>
        <v/>
      </c>
      <c r="AA152" s="1" t="str">
        <f>IFERROR(Backend!$L152*VLOOKUP($F152,'OH,Profit &amp; Other Base'!$A:$V,Backend!AA$6,0),"")</f>
        <v/>
      </c>
      <c r="AB152" s="1" t="str">
        <f>IFERROR(Backend!$M152*VLOOKUP($F152,'OH,Profit &amp; Other Base'!$A:$V,Backend!AB$6,0),"")</f>
        <v/>
      </c>
      <c r="AC152" s="1" t="str">
        <f>IFERROR(Backend!$L152*VLOOKUP($F152,'OH,Profit &amp; Other Base'!$A:$V,Backend!AC$6,0),"")</f>
        <v/>
      </c>
      <c r="AD152" s="1" t="str">
        <f>IFERROR(Backend!$M152*VLOOKUP($F152,'OH,Profit &amp; Other Base'!$A:$V,Backend!AD$6,0),"")</f>
        <v/>
      </c>
      <c r="AE152" s="1" t="str">
        <f>IFERROR(Backend!$L152*VLOOKUP($F152,'OH,Profit &amp; Other Base'!$A:$V,Backend!AE$6,0),"")</f>
        <v/>
      </c>
      <c r="AF152" s="1" t="str">
        <f>IFERROR(Backend!$M152*VLOOKUP($F152,'OH,Profit &amp; Other Base'!$A:$V,Backend!AF$6,0),"")</f>
        <v/>
      </c>
      <c r="AG152" s="1" t="str">
        <f>IFERROR(Backend!$L152*VLOOKUP($F152,'OH,Profit &amp; Other Base'!$A:$V,Backend!AG$6,0),"")</f>
        <v/>
      </c>
      <c r="AH152" s="1" t="str">
        <f>IFERROR(Backend!$M152*VLOOKUP($F152,'OH,Profit &amp; Other Base'!$A:$V,Backend!AH$6,0),"")</f>
        <v/>
      </c>
      <c r="AI152" s="3">
        <f t="shared" si="16"/>
        <v>0</v>
      </c>
      <c r="AL152" s="1" t="str">
        <f t="shared" si="17"/>
        <v/>
      </c>
      <c r="AM152" s="1" t="str">
        <f t="shared" si="18"/>
        <v/>
      </c>
      <c r="AN152" s="1" t="str">
        <f t="shared" si="19"/>
        <v/>
      </c>
      <c r="AO152" s="1" t="str">
        <f t="shared" si="20"/>
        <v/>
      </c>
      <c r="AP152" s="1" t="str">
        <f>IFERROR(ROUND(Backend!$AL152*VLOOKUP($F152,'OH,Profit &amp; Other Base'!$A:$V,Backend!AP$6,0),5),"")</f>
        <v/>
      </c>
      <c r="AQ152" s="1" t="str">
        <f>IFERROR(ROUND(Backend!$AO152*VLOOKUP($F152,'OH,Profit &amp; Other Base'!$A:$V,Backend!AQ$6,0),5),"")</f>
        <v/>
      </c>
      <c r="AR152" s="1" t="str">
        <f>IFERROR(ROUND(Backend!$AM152*VLOOKUP($F152,'OH,Profit &amp; Other Base'!$A:$V,Backend!AR$6,0),5),"")</f>
        <v/>
      </c>
      <c r="AS152" s="1" t="str">
        <f>IFERROR(ROUND(Backend!$AL152*VLOOKUP($F152,'OH,Profit &amp; Other Base'!$A:$V,Backend!AS$6,0),5),"")</f>
        <v/>
      </c>
      <c r="AT152" s="1" t="str">
        <f>IFERROR(ROUND(Backend!$AO152*VLOOKUP($F152,'OH,Profit &amp; Other Base'!$A:$V,Backend!AT$6,0),5),"")</f>
        <v/>
      </c>
      <c r="AU152" s="1" t="str">
        <f>IFERROR(ROUND(Backend!$AM152*VLOOKUP($F152,'OH,Profit &amp; Other Base'!$A:$V,Backend!AU$6,0),5),"")</f>
        <v/>
      </c>
      <c r="AV152" s="1" t="str">
        <f>IFERROR(ROUND(Backend!$AL152*VLOOKUP($F152,'OH,Profit &amp; Other Base'!$A:$V,Backend!AV$6,0),5),"")</f>
        <v/>
      </c>
      <c r="AW152" s="1" t="str">
        <f>IFERROR(ROUND(Backend!$AO152*VLOOKUP($F152,'OH,Profit &amp; Other Base'!$A:$V,Backend!AW$6,0),5),"")</f>
        <v/>
      </c>
      <c r="AX152" s="1" t="str">
        <f>IFERROR(ROUND(Backend!$AM152*VLOOKUP($F152,'OH,Profit &amp; Other Base'!$A:$V,Backend!AX$6,0),5),"")</f>
        <v/>
      </c>
      <c r="AY152" s="1" t="str">
        <f>IFERROR(ROUND(Backend!$AL152*VLOOKUP($F152,'OH,Profit &amp; Other Base'!$A:$V,Backend!AY$6,0),5),"")</f>
        <v/>
      </c>
      <c r="AZ152" s="1" t="str">
        <f>IFERROR(ROUND(Backend!$AO152*VLOOKUP($F152,'OH,Profit &amp; Other Base'!$A:$V,Backend!AZ$6,0),5),"")</f>
        <v/>
      </c>
      <c r="BA152" s="1" t="str">
        <f>IFERROR(ROUND(Backend!$AM152*VLOOKUP($F152,'OH,Profit &amp; Other Base'!$A:$V,Backend!BA$6,0),5),"")</f>
        <v/>
      </c>
      <c r="BB152" s="1" t="str">
        <f>IFERROR(ROUND(Backend!$AL152*VLOOKUP($F152,'OH,Profit &amp; Other Base'!$A:$V,Backend!BB$6,0),5),"")</f>
        <v/>
      </c>
      <c r="BC152" s="1" t="str">
        <f>IFERROR(ROUND(Backend!$AO152*VLOOKUP($F152,'OH,Profit &amp; Other Base'!$A:$V,Backend!BC$6,0),5),"")</f>
        <v/>
      </c>
      <c r="BD152" s="1" t="str">
        <f>IFERROR(ROUND(Backend!$AM152*VLOOKUP($F152,'OH,Profit &amp; Other Base'!$A:$V,Backend!BD$6,0),5),"")</f>
        <v/>
      </c>
      <c r="BE152" s="1" t="str">
        <f>IFERROR(ROUND(Backend!$AL152*VLOOKUP($F152,'OH,Profit &amp; Other Base'!$A:$V,Backend!BE$6,0),5),"")</f>
        <v/>
      </c>
      <c r="BF152" s="1" t="str">
        <f>IFERROR(ROUND(Backend!$AO152*VLOOKUP($F152,'OH,Profit &amp; Other Base'!$A:$V,Backend!BF$6,0),5),"")</f>
        <v/>
      </c>
      <c r="BG152" s="1" t="str">
        <f>IFERROR(ROUND(Backend!$AM152*VLOOKUP($F152,'OH,Profit &amp; Other Base'!$A:$V,Backend!BG$6,0),5),"")</f>
        <v/>
      </c>
      <c r="BH152" s="1" t="str">
        <f>IFERROR(ROUND(Backend!$AL152*VLOOKUP($F152,'OH,Profit &amp; Other Base'!$A:$V,Backend!BH$6,0),5),"")</f>
        <v/>
      </c>
      <c r="BI152" s="1" t="str">
        <f>IFERROR(ROUND(Backend!$AO152*VLOOKUP($F152,'OH,Profit &amp; Other Base'!$A:$V,Backend!BI$6,0),5),"")</f>
        <v/>
      </c>
      <c r="BJ152" s="1" t="str">
        <f>IFERROR(ROUND(Backend!$AM152*VLOOKUP($F152,'OH,Profit &amp; Other Base'!$A:$V,Backend!BJ$6,0),5),"")</f>
        <v/>
      </c>
      <c r="BK152" s="3">
        <f>SUM(AN152:BJ152,Backend!O152)</f>
        <v>0</v>
      </c>
    </row>
    <row r="153" spans="1:63">
      <c r="A153" s="1">
        <f>BOM!A148</f>
        <v>0</v>
      </c>
      <c r="B153" s="1">
        <f>BOM!B148</f>
        <v>0</v>
      </c>
      <c r="C153" s="1">
        <f>BOM!C148</f>
        <v>0</v>
      </c>
      <c r="D153" s="1">
        <f>BOM!D148</f>
        <v>0</v>
      </c>
      <c r="E153" s="1">
        <f>BOM!F148</f>
        <v>0</v>
      </c>
      <c r="F153" s="1" t="str">
        <f>IF(H153="CSC",BOM!H148,IF(J153="BOFOthers","Sheet Metal-B",""))</f>
        <v/>
      </c>
      <c r="G153" s="1">
        <f>BOM!I148</f>
        <v>0</v>
      </c>
      <c r="H153" s="1">
        <f>BOM!J148</f>
        <v>0</v>
      </c>
      <c r="I153" s="1" t="str">
        <f t="shared" si="14"/>
        <v>Others</v>
      </c>
      <c r="J153" s="1" t="str">
        <f t="shared" si="15"/>
        <v>0Others</v>
      </c>
      <c r="K153" s="3" t="str">
        <f>IF($J153="InhouseCSC",VLOOKUP($D153,Group!$C:$E,3,0),"")</f>
        <v/>
      </c>
      <c r="L153" s="3" t="str">
        <f>IF(OR($J153="BOSFCSC",$J153="BOFCSC"),VLOOKUP($D153,Group!$C:$E,3,0),"")</f>
        <v/>
      </c>
      <c r="M153" s="3" t="str">
        <f>IF(OR($J153="BOSFCSC",$J153="BOFCSC"),VLOOKUP($D153,Group!$C:$F,4,0),"")</f>
        <v/>
      </c>
      <c r="N153" s="3" t="str">
        <f>IF(OR($J153="InhouseCSC",$J153="BOSFCSC"),VLOOKUP($D153,Group!$C:$G,5,0),"")</f>
        <v/>
      </c>
      <c r="O153" s="3" t="str">
        <f>IF($J153="InhouseCSC",ROUND(VLOOKUP($D153,Group!$C:$H,6,0),5),"")</f>
        <v/>
      </c>
      <c r="P153" s="3" t="str">
        <f>IF(OR($J153="BOSFCSC",$J153="BOFCSC"),VLOOKUP($D153,Group!$C:$H,6,0),"")</f>
        <v/>
      </c>
      <c r="Q153" s="1" t="str">
        <f>IF($J153="Inhouseothers",VLOOKUP($D153,Group!$C:$E,3,0),"")</f>
        <v/>
      </c>
      <c r="R153" s="1" t="str">
        <f>IF($J153="BOSFOthers",VLOOKUP($D153,Group!$C:$E,3,0),"")</f>
        <v/>
      </c>
      <c r="S153" s="3" t="str">
        <f>IF($J153="BOFOthers",VLOOKUP($D153,Group!$C:$E,3,0),"")</f>
        <v/>
      </c>
      <c r="U153" s="1" t="str">
        <f>IFERROR(Backend!$L153*VLOOKUP($F153,'OH,Profit &amp; Other Base'!$A:$V,Backend!U$6,0),"")</f>
        <v/>
      </c>
      <c r="V153" s="1" t="str">
        <f>IFERROR(Backend!$M153*VLOOKUP($F153,'OH,Profit &amp; Other Base'!$A:$V,Backend!V$6,0),"")</f>
        <v/>
      </c>
      <c r="W153" s="1" t="str">
        <f>IFERROR(Backend!$L153*VLOOKUP($F153,'OH,Profit &amp; Other Base'!$A:$V,Backend!W$6,0),"")</f>
        <v/>
      </c>
      <c r="X153" s="1" t="str">
        <f>IFERROR(Backend!$M153*VLOOKUP($F153,'OH,Profit &amp; Other Base'!$A:$V,Backend!X$6,0),"")</f>
        <v/>
      </c>
      <c r="Y153" s="1" t="str">
        <f>IFERROR(Backend!$L153*VLOOKUP($F153,'OH,Profit &amp; Other Base'!$A:$V,Backend!Y$6,0),"")</f>
        <v/>
      </c>
      <c r="Z153" s="1" t="str">
        <f>IFERROR(Backend!$M153*VLOOKUP($F153,'OH,Profit &amp; Other Base'!$A:$V,Backend!Z$6,0),"")</f>
        <v/>
      </c>
      <c r="AA153" s="1" t="str">
        <f>IFERROR(Backend!$L153*VLOOKUP($F153,'OH,Profit &amp; Other Base'!$A:$V,Backend!AA$6,0),"")</f>
        <v/>
      </c>
      <c r="AB153" s="1" t="str">
        <f>IFERROR(Backend!$M153*VLOOKUP($F153,'OH,Profit &amp; Other Base'!$A:$V,Backend!AB$6,0),"")</f>
        <v/>
      </c>
      <c r="AC153" s="1" t="str">
        <f>IFERROR(Backend!$L153*VLOOKUP($F153,'OH,Profit &amp; Other Base'!$A:$V,Backend!AC$6,0),"")</f>
        <v/>
      </c>
      <c r="AD153" s="1" t="str">
        <f>IFERROR(Backend!$M153*VLOOKUP($F153,'OH,Profit &amp; Other Base'!$A:$V,Backend!AD$6,0),"")</f>
        <v/>
      </c>
      <c r="AE153" s="1" t="str">
        <f>IFERROR(Backend!$L153*VLOOKUP($F153,'OH,Profit &amp; Other Base'!$A:$V,Backend!AE$6,0),"")</f>
        <v/>
      </c>
      <c r="AF153" s="1" t="str">
        <f>IFERROR(Backend!$M153*VLOOKUP($F153,'OH,Profit &amp; Other Base'!$A:$V,Backend!AF$6,0),"")</f>
        <v/>
      </c>
      <c r="AG153" s="1" t="str">
        <f>IFERROR(Backend!$L153*VLOOKUP($F153,'OH,Profit &amp; Other Base'!$A:$V,Backend!AG$6,0),"")</f>
        <v/>
      </c>
      <c r="AH153" s="1" t="str">
        <f>IFERROR(Backend!$M153*VLOOKUP($F153,'OH,Profit &amp; Other Base'!$A:$V,Backend!AH$6,0),"")</f>
        <v/>
      </c>
      <c r="AI153" s="3">
        <f t="shared" si="16"/>
        <v>0</v>
      </c>
      <c r="AL153" s="1" t="str">
        <f t="shared" si="17"/>
        <v/>
      </c>
      <c r="AM153" s="1" t="str">
        <f t="shared" si="18"/>
        <v/>
      </c>
      <c r="AN153" s="1" t="str">
        <f t="shared" si="19"/>
        <v/>
      </c>
      <c r="AO153" s="1" t="str">
        <f t="shared" si="20"/>
        <v/>
      </c>
      <c r="AP153" s="1" t="str">
        <f>IFERROR(ROUND(Backend!$AL153*VLOOKUP($F153,'OH,Profit &amp; Other Base'!$A:$V,Backend!AP$6,0),5),"")</f>
        <v/>
      </c>
      <c r="AQ153" s="1" t="str">
        <f>IFERROR(ROUND(Backend!$AO153*VLOOKUP($F153,'OH,Profit &amp; Other Base'!$A:$V,Backend!AQ$6,0),5),"")</f>
        <v/>
      </c>
      <c r="AR153" s="1" t="str">
        <f>IFERROR(ROUND(Backend!$AM153*VLOOKUP($F153,'OH,Profit &amp; Other Base'!$A:$V,Backend!AR$6,0),5),"")</f>
        <v/>
      </c>
      <c r="AS153" s="1" t="str">
        <f>IFERROR(ROUND(Backend!$AL153*VLOOKUP($F153,'OH,Profit &amp; Other Base'!$A:$V,Backend!AS$6,0),5),"")</f>
        <v/>
      </c>
      <c r="AT153" s="1" t="str">
        <f>IFERROR(ROUND(Backend!$AO153*VLOOKUP($F153,'OH,Profit &amp; Other Base'!$A:$V,Backend!AT$6,0),5),"")</f>
        <v/>
      </c>
      <c r="AU153" s="1" t="str">
        <f>IFERROR(ROUND(Backend!$AM153*VLOOKUP($F153,'OH,Profit &amp; Other Base'!$A:$V,Backend!AU$6,0),5),"")</f>
        <v/>
      </c>
      <c r="AV153" s="1" t="str">
        <f>IFERROR(ROUND(Backend!$AL153*VLOOKUP($F153,'OH,Profit &amp; Other Base'!$A:$V,Backend!AV$6,0),5),"")</f>
        <v/>
      </c>
      <c r="AW153" s="1" t="str">
        <f>IFERROR(ROUND(Backend!$AO153*VLOOKUP($F153,'OH,Profit &amp; Other Base'!$A:$V,Backend!AW$6,0),5),"")</f>
        <v/>
      </c>
      <c r="AX153" s="1" t="str">
        <f>IFERROR(ROUND(Backend!$AM153*VLOOKUP($F153,'OH,Profit &amp; Other Base'!$A:$V,Backend!AX$6,0),5),"")</f>
        <v/>
      </c>
      <c r="AY153" s="1" t="str">
        <f>IFERROR(ROUND(Backend!$AL153*VLOOKUP($F153,'OH,Profit &amp; Other Base'!$A:$V,Backend!AY$6,0),5),"")</f>
        <v/>
      </c>
      <c r="AZ153" s="1" t="str">
        <f>IFERROR(ROUND(Backend!$AO153*VLOOKUP($F153,'OH,Profit &amp; Other Base'!$A:$V,Backend!AZ$6,0),5),"")</f>
        <v/>
      </c>
      <c r="BA153" s="1" t="str">
        <f>IFERROR(ROUND(Backend!$AM153*VLOOKUP($F153,'OH,Profit &amp; Other Base'!$A:$V,Backend!BA$6,0),5),"")</f>
        <v/>
      </c>
      <c r="BB153" s="1" t="str">
        <f>IFERROR(ROUND(Backend!$AL153*VLOOKUP($F153,'OH,Profit &amp; Other Base'!$A:$V,Backend!BB$6,0),5),"")</f>
        <v/>
      </c>
      <c r="BC153" s="1" t="str">
        <f>IFERROR(ROUND(Backend!$AO153*VLOOKUP($F153,'OH,Profit &amp; Other Base'!$A:$V,Backend!BC$6,0),5),"")</f>
        <v/>
      </c>
      <c r="BD153" s="1" t="str">
        <f>IFERROR(ROUND(Backend!$AM153*VLOOKUP($F153,'OH,Profit &amp; Other Base'!$A:$V,Backend!BD$6,0),5),"")</f>
        <v/>
      </c>
      <c r="BE153" s="1" t="str">
        <f>IFERROR(ROUND(Backend!$AL153*VLOOKUP($F153,'OH,Profit &amp; Other Base'!$A:$V,Backend!BE$6,0),5),"")</f>
        <v/>
      </c>
      <c r="BF153" s="1" t="str">
        <f>IFERROR(ROUND(Backend!$AO153*VLOOKUP($F153,'OH,Profit &amp; Other Base'!$A:$V,Backend!BF$6,0),5),"")</f>
        <v/>
      </c>
      <c r="BG153" s="1" t="str">
        <f>IFERROR(ROUND(Backend!$AM153*VLOOKUP($F153,'OH,Profit &amp; Other Base'!$A:$V,Backend!BG$6,0),5),"")</f>
        <v/>
      </c>
      <c r="BH153" s="1" t="str">
        <f>IFERROR(ROUND(Backend!$AL153*VLOOKUP($F153,'OH,Profit &amp; Other Base'!$A:$V,Backend!BH$6,0),5),"")</f>
        <v/>
      </c>
      <c r="BI153" s="1" t="str">
        <f>IFERROR(ROUND(Backend!$AO153*VLOOKUP($F153,'OH,Profit &amp; Other Base'!$A:$V,Backend!BI$6,0),5),"")</f>
        <v/>
      </c>
      <c r="BJ153" s="1" t="str">
        <f>IFERROR(ROUND(Backend!$AM153*VLOOKUP($F153,'OH,Profit &amp; Other Base'!$A:$V,Backend!BJ$6,0),5),"")</f>
        <v/>
      </c>
      <c r="BK153" s="3">
        <f>SUM(AN153:BJ153,Backend!O153)</f>
        <v>0</v>
      </c>
    </row>
    <row r="154" spans="1:63">
      <c r="A154" s="1">
        <f>BOM!A149</f>
        <v>0</v>
      </c>
      <c r="B154" s="1">
        <f>BOM!B149</f>
        <v>0</v>
      </c>
      <c r="C154" s="1">
        <f>BOM!C149</f>
        <v>0</v>
      </c>
      <c r="D154" s="1">
        <f>BOM!D149</f>
        <v>0</v>
      </c>
      <c r="E154" s="1">
        <f>BOM!F149</f>
        <v>0</v>
      </c>
      <c r="F154" s="1" t="str">
        <f>IF(H154="CSC",BOM!H149,IF(J154="BOFOthers","Sheet Metal-B",""))</f>
        <v/>
      </c>
      <c r="G154" s="1">
        <f>BOM!I149</f>
        <v>0</v>
      </c>
      <c r="H154" s="1">
        <f>BOM!J149</f>
        <v>0</v>
      </c>
      <c r="I154" s="1" t="str">
        <f t="shared" si="14"/>
        <v>Others</v>
      </c>
      <c r="J154" s="1" t="str">
        <f t="shared" si="15"/>
        <v>0Others</v>
      </c>
      <c r="K154" s="3" t="str">
        <f>IF($J154="InhouseCSC",VLOOKUP($D154,Group!$C:$E,3,0),"")</f>
        <v/>
      </c>
      <c r="L154" s="3" t="str">
        <f>IF(OR($J154="BOSFCSC",$J154="BOFCSC"),VLOOKUP($D154,Group!$C:$E,3,0),"")</f>
        <v/>
      </c>
      <c r="M154" s="3" t="str">
        <f>IF(OR($J154="BOSFCSC",$J154="BOFCSC"),VLOOKUP($D154,Group!$C:$F,4,0),"")</f>
        <v/>
      </c>
      <c r="N154" s="3" t="str">
        <f>IF(OR($J154="InhouseCSC",$J154="BOSFCSC"),VLOOKUP($D154,Group!$C:$G,5,0),"")</f>
        <v/>
      </c>
      <c r="O154" s="3" t="str">
        <f>IF($J154="InhouseCSC",ROUND(VLOOKUP($D154,Group!$C:$H,6,0),5),"")</f>
        <v/>
      </c>
      <c r="P154" s="3" t="str">
        <f>IF(OR($J154="BOSFCSC",$J154="BOFCSC"),VLOOKUP($D154,Group!$C:$H,6,0),"")</f>
        <v/>
      </c>
      <c r="Q154" s="1" t="str">
        <f>IF($J154="Inhouseothers",VLOOKUP($D154,Group!$C:$E,3,0),"")</f>
        <v/>
      </c>
      <c r="R154" s="1" t="str">
        <f>IF($J154="BOSFOthers",VLOOKUP($D154,Group!$C:$E,3,0),"")</f>
        <v/>
      </c>
      <c r="S154" s="3" t="str">
        <f>IF($J154="BOFOthers",VLOOKUP($D154,Group!$C:$E,3,0),"")</f>
        <v/>
      </c>
      <c r="U154" s="1" t="str">
        <f>IFERROR(Backend!$L154*VLOOKUP($F154,'OH,Profit &amp; Other Base'!$A:$V,Backend!U$6,0),"")</f>
        <v/>
      </c>
      <c r="V154" s="1" t="str">
        <f>IFERROR(Backend!$M154*VLOOKUP($F154,'OH,Profit &amp; Other Base'!$A:$V,Backend!V$6,0),"")</f>
        <v/>
      </c>
      <c r="W154" s="1" t="str">
        <f>IFERROR(Backend!$L154*VLOOKUP($F154,'OH,Profit &amp; Other Base'!$A:$V,Backend!W$6,0),"")</f>
        <v/>
      </c>
      <c r="X154" s="1" t="str">
        <f>IFERROR(Backend!$M154*VLOOKUP($F154,'OH,Profit &amp; Other Base'!$A:$V,Backend!X$6,0),"")</f>
        <v/>
      </c>
      <c r="Y154" s="1" t="str">
        <f>IFERROR(Backend!$L154*VLOOKUP($F154,'OH,Profit &amp; Other Base'!$A:$V,Backend!Y$6,0),"")</f>
        <v/>
      </c>
      <c r="Z154" s="1" t="str">
        <f>IFERROR(Backend!$M154*VLOOKUP($F154,'OH,Profit &amp; Other Base'!$A:$V,Backend!Z$6,0),"")</f>
        <v/>
      </c>
      <c r="AA154" s="1" t="str">
        <f>IFERROR(Backend!$L154*VLOOKUP($F154,'OH,Profit &amp; Other Base'!$A:$V,Backend!AA$6,0),"")</f>
        <v/>
      </c>
      <c r="AB154" s="1" t="str">
        <f>IFERROR(Backend!$M154*VLOOKUP($F154,'OH,Profit &amp; Other Base'!$A:$V,Backend!AB$6,0),"")</f>
        <v/>
      </c>
      <c r="AC154" s="1" t="str">
        <f>IFERROR(Backend!$L154*VLOOKUP($F154,'OH,Profit &amp; Other Base'!$A:$V,Backend!AC$6,0),"")</f>
        <v/>
      </c>
      <c r="AD154" s="1" t="str">
        <f>IFERROR(Backend!$M154*VLOOKUP($F154,'OH,Profit &amp; Other Base'!$A:$V,Backend!AD$6,0),"")</f>
        <v/>
      </c>
      <c r="AE154" s="1" t="str">
        <f>IFERROR(Backend!$L154*VLOOKUP($F154,'OH,Profit &amp; Other Base'!$A:$V,Backend!AE$6,0),"")</f>
        <v/>
      </c>
      <c r="AF154" s="1" t="str">
        <f>IFERROR(Backend!$M154*VLOOKUP($F154,'OH,Profit &amp; Other Base'!$A:$V,Backend!AF$6,0),"")</f>
        <v/>
      </c>
      <c r="AG154" s="1" t="str">
        <f>IFERROR(Backend!$L154*VLOOKUP($F154,'OH,Profit &amp; Other Base'!$A:$V,Backend!AG$6,0),"")</f>
        <v/>
      </c>
      <c r="AH154" s="1" t="str">
        <f>IFERROR(Backend!$M154*VLOOKUP($F154,'OH,Profit &amp; Other Base'!$A:$V,Backend!AH$6,0),"")</f>
        <v/>
      </c>
      <c r="AI154" s="3">
        <f t="shared" si="16"/>
        <v>0</v>
      </c>
      <c r="AL154" s="1" t="str">
        <f t="shared" si="17"/>
        <v/>
      </c>
      <c r="AM154" s="1" t="str">
        <f t="shared" si="18"/>
        <v/>
      </c>
      <c r="AN154" s="1" t="str">
        <f t="shared" si="19"/>
        <v/>
      </c>
      <c r="AO154" s="1" t="str">
        <f t="shared" si="20"/>
        <v/>
      </c>
      <c r="AP154" s="1" t="str">
        <f>IFERROR(ROUND(Backend!$AL154*VLOOKUP($F154,'OH,Profit &amp; Other Base'!$A:$V,Backend!AP$6,0),5),"")</f>
        <v/>
      </c>
      <c r="AQ154" s="1" t="str">
        <f>IFERROR(ROUND(Backend!$AO154*VLOOKUP($F154,'OH,Profit &amp; Other Base'!$A:$V,Backend!AQ$6,0),5),"")</f>
        <v/>
      </c>
      <c r="AR154" s="1" t="str">
        <f>IFERROR(ROUND(Backend!$AM154*VLOOKUP($F154,'OH,Profit &amp; Other Base'!$A:$V,Backend!AR$6,0),5),"")</f>
        <v/>
      </c>
      <c r="AS154" s="1" t="str">
        <f>IFERROR(ROUND(Backend!$AL154*VLOOKUP($F154,'OH,Profit &amp; Other Base'!$A:$V,Backend!AS$6,0),5),"")</f>
        <v/>
      </c>
      <c r="AT154" s="1" t="str">
        <f>IFERROR(ROUND(Backend!$AO154*VLOOKUP($F154,'OH,Profit &amp; Other Base'!$A:$V,Backend!AT$6,0),5),"")</f>
        <v/>
      </c>
      <c r="AU154" s="1" t="str">
        <f>IFERROR(ROUND(Backend!$AM154*VLOOKUP($F154,'OH,Profit &amp; Other Base'!$A:$V,Backend!AU$6,0),5),"")</f>
        <v/>
      </c>
      <c r="AV154" s="1" t="str">
        <f>IFERROR(ROUND(Backend!$AL154*VLOOKUP($F154,'OH,Profit &amp; Other Base'!$A:$V,Backend!AV$6,0),5),"")</f>
        <v/>
      </c>
      <c r="AW154" s="1" t="str">
        <f>IFERROR(ROUND(Backend!$AO154*VLOOKUP($F154,'OH,Profit &amp; Other Base'!$A:$V,Backend!AW$6,0),5),"")</f>
        <v/>
      </c>
      <c r="AX154" s="1" t="str">
        <f>IFERROR(ROUND(Backend!$AM154*VLOOKUP($F154,'OH,Profit &amp; Other Base'!$A:$V,Backend!AX$6,0),5),"")</f>
        <v/>
      </c>
      <c r="AY154" s="1" t="str">
        <f>IFERROR(ROUND(Backend!$AL154*VLOOKUP($F154,'OH,Profit &amp; Other Base'!$A:$V,Backend!AY$6,0),5),"")</f>
        <v/>
      </c>
      <c r="AZ154" s="1" t="str">
        <f>IFERROR(ROUND(Backend!$AO154*VLOOKUP($F154,'OH,Profit &amp; Other Base'!$A:$V,Backend!AZ$6,0),5),"")</f>
        <v/>
      </c>
      <c r="BA154" s="1" t="str">
        <f>IFERROR(ROUND(Backend!$AM154*VLOOKUP($F154,'OH,Profit &amp; Other Base'!$A:$V,Backend!BA$6,0),5),"")</f>
        <v/>
      </c>
      <c r="BB154" s="1" t="str">
        <f>IFERROR(ROUND(Backend!$AL154*VLOOKUP($F154,'OH,Profit &amp; Other Base'!$A:$V,Backend!BB$6,0),5),"")</f>
        <v/>
      </c>
      <c r="BC154" s="1" t="str">
        <f>IFERROR(ROUND(Backend!$AO154*VLOOKUP($F154,'OH,Profit &amp; Other Base'!$A:$V,Backend!BC$6,0),5),"")</f>
        <v/>
      </c>
      <c r="BD154" s="1" t="str">
        <f>IFERROR(ROUND(Backend!$AM154*VLOOKUP($F154,'OH,Profit &amp; Other Base'!$A:$V,Backend!BD$6,0),5),"")</f>
        <v/>
      </c>
      <c r="BE154" s="1" t="str">
        <f>IFERROR(ROUND(Backend!$AL154*VLOOKUP($F154,'OH,Profit &amp; Other Base'!$A:$V,Backend!BE$6,0),5),"")</f>
        <v/>
      </c>
      <c r="BF154" s="1" t="str">
        <f>IFERROR(ROUND(Backend!$AO154*VLOOKUP($F154,'OH,Profit &amp; Other Base'!$A:$V,Backend!BF$6,0),5),"")</f>
        <v/>
      </c>
      <c r="BG154" s="1" t="str">
        <f>IFERROR(ROUND(Backend!$AM154*VLOOKUP($F154,'OH,Profit &amp; Other Base'!$A:$V,Backend!BG$6,0),5),"")</f>
        <v/>
      </c>
      <c r="BH154" s="1" t="str">
        <f>IFERROR(ROUND(Backend!$AL154*VLOOKUP($F154,'OH,Profit &amp; Other Base'!$A:$V,Backend!BH$6,0),5),"")</f>
        <v/>
      </c>
      <c r="BI154" s="1" t="str">
        <f>IFERROR(ROUND(Backend!$AO154*VLOOKUP($F154,'OH,Profit &amp; Other Base'!$A:$V,Backend!BI$6,0),5),"")</f>
        <v/>
      </c>
      <c r="BJ154" s="1" t="str">
        <f>IFERROR(ROUND(Backend!$AM154*VLOOKUP($F154,'OH,Profit &amp; Other Base'!$A:$V,Backend!BJ$6,0),5),"")</f>
        <v/>
      </c>
      <c r="BK154" s="3">
        <f>SUM(AN154:BJ154,Backend!O154)</f>
        <v>0</v>
      </c>
    </row>
    <row r="155" spans="1:63">
      <c r="A155" s="1">
        <f>BOM!A150</f>
        <v>0</v>
      </c>
      <c r="B155" s="1">
        <f>BOM!B150</f>
        <v>0</v>
      </c>
      <c r="C155" s="1">
        <f>BOM!C150</f>
        <v>0</v>
      </c>
      <c r="D155" s="1">
        <f>BOM!D150</f>
        <v>0</v>
      </c>
      <c r="E155" s="1">
        <f>BOM!F150</f>
        <v>0</v>
      </c>
      <c r="F155" s="1" t="str">
        <f>IF(H155="CSC",BOM!H150,IF(J155="BOFOthers","Sheet Metal-B",""))</f>
        <v/>
      </c>
      <c r="G155" s="1">
        <f>BOM!I150</f>
        <v>0</v>
      </c>
      <c r="H155" s="1">
        <f>BOM!J150</f>
        <v>0</v>
      </c>
      <c r="I155" s="1" t="str">
        <f t="shared" si="14"/>
        <v>Others</v>
      </c>
      <c r="J155" s="1" t="str">
        <f t="shared" si="15"/>
        <v>0Others</v>
      </c>
      <c r="K155" s="3" t="str">
        <f>IF($J155="InhouseCSC",VLOOKUP($D155,Group!$C:$E,3,0),"")</f>
        <v/>
      </c>
      <c r="L155" s="3" t="str">
        <f>IF(OR($J155="BOSFCSC",$J155="BOFCSC"),VLOOKUP($D155,Group!$C:$E,3,0),"")</f>
        <v/>
      </c>
      <c r="M155" s="3" t="str">
        <f>IF(OR($J155="BOSFCSC",$J155="BOFCSC"),VLOOKUP($D155,Group!$C:$F,4,0),"")</f>
        <v/>
      </c>
      <c r="N155" s="3" t="str">
        <f>IF(OR($J155="InhouseCSC",$J155="BOSFCSC"),VLOOKUP($D155,Group!$C:$G,5,0),"")</f>
        <v/>
      </c>
      <c r="O155" s="3" t="str">
        <f>IF($J155="InhouseCSC",ROUND(VLOOKUP($D155,Group!$C:$H,6,0),5),"")</f>
        <v/>
      </c>
      <c r="P155" s="3" t="str">
        <f>IF(OR($J155="BOSFCSC",$J155="BOFCSC"),VLOOKUP($D155,Group!$C:$H,6,0),"")</f>
        <v/>
      </c>
      <c r="Q155" s="1" t="str">
        <f>IF($J155="Inhouseothers",VLOOKUP($D155,Group!$C:$E,3,0),"")</f>
        <v/>
      </c>
      <c r="R155" s="1" t="str">
        <f>IF($J155="BOSFOthers",VLOOKUP($D155,Group!$C:$E,3,0),"")</f>
        <v/>
      </c>
      <c r="S155" s="3" t="str">
        <f>IF($J155="BOFOthers",VLOOKUP($D155,Group!$C:$E,3,0),"")</f>
        <v/>
      </c>
      <c r="U155" s="1" t="str">
        <f>IFERROR(Backend!$L155*VLOOKUP($F155,'OH,Profit &amp; Other Base'!$A:$V,Backend!U$6,0),"")</f>
        <v/>
      </c>
      <c r="V155" s="1" t="str">
        <f>IFERROR(Backend!$M155*VLOOKUP($F155,'OH,Profit &amp; Other Base'!$A:$V,Backend!V$6,0),"")</f>
        <v/>
      </c>
      <c r="W155" s="1" t="str">
        <f>IFERROR(Backend!$L155*VLOOKUP($F155,'OH,Profit &amp; Other Base'!$A:$V,Backend!W$6,0),"")</f>
        <v/>
      </c>
      <c r="X155" s="1" t="str">
        <f>IFERROR(Backend!$M155*VLOOKUP($F155,'OH,Profit &amp; Other Base'!$A:$V,Backend!X$6,0),"")</f>
        <v/>
      </c>
      <c r="Y155" s="1" t="str">
        <f>IFERROR(Backend!$L155*VLOOKUP($F155,'OH,Profit &amp; Other Base'!$A:$V,Backend!Y$6,0),"")</f>
        <v/>
      </c>
      <c r="Z155" s="1" t="str">
        <f>IFERROR(Backend!$M155*VLOOKUP($F155,'OH,Profit &amp; Other Base'!$A:$V,Backend!Z$6,0),"")</f>
        <v/>
      </c>
      <c r="AA155" s="1" t="str">
        <f>IFERROR(Backend!$L155*VLOOKUP($F155,'OH,Profit &amp; Other Base'!$A:$V,Backend!AA$6,0),"")</f>
        <v/>
      </c>
      <c r="AB155" s="1" t="str">
        <f>IFERROR(Backend!$M155*VLOOKUP($F155,'OH,Profit &amp; Other Base'!$A:$V,Backend!AB$6,0),"")</f>
        <v/>
      </c>
      <c r="AC155" s="1" t="str">
        <f>IFERROR(Backend!$L155*VLOOKUP($F155,'OH,Profit &amp; Other Base'!$A:$V,Backend!AC$6,0),"")</f>
        <v/>
      </c>
      <c r="AD155" s="1" t="str">
        <f>IFERROR(Backend!$M155*VLOOKUP($F155,'OH,Profit &amp; Other Base'!$A:$V,Backend!AD$6,0),"")</f>
        <v/>
      </c>
      <c r="AE155" s="1" t="str">
        <f>IFERROR(Backend!$L155*VLOOKUP($F155,'OH,Profit &amp; Other Base'!$A:$V,Backend!AE$6,0),"")</f>
        <v/>
      </c>
      <c r="AF155" s="1" t="str">
        <f>IFERROR(Backend!$M155*VLOOKUP($F155,'OH,Profit &amp; Other Base'!$A:$V,Backend!AF$6,0),"")</f>
        <v/>
      </c>
      <c r="AG155" s="1" t="str">
        <f>IFERROR(Backend!$L155*VLOOKUP($F155,'OH,Profit &amp; Other Base'!$A:$V,Backend!AG$6,0),"")</f>
        <v/>
      </c>
      <c r="AH155" s="1" t="str">
        <f>IFERROR(Backend!$M155*VLOOKUP($F155,'OH,Profit &amp; Other Base'!$A:$V,Backend!AH$6,0),"")</f>
        <v/>
      </c>
      <c r="AI155" s="3">
        <f t="shared" si="16"/>
        <v>0</v>
      </c>
      <c r="AL155" s="1" t="str">
        <f t="shared" si="17"/>
        <v/>
      </c>
      <c r="AM155" s="1" t="str">
        <f t="shared" si="18"/>
        <v/>
      </c>
      <c r="AN155" s="1" t="str">
        <f t="shared" si="19"/>
        <v/>
      </c>
      <c r="AO155" s="1" t="str">
        <f t="shared" si="20"/>
        <v/>
      </c>
      <c r="AP155" s="1" t="str">
        <f>IFERROR(ROUND(Backend!$AL155*VLOOKUP($F155,'OH,Profit &amp; Other Base'!$A:$V,Backend!AP$6,0),5),"")</f>
        <v/>
      </c>
      <c r="AQ155" s="1" t="str">
        <f>IFERROR(ROUND(Backend!$AO155*VLOOKUP($F155,'OH,Profit &amp; Other Base'!$A:$V,Backend!AQ$6,0),5),"")</f>
        <v/>
      </c>
      <c r="AR155" s="1" t="str">
        <f>IFERROR(ROUND(Backend!$AM155*VLOOKUP($F155,'OH,Profit &amp; Other Base'!$A:$V,Backend!AR$6,0),5),"")</f>
        <v/>
      </c>
      <c r="AS155" s="1" t="str">
        <f>IFERROR(ROUND(Backend!$AL155*VLOOKUP($F155,'OH,Profit &amp; Other Base'!$A:$V,Backend!AS$6,0),5),"")</f>
        <v/>
      </c>
      <c r="AT155" s="1" t="str">
        <f>IFERROR(ROUND(Backend!$AO155*VLOOKUP($F155,'OH,Profit &amp; Other Base'!$A:$V,Backend!AT$6,0),5),"")</f>
        <v/>
      </c>
      <c r="AU155" s="1" t="str">
        <f>IFERROR(ROUND(Backend!$AM155*VLOOKUP($F155,'OH,Profit &amp; Other Base'!$A:$V,Backend!AU$6,0),5),"")</f>
        <v/>
      </c>
      <c r="AV155" s="1" t="str">
        <f>IFERROR(ROUND(Backend!$AL155*VLOOKUP($F155,'OH,Profit &amp; Other Base'!$A:$V,Backend!AV$6,0),5),"")</f>
        <v/>
      </c>
      <c r="AW155" s="1" t="str">
        <f>IFERROR(ROUND(Backend!$AO155*VLOOKUP($F155,'OH,Profit &amp; Other Base'!$A:$V,Backend!AW$6,0),5),"")</f>
        <v/>
      </c>
      <c r="AX155" s="1" t="str">
        <f>IFERROR(ROUND(Backend!$AM155*VLOOKUP($F155,'OH,Profit &amp; Other Base'!$A:$V,Backend!AX$6,0),5),"")</f>
        <v/>
      </c>
      <c r="AY155" s="1" t="str">
        <f>IFERROR(ROUND(Backend!$AL155*VLOOKUP($F155,'OH,Profit &amp; Other Base'!$A:$V,Backend!AY$6,0),5),"")</f>
        <v/>
      </c>
      <c r="AZ155" s="1" t="str">
        <f>IFERROR(ROUND(Backend!$AO155*VLOOKUP($F155,'OH,Profit &amp; Other Base'!$A:$V,Backend!AZ$6,0),5),"")</f>
        <v/>
      </c>
      <c r="BA155" s="1" t="str">
        <f>IFERROR(ROUND(Backend!$AM155*VLOOKUP($F155,'OH,Profit &amp; Other Base'!$A:$V,Backend!BA$6,0),5),"")</f>
        <v/>
      </c>
      <c r="BB155" s="1" t="str">
        <f>IFERROR(ROUND(Backend!$AL155*VLOOKUP($F155,'OH,Profit &amp; Other Base'!$A:$V,Backend!BB$6,0),5),"")</f>
        <v/>
      </c>
      <c r="BC155" s="1" t="str">
        <f>IFERROR(ROUND(Backend!$AO155*VLOOKUP($F155,'OH,Profit &amp; Other Base'!$A:$V,Backend!BC$6,0),5),"")</f>
        <v/>
      </c>
      <c r="BD155" s="1" t="str">
        <f>IFERROR(ROUND(Backend!$AM155*VLOOKUP($F155,'OH,Profit &amp; Other Base'!$A:$V,Backend!BD$6,0),5),"")</f>
        <v/>
      </c>
      <c r="BE155" s="1" t="str">
        <f>IFERROR(ROUND(Backend!$AL155*VLOOKUP($F155,'OH,Profit &amp; Other Base'!$A:$V,Backend!BE$6,0),5),"")</f>
        <v/>
      </c>
      <c r="BF155" s="1" t="str">
        <f>IFERROR(ROUND(Backend!$AO155*VLOOKUP($F155,'OH,Profit &amp; Other Base'!$A:$V,Backend!BF$6,0),5),"")</f>
        <v/>
      </c>
      <c r="BG155" s="1" t="str">
        <f>IFERROR(ROUND(Backend!$AM155*VLOOKUP($F155,'OH,Profit &amp; Other Base'!$A:$V,Backend!BG$6,0),5),"")</f>
        <v/>
      </c>
      <c r="BH155" s="1" t="str">
        <f>IFERROR(ROUND(Backend!$AL155*VLOOKUP($F155,'OH,Profit &amp; Other Base'!$A:$V,Backend!BH$6,0),5),"")</f>
        <v/>
      </c>
      <c r="BI155" s="1" t="str">
        <f>IFERROR(ROUND(Backend!$AO155*VLOOKUP($F155,'OH,Profit &amp; Other Base'!$A:$V,Backend!BI$6,0),5),"")</f>
        <v/>
      </c>
      <c r="BJ155" s="1" t="str">
        <f>IFERROR(ROUND(Backend!$AM155*VLOOKUP($F155,'OH,Profit &amp; Other Base'!$A:$V,Backend!BJ$6,0),5),"")</f>
        <v/>
      </c>
      <c r="BK155" s="3">
        <f>SUM(AN155:BJ155,Backend!O155)</f>
        <v>0</v>
      </c>
    </row>
    <row r="156" spans="1:63">
      <c r="A156" s="1">
        <f>BOM!A151</f>
        <v>0</v>
      </c>
      <c r="B156" s="1">
        <f>BOM!B151</f>
        <v>0</v>
      </c>
      <c r="C156" s="1">
        <f>BOM!C151</f>
        <v>0</v>
      </c>
      <c r="D156" s="1">
        <f>BOM!D151</f>
        <v>0</v>
      </c>
      <c r="E156" s="1">
        <f>BOM!F151</f>
        <v>0</v>
      </c>
      <c r="F156" s="1" t="str">
        <f>IF(H156="CSC",BOM!H151,IF(J156="BOFOthers","Sheet Metal-B",""))</f>
        <v/>
      </c>
      <c r="G156" s="1">
        <f>BOM!I151</f>
        <v>0</v>
      </c>
      <c r="H156" s="1">
        <f>BOM!J151</f>
        <v>0</v>
      </c>
      <c r="I156" s="1" t="str">
        <f t="shared" si="14"/>
        <v>Others</v>
      </c>
      <c r="J156" s="1" t="str">
        <f t="shared" si="15"/>
        <v>0Others</v>
      </c>
      <c r="K156" s="3" t="str">
        <f>IF($J156="InhouseCSC",VLOOKUP($D156,Group!$C:$E,3,0),"")</f>
        <v/>
      </c>
      <c r="L156" s="3" t="str">
        <f>IF(OR($J156="BOSFCSC",$J156="BOFCSC"),VLOOKUP($D156,Group!$C:$E,3,0),"")</f>
        <v/>
      </c>
      <c r="M156" s="3" t="str">
        <f>IF(OR($J156="BOSFCSC",$J156="BOFCSC"),VLOOKUP($D156,Group!$C:$F,4,0),"")</f>
        <v/>
      </c>
      <c r="N156" s="3" t="str">
        <f>IF(OR($J156="InhouseCSC",$J156="BOSFCSC"),VLOOKUP($D156,Group!$C:$G,5,0),"")</f>
        <v/>
      </c>
      <c r="O156" s="3" t="str">
        <f>IF($J156="InhouseCSC",ROUND(VLOOKUP($D156,Group!$C:$H,6,0),5),"")</f>
        <v/>
      </c>
      <c r="P156" s="3" t="str">
        <f>IF(OR($J156="BOSFCSC",$J156="BOFCSC"),VLOOKUP($D156,Group!$C:$H,6,0),"")</f>
        <v/>
      </c>
      <c r="Q156" s="1" t="str">
        <f>IF($J156="Inhouseothers",VLOOKUP($D156,Group!$C:$E,3,0),"")</f>
        <v/>
      </c>
      <c r="R156" s="1" t="str">
        <f>IF($J156="BOSFOthers",VLOOKUP($D156,Group!$C:$E,3,0),"")</f>
        <v/>
      </c>
      <c r="S156" s="3" t="str">
        <f>IF($J156="BOFOthers",VLOOKUP($D156,Group!$C:$E,3,0),"")</f>
        <v/>
      </c>
      <c r="U156" s="1" t="str">
        <f>IFERROR(Backend!$L156*VLOOKUP($F156,'OH,Profit &amp; Other Base'!$A:$V,Backend!U$6,0),"")</f>
        <v/>
      </c>
      <c r="V156" s="1" t="str">
        <f>IFERROR(Backend!$M156*VLOOKUP($F156,'OH,Profit &amp; Other Base'!$A:$V,Backend!V$6,0),"")</f>
        <v/>
      </c>
      <c r="W156" s="1" t="str">
        <f>IFERROR(Backend!$L156*VLOOKUP($F156,'OH,Profit &amp; Other Base'!$A:$V,Backend!W$6,0),"")</f>
        <v/>
      </c>
      <c r="X156" s="1" t="str">
        <f>IFERROR(Backend!$M156*VLOOKUP($F156,'OH,Profit &amp; Other Base'!$A:$V,Backend!X$6,0),"")</f>
        <v/>
      </c>
      <c r="Y156" s="1" t="str">
        <f>IFERROR(Backend!$L156*VLOOKUP($F156,'OH,Profit &amp; Other Base'!$A:$V,Backend!Y$6,0),"")</f>
        <v/>
      </c>
      <c r="Z156" s="1" t="str">
        <f>IFERROR(Backend!$M156*VLOOKUP($F156,'OH,Profit &amp; Other Base'!$A:$V,Backend!Z$6,0),"")</f>
        <v/>
      </c>
      <c r="AA156" s="1" t="str">
        <f>IFERROR(Backend!$L156*VLOOKUP($F156,'OH,Profit &amp; Other Base'!$A:$V,Backend!AA$6,0),"")</f>
        <v/>
      </c>
      <c r="AB156" s="1" t="str">
        <f>IFERROR(Backend!$M156*VLOOKUP($F156,'OH,Profit &amp; Other Base'!$A:$V,Backend!AB$6,0),"")</f>
        <v/>
      </c>
      <c r="AC156" s="1" t="str">
        <f>IFERROR(Backend!$L156*VLOOKUP($F156,'OH,Profit &amp; Other Base'!$A:$V,Backend!AC$6,0),"")</f>
        <v/>
      </c>
      <c r="AD156" s="1" t="str">
        <f>IFERROR(Backend!$M156*VLOOKUP($F156,'OH,Profit &amp; Other Base'!$A:$V,Backend!AD$6,0),"")</f>
        <v/>
      </c>
      <c r="AE156" s="1" t="str">
        <f>IFERROR(Backend!$L156*VLOOKUP($F156,'OH,Profit &amp; Other Base'!$A:$V,Backend!AE$6,0),"")</f>
        <v/>
      </c>
      <c r="AF156" s="1" t="str">
        <f>IFERROR(Backend!$M156*VLOOKUP($F156,'OH,Profit &amp; Other Base'!$A:$V,Backend!AF$6,0),"")</f>
        <v/>
      </c>
      <c r="AG156" s="1" t="str">
        <f>IFERROR(Backend!$L156*VLOOKUP($F156,'OH,Profit &amp; Other Base'!$A:$V,Backend!AG$6,0),"")</f>
        <v/>
      </c>
      <c r="AH156" s="1" t="str">
        <f>IFERROR(Backend!$M156*VLOOKUP($F156,'OH,Profit &amp; Other Base'!$A:$V,Backend!AH$6,0),"")</f>
        <v/>
      </c>
      <c r="AI156" s="3">
        <f t="shared" si="16"/>
        <v>0</v>
      </c>
      <c r="AL156" s="1" t="str">
        <f t="shared" si="17"/>
        <v/>
      </c>
      <c r="AM156" s="1" t="str">
        <f t="shared" si="18"/>
        <v/>
      </c>
      <c r="AN156" s="1" t="str">
        <f t="shared" si="19"/>
        <v/>
      </c>
      <c r="AO156" s="1" t="str">
        <f t="shared" si="20"/>
        <v/>
      </c>
      <c r="AP156" s="1" t="str">
        <f>IFERROR(ROUND(Backend!$AL156*VLOOKUP($F156,'OH,Profit &amp; Other Base'!$A:$V,Backend!AP$6,0),5),"")</f>
        <v/>
      </c>
      <c r="AQ156" s="1" t="str">
        <f>IFERROR(ROUND(Backend!$AO156*VLOOKUP($F156,'OH,Profit &amp; Other Base'!$A:$V,Backend!AQ$6,0),5),"")</f>
        <v/>
      </c>
      <c r="AR156" s="1" t="str">
        <f>IFERROR(ROUND(Backend!$AM156*VLOOKUP($F156,'OH,Profit &amp; Other Base'!$A:$V,Backend!AR$6,0),5),"")</f>
        <v/>
      </c>
      <c r="AS156" s="1" t="str">
        <f>IFERROR(ROUND(Backend!$AL156*VLOOKUP($F156,'OH,Profit &amp; Other Base'!$A:$V,Backend!AS$6,0),5),"")</f>
        <v/>
      </c>
      <c r="AT156" s="1" t="str">
        <f>IFERROR(ROUND(Backend!$AO156*VLOOKUP($F156,'OH,Profit &amp; Other Base'!$A:$V,Backend!AT$6,0),5),"")</f>
        <v/>
      </c>
      <c r="AU156" s="1" t="str">
        <f>IFERROR(ROUND(Backend!$AM156*VLOOKUP($F156,'OH,Profit &amp; Other Base'!$A:$V,Backend!AU$6,0),5),"")</f>
        <v/>
      </c>
      <c r="AV156" s="1" t="str">
        <f>IFERROR(ROUND(Backend!$AL156*VLOOKUP($F156,'OH,Profit &amp; Other Base'!$A:$V,Backend!AV$6,0),5),"")</f>
        <v/>
      </c>
      <c r="AW156" s="1" t="str">
        <f>IFERROR(ROUND(Backend!$AO156*VLOOKUP($F156,'OH,Profit &amp; Other Base'!$A:$V,Backend!AW$6,0),5),"")</f>
        <v/>
      </c>
      <c r="AX156" s="1" t="str">
        <f>IFERROR(ROUND(Backend!$AM156*VLOOKUP($F156,'OH,Profit &amp; Other Base'!$A:$V,Backend!AX$6,0),5),"")</f>
        <v/>
      </c>
      <c r="AY156" s="1" t="str">
        <f>IFERROR(ROUND(Backend!$AL156*VLOOKUP($F156,'OH,Profit &amp; Other Base'!$A:$V,Backend!AY$6,0),5),"")</f>
        <v/>
      </c>
      <c r="AZ156" s="1" t="str">
        <f>IFERROR(ROUND(Backend!$AO156*VLOOKUP($F156,'OH,Profit &amp; Other Base'!$A:$V,Backend!AZ$6,0),5),"")</f>
        <v/>
      </c>
      <c r="BA156" s="1" t="str">
        <f>IFERROR(ROUND(Backend!$AM156*VLOOKUP($F156,'OH,Profit &amp; Other Base'!$A:$V,Backend!BA$6,0),5),"")</f>
        <v/>
      </c>
      <c r="BB156" s="1" t="str">
        <f>IFERROR(ROUND(Backend!$AL156*VLOOKUP($F156,'OH,Profit &amp; Other Base'!$A:$V,Backend!BB$6,0),5),"")</f>
        <v/>
      </c>
      <c r="BC156" s="1" t="str">
        <f>IFERROR(ROUND(Backend!$AO156*VLOOKUP($F156,'OH,Profit &amp; Other Base'!$A:$V,Backend!BC$6,0),5),"")</f>
        <v/>
      </c>
      <c r="BD156" s="1" t="str">
        <f>IFERROR(ROUND(Backend!$AM156*VLOOKUP($F156,'OH,Profit &amp; Other Base'!$A:$V,Backend!BD$6,0),5),"")</f>
        <v/>
      </c>
      <c r="BE156" s="1" t="str">
        <f>IFERROR(ROUND(Backend!$AL156*VLOOKUP($F156,'OH,Profit &amp; Other Base'!$A:$V,Backend!BE$6,0),5),"")</f>
        <v/>
      </c>
      <c r="BF156" s="1" t="str">
        <f>IFERROR(ROUND(Backend!$AO156*VLOOKUP($F156,'OH,Profit &amp; Other Base'!$A:$V,Backend!BF$6,0),5),"")</f>
        <v/>
      </c>
      <c r="BG156" s="1" t="str">
        <f>IFERROR(ROUND(Backend!$AM156*VLOOKUP($F156,'OH,Profit &amp; Other Base'!$A:$V,Backend!BG$6,0),5),"")</f>
        <v/>
      </c>
      <c r="BH156" s="1" t="str">
        <f>IFERROR(ROUND(Backend!$AL156*VLOOKUP($F156,'OH,Profit &amp; Other Base'!$A:$V,Backend!BH$6,0),5),"")</f>
        <v/>
      </c>
      <c r="BI156" s="1" t="str">
        <f>IFERROR(ROUND(Backend!$AO156*VLOOKUP($F156,'OH,Profit &amp; Other Base'!$A:$V,Backend!BI$6,0),5),"")</f>
        <v/>
      </c>
      <c r="BJ156" s="1" t="str">
        <f>IFERROR(ROUND(Backend!$AM156*VLOOKUP($F156,'OH,Profit &amp; Other Base'!$A:$V,Backend!BJ$6,0),5),"")</f>
        <v/>
      </c>
      <c r="BK156" s="3">
        <f>SUM(AN156:BJ156,Backend!O156)</f>
        <v>0</v>
      </c>
    </row>
    <row r="157" spans="1:63">
      <c r="A157" s="1">
        <f>BOM!A152</f>
        <v>0</v>
      </c>
      <c r="B157" s="1">
        <f>BOM!B152</f>
        <v>0</v>
      </c>
      <c r="C157" s="1">
        <f>BOM!C152</f>
        <v>0</v>
      </c>
      <c r="D157" s="1">
        <f>BOM!D152</f>
        <v>0</v>
      </c>
      <c r="E157" s="1">
        <f>BOM!F152</f>
        <v>0</v>
      </c>
      <c r="F157" s="1" t="str">
        <f>IF(H157="CSC",BOM!H152,IF(J157="BOFOthers","Sheet Metal-B",""))</f>
        <v/>
      </c>
      <c r="G157" s="1">
        <f>BOM!I152</f>
        <v>0</v>
      </c>
      <c r="H157" s="1">
        <f>BOM!J152</f>
        <v>0</v>
      </c>
      <c r="I157" s="1" t="str">
        <f t="shared" si="14"/>
        <v>Others</v>
      </c>
      <c r="J157" s="1" t="str">
        <f t="shared" si="15"/>
        <v>0Others</v>
      </c>
      <c r="K157" s="3" t="str">
        <f>IF($J157="InhouseCSC",VLOOKUP($D157,Group!$C:$E,3,0),"")</f>
        <v/>
      </c>
      <c r="L157" s="3" t="str">
        <f>IF(OR($J157="BOSFCSC",$J157="BOFCSC"),VLOOKUP($D157,Group!$C:$E,3,0),"")</f>
        <v/>
      </c>
      <c r="M157" s="3" t="str">
        <f>IF(OR($J157="BOSFCSC",$J157="BOFCSC"),VLOOKUP($D157,Group!$C:$F,4,0),"")</f>
        <v/>
      </c>
      <c r="N157" s="3" t="str">
        <f>IF(OR($J157="InhouseCSC",$J157="BOSFCSC"),VLOOKUP($D157,Group!$C:$G,5,0),"")</f>
        <v/>
      </c>
      <c r="O157" s="3" t="str">
        <f>IF($J157="InhouseCSC",ROUND(VLOOKUP($D157,Group!$C:$H,6,0),5),"")</f>
        <v/>
      </c>
      <c r="P157" s="3" t="str">
        <f>IF(OR($J157="BOSFCSC",$J157="BOFCSC"),VLOOKUP($D157,Group!$C:$H,6,0),"")</f>
        <v/>
      </c>
      <c r="Q157" s="1" t="str">
        <f>IF($J157="Inhouseothers",VLOOKUP($D157,Group!$C:$E,3,0),"")</f>
        <v/>
      </c>
      <c r="R157" s="1" t="str">
        <f>IF($J157="BOSFOthers",VLOOKUP($D157,Group!$C:$E,3,0),"")</f>
        <v/>
      </c>
      <c r="S157" s="3" t="str">
        <f>IF($J157="BOFOthers",VLOOKUP($D157,Group!$C:$E,3,0),"")</f>
        <v/>
      </c>
      <c r="U157" s="1" t="str">
        <f>IFERROR(Backend!$L157*VLOOKUP($F157,'OH,Profit &amp; Other Base'!$A:$V,Backend!U$6,0),"")</f>
        <v/>
      </c>
      <c r="V157" s="1" t="str">
        <f>IFERROR(Backend!$M157*VLOOKUP($F157,'OH,Profit &amp; Other Base'!$A:$V,Backend!V$6,0),"")</f>
        <v/>
      </c>
      <c r="W157" s="1" t="str">
        <f>IFERROR(Backend!$L157*VLOOKUP($F157,'OH,Profit &amp; Other Base'!$A:$V,Backend!W$6,0),"")</f>
        <v/>
      </c>
      <c r="X157" s="1" t="str">
        <f>IFERROR(Backend!$M157*VLOOKUP($F157,'OH,Profit &amp; Other Base'!$A:$V,Backend!X$6,0),"")</f>
        <v/>
      </c>
      <c r="Y157" s="1" t="str">
        <f>IFERROR(Backend!$L157*VLOOKUP($F157,'OH,Profit &amp; Other Base'!$A:$V,Backend!Y$6,0),"")</f>
        <v/>
      </c>
      <c r="Z157" s="1" t="str">
        <f>IFERROR(Backend!$M157*VLOOKUP($F157,'OH,Profit &amp; Other Base'!$A:$V,Backend!Z$6,0),"")</f>
        <v/>
      </c>
      <c r="AA157" s="1" t="str">
        <f>IFERROR(Backend!$L157*VLOOKUP($F157,'OH,Profit &amp; Other Base'!$A:$V,Backend!AA$6,0),"")</f>
        <v/>
      </c>
      <c r="AB157" s="1" t="str">
        <f>IFERROR(Backend!$M157*VLOOKUP($F157,'OH,Profit &amp; Other Base'!$A:$V,Backend!AB$6,0),"")</f>
        <v/>
      </c>
      <c r="AC157" s="1" t="str">
        <f>IFERROR(Backend!$L157*VLOOKUP($F157,'OH,Profit &amp; Other Base'!$A:$V,Backend!AC$6,0),"")</f>
        <v/>
      </c>
      <c r="AD157" s="1" t="str">
        <f>IFERROR(Backend!$M157*VLOOKUP($F157,'OH,Profit &amp; Other Base'!$A:$V,Backend!AD$6,0),"")</f>
        <v/>
      </c>
      <c r="AE157" s="1" t="str">
        <f>IFERROR(Backend!$L157*VLOOKUP($F157,'OH,Profit &amp; Other Base'!$A:$V,Backend!AE$6,0),"")</f>
        <v/>
      </c>
      <c r="AF157" s="1" t="str">
        <f>IFERROR(Backend!$M157*VLOOKUP($F157,'OH,Profit &amp; Other Base'!$A:$V,Backend!AF$6,0),"")</f>
        <v/>
      </c>
      <c r="AG157" s="1" t="str">
        <f>IFERROR(Backend!$L157*VLOOKUP($F157,'OH,Profit &amp; Other Base'!$A:$V,Backend!AG$6,0),"")</f>
        <v/>
      </c>
      <c r="AH157" s="1" t="str">
        <f>IFERROR(Backend!$M157*VLOOKUP($F157,'OH,Profit &amp; Other Base'!$A:$V,Backend!AH$6,0),"")</f>
        <v/>
      </c>
      <c r="AI157" s="3">
        <f t="shared" si="16"/>
        <v>0</v>
      </c>
      <c r="AL157" s="1" t="str">
        <f t="shared" si="17"/>
        <v/>
      </c>
      <c r="AM157" s="1" t="str">
        <f t="shared" si="18"/>
        <v/>
      </c>
      <c r="AN157" s="1" t="str">
        <f t="shared" si="19"/>
        <v/>
      </c>
      <c r="AO157" s="1" t="str">
        <f t="shared" si="20"/>
        <v/>
      </c>
      <c r="AP157" s="1" t="str">
        <f>IFERROR(ROUND(Backend!$AL157*VLOOKUP($F157,'OH,Profit &amp; Other Base'!$A:$V,Backend!AP$6,0),5),"")</f>
        <v/>
      </c>
      <c r="AQ157" s="1" t="str">
        <f>IFERROR(ROUND(Backend!$AO157*VLOOKUP($F157,'OH,Profit &amp; Other Base'!$A:$V,Backend!AQ$6,0),5),"")</f>
        <v/>
      </c>
      <c r="AR157" s="1" t="str">
        <f>IFERROR(ROUND(Backend!$AM157*VLOOKUP($F157,'OH,Profit &amp; Other Base'!$A:$V,Backend!AR$6,0),5),"")</f>
        <v/>
      </c>
      <c r="AS157" s="1" t="str">
        <f>IFERROR(ROUND(Backend!$AL157*VLOOKUP($F157,'OH,Profit &amp; Other Base'!$A:$V,Backend!AS$6,0),5),"")</f>
        <v/>
      </c>
      <c r="AT157" s="1" t="str">
        <f>IFERROR(ROUND(Backend!$AO157*VLOOKUP($F157,'OH,Profit &amp; Other Base'!$A:$V,Backend!AT$6,0),5),"")</f>
        <v/>
      </c>
      <c r="AU157" s="1" t="str">
        <f>IFERROR(ROUND(Backend!$AM157*VLOOKUP($F157,'OH,Profit &amp; Other Base'!$A:$V,Backend!AU$6,0),5),"")</f>
        <v/>
      </c>
      <c r="AV157" s="1" t="str">
        <f>IFERROR(ROUND(Backend!$AL157*VLOOKUP($F157,'OH,Profit &amp; Other Base'!$A:$V,Backend!AV$6,0),5),"")</f>
        <v/>
      </c>
      <c r="AW157" s="1" t="str">
        <f>IFERROR(ROUND(Backend!$AO157*VLOOKUP($F157,'OH,Profit &amp; Other Base'!$A:$V,Backend!AW$6,0),5),"")</f>
        <v/>
      </c>
      <c r="AX157" s="1" t="str">
        <f>IFERROR(ROUND(Backend!$AM157*VLOOKUP($F157,'OH,Profit &amp; Other Base'!$A:$V,Backend!AX$6,0),5),"")</f>
        <v/>
      </c>
      <c r="AY157" s="1" t="str">
        <f>IFERROR(ROUND(Backend!$AL157*VLOOKUP($F157,'OH,Profit &amp; Other Base'!$A:$V,Backend!AY$6,0),5),"")</f>
        <v/>
      </c>
      <c r="AZ157" s="1" t="str">
        <f>IFERROR(ROUND(Backend!$AO157*VLOOKUP($F157,'OH,Profit &amp; Other Base'!$A:$V,Backend!AZ$6,0),5),"")</f>
        <v/>
      </c>
      <c r="BA157" s="1" t="str">
        <f>IFERROR(ROUND(Backend!$AM157*VLOOKUP($F157,'OH,Profit &amp; Other Base'!$A:$V,Backend!BA$6,0),5),"")</f>
        <v/>
      </c>
      <c r="BB157" s="1" t="str">
        <f>IFERROR(ROUND(Backend!$AL157*VLOOKUP($F157,'OH,Profit &amp; Other Base'!$A:$V,Backend!BB$6,0),5),"")</f>
        <v/>
      </c>
      <c r="BC157" s="1" t="str">
        <f>IFERROR(ROUND(Backend!$AO157*VLOOKUP($F157,'OH,Profit &amp; Other Base'!$A:$V,Backend!BC$6,0),5),"")</f>
        <v/>
      </c>
      <c r="BD157" s="1" t="str">
        <f>IFERROR(ROUND(Backend!$AM157*VLOOKUP($F157,'OH,Profit &amp; Other Base'!$A:$V,Backend!BD$6,0),5),"")</f>
        <v/>
      </c>
      <c r="BE157" s="1" t="str">
        <f>IFERROR(ROUND(Backend!$AL157*VLOOKUP($F157,'OH,Profit &amp; Other Base'!$A:$V,Backend!BE$6,0),5),"")</f>
        <v/>
      </c>
      <c r="BF157" s="1" t="str">
        <f>IFERROR(ROUND(Backend!$AO157*VLOOKUP($F157,'OH,Profit &amp; Other Base'!$A:$V,Backend!BF$6,0),5),"")</f>
        <v/>
      </c>
      <c r="BG157" s="1" t="str">
        <f>IFERROR(ROUND(Backend!$AM157*VLOOKUP($F157,'OH,Profit &amp; Other Base'!$A:$V,Backend!BG$6,0),5),"")</f>
        <v/>
      </c>
      <c r="BH157" s="1" t="str">
        <f>IFERROR(ROUND(Backend!$AL157*VLOOKUP($F157,'OH,Profit &amp; Other Base'!$A:$V,Backend!BH$6,0),5),"")</f>
        <v/>
      </c>
      <c r="BI157" s="1" t="str">
        <f>IFERROR(ROUND(Backend!$AO157*VLOOKUP($F157,'OH,Profit &amp; Other Base'!$A:$V,Backend!BI$6,0),5),"")</f>
        <v/>
      </c>
      <c r="BJ157" s="1" t="str">
        <f>IFERROR(ROUND(Backend!$AM157*VLOOKUP($F157,'OH,Profit &amp; Other Base'!$A:$V,Backend!BJ$6,0),5),"")</f>
        <v/>
      </c>
      <c r="BK157" s="3">
        <f>SUM(AN157:BJ157,Backend!O157)</f>
        <v>0</v>
      </c>
    </row>
    <row r="158" spans="1:63">
      <c r="A158" s="1">
        <f>BOM!A153</f>
        <v>0</v>
      </c>
      <c r="B158" s="1">
        <f>BOM!B153</f>
        <v>0</v>
      </c>
      <c r="C158" s="1">
        <f>BOM!C153</f>
        <v>0</v>
      </c>
      <c r="D158" s="1">
        <f>BOM!D153</f>
        <v>0</v>
      </c>
      <c r="E158" s="1">
        <f>BOM!F153</f>
        <v>0</v>
      </c>
      <c r="F158" s="1" t="str">
        <f>IF(H158="CSC",BOM!H153,IF(J158="BOFOthers","Sheet Metal-B",""))</f>
        <v/>
      </c>
      <c r="G158" s="1">
        <f>BOM!I153</f>
        <v>0</v>
      </c>
      <c r="H158" s="1">
        <f>BOM!J153</f>
        <v>0</v>
      </c>
      <c r="I158" s="1" t="str">
        <f t="shared" si="14"/>
        <v>Others</v>
      </c>
      <c r="J158" s="1" t="str">
        <f t="shared" si="15"/>
        <v>0Others</v>
      </c>
      <c r="K158" s="3" t="str">
        <f>IF($J158="InhouseCSC",VLOOKUP($D158,Group!$C:$E,3,0),"")</f>
        <v/>
      </c>
      <c r="L158" s="3" t="str">
        <f>IF(OR($J158="BOSFCSC",$J158="BOFCSC"),VLOOKUP($D158,Group!$C:$E,3,0),"")</f>
        <v/>
      </c>
      <c r="M158" s="3" t="str">
        <f>IF(OR($J158="BOSFCSC",$J158="BOFCSC"),VLOOKUP($D158,Group!$C:$F,4,0),"")</f>
        <v/>
      </c>
      <c r="N158" s="3" t="str">
        <f>IF(OR($J158="InhouseCSC",$J158="BOSFCSC"),VLOOKUP($D158,Group!$C:$G,5,0),"")</f>
        <v/>
      </c>
      <c r="O158" s="3" t="str">
        <f>IF($J158="InhouseCSC",ROUND(VLOOKUP($D158,Group!$C:$H,6,0),5),"")</f>
        <v/>
      </c>
      <c r="P158" s="3" t="str">
        <f>IF(OR($J158="BOSFCSC",$J158="BOFCSC"),VLOOKUP($D158,Group!$C:$H,6,0),"")</f>
        <v/>
      </c>
      <c r="Q158" s="1" t="str">
        <f>IF($J158="Inhouseothers",VLOOKUP($D158,Group!$C:$E,3,0),"")</f>
        <v/>
      </c>
      <c r="R158" s="1" t="str">
        <f>IF($J158="BOSFOthers",VLOOKUP($D158,Group!$C:$E,3,0),"")</f>
        <v/>
      </c>
      <c r="S158" s="3" t="str">
        <f>IF($J158="BOFOthers",VLOOKUP($D158,Group!$C:$E,3,0),"")</f>
        <v/>
      </c>
      <c r="U158" s="1" t="str">
        <f>IFERROR(Backend!$L158*VLOOKUP($F158,'OH,Profit &amp; Other Base'!$A:$V,Backend!U$6,0),"")</f>
        <v/>
      </c>
      <c r="V158" s="1" t="str">
        <f>IFERROR(Backend!$M158*VLOOKUP($F158,'OH,Profit &amp; Other Base'!$A:$V,Backend!V$6,0),"")</f>
        <v/>
      </c>
      <c r="W158" s="1" t="str">
        <f>IFERROR(Backend!$L158*VLOOKUP($F158,'OH,Profit &amp; Other Base'!$A:$V,Backend!W$6,0),"")</f>
        <v/>
      </c>
      <c r="X158" s="1" t="str">
        <f>IFERROR(Backend!$M158*VLOOKUP($F158,'OH,Profit &amp; Other Base'!$A:$V,Backend!X$6,0),"")</f>
        <v/>
      </c>
      <c r="Y158" s="1" t="str">
        <f>IFERROR(Backend!$L158*VLOOKUP($F158,'OH,Profit &amp; Other Base'!$A:$V,Backend!Y$6,0),"")</f>
        <v/>
      </c>
      <c r="Z158" s="1" t="str">
        <f>IFERROR(Backend!$M158*VLOOKUP($F158,'OH,Profit &amp; Other Base'!$A:$V,Backend!Z$6,0),"")</f>
        <v/>
      </c>
      <c r="AA158" s="1" t="str">
        <f>IFERROR(Backend!$L158*VLOOKUP($F158,'OH,Profit &amp; Other Base'!$A:$V,Backend!AA$6,0),"")</f>
        <v/>
      </c>
      <c r="AB158" s="1" t="str">
        <f>IFERROR(Backend!$M158*VLOOKUP($F158,'OH,Profit &amp; Other Base'!$A:$V,Backend!AB$6,0),"")</f>
        <v/>
      </c>
      <c r="AC158" s="1" t="str">
        <f>IFERROR(Backend!$L158*VLOOKUP($F158,'OH,Profit &amp; Other Base'!$A:$V,Backend!AC$6,0),"")</f>
        <v/>
      </c>
      <c r="AD158" s="1" t="str">
        <f>IFERROR(Backend!$M158*VLOOKUP($F158,'OH,Profit &amp; Other Base'!$A:$V,Backend!AD$6,0),"")</f>
        <v/>
      </c>
      <c r="AE158" s="1" t="str">
        <f>IFERROR(Backend!$L158*VLOOKUP($F158,'OH,Profit &amp; Other Base'!$A:$V,Backend!AE$6,0),"")</f>
        <v/>
      </c>
      <c r="AF158" s="1" t="str">
        <f>IFERROR(Backend!$M158*VLOOKUP($F158,'OH,Profit &amp; Other Base'!$A:$V,Backend!AF$6,0),"")</f>
        <v/>
      </c>
      <c r="AG158" s="1" t="str">
        <f>IFERROR(Backend!$L158*VLOOKUP($F158,'OH,Profit &amp; Other Base'!$A:$V,Backend!AG$6,0),"")</f>
        <v/>
      </c>
      <c r="AH158" s="1" t="str">
        <f>IFERROR(Backend!$M158*VLOOKUP($F158,'OH,Profit &amp; Other Base'!$A:$V,Backend!AH$6,0),"")</f>
        <v/>
      </c>
      <c r="AI158" s="3">
        <f t="shared" si="16"/>
        <v>0</v>
      </c>
      <c r="AL158" s="1" t="str">
        <f t="shared" si="17"/>
        <v/>
      </c>
      <c r="AM158" s="1" t="str">
        <f t="shared" si="18"/>
        <v/>
      </c>
      <c r="AN158" s="1" t="str">
        <f t="shared" si="19"/>
        <v/>
      </c>
      <c r="AO158" s="1" t="str">
        <f t="shared" si="20"/>
        <v/>
      </c>
      <c r="AP158" s="1" t="str">
        <f>IFERROR(ROUND(Backend!$AL158*VLOOKUP($F158,'OH,Profit &amp; Other Base'!$A:$V,Backend!AP$6,0),5),"")</f>
        <v/>
      </c>
      <c r="AQ158" s="1" t="str">
        <f>IFERROR(ROUND(Backend!$AO158*VLOOKUP($F158,'OH,Profit &amp; Other Base'!$A:$V,Backend!AQ$6,0),5),"")</f>
        <v/>
      </c>
      <c r="AR158" s="1" t="str">
        <f>IFERROR(ROUND(Backend!$AM158*VLOOKUP($F158,'OH,Profit &amp; Other Base'!$A:$V,Backend!AR$6,0),5),"")</f>
        <v/>
      </c>
      <c r="AS158" s="1" t="str">
        <f>IFERROR(ROUND(Backend!$AL158*VLOOKUP($F158,'OH,Profit &amp; Other Base'!$A:$V,Backend!AS$6,0),5),"")</f>
        <v/>
      </c>
      <c r="AT158" s="1" t="str">
        <f>IFERROR(ROUND(Backend!$AO158*VLOOKUP($F158,'OH,Profit &amp; Other Base'!$A:$V,Backend!AT$6,0),5),"")</f>
        <v/>
      </c>
      <c r="AU158" s="1" t="str">
        <f>IFERROR(ROUND(Backend!$AM158*VLOOKUP($F158,'OH,Profit &amp; Other Base'!$A:$V,Backend!AU$6,0),5),"")</f>
        <v/>
      </c>
      <c r="AV158" s="1" t="str">
        <f>IFERROR(ROUND(Backend!$AL158*VLOOKUP($F158,'OH,Profit &amp; Other Base'!$A:$V,Backend!AV$6,0),5),"")</f>
        <v/>
      </c>
      <c r="AW158" s="1" t="str">
        <f>IFERROR(ROUND(Backend!$AO158*VLOOKUP($F158,'OH,Profit &amp; Other Base'!$A:$V,Backend!AW$6,0),5),"")</f>
        <v/>
      </c>
      <c r="AX158" s="1" t="str">
        <f>IFERROR(ROUND(Backend!$AM158*VLOOKUP($F158,'OH,Profit &amp; Other Base'!$A:$V,Backend!AX$6,0),5),"")</f>
        <v/>
      </c>
      <c r="AY158" s="1" t="str">
        <f>IFERROR(ROUND(Backend!$AL158*VLOOKUP($F158,'OH,Profit &amp; Other Base'!$A:$V,Backend!AY$6,0),5),"")</f>
        <v/>
      </c>
      <c r="AZ158" s="1" t="str">
        <f>IFERROR(ROUND(Backend!$AO158*VLOOKUP($F158,'OH,Profit &amp; Other Base'!$A:$V,Backend!AZ$6,0),5),"")</f>
        <v/>
      </c>
      <c r="BA158" s="1" t="str">
        <f>IFERROR(ROUND(Backend!$AM158*VLOOKUP($F158,'OH,Profit &amp; Other Base'!$A:$V,Backend!BA$6,0),5),"")</f>
        <v/>
      </c>
      <c r="BB158" s="1" t="str">
        <f>IFERROR(ROUND(Backend!$AL158*VLOOKUP($F158,'OH,Profit &amp; Other Base'!$A:$V,Backend!BB$6,0),5),"")</f>
        <v/>
      </c>
      <c r="BC158" s="1" t="str">
        <f>IFERROR(ROUND(Backend!$AO158*VLOOKUP($F158,'OH,Profit &amp; Other Base'!$A:$V,Backend!BC$6,0),5),"")</f>
        <v/>
      </c>
      <c r="BD158" s="1" t="str">
        <f>IFERROR(ROUND(Backend!$AM158*VLOOKUP($F158,'OH,Profit &amp; Other Base'!$A:$V,Backend!BD$6,0),5),"")</f>
        <v/>
      </c>
      <c r="BE158" s="1" t="str">
        <f>IFERROR(ROUND(Backend!$AL158*VLOOKUP($F158,'OH,Profit &amp; Other Base'!$A:$V,Backend!BE$6,0),5),"")</f>
        <v/>
      </c>
      <c r="BF158" s="1" t="str">
        <f>IFERROR(ROUND(Backend!$AO158*VLOOKUP($F158,'OH,Profit &amp; Other Base'!$A:$V,Backend!BF$6,0),5),"")</f>
        <v/>
      </c>
      <c r="BG158" s="1" t="str">
        <f>IFERROR(ROUND(Backend!$AM158*VLOOKUP($F158,'OH,Profit &amp; Other Base'!$A:$V,Backend!BG$6,0),5),"")</f>
        <v/>
      </c>
      <c r="BH158" s="1" t="str">
        <f>IFERROR(ROUND(Backend!$AL158*VLOOKUP($F158,'OH,Profit &amp; Other Base'!$A:$V,Backend!BH$6,0),5),"")</f>
        <v/>
      </c>
      <c r="BI158" s="1" t="str">
        <f>IFERROR(ROUND(Backend!$AO158*VLOOKUP($F158,'OH,Profit &amp; Other Base'!$A:$V,Backend!BI$6,0),5),"")</f>
        <v/>
      </c>
      <c r="BJ158" s="1" t="str">
        <f>IFERROR(ROUND(Backend!$AM158*VLOOKUP($F158,'OH,Profit &amp; Other Base'!$A:$V,Backend!BJ$6,0),5),"")</f>
        <v/>
      </c>
      <c r="BK158" s="3">
        <f>SUM(AN158:BJ158,Backend!O158)</f>
        <v>0</v>
      </c>
    </row>
    <row r="159" spans="1:63">
      <c r="A159" s="1">
        <f>BOM!A154</f>
        <v>0</v>
      </c>
      <c r="B159" s="1">
        <f>BOM!B154</f>
        <v>0</v>
      </c>
      <c r="C159" s="1">
        <f>BOM!C154</f>
        <v>0</v>
      </c>
      <c r="D159" s="1">
        <f>BOM!D154</f>
        <v>0</v>
      </c>
      <c r="E159" s="1">
        <f>BOM!F154</f>
        <v>0</v>
      </c>
      <c r="F159" s="1" t="str">
        <f>IF(H159="CSC",BOM!H154,IF(J159="BOFOthers","Sheet Metal-B",""))</f>
        <v/>
      </c>
      <c r="G159" s="1">
        <f>BOM!I154</f>
        <v>0</v>
      </c>
      <c r="H159" s="1">
        <f>BOM!J154</f>
        <v>0</v>
      </c>
      <c r="I159" s="1" t="str">
        <f t="shared" si="14"/>
        <v>Others</v>
      </c>
      <c r="J159" s="1" t="str">
        <f t="shared" si="15"/>
        <v>0Others</v>
      </c>
      <c r="K159" s="3" t="str">
        <f>IF($J159="InhouseCSC",VLOOKUP($D159,Group!$C:$E,3,0),"")</f>
        <v/>
      </c>
      <c r="L159" s="3" t="str">
        <f>IF(OR($J159="BOSFCSC",$J159="BOFCSC"),VLOOKUP($D159,Group!$C:$E,3,0),"")</f>
        <v/>
      </c>
      <c r="M159" s="3" t="str">
        <f>IF(OR($J159="BOSFCSC",$J159="BOFCSC"),VLOOKUP($D159,Group!$C:$F,4,0),"")</f>
        <v/>
      </c>
      <c r="N159" s="3" t="str">
        <f>IF(OR($J159="InhouseCSC",$J159="BOSFCSC"),VLOOKUP($D159,Group!$C:$G,5,0),"")</f>
        <v/>
      </c>
      <c r="O159" s="3" t="str">
        <f>IF($J159="InhouseCSC",ROUND(VLOOKUP($D159,Group!$C:$H,6,0),5),"")</f>
        <v/>
      </c>
      <c r="P159" s="3" t="str">
        <f>IF(OR($J159="BOSFCSC",$J159="BOFCSC"),VLOOKUP($D159,Group!$C:$H,6,0),"")</f>
        <v/>
      </c>
      <c r="Q159" s="1" t="str">
        <f>IF($J159="Inhouseothers",VLOOKUP($D159,Group!$C:$E,3,0),"")</f>
        <v/>
      </c>
      <c r="R159" s="1" t="str">
        <f>IF($J159="BOSFOthers",VLOOKUP($D159,Group!$C:$E,3,0),"")</f>
        <v/>
      </c>
      <c r="S159" s="3" t="str">
        <f>IF($J159="BOFOthers",VLOOKUP($D159,Group!$C:$E,3,0),"")</f>
        <v/>
      </c>
      <c r="U159" s="1" t="str">
        <f>IFERROR(Backend!$L159*VLOOKUP($F159,'OH,Profit &amp; Other Base'!$A:$V,Backend!U$6,0),"")</f>
        <v/>
      </c>
      <c r="V159" s="1" t="str">
        <f>IFERROR(Backend!$M159*VLOOKUP($F159,'OH,Profit &amp; Other Base'!$A:$V,Backend!V$6,0),"")</f>
        <v/>
      </c>
      <c r="W159" s="1" t="str">
        <f>IFERROR(Backend!$L159*VLOOKUP($F159,'OH,Profit &amp; Other Base'!$A:$V,Backend!W$6,0),"")</f>
        <v/>
      </c>
      <c r="X159" s="1" t="str">
        <f>IFERROR(Backend!$M159*VLOOKUP($F159,'OH,Profit &amp; Other Base'!$A:$V,Backend!X$6,0),"")</f>
        <v/>
      </c>
      <c r="Y159" s="1" t="str">
        <f>IFERROR(Backend!$L159*VLOOKUP($F159,'OH,Profit &amp; Other Base'!$A:$V,Backend!Y$6,0),"")</f>
        <v/>
      </c>
      <c r="Z159" s="1" t="str">
        <f>IFERROR(Backend!$M159*VLOOKUP($F159,'OH,Profit &amp; Other Base'!$A:$V,Backend!Z$6,0),"")</f>
        <v/>
      </c>
      <c r="AA159" s="1" t="str">
        <f>IFERROR(Backend!$L159*VLOOKUP($F159,'OH,Profit &amp; Other Base'!$A:$V,Backend!AA$6,0),"")</f>
        <v/>
      </c>
      <c r="AB159" s="1" t="str">
        <f>IFERROR(Backend!$M159*VLOOKUP($F159,'OH,Profit &amp; Other Base'!$A:$V,Backend!AB$6,0),"")</f>
        <v/>
      </c>
      <c r="AC159" s="1" t="str">
        <f>IFERROR(Backend!$L159*VLOOKUP($F159,'OH,Profit &amp; Other Base'!$A:$V,Backend!AC$6,0),"")</f>
        <v/>
      </c>
      <c r="AD159" s="1" t="str">
        <f>IFERROR(Backend!$M159*VLOOKUP($F159,'OH,Profit &amp; Other Base'!$A:$V,Backend!AD$6,0),"")</f>
        <v/>
      </c>
      <c r="AE159" s="1" t="str">
        <f>IFERROR(Backend!$L159*VLOOKUP($F159,'OH,Profit &amp; Other Base'!$A:$V,Backend!AE$6,0),"")</f>
        <v/>
      </c>
      <c r="AF159" s="1" t="str">
        <f>IFERROR(Backend!$M159*VLOOKUP($F159,'OH,Profit &amp; Other Base'!$A:$V,Backend!AF$6,0),"")</f>
        <v/>
      </c>
      <c r="AG159" s="1" t="str">
        <f>IFERROR(Backend!$L159*VLOOKUP($F159,'OH,Profit &amp; Other Base'!$A:$V,Backend!AG$6,0),"")</f>
        <v/>
      </c>
      <c r="AH159" s="1" t="str">
        <f>IFERROR(Backend!$M159*VLOOKUP($F159,'OH,Profit &amp; Other Base'!$A:$V,Backend!AH$6,0),"")</f>
        <v/>
      </c>
      <c r="AI159" s="3">
        <f t="shared" si="16"/>
        <v>0</v>
      </c>
      <c r="AL159" s="1" t="str">
        <f t="shared" si="17"/>
        <v/>
      </c>
      <c r="AM159" s="1" t="str">
        <f t="shared" si="18"/>
        <v/>
      </c>
      <c r="AN159" s="1" t="str">
        <f t="shared" si="19"/>
        <v/>
      </c>
      <c r="AO159" s="1" t="str">
        <f t="shared" si="20"/>
        <v/>
      </c>
      <c r="AP159" s="1" t="str">
        <f>IFERROR(ROUND(Backend!$AL159*VLOOKUP($F159,'OH,Profit &amp; Other Base'!$A:$V,Backend!AP$6,0),5),"")</f>
        <v/>
      </c>
      <c r="AQ159" s="1" t="str">
        <f>IFERROR(ROUND(Backend!$AO159*VLOOKUP($F159,'OH,Profit &amp; Other Base'!$A:$V,Backend!AQ$6,0),5),"")</f>
        <v/>
      </c>
      <c r="AR159" s="1" t="str">
        <f>IFERROR(ROUND(Backend!$AM159*VLOOKUP($F159,'OH,Profit &amp; Other Base'!$A:$V,Backend!AR$6,0),5),"")</f>
        <v/>
      </c>
      <c r="AS159" s="1" t="str">
        <f>IFERROR(ROUND(Backend!$AL159*VLOOKUP($F159,'OH,Profit &amp; Other Base'!$A:$V,Backend!AS$6,0),5),"")</f>
        <v/>
      </c>
      <c r="AT159" s="1" t="str">
        <f>IFERROR(ROUND(Backend!$AO159*VLOOKUP($F159,'OH,Profit &amp; Other Base'!$A:$V,Backend!AT$6,0),5),"")</f>
        <v/>
      </c>
      <c r="AU159" s="1" t="str">
        <f>IFERROR(ROUND(Backend!$AM159*VLOOKUP($F159,'OH,Profit &amp; Other Base'!$A:$V,Backend!AU$6,0),5),"")</f>
        <v/>
      </c>
      <c r="AV159" s="1" t="str">
        <f>IFERROR(ROUND(Backend!$AL159*VLOOKUP($F159,'OH,Profit &amp; Other Base'!$A:$V,Backend!AV$6,0),5),"")</f>
        <v/>
      </c>
      <c r="AW159" s="1" t="str">
        <f>IFERROR(ROUND(Backend!$AO159*VLOOKUP($F159,'OH,Profit &amp; Other Base'!$A:$V,Backend!AW$6,0),5),"")</f>
        <v/>
      </c>
      <c r="AX159" s="1" t="str">
        <f>IFERROR(ROUND(Backend!$AM159*VLOOKUP($F159,'OH,Profit &amp; Other Base'!$A:$V,Backend!AX$6,0),5),"")</f>
        <v/>
      </c>
      <c r="AY159" s="1" t="str">
        <f>IFERROR(ROUND(Backend!$AL159*VLOOKUP($F159,'OH,Profit &amp; Other Base'!$A:$V,Backend!AY$6,0),5),"")</f>
        <v/>
      </c>
      <c r="AZ159" s="1" t="str">
        <f>IFERROR(ROUND(Backend!$AO159*VLOOKUP($F159,'OH,Profit &amp; Other Base'!$A:$V,Backend!AZ$6,0),5),"")</f>
        <v/>
      </c>
      <c r="BA159" s="1" t="str">
        <f>IFERROR(ROUND(Backend!$AM159*VLOOKUP($F159,'OH,Profit &amp; Other Base'!$A:$V,Backend!BA$6,0),5),"")</f>
        <v/>
      </c>
      <c r="BB159" s="1" t="str">
        <f>IFERROR(ROUND(Backend!$AL159*VLOOKUP($F159,'OH,Profit &amp; Other Base'!$A:$V,Backend!BB$6,0),5),"")</f>
        <v/>
      </c>
      <c r="BC159" s="1" t="str">
        <f>IFERROR(ROUND(Backend!$AO159*VLOOKUP($F159,'OH,Profit &amp; Other Base'!$A:$V,Backend!BC$6,0),5),"")</f>
        <v/>
      </c>
      <c r="BD159" s="1" t="str">
        <f>IFERROR(ROUND(Backend!$AM159*VLOOKUP($F159,'OH,Profit &amp; Other Base'!$A:$V,Backend!BD$6,0),5),"")</f>
        <v/>
      </c>
      <c r="BE159" s="1" t="str">
        <f>IFERROR(ROUND(Backend!$AL159*VLOOKUP($F159,'OH,Profit &amp; Other Base'!$A:$V,Backend!BE$6,0),5),"")</f>
        <v/>
      </c>
      <c r="BF159" s="1" t="str">
        <f>IFERROR(ROUND(Backend!$AO159*VLOOKUP($F159,'OH,Profit &amp; Other Base'!$A:$V,Backend!BF$6,0),5),"")</f>
        <v/>
      </c>
      <c r="BG159" s="1" t="str">
        <f>IFERROR(ROUND(Backend!$AM159*VLOOKUP($F159,'OH,Profit &amp; Other Base'!$A:$V,Backend!BG$6,0),5),"")</f>
        <v/>
      </c>
      <c r="BH159" s="1" t="str">
        <f>IFERROR(ROUND(Backend!$AL159*VLOOKUP($F159,'OH,Profit &amp; Other Base'!$A:$V,Backend!BH$6,0),5),"")</f>
        <v/>
      </c>
      <c r="BI159" s="1" t="str">
        <f>IFERROR(ROUND(Backend!$AO159*VLOOKUP($F159,'OH,Profit &amp; Other Base'!$A:$V,Backend!BI$6,0),5),"")</f>
        <v/>
      </c>
      <c r="BJ159" s="1" t="str">
        <f>IFERROR(ROUND(Backend!$AM159*VLOOKUP($F159,'OH,Profit &amp; Other Base'!$A:$V,Backend!BJ$6,0),5),"")</f>
        <v/>
      </c>
      <c r="BK159" s="3">
        <f>SUM(AN159:BJ159,Backend!O159)</f>
        <v>0</v>
      </c>
    </row>
    <row r="160" spans="1:63">
      <c r="A160" s="1">
        <f>BOM!A155</f>
        <v>0</v>
      </c>
      <c r="B160" s="1">
        <f>BOM!B155</f>
        <v>0</v>
      </c>
      <c r="C160" s="1">
        <f>BOM!C155</f>
        <v>0</v>
      </c>
      <c r="D160" s="1">
        <f>BOM!D155</f>
        <v>0</v>
      </c>
      <c r="E160" s="1">
        <f>BOM!F155</f>
        <v>0</v>
      </c>
      <c r="F160" s="1" t="str">
        <f>IF(H160="CSC",BOM!H155,IF(J160="BOFOthers","Sheet Metal-B",""))</f>
        <v/>
      </c>
      <c r="G160" s="1">
        <f>BOM!I155</f>
        <v>0</v>
      </c>
      <c r="H160" s="1">
        <f>BOM!J155</f>
        <v>0</v>
      </c>
      <c r="I160" s="1" t="str">
        <f t="shared" si="14"/>
        <v>Others</v>
      </c>
      <c r="J160" s="1" t="str">
        <f t="shared" si="15"/>
        <v>0Others</v>
      </c>
      <c r="K160" s="3" t="str">
        <f>IF($J160="InhouseCSC",VLOOKUP($D160,Group!$C:$E,3,0),"")</f>
        <v/>
      </c>
      <c r="L160" s="3" t="str">
        <f>IF(OR($J160="BOSFCSC",$J160="BOFCSC"),VLOOKUP($D160,Group!$C:$E,3,0),"")</f>
        <v/>
      </c>
      <c r="M160" s="3" t="str">
        <f>IF(OR($J160="BOSFCSC",$J160="BOFCSC"),VLOOKUP($D160,Group!$C:$F,4,0),"")</f>
        <v/>
      </c>
      <c r="N160" s="3" t="str">
        <f>IF(OR($J160="InhouseCSC",$J160="BOSFCSC"),VLOOKUP($D160,Group!$C:$G,5,0),"")</f>
        <v/>
      </c>
      <c r="O160" s="3" t="str">
        <f>IF($J160="InhouseCSC",ROUND(VLOOKUP($D160,Group!$C:$H,6,0),5),"")</f>
        <v/>
      </c>
      <c r="P160" s="3" t="str">
        <f>IF(OR($J160="BOSFCSC",$J160="BOFCSC"),VLOOKUP($D160,Group!$C:$H,6,0),"")</f>
        <v/>
      </c>
      <c r="Q160" s="1" t="str">
        <f>IF($J160="Inhouseothers",VLOOKUP($D160,Group!$C:$E,3,0),"")</f>
        <v/>
      </c>
      <c r="R160" s="1" t="str">
        <f>IF($J160="BOSFOthers",VLOOKUP($D160,Group!$C:$E,3,0),"")</f>
        <v/>
      </c>
      <c r="S160" s="3" t="str">
        <f>IF($J160="BOFOthers",VLOOKUP($D160,Group!$C:$E,3,0),"")</f>
        <v/>
      </c>
      <c r="U160" s="1" t="str">
        <f>IFERROR(Backend!$L160*VLOOKUP($F160,'OH,Profit &amp; Other Base'!$A:$V,Backend!U$6,0),"")</f>
        <v/>
      </c>
      <c r="V160" s="1" t="str">
        <f>IFERROR(Backend!$M160*VLOOKUP($F160,'OH,Profit &amp; Other Base'!$A:$V,Backend!V$6,0),"")</f>
        <v/>
      </c>
      <c r="W160" s="1" t="str">
        <f>IFERROR(Backend!$L160*VLOOKUP($F160,'OH,Profit &amp; Other Base'!$A:$V,Backend!W$6,0),"")</f>
        <v/>
      </c>
      <c r="X160" s="1" t="str">
        <f>IFERROR(Backend!$M160*VLOOKUP($F160,'OH,Profit &amp; Other Base'!$A:$V,Backend!X$6,0),"")</f>
        <v/>
      </c>
      <c r="Y160" s="1" t="str">
        <f>IFERROR(Backend!$L160*VLOOKUP($F160,'OH,Profit &amp; Other Base'!$A:$V,Backend!Y$6,0),"")</f>
        <v/>
      </c>
      <c r="Z160" s="1" t="str">
        <f>IFERROR(Backend!$M160*VLOOKUP($F160,'OH,Profit &amp; Other Base'!$A:$V,Backend!Z$6,0),"")</f>
        <v/>
      </c>
      <c r="AA160" s="1" t="str">
        <f>IFERROR(Backend!$L160*VLOOKUP($F160,'OH,Profit &amp; Other Base'!$A:$V,Backend!AA$6,0),"")</f>
        <v/>
      </c>
      <c r="AB160" s="1" t="str">
        <f>IFERROR(Backend!$M160*VLOOKUP($F160,'OH,Profit &amp; Other Base'!$A:$V,Backend!AB$6,0),"")</f>
        <v/>
      </c>
      <c r="AC160" s="1" t="str">
        <f>IFERROR(Backend!$L160*VLOOKUP($F160,'OH,Profit &amp; Other Base'!$A:$V,Backend!AC$6,0),"")</f>
        <v/>
      </c>
      <c r="AD160" s="1" t="str">
        <f>IFERROR(Backend!$M160*VLOOKUP($F160,'OH,Profit &amp; Other Base'!$A:$V,Backend!AD$6,0),"")</f>
        <v/>
      </c>
      <c r="AE160" s="1" t="str">
        <f>IFERROR(Backend!$L160*VLOOKUP($F160,'OH,Profit &amp; Other Base'!$A:$V,Backend!AE$6,0),"")</f>
        <v/>
      </c>
      <c r="AF160" s="1" t="str">
        <f>IFERROR(Backend!$M160*VLOOKUP($F160,'OH,Profit &amp; Other Base'!$A:$V,Backend!AF$6,0),"")</f>
        <v/>
      </c>
      <c r="AG160" s="1" t="str">
        <f>IFERROR(Backend!$L160*VLOOKUP($F160,'OH,Profit &amp; Other Base'!$A:$V,Backend!AG$6,0),"")</f>
        <v/>
      </c>
      <c r="AH160" s="1" t="str">
        <f>IFERROR(Backend!$M160*VLOOKUP($F160,'OH,Profit &amp; Other Base'!$A:$V,Backend!AH$6,0),"")</f>
        <v/>
      </c>
      <c r="AI160" s="3">
        <f t="shared" si="16"/>
        <v>0</v>
      </c>
      <c r="AL160" s="1" t="str">
        <f t="shared" si="17"/>
        <v/>
      </c>
      <c r="AM160" s="1" t="str">
        <f t="shared" si="18"/>
        <v/>
      </c>
      <c r="AN160" s="1" t="str">
        <f t="shared" si="19"/>
        <v/>
      </c>
      <c r="AO160" s="1" t="str">
        <f t="shared" si="20"/>
        <v/>
      </c>
      <c r="AP160" s="1" t="str">
        <f>IFERROR(ROUND(Backend!$AL160*VLOOKUP($F160,'OH,Profit &amp; Other Base'!$A:$V,Backend!AP$6,0),5),"")</f>
        <v/>
      </c>
      <c r="AQ160" s="1" t="str">
        <f>IFERROR(ROUND(Backend!$AO160*VLOOKUP($F160,'OH,Profit &amp; Other Base'!$A:$V,Backend!AQ$6,0),5),"")</f>
        <v/>
      </c>
      <c r="AR160" s="1" t="str">
        <f>IFERROR(ROUND(Backend!$AM160*VLOOKUP($F160,'OH,Profit &amp; Other Base'!$A:$V,Backend!AR$6,0),5),"")</f>
        <v/>
      </c>
      <c r="AS160" s="1" t="str">
        <f>IFERROR(ROUND(Backend!$AL160*VLOOKUP($F160,'OH,Profit &amp; Other Base'!$A:$V,Backend!AS$6,0),5),"")</f>
        <v/>
      </c>
      <c r="AT160" s="1" t="str">
        <f>IFERROR(ROUND(Backend!$AO160*VLOOKUP($F160,'OH,Profit &amp; Other Base'!$A:$V,Backend!AT$6,0),5),"")</f>
        <v/>
      </c>
      <c r="AU160" s="1" t="str">
        <f>IFERROR(ROUND(Backend!$AM160*VLOOKUP($F160,'OH,Profit &amp; Other Base'!$A:$V,Backend!AU$6,0),5),"")</f>
        <v/>
      </c>
      <c r="AV160" s="1" t="str">
        <f>IFERROR(ROUND(Backend!$AL160*VLOOKUP($F160,'OH,Profit &amp; Other Base'!$A:$V,Backend!AV$6,0),5),"")</f>
        <v/>
      </c>
      <c r="AW160" s="1" t="str">
        <f>IFERROR(ROUND(Backend!$AO160*VLOOKUP($F160,'OH,Profit &amp; Other Base'!$A:$V,Backend!AW$6,0),5),"")</f>
        <v/>
      </c>
      <c r="AX160" s="1" t="str">
        <f>IFERROR(ROUND(Backend!$AM160*VLOOKUP($F160,'OH,Profit &amp; Other Base'!$A:$V,Backend!AX$6,0),5),"")</f>
        <v/>
      </c>
      <c r="AY160" s="1" t="str">
        <f>IFERROR(ROUND(Backend!$AL160*VLOOKUP($F160,'OH,Profit &amp; Other Base'!$A:$V,Backend!AY$6,0),5),"")</f>
        <v/>
      </c>
      <c r="AZ160" s="1" t="str">
        <f>IFERROR(ROUND(Backend!$AO160*VLOOKUP($F160,'OH,Profit &amp; Other Base'!$A:$V,Backend!AZ$6,0),5),"")</f>
        <v/>
      </c>
      <c r="BA160" s="1" t="str">
        <f>IFERROR(ROUND(Backend!$AM160*VLOOKUP($F160,'OH,Profit &amp; Other Base'!$A:$V,Backend!BA$6,0),5),"")</f>
        <v/>
      </c>
      <c r="BB160" s="1" t="str">
        <f>IFERROR(ROUND(Backend!$AL160*VLOOKUP($F160,'OH,Profit &amp; Other Base'!$A:$V,Backend!BB$6,0),5),"")</f>
        <v/>
      </c>
      <c r="BC160" s="1" t="str">
        <f>IFERROR(ROUND(Backend!$AO160*VLOOKUP($F160,'OH,Profit &amp; Other Base'!$A:$V,Backend!BC$6,0),5),"")</f>
        <v/>
      </c>
      <c r="BD160" s="1" t="str">
        <f>IFERROR(ROUND(Backend!$AM160*VLOOKUP($F160,'OH,Profit &amp; Other Base'!$A:$V,Backend!BD$6,0),5),"")</f>
        <v/>
      </c>
      <c r="BE160" s="1" t="str">
        <f>IFERROR(ROUND(Backend!$AL160*VLOOKUP($F160,'OH,Profit &amp; Other Base'!$A:$V,Backend!BE$6,0),5),"")</f>
        <v/>
      </c>
      <c r="BF160" s="1" t="str">
        <f>IFERROR(ROUND(Backend!$AO160*VLOOKUP($F160,'OH,Profit &amp; Other Base'!$A:$V,Backend!BF$6,0),5),"")</f>
        <v/>
      </c>
      <c r="BG160" s="1" t="str">
        <f>IFERROR(ROUND(Backend!$AM160*VLOOKUP($F160,'OH,Profit &amp; Other Base'!$A:$V,Backend!BG$6,0),5),"")</f>
        <v/>
      </c>
      <c r="BH160" s="1" t="str">
        <f>IFERROR(ROUND(Backend!$AL160*VLOOKUP($F160,'OH,Profit &amp; Other Base'!$A:$V,Backend!BH$6,0),5),"")</f>
        <v/>
      </c>
      <c r="BI160" s="1" t="str">
        <f>IFERROR(ROUND(Backend!$AO160*VLOOKUP($F160,'OH,Profit &amp; Other Base'!$A:$V,Backend!BI$6,0),5),"")</f>
        <v/>
      </c>
      <c r="BJ160" s="1" t="str">
        <f>IFERROR(ROUND(Backend!$AM160*VLOOKUP($F160,'OH,Profit &amp; Other Base'!$A:$V,Backend!BJ$6,0),5),"")</f>
        <v/>
      </c>
      <c r="BK160" s="3">
        <f>SUM(AN160:BJ160,Backend!O160)</f>
        <v>0</v>
      </c>
    </row>
    <row r="161" spans="1:63">
      <c r="A161" s="1">
        <f>BOM!A156</f>
        <v>0</v>
      </c>
      <c r="B161" s="1">
        <f>BOM!B156</f>
        <v>0</v>
      </c>
      <c r="C161" s="1">
        <f>BOM!C156</f>
        <v>0</v>
      </c>
      <c r="D161" s="1">
        <f>BOM!D156</f>
        <v>0</v>
      </c>
      <c r="E161" s="1">
        <f>BOM!F156</f>
        <v>0</v>
      </c>
      <c r="F161" s="1" t="str">
        <f>IF(H161="CSC",BOM!H156,IF(J161="BOFOthers","Sheet Metal-B",""))</f>
        <v/>
      </c>
      <c r="G161" s="1">
        <f>BOM!I156</f>
        <v>0</v>
      </c>
      <c r="H161" s="1">
        <f>BOM!J156</f>
        <v>0</v>
      </c>
      <c r="I161" s="1" t="str">
        <f t="shared" si="14"/>
        <v>Others</v>
      </c>
      <c r="J161" s="1" t="str">
        <f t="shared" si="15"/>
        <v>0Others</v>
      </c>
      <c r="K161" s="3" t="str">
        <f>IF($J161="InhouseCSC",VLOOKUP($D161,Group!$C:$E,3,0),"")</f>
        <v/>
      </c>
      <c r="L161" s="3" t="str">
        <f>IF(OR($J161="BOSFCSC",$J161="BOFCSC"),VLOOKUP($D161,Group!$C:$E,3,0),"")</f>
        <v/>
      </c>
      <c r="M161" s="3" t="str">
        <f>IF(OR($J161="BOSFCSC",$J161="BOFCSC"),VLOOKUP($D161,Group!$C:$F,4,0),"")</f>
        <v/>
      </c>
      <c r="N161" s="3" t="str">
        <f>IF(OR($J161="InhouseCSC",$J161="BOSFCSC"),VLOOKUP($D161,Group!$C:$G,5,0),"")</f>
        <v/>
      </c>
      <c r="O161" s="3" t="str">
        <f>IF($J161="InhouseCSC",ROUND(VLOOKUP($D161,Group!$C:$H,6,0),5),"")</f>
        <v/>
      </c>
      <c r="P161" s="3" t="str">
        <f>IF(OR($J161="BOSFCSC",$J161="BOFCSC"),VLOOKUP($D161,Group!$C:$H,6,0),"")</f>
        <v/>
      </c>
      <c r="Q161" s="1" t="str">
        <f>IF($J161="Inhouseothers",VLOOKUP($D161,Group!$C:$E,3,0),"")</f>
        <v/>
      </c>
      <c r="R161" s="1" t="str">
        <f>IF($J161="BOSFOthers",VLOOKUP($D161,Group!$C:$E,3,0),"")</f>
        <v/>
      </c>
      <c r="S161" s="3" t="str">
        <f>IF($J161="BOFOthers",VLOOKUP($D161,Group!$C:$E,3,0),"")</f>
        <v/>
      </c>
      <c r="U161" s="1" t="str">
        <f>IFERROR(Backend!$L161*VLOOKUP($F161,'OH,Profit &amp; Other Base'!$A:$V,Backend!U$6,0),"")</f>
        <v/>
      </c>
      <c r="V161" s="1" t="str">
        <f>IFERROR(Backend!$M161*VLOOKUP($F161,'OH,Profit &amp; Other Base'!$A:$V,Backend!V$6,0),"")</f>
        <v/>
      </c>
      <c r="W161" s="1" t="str">
        <f>IFERROR(Backend!$L161*VLOOKUP($F161,'OH,Profit &amp; Other Base'!$A:$V,Backend!W$6,0),"")</f>
        <v/>
      </c>
      <c r="X161" s="1" t="str">
        <f>IFERROR(Backend!$M161*VLOOKUP($F161,'OH,Profit &amp; Other Base'!$A:$V,Backend!X$6,0),"")</f>
        <v/>
      </c>
      <c r="Y161" s="1" t="str">
        <f>IFERROR(Backend!$L161*VLOOKUP($F161,'OH,Profit &amp; Other Base'!$A:$V,Backend!Y$6,0),"")</f>
        <v/>
      </c>
      <c r="Z161" s="1" t="str">
        <f>IFERROR(Backend!$M161*VLOOKUP($F161,'OH,Profit &amp; Other Base'!$A:$V,Backend!Z$6,0),"")</f>
        <v/>
      </c>
      <c r="AA161" s="1" t="str">
        <f>IFERROR(Backend!$L161*VLOOKUP($F161,'OH,Profit &amp; Other Base'!$A:$V,Backend!AA$6,0),"")</f>
        <v/>
      </c>
      <c r="AB161" s="1" t="str">
        <f>IFERROR(Backend!$M161*VLOOKUP($F161,'OH,Profit &amp; Other Base'!$A:$V,Backend!AB$6,0),"")</f>
        <v/>
      </c>
      <c r="AC161" s="1" t="str">
        <f>IFERROR(Backend!$L161*VLOOKUP($F161,'OH,Profit &amp; Other Base'!$A:$V,Backend!AC$6,0),"")</f>
        <v/>
      </c>
      <c r="AD161" s="1" t="str">
        <f>IFERROR(Backend!$M161*VLOOKUP($F161,'OH,Profit &amp; Other Base'!$A:$V,Backend!AD$6,0),"")</f>
        <v/>
      </c>
      <c r="AE161" s="1" t="str">
        <f>IFERROR(Backend!$L161*VLOOKUP($F161,'OH,Profit &amp; Other Base'!$A:$V,Backend!AE$6,0),"")</f>
        <v/>
      </c>
      <c r="AF161" s="1" t="str">
        <f>IFERROR(Backend!$M161*VLOOKUP($F161,'OH,Profit &amp; Other Base'!$A:$V,Backend!AF$6,0),"")</f>
        <v/>
      </c>
      <c r="AG161" s="1" t="str">
        <f>IFERROR(Backend!$L161*VLOOKUP($F161,'OH,Profit &amp; Other Base'!$A:$V,Backend!AG$6,0),"")</f>
        <v/>
      </c>
      <c r="AH161" s="1" t="str">
        <f>IFERROR(Backend!$M161*VLOOKUP($F161,'OH,Profit &amp; Other Base'!$A:$V,Backend!AH$6,0),"")</f>
        <v/>
      </c>
      <c r="AI161" s="3">
        <f t="shared" si="16"/>
        <v>0</v>
      </c>
      <c r="AL161" s="1" t="str">
        <f t="shared" si="17"/>
        <v/>
      </c>
      <c r="AM161" s="1" t="str">
        <f t="shared" si="18"/>
        <v/>
      </c>
      <c r="AN161" s="1" t="str">
        <f t="shared" si="19"/>
        <v/>
      </c>
      <c r="AO161" s="1" t="str">
        <f t="shared" si="20"/>
        <v/>
      </c>
      <c r="AP161" s="1" t="str">
        <f>IFERROR(ROUND(Backend!$AL161*VLOOKUP($F161,'OH,Profit &amp; Other Base'!$A:$V,Backend!AP$6,0),5),"")</f>
        <v/>
      </c>
      <c r="AQ161" s="1" t="str">
        <f>IFERROR(ROUND(Backend!$AO161*VLOOKUP($F161,'OH,Profit &amp; Other Base'!$A:$V,Backend!AQ$6,0),5),"")</f>
        <v/>
      </c>
      <c r="AR161" s="1" t="str">
        <f>IFERROR(ROUND(Backend!$AM161*VLOOKUP($F161,'OH,Profit &amp; Other Base'!$A:$V,Backend!AR$6,0),5),"")</f>
        <v/>
      </c>
      <c r="AS161" s="1" t="str">
        <f>IFERROR(ROUND(Backend!$AL161*VLOOKUP($F161,'OH,Profit &amp; Other Base'!$A:$V,Backend!AS$6,0),5),"")</f>
        <v/>
      </c>
      <c r="AT161" s="1" t="str">
        <f>IFERROR(ROUND(Backend!$AO161*VLOOKUP($F161,'OH,Profit &amp; Other Base'!$A:$V,Backend!AT$6,0),5),"")</f>
        <v/>
      </c>
      <c r="AU161" s="1" t="str">
        <f>IFERROR(ROUND(Backend!$AM161*VLOOKUP($F161,'OH,Profit &amp; Other Base'!$A:$V,Backend!AU$6,0),5),"")</f>
        <v/>
      </c>
      <c r="AV161" s="1" t="str">
        <f>IFERROR(ROUND(Backend!$AL161*VLOOKUP($F161,'OH,Profit &amp; Other Base'!$A:$V,Backend!AV$6,0),5),"")</f>
        <v/>
      </c>
      <c r="AW161" s="1" t="str">
        <f>IFERROR(ROUND(Backend!$AO161*VLOOKUP($F161,'OH,Profit &amp; Other Base'!$A:$V,Backend!AW$6,0),5),"")</f>
        <v/>
      </c>
      <c r="AX161" s="1" t="str">
        <f>IFERROR(ROUND(Backend!$AM161*VLOOKUP($F161,'OH,Profit &amp; Other Base'!$A:$V,Backend!AX$6,0),5),"")</f>
        <v/>
      </c>
      <c r="AY161" s="1" t="str">
        <f>IFERROR(ROUND(Backend!$AL161*VLOOKUP($F161,'OH,Profit &amp; Other Base'!$A:$V,Backend!AY$6,0),5),"")</f>
        <v/>
      </c>
      <c r="AZ161" s="1" t="str">
        <f>IFERROR(ROUND(Backend!$AO161*VLOOKUP($F161,'OH,Profit &amp; Other Base'!$A:$V,Backend!AZ$6,0),5),"")</f>
        <v/>
      </c>
      <c r="BA161" s="1" t="str">
        <f>IFERROR(ROUND(Backend!$AM161*VLOOKUP($F161,'OH,Profit &amp; Other Base'!$A:$V,Backend!BA$6,0),5),"")</f>
        <v/>
      </c>
      <c r="BB161" s="1" t="str">
        <f>IFERROR(ROUND(Backend!$AL161*VLOOKUP($F161,'OH,Profit &amp; Other Base'!$A:$V,Backend!BB$6,0),5),"")</f>
        <v/>
      </c>
      <c r="BC161" s="1" t="str">
        <f>IFERROR(ROUND(Backend!$AO161*VLOOKUP($F161,'OH,Profit &amp; Other Base'!$A:$V,Backend!BC$6,0),5),"")</f>
        <v/>
      </c>
      <c r="BD161" s="1" t="str">
        <f>IFERROR(ROUND(Backend!$AM161*VLOOKUP($F161,'OH,Profit &amp; Other Base'!$A:$V,Backend!BD$6,0),5),"")</f>
        <v/>
      </c>
      <c r="BE161" s="1" t="str">
        <f>IFERROR(ROUND(Backend!$AL161*VLOOKUP($F161,'OH,Profit &amp; Other Base'!$A:$V,Backend!BE$6,0),5),"")</f>
        <v/>
      </c>
      <c r="BF161" s="1" t="str">
        <f>IFERROR(ROUND(Backend!$AO161*VLOOKUP($F161,'OH,Profit &amp; Other Base'!$A:$V,Backend!BF$6,0),5),"")</f>
        <v/>
      </c>
      <c r="BG161" s="1" t="str">
        <f>IFERROR(ROUND(Backend!$AM161*VLOOKUP($F161,'OH,Profit &amp; Other Base'!$A:$V,Backend!BG$6,0),5),"")</f>
        <v/>
      </c>
      <c r="BH161" s="1" t="str">
        <f>IFERROR(ROUND(Backend!$AL161*VLOOKUP($F161,'OH,Profit &amp; Other Base'!$A:$V,Backend!BH$6,0),5),"")</f>
        <v/>
      </c>
      <c r="BI161" s="1" t="str">
        <f>IFERROR(ROUND(Backend!$AO161*VLOOKUP($F161,'OH,Profit &amp; Other Base'!$A:$V,Backend!BI$6,0),5),"")</f>
        <v/>
      </c>
      <c r="BJ161" s="1" t="str">
        <f>IFERROR(ROUND(Backend!$AM161*VLOOKUP($F161,'OH,Profit &amp; Other Base'!$A:$V,Backend!BJ$6,0),5),"")</f>
        <v/>
      </c>
      <c r="BK161" s="3">
        <f>SUM(AN161:BJ161,Backend!O161)</f>
        <v>0</v>
      </c>
    </row>
    <row r="162" spans="1:63">
      <c r="A162" s="1">
        <f>BOM!A157</f>
        <v>0</v>
      </c>
      <c r="B162" s="1">
        <f>BOM!B157</f>
        <v>0</v>
      </c>
      <c r="C162" s="1">
        <f>BOM!C157</f>
        <v>0</v>
      </c>
      <c r="D162" s="1">
        <f>BOM!D157</f>
        <v>0</v>
      </c>
      <c r="E162" s="1">
        <f>BOM!F157</f>
        <v>0</v>
      </c>
      <c r="F162" s="1" t="str">
        <f>IF(H162="CSC",BOM!H157,IF(J162="BOFOthers","Sheet Metal-B",""))</f>
        <v/>
      </c>
      <c r="G162" s="1">
        <f>BOM!I157</f>
        <v>0</v>
      </c>
      <c r="H162" s="1">
        <f>BOM!J157</f>
        <v>0</v>
      </c>
      <c r="I162" s="1" t="str">
        <f t="shared" si="14"/>
        <v>Others</v>
      </c>
      <c r="J162" s="1" t="str">
        <f t="shared" si="15"/>
        <v>0Others</v>
      </c>
      <c r="K162" s="3" t="str">
        <f>IF($J162="InhouseCSC",VLOOKUP($D162,Group!$C:$E,3,0),"")</f>
        <v/>
      </c>
      <c r="L162" s="3" t="str">
        <f>IF(OR($J162="BOSFCSC",$J162="BOFCSC"),VLOOKUP($D162,Group!$C:$E,3,0),"")</f>
        <v/>
      </c>
      <c r="M162" s="3" t="str">
        <f>IF(OR($J162="BOSFCSC",$J162="BOFCSC"),VLOOKUP($D162,Group!$C:$F,4,0),"")</f>
        <v/>
      </c>
      <c r="N162" s="3" t="str">
        <f>IF(OR($J162="InhouseCSC",$J162="BOSFCSC"),VLOOKUP($D162,Group!$C:$G,5,0),"")</f>
        <v/>
      </c>
      <c r="O162" s="3" t="str">
        <f>IF($J162="InhouseCSC",ROUND(VLOOKUP($D162,Group!$C:$H,6,0),5),"")</f>
        <v/>
      </c>
      <c r="P162" s="3" t="str">
        <f>IF(OR($J162="BOSFCSC",$J162="BOFCSC"),VLOOKUP($D162,Group!$C:$H,6,0),"")</f>
        <v/>
      </c>
      <c r="Q162" s="1" t="str">
        <f>IF($J162="Inhouseothers",VLOOKUP($D162,Group!$C:$E,3,0),"")</f>
        <v/>
      </c>
      <c r="R162" s="1" t="str">
        <f>IF($J162="BOSFOthers",VLOOKUP($D162,Group!$C:$E,3,0),"")</f>
        <v/>
      </c>
      <c r="S162" s="3" t="str">
        <f>IF($J162="BOFOthers",VLOOKUP($D162,Group!$C:$E,3,0),"")</f>
        <v/>
      </c>
      <c r="U162" s="1" t="str">
        <f>IFERROR(Backend!$L162*VLOOKUP($F162,'OH,Profit &amp; Other Base'!$A:$V,Backend!U$6,0),"")</f>
        <v/>
      </c>
      <c r="V162" s="1" t="str">
        <f>IFERROR(Backend!$M162*VLOOKUP($F162,'OH,Profit &amp; Other Base'!$A:$V,Backend!V$6,0),"")</f>
        <v/>
      </c>
      <c r="W162" s="1" t="str">
        <f>IFERROR(Backend!$L162*VLOOKUP($F162,'OH,Profit &amp; Other Base'!$A:$V,Backend!W$6,0),"")</f>
        <v/>
      </c>
      <c r="X162" s="1" t="str">
        <f>IFERROR(Backend!$M162*VLOOKUP($F162,'OH,Profit &amp; Other Base'!$A:$V,Backend!X$6,0),"")</f>
        <v/>
      </c>
      <c r="Y162" s="1" t="str">
        <f>IFERROR(Backend!$L162*VLOOKUP($F162,'OH,Profit &amp; Other Base'!$A:$V,Backend!Y$6,0),"")</f>
        <v/>
      </c>
      <c r="Z162" s="1" t="str">
        <f>IFERROR(Backend!$M162*VLOOKUP($F162,'OH,Profit &amp; Other Base'!$A:$V,Backend!Z$6,0),"")</f>
        <v/>
      </c>
      <c r="AA162" s="1" t="str">
        <f>IFERROR(Backend!$L162*VLOOKUP($F162,'OH,Profit &amp; Other Base'!$A:$V,Backend!AA$6,0),"")</f>
        <v/>
      </c>
      <c r="AB162" s="1" t="str">
        <f>IFERROR(Backend!$M162*VLOOKUP($F162,'OH,Profit &amp; Other Base'!$A:$V,Backend!AB$6,0),"")</f>
        <v/>
      </c>
      <c r="AC162" s="1" t="str">
        <f>IFERROR(Backend!$L162*VLOOKUP($F162,'OH,Profit &amp; Other Base'!$A:$V,Backend!AC$6,0),"")</f>
        <v/>
      </c>
      <c r="AD162" s="1" t="str">
        <f>IFERROR(Backend!$M162*VLOOKUP($F162,'OH,Profit &amp; Other Base'!$A:$V,Backend!AD$6,0),"")</f>
        <v/>
      </c>
      <c r="AE162" s="1" t="str">
        <f>IFERROR(Backend!$L162*VLOOKUP($F162,'OH,Profit &amp; Other Base'!$A:$V,Backend!AE$6,0),"")</f>
        <v/>
      </c>
      <c r="AF162" s="1" t="str">
        <f>IFERROR(Backend!$M162*VLOOKUP($F162,'OH,Profit &amp; Other Base'!$A:$V,Backend!AF$6,0),"")</f>
        <v/>
      </c>
      <c r="AG162" s="1" t="str">
        <f>IFERROR(Backend!$L162*VLOOKUP($F162,'OH,Profit &amp; Other Base'!$A:$V,Backend!AG$6,0),"")</f>
        <v/>
      </c>
      <c r="AH162" s="1" t="str">
        <f>IFERROR(Backend!$M162*VLOOKUP($F162,'OH,Profit &amp; Other Base'!$A:$V,Backend!AH$6,0),"")</f>
        <v/>
      </c>
      <c r="AI162" s="3">
        <f t="shared" si="16"/>
        <v>0</v>
      </c>
      <c r="AL162" s="1" t="str">
        <f t="shared" si="17"/>
        <v/>
      </c>
      <c r="AM162" s="1" t="str">
        <f t="shared" si="18"/>
        <v/>
      </c>
      <c r="AN162" s="1" t="str">
        <f t="shared" si="19"/>
        <v/>
      </c>
      <c r="AO162" s="1" t="str">
        <f t="shared" si="20"/>
        <v/>
      </c>
      <c r="AP162" s="1" t="str">
        <f>IFERROR(ROUND(Backend!$AL162*VLOOKUP($F162,'OH,Profit &amp; Other Base'!$A:$V,Backend!AP$6,0),5),"")</f>
        <v/>
      </c>
      <c r="AQ162" s="1" t="str">
        <f>IFERROR(ROUND(Backend!$AO162*VLOOKUP($F162,'OH,Profit &amp; Other Base'!$A:$V,Backend!AQ$6,0),5),"")</f>
        <v/>
      </c>
      <c r="AR162" s="1" t="str">
        <f>IFERROR(ROUND(Backend!$AM162*VLOOKUP($F162,'OH,Profit &amp; Other Base'!$A:$V,Backend!AR$6,0),5),"")</f>
        <v/>
      </c>
      <c r="AS162" s="1" t="str">
        <f>IFERROR(ROUND(Backend!$AL162*VLOOKUP($F162,'OH,Profit &amp; Other Base'!$A:$V,Backend!AS$6,0),5),"")</f>
        <v/>
      </c>
      <c r="AT162" s="1" t="str">
        <f>IFERROR(ROUND(Backend!$AO162*VLOOKUP($F162,'OH,Profit &amp; Other Base'!$A:$V,Backend!AT$6,0),5),"")</f>
        <v/>
      </c>
      <c r="AU162" s="1" t="str">
        <f>IFERROR(ROUND(Backend!$AM162*VLOOKUP($F162,'OH,Profit &amp; Other Base'!$A:$V,Backend!AU$6,0),5),"")</f>
        <v/>
      </c>
      <c r="AV162" s="1" t="str">
        <f>IFERROR(ROUND(Backend!$AL162*VLOOKUP($F162,'OH,Profit &amp; Other Base'!$A:$V,Backend!AV$6,0),5),"")</f>
        <v/>
      </c>
      <c r="AW162" s="1" t="str">
        <f>IFERROR(ROUND(Backend!$AO162*VLOOKUP($F162,'OH,Profit &amp; Other Base'!$A:$V,Backend!AW$6,0),5),"")</f>
        <v/>
      </c>
      <c r="AX162" s="1" t="str">
        <f>IFERROR(ROUND(Backend!$AM162*VLOOKUP($F162,'OH,Profit &amp; Other Base'!$A:$V,Backend!AX$6,0),5),"")</f>
        <v/>
      </c>
      <c r="AY162" s="1" t="str">
        <f>IFERROR(ROUND(Backend!$AL162*VLOOKUP($F162,'OH,Profit &amp; Other Base'!$A:$V,Backend!AY$6,0),5),"")</f>
        <v/>
      </c>
      <c r="AZ162" s="1" t="str">
        <f>IFERROR(ROUND(Backend!$AO162*VLOOKUP($F162,'OH,Profit &amp; Other Base'!$A:$V,Backend!AZ$6,0),5),"")</f>
        <v/>
      </c>
      <c r="BA162" s="1" t="str">
        <f>IFERROR(ROUND(Backend!$AM162*VLOOKUP($F162,'OH,Profit &amp; Other Base'!$A:$V,Backend!BA$6,0),5),"")</f>
        <v/>
      </c>
      <c r="BB162" s="1" t="str">
        <f>IFERROR(ROUND(Backend!$AL162*VLOOKUP($F162,'OH,Profit &amp; Other Base'!$A:$V,Backend!BB$6,0),5),"")</f>
        <v/>
      </c>
      <c r="BC162" s="1" t="str">
        <f>IFERROR(ROUND(Backend!$AO162*VLOOKUP($F162,'OH,Profit &amp; Other Base'!$A:$V,Backend!BC$6,0),5),"")</f>
        <v/>
      </c>
      <c r="BD162" s="1" t="str">
        <f>IFERROR(ROUND(Backend!$AM162*VLOOKUP($F162,'OH,Profit &amp; Other Base'!$A:$V,Backend!BD$6,0),5),"")</f>
        <v/>
      </c>
      <c r="BE162" s="1" t="str">
        <f>IFERROR(ROUND(Backend!$AL162*VLOOKUP($F162,'OH,Profit &amp; Other Base'!$A:$V,Backend!BE$6,0),5),"")</f>
        <v/>
      </c>
      <c r="BF162" s="1" t="str">
        <f>IFERROR(ROUND(Backend!$AO162*VLOOKUP($F162,'OH,Profit &amp; Other Base'!$A:$V,Backend!BF$6,0),5),"")</f>
        <v/>
      </c>
      <c r="BG162" s="1" t="str">
        <f>IFERROR(ROUND(Backend!$AM162*VLOOKUP($F162,'OH,Profit &amp; Other Base'!$A:$V,Backend!BG$6,0),5),"")</f>
        <v/>
      </c>
      <c r="BH162" s="1" t="str">
        <f>IFERROR(ROUND(Backend!$AL162*VLOOKUP($F162,'OH,Profit &amp; Other Base'!$A:$V,Backend!BH$6,0),5),"")</f>
        <v/>
      </c>
      <c r="BI162" s="1" t="str">
        <f>IFERROR(ROUND(Backend!$AO162*VLOOKUP($F162,'OH,Profit &amp; Other Base'!$A:$V,Backend!BI$6,0),5),"")</f>
        <v/>
      </c>
      <c r="BJ162" s="1" t="str">
        <f>IFERROR(ROUND(Backend!$AM162*VLOOKUP($F162,'OH,Profit &amp; Other Base'!$A:$V,Backend!BJ$6,0),5),"")</f>
        <v/>
      </c>
      <c r="BK162" s="3">
        <f>SUM(AN162:BJ162,Backend!O162)</f>
        <v>0</v>
      </c>
    </row>
    <row r="163" spans="1:63">
      <c r="A163" s="1">
        <f>BOM!A158</f>
        <v>0</v>
      </c>
      <c r="B163" s="1">
        <f>BOM!B158</f>
        <v>0</v>
      </c>
      <c r="C163" s="1">
        <f>BOM!C158</f>
        <v>0</v>
      </c>
      <c r="D163" s="1">
        <f>BOM!D158</f>
        <v>0</v>
      </c>
      <c r="E163" s="1">
        <f>BOM!F158</f>
        <v>0</v>
      </c>
      <c r="F163" s="1" t="str">
        <f>IF(H163="CSC",BOM!H158,IF(J163="BOFOthers","Sheet Metal-B",""))</f>
        <v/>
      </c>
      <c r="G163" s="1">
        <f>BOM!I158</f>
        <v>0</v>
      </c>
      <c r="H163" s="1">
        <f>BOM!J158</f>
        <v>0</v>
      </c>
      <c r="I163" s="1" t="str">
        <f t="shared" si="14"/>
        <v>Others</v>
      </c>
      <c r="J163" s="1" t="str">
        <f t="shared" si="15"/>
        <v>0Others</v>
      </c>
      <c r="K163" s="3" t="str">
        <f>IF($J163="InhouseCSC",VLOOKUP($D163,Group!$C:$E,3,0),"")</f>
        <v/>
      </c>
      <c r="L163" s="3" t="str">
        <f>IF(OR($J163="BOSFCSC",$J163="BOFCSC"),VLOOKUP($D163,Group!$C:$E,3,0),"")</f>
        <v/>
      </c>
      <c r="M163" s="3" t="str">
        <f>IF(OR($J163="BOSFCSC",$J163="BOFCSC"),VLOOKUP($D163,Group!$C:$F,4,0),"")</f>
        <v/>
      </c>
      <c r="N163" s="3" t="str">
        <f>IF(OR($J163="InhouseCSC",$J163="BOSFCSC"),VLOOKUP($D163,Group!$C:$G,5,0),"")</f>
        <v/>
      </c>
      <c r="O163" s="3" t="str">
        <f>IF($J163="InhouseCSC",ROUND(VLOOKUP($D163,Group!$C:$H,6,0),5),"")</f>
        <v/>
      </c>
      <c r="P163" s="3" t="str">
        <f>IF(OR($J163="BOSFCSC",$J163="BOFCSC"),VLOOKUP($D163,Group!$C:$H,6,0),"")</f>
        <v/>
      </c>
      <c r="Q163" s="1" t="str">
        <f>IF($J163="Inhouseothers",VLOOKUP($D163,Group!$C:$E,3,0),"")</f>
        <v/>
      </c>
      <c r="R163" s="1" t="str">
        <f>IF($J163="BOSFOthers",VLOOKUP($D163,Group!$C:$E,3,0),"")</f>
        <v/>
      </c>
      <c r="S163" s="3" t="str">
        <f>IF($J163="BOFOthers",VLOOKUP($D163,Group!$C:$E,3,0),"")</f>
        <v/>
      </c>
      <c r="U163" s="1" t="str">
        <f>IFERROR(Backend!$L163*VLOOKUP($F163,'OH,Profit &amp; Other Base'!$A:$V,Backend!U$6,0),"")</f>
        <v/>
      </c>
      <c r="V163" s="1" t="str">
        <f>IFERROR(Backend!$M163*VLOOKUP($F163,'OH,Profit &amp; Other Base'!$A:$V,Backend!V$6,0),"")</f>
        <v/>
      </c>
      <c r="W163" s="1" t="str">
        <f>IFERROR(Backend!$L163*VLOOKUP($F163,'OH,Profit &amp; Other Base'!$A:$V,Backend!W$6,0),"")</f>
        <v/>
      </c>
      <c r="X163" s="1" t="str">
        <f>IFERROR(Backend!$M163*VLOOKUP($F163,'OH,Profit &amp; Other Base'!$A:$V,Backend!X$6,0),"")</f>
        <v/>
      </c>
      <c r="Y163" s="1" t="str">
        <f>IFERROR(Backend!$L163*VLOOKUP($F163,'OH,Profit &amp; Other Base'!$A:$V,Backend!Y$6,0),"")</f>
        <v/>
      </c>
      <c r="Z163" s="1" t="str">
        <f>IFERROR(Backend!$M163*VLOOKUP($F163,'OH,Profit &amp; Other Base'!$A:$V,Backend!Z$6,0),"")</f>
        <v/>
      </c>
      <c r="AA163" s="1" t="str">
        <f>IFERROR(Backend!$L163*VLOOKUP($F163,'OH,Profit &amp; Other Base'!$A:$V,Backend!AA$6,0),"")</f>
        <v/>
      </c>
      <c r="AB163" s="1" t="str">
        <f>IFERROR(Backend!$M163*VLOOKUP($F163,'OH,Profit &amp; Other Base'!$A:$V,Backend!AB$6,0),"")</f>
        <v/>
      </c>
      <c r="AC163" s="1" t="str">
        <f>IFERROR(Backend!$L163*VLOOKUP($F163,'OH,Profit &amp; Other Base'!$A:$V,Backend!AC$6,0),"")</f>
        <v/>
      </c>
      <c r="AD163" s="1" t="str">
        <f>IFERROR(Backend!$M163*VLOOKUP($F163,'OH,Profit &amp; Other Base'!$A:$V,Backend!AD$6,0),"")</f>
        <v/>
      </c>
      <c r="AE163" s="1" t="str">
        <f>IFERROR(Backend!$L163*VLOOKUP($F163,'OH,Profit &amp; Other Base'!$A:$V,Backend!AE$6,0),"")</f>
        <v/>
      </c>
      <c r="AF163" s="1" t="str">
        <f>IFERROR(Backend!$M163*VLOOKUP($F163,'OH,Profit &amp; Other Base'!$A:$V,Backend!AF$6,0),"")</f>
        <v/>
      </c>
      <c r="AG163" s="1" t="str">
        <f>IFERROR(Backend!$L163*VLOOKUP($F163,'OH,Profit &amp; Other Base'!$A:$V,Backend!AG$6,0),"")</f>
        <v/>
      </c>
      <c r="AH163" s="1" t="str">
        <f>IFERROR(Backend!$M163*VLOOKUP($F163,'OH,Profit &amp; Other Base'!$A:$V,Backend!AH$6,0),"")</f>
        <v/>
      </c>
      <c r="AI163" s="3">
        <f t="shared" si="16"/>
        <v>0</v>
      </c>
      <c r="AL163" s="1" t="str">
        <f t="shared" si="17"/>
        <v/>
      </c>
      <c r="AM163" s="1" t="str">
        <f t="shared" si="18"/>
        <v/>
      </c>
      <c r="AN163" s="1" t="str">
        <f t="shared" si="19"/>
        <v/>
      </c>
      <c r="AO163" s="1" t="str">
        <f t="shared" si="20"/>
        <v/>
      </c>
      <c r="AP163" s="1" t="str">
        <f>IFERROR(ROUND(Backend!$AL163*VLOOKUP($F163,'OH,Profit &amp; Other Base'!$A:$V,Backend!AP$6,0),5),"")</f>
        <v/>
      </c>
      <c r="AQ163" s="1" t="str">
        <f>IFERROR(ROUND(Backend!$AO163*VLOOKUP($F163,'OH,Profit &amp; Other Base'!$A:$V,Backend!AQ$6,0),5),"")</f>
        <v/>
      </c>
      <c r="AR163" s="1" t="str">
        <f>IFERROR(ROUND(Backend!$AM163*VLOOKUP($F163,'OH,Profit &amp; Other Base'!$A:$V,Backend!AR$6,0),5),"")</f>
        <v/>
      </c>
      <c r="AS163" s="1" t="str">
        <f>IFERROR(ROUND(Backend!$AL163*VLOOKUP($F163,'OH,Profit &amp; Other Base'!$A:$V,Backend!AS$6,0),5),"")</f>
        <v/>
      </c>
      <c r="AT163" s="1" t="str">
        <f>IFERROR(ROUND(Backend!$AO163*VLOOKUP($F163,'OH,Profit &amp; Other Base'!$A:$V,Backend!AT$6,0),5),"")</f>
        <v/>
      </c>
      <c r="AU163" s="1" t="str">
        <f>IFERROR(ROUND(Backend!$AM163*VLOOKUP($F163,'OH,Profit &amp; Other Base'!$A:$V,Backend!AU$6,0),5),"")</f>
        <v/>
      </c>
      <c r="AV163" s="1" t="str">
        <f>IFERROR(ROUND(Backend!$AL163*VLOOKUP($F163,'OH,Profit &amp; Other Base'!$A:$V,Backend!AV$6,0),5),"")</f>
        <v/>
      </c>
      <c r="AW163" s="1" t="str">
        <f>IFERROR(ROUND(Backend!$AO163*VLOOKUP($F163,'OH,Profit &amp; Other Base'!$A:$V,Backend!AW$6,0),5),"")</f>
        <v/>
      </c>
      <c r="AX163" s="1" t="str">
        <f>IFERROR(ROUND(Backend!$AM163*VLOOKUP($F163,'OH,Profit &amp; Other Base'!$A:$V,Backend!AX$6,0),5),"")</f>
        <v/>
      </c>
      <c r="AY163" s="1" t="str">
        <f>IFERROR(ROUND(Backend!$AL163*VLOOKUP($F163,'OH,Profit &amp; Other Base'!$A:$V,Backend!AY$6,0),5),"")</f>
        <v/>
      </c>
      <c r="AZ163" s="1" t="str">
        <f>IFERROR(ROUND(Backend!$AO163*VLOOKUP($F163,'OH,Profit &amp; Other Base'!$A:$V,Backend!AZ$6,0),5),"")</f>
        <v/>
      </c>
      <c r="BA163" s="1" t="str">
        <f>IFERROR(ROUND(Backend!$AM163*VLOOKUP($F163,'OH,Profit &amp; Other Base'!$A:$V,Backend!BA$6,0),5),"")</f>
        <v/>
      </c>
      <c r="BB163" s="1" t="str">
        <f>IFERROR(ROUND(Backend!$AL163*VLOOKUP($F163,'OH,Profit &amp; Other Base'!$A:$V,Backend!BB$6,0),5),"")</f>
        <v/>
      </c>
      <c r="BC163" s="1" t="str">
        <f>IFERROR(ROUND(Backend!$AO163*VLOOKUP($F163,'OH,Profit &amp; Other Base'!$A:$V,Backend!BC$6,0),5),"")</f>
        <v/>
      </c>
      <c r="BD163" s="1" t="str">
        <f>IFERROR(ROUND(Backend!$AM163*VLOOKUP($F163,'OH,Profit &amp; Other Base'!$A:$V,Backend!BD$6,0),5),"")</f>
        <v/>
      </c>
      <c r="BE163" s="1" t="str">
        <f>IFERROR(ROUND(Backend!$AL163*VLOOKUP($F163,'OH,Profit &amp; Other Base'!$A:$V,Backend!BE$6,0),5),"")</f>
        <v/>
      </c>
      <c r="BF163" s="1" t="str">
        <f>IFERROR(ROUND(Backend!$AO163*VLOOKUP($F163,'OH,Profit &amp; Other Base'!$A:$V,Backend!BF$6,0),5),"")</f>
        <v/>
      </c>
      <c r="BG163" s="1" t="str">
        <f>IFERROR(ROUND(Backend!$AM163*VLOOKUP($F163,'OH,Profit &amp; Other Base'!$A:$V,Backend!BG$6,0),5),"")</f>
        <v/>
      </c>
      <c r="BH163" s="1" t="str">
        <f>IFERROR(ROUND(Backend!$AL163*VLOOKUP($F163,'OH,Profit &amp; Other Base'!$A:$V,Backend!BH$6,0),5),"")</f>
        <v/>
      </c>
      <c r="BI163" s="1" t="str">
        <f>IFERROR(ROUND(Backend!$AO163*VLOOKUP($F163,'OH,Profit &amp; Other Base'!$A:$V,Backend!BI$6,0),5),"")</f>
        <v/>
      </c>
      <c r="BJ163" s="1" t="str">
        <f>IFERROR(ROUND(Backend!$AM163*VLOOKUP($F163,'OH,Profit &amp; Other Base'!$A:$V,Backend!BJ$6,0),5),"")</f>
        <v/>
      </c>
      <c r="BK163" s="3">
        <f>SUM(AN163:BJ163,Backend!O163)</f>
        <v>0</v>
      </c>
    </row>
    <row r="164" spans="1:63">
      <c r="A164" s="1">
        <f>BOM!A159</f>
        <v>0</v>
      </c>
      <c r="B164" s="1">
        <f>BOM!B159</f>
        <v>0</v>
      </c>
      <c r="C164" s="1">
        <f>BOM!C159</f>
        <v>0</v>
      </c>
      <c r="D164" s="1">
        <f>BOM!D159</f>
        <v>0</v>
      </c>
      <c r="E164" s="1">
        <f>BOM!F159</f>
        <v>0</v>
      </c>
      <c r="F164" s="1" t="str">
        <f>IF(H164="CSC",BOM!H159,IF(J164="BOFOthers","Sheet Metal-B",""))</f>
        <v/>
      </c>
      <c r="G164" s="1">
        <f>BOM!I159</f>
        <v>0</v>
      </c>
      <c r="H164" s="1">
        <f>BOM!J159</f>
        <v>0</v>
      </c>
      <c r="I164" s="1" t="str">
        <f t="shared" si="14"/>
        <v>Others</v>
      </c>
      <c r="J164" s="1" t="str">
        <f t="shared" si="15"/>
        <v>0Others</v>
      </c>
      <c r="K164" s="3" t="str">
        <f>IF($J164="InhouseCSC",VLOOKUP($D164,Group!$C:$E,3,0),"")</f>
        <v/>
      </c>
      <c r="L164" s="3" t="str">
        <f>IF(OR($J164="BOSFCSC",$J164="BOFCSC"),VLOOKUP($D164,Group!$C:$E,3,0),"")</f>
        <v/>
      </c>
      <c r="M164" s="3" t="str">
        <f>IF(OR($J164="BOSFCSC",$J164="BOFCSC"),VLOOKUP($D164,Group!$C:$F,4,0),"")</f>
        <v/>
      </c>
      <c r="N164" s="3" t="str">
        <f>IF(OR($J164="InhouseCSC",$J164="BOSFCSC"),VLOOKUP($D164,Group!$C:$G,5,0),"")</f>
        <v/>
      </c>
      <c r="O164" s="3" t="str">
        <f>IF($J164="InhouseCSC",ROUND(VLOOKUP($D164,Group!$C:$H,6,0),5),"")</f>
        <v/>
      </c>
      <c r="P164" s="3" t="str">
        <f>IF(OR($J164="BOSFCSC",$J164="BOFCSC"),VLOOKUP($D164,Group!$C:$H,6,0),"")</f>
        <v/>
      </c>
      <c r="Q164" s="1" t="str">
        <f>IF($J164="Inhouseothers",VLOOKUP($D164,Group!$C:$E,3,0),"")</f>
        <v/>
      </c>
      <c r="R164" s="1" t="str">
        <f>IF($J164="BOSFOthers",VLOOKUP($D164,Group!$C:$E,3,0),"")</f>
        <v/>
      </c>
      <c r="S164" s="3" t="str">
        <f>IF($J164="BOFOthers",VLOOKUP($D164,Group!$C:$E,3,0),"")</f>
        <v/>
      </c>
      <c r="U164" s="1" t="str">
        <f>IFERROR(Backend!$L164*VLOOKUP($F164,'OH,Profit &amp; Other Base'!$A:$V,Backend!U$6,0),"")</f>
        <v/>
      </c>
      <c r="V164" s="1" t="str">
        <f>IFERROR(Backend!$M164*VLOOKUP($F164,'OH,Profit &amp; Other Base'!$A:$V,Backend!V$6,0),"")</f>
        <v/>
      </c>
      <c r="W164" s="1" t="str">
        <f>IFERROR(Backend!$L164*VLOOKUP($F164,'OH,Profit &amp; Other Base'!$A:$V,Backend!W$6,0),"")</f>
        <v/>
      </c>
      <c r="X164" s="1" t="str">
        <f>IFERROR(Backend!$M164*VLOOKUP($F164,'OH,Profit &amp; Other Base'!$A:$V,Backend!X$6,0),"")</f>
        <v/>
      </c>
      <c r="Y164" s="1" t="str">
        <f>IFERROR(Backend!$L164*VLOOKUP($F164,'OH,Profit &amp; Other Base'!$A:$V,Backend!Y$6,0),"")</f>
        <v/>
      </c>
      <c r="Z164" s="1" t="str">
        <f>IFERROR(Backend!$M164*VLOOKUP($F164,'OH,Profit &amp; Other Base'!$A:$V,Backend!Z$6,0),"")</f>
        <v/>
      </c>
      <c r="AA164" s="1" t="str">
        <f>IFERROR(Backend!$L164*VLOOKUP($F164,'OH,Profit &amp; Other Base'!$A:$V,Backend!AA$6,0),"")</f>
        <v/>
      </c>
      <c r="AB164" s="1" t="str">
        <f>IFERROR(Backend!$M164*VLOOKUP($F164,'OH,Profit &amp; Other Base'!$A:$V,Backend!AB$6,0),"")</f>
        <v/>
      </c>
      <c r="AC164" s="1" t="str">
        <f>IFERROR(Backend!$L164*VLOOKUP($F164,'OH,Profit &amp; Other Base'!$A:$V,Backend!AC$6,0),"")</f>
        <v/>
      </c>
      <c r="AD164" s="1" t="str">
        <f>IFERROR(Backend!$M164*VLOOKUP($F164,'OH,Profit &amp; Other Base'!$A:$V,Backend!AD$6,0),"")</f>
        <v/>
      </c>
      <c r="AE164" s="1" t="str">
        <f>IFERROR(Backend!$L164*VLOOKUP($F164,'OH,Profit &amp; Other Base'!$A:$V,Backend!AE$6,0),"")</f>
        <v/>
      </c>
      <c r="AF164" s="1" t="str">
        <f>IFERROR(Backend!$M164*VLOOKUP($F164,'OH,Profit &amp; Other Base'!$A:$V,Backend!AF$6,0),"")</f>
        <v/>
      </c>
      <c r="AG164" s="1" t="str">
        <f>IFERROR(Backend!$L164*VLOOKUP($F164,'OH,Profit &amp; Other Base'!$A:$V,Backend!AG$6,0),"")</f>
        <v/>
      </c>
      <c r="AH164" s="1" t="str">
        <f>IFERROR(Backend!$M164*VLOOKUP($F164,'OH,Profit &amp; Other Base'!$A:$V,Backend!AH$6,0),"")</f>
        <v/>
      </c>
      <c r="AI164" s="3">
        <f t="shared" si="16"/>
        <v>0</v>
      </c>
      <c r="AL164" s="1" t="str">
        <f t="shared" si="17"/>
        <v/>
      </c>
      <c r="AM164" s="1" t="str">
        <f t="shared" si="18"/>
        <v/>
      </c>
      <c r="AN164" s="1" t="str">
        <f t="shared" si="19"/>
        <v/>
      </c>
      <c r="AO164" s="1" t="str">
        <f t="shared" si="20"/>
        <v/>
      </c>
      <c r="AP164" s="1" t="str">
        <f>IFERROR(ROUND(Backend!$AL164*VLOOKUP($F164,'OH,Profit &amp; Other Base'!$A:$V,Backend!AP$6,0),5),"")</f>
        <v/>
      </c>
      <c r="AQ164" s="1" t="str">
        <f>IFERROR(ROUND(Backend!$AO164*VLOOKUP($F164,'OH,Profit &amp; Other Base'!$A:$V,Backend!AQ$6,0),5),"")</f>
        <v/>
      </c>
      <c r="AR164" s="1" t="str">
        <f>IFERROR(ROUND(Backend!$AM164*VLOOKUP($F164,'OH,Profit &amp; Other Base'!$A:$V,Backend!AR$6,0),5),"")</f>
        <v/>
      </c>
      <c r="AS164" s="1" t="str">
        <f>IFERROR(ROUND(Backend!$AL164*VLOOKUP($F164,'OH,Profit &amp; Other Base'!$A:$V,Backend!AS$6,0),5),"")</f>
        <v/>
      </c>
      <c r="AT164" s="1" t="str">
        <f>IFERROR(ROUND(Backend!$AO164*VLOOKUP($F164,'OH,Profit &amp; Other Base'!$A:$V,Backend!AT$6,0),5),"")</f>
        <v/>
      </c>
      <c r="AU164" s="1" t="str">
        <f>IFERROR(ROUND(Backend!$AM164*VLOOKUP($F164,'OH,Profit &amp; Other Base'!$A:$V,Backend!AU$6,0),5),"")</f>
        <v/>
      </c>
      <c r="AV164" s="1" t="str">
        <f>IFERROR(ROUND(Backend!$AL164*VLOOKUP($F164,'OH,Profit &amp; Other Base'!$A:$V,Backend!AV$6,0),5),"")</f>
        <v/>
      </c>
      <c r="AW164" s="1" t="str">
        <f>IFERROR(ROUND(Backend!$AO164*VLOOKUP($F164,'OH,Profit &amp; Other Base'!$A:$V,Backend!AW$6,0),5),"")</f>
        <v/>
      </c>
      <c r="AX164" s="1" t="str">
        <f>IFERROR(ROUND(Backend!$AM164*VLOOKUP($F164,'OH,Profit &amp; Other Base'!$A:$V,Backend!AX$6,0),5),"")</f>
        <v/>
      </c>
      <c r="AY164" s="1" t="str">
        <f>IFERROR(ROUND(Backend!$AL164*VLOOKUP($F164,'OH,Profit &amp; Other Base'!$A:$V,Backend!AY$6,0),5),"")</f>
        <v/>
      </c>
      <c r="AZ164" s="1" t="str">
        <f>IFERROR(ROUND(Backend!$AO164*VLOOKUP($F164,'OH,Profit &amp; Other Base'!$A:$V,Backend!AZ$6,0),5),"")</f>
        <v/>
      </c>
      <c r="BA164" s="1" t="str">
        <f>IFERROR(ROUND(Backend!$AM164*VLOOKUP($F164,'OH,Profit &amp; Other Base'!$A:$V,Backend!BA$6,0),5),"")</f>
        <v/>
      </c>
      <c r="BB164" s="1" t="str">
        <f>IFERROR(ROUND(Backend!$AL164*VLOOKUP($F164,'OH,Profit &amp; Other Base'!$A:$V,Backend!BB$6,0),5),"")</f>
        <v/>
      </c>
      <c r="BC164" s="1" t="str">
        <f>IFERROR(ROUND(Backend!$AO164*VLOOKUP($F164,'OH,Profit &amp; Other Base'!$A:$V,Backend!BC$6,0),5),"")</f>
        <v/>
      </c>
      <c r="BD164" s="1" t="str">
        <f>IFERROR(ROUND(Backend!$AM164*VLOOKUP($F164,'OH,Profit &amp; Other Base'!$A:$V,Backend!BD$6,0),5),"")</f>
        <v/>
      </c>
      <c r="BE164" s="1" t="str">
        <f>IFERROR(ROUND(Backend!$AL164*VLOOKUP($F164,'OH,Profit &amp; Other Base'!$A:$V,Backend!BE$6,0),5),"")</f>
        <v/>
      </c>
      <c r="BF164" s="1" t="str">
        <f>IFERROR(ROUND(Backend!$AO164*VLOOKUP($F164,'OH,Profit &amp; Other Base'!$A:$V,Backend!BF$6,0),5),"")</f>
        <v/>
      </c>
      <c r="BG164" s="1" t="str">
        <f>IFERROR(ROUND(Backend!$AM164*VLOOKUP($F164,'OH,Profit &amp; Other Base'!$A:$V,Backend!BG$6,0),5),"")</f>
        <v/>
      </c>
      <c r="BH164" s="1" t="str">
        <f>IFERROR(ROUND(Backend!$AL164*VLOOKUP($F164,'OH,Profit &amp; Other Base'!$A:$V,Backend!BH$6,0),5),"")</f>
        <v/>
      </c>
      <c r="BI164" s="1" t="str">
        <f>IFERROR(ROUND(Backend!$AO164*VLOOKUP($F164,'OH,Profit &amp; Other Base'!$A:$V,Backend!BI$6,0),5),"")</f>
        <v/>
      </c>
      <c r="BJ164" s="1" t="str">
        <f>IFERROR(ROUND(Backend!$AM164*VLOOKUP($F164,'OH,Profit &amp; Other Base'!$A:$V,Backend!BJ$6,0),5),"")</f>
        <v/>
      </c>
      <c r="BK164" s="3">
        <f>SUM(AN164:BJ164,Backend!O164)</f>
        <v>0</v>
      </c>
    </row>
    <row r="165" spans="1:63">
      <c r="A165" s="1">
        <f>BOM!A160</f>
        <v>0</v>
      </c>
      <c r="B165" s="1">
        <f>BOM!B160</f>
        <v>0</v>
      </c>
      <c r="C165" s="1">
        <f>BOM!C160</f>
        <v>0</v>
      </c>
      <c r="D165" s="1">
        <f>BOM!D160</f>
        <v>0</v>
      </c>
      <c r="E165" s="1">
        <f>BOM!F160</f>
        <v>0</v>
      </c>
      <c r="F165" s="1" t="str">
        <f>IF(H165="CSC",BOM!H160,IF(J165="BOFOthers","Sheet Metal-B",""))</f>
        <v/>
      </c>
      <c r="G165" s="1">
        <f>BOM!I160</f>
        <v>0</v>
      </c>
      <c r="H165" s="1">
        <f>BOM!J160</f>
        <v>0</v>
      </c>
      <c r="I165" s="1" t="str">
        <f t="shared" si="14"/>
        <v>Others</v>
      </c>
      <c r="J165" s="1" t="str">
        <f t="shared" si="15"/>
        <v>0Others</v>
      </c>
      <c r="K165" s="3" t="str">
        <f>IF($J165="InhouseCSC",VLOOKUP($D165,Group!$C:$E,3,0),"")</f>
        <v/>
      </c>
      <c r="L165" s="3" t="str">
        <f>IF(OR($J165="BOSFCSC",$J165="BOFCSC"),VLOOKUP($D165,Group!$C:$E,3,0),"")</f>
        <v/>
      </c>
      <c r="M165" s="3" t="str">
        <f>IF(OR($J165="BOSFCSC",$J165="BOFCSC"),VLOOKUP($D165,Group!$C:$F,4,0),"")</f>
        <v/>
      </c>
      <c r="N165" s="3" t="str">
        <f>IF(OR($J165="InhouseCSC",$J165="BOSFCSC"),VLOOKUP($D165,Group!$C:$G,5,0),"")</f>
        <v/>
      </c>
      <c r="O165" s="3" t="str">
        <f>IF($J165="InhouseCSC",ROUND(VLOOKUP($D165,Group!$C:$H,6,0),5),"")</f>
        <v/>
      </c>
      <c r="P165" s="3" t="str">
        <f>IF(OR($J165="BOSFCSC",$J165="BOFCSC"),VLOOKUP($D165,Group!$C:$H,6,0),"")</f>
        <v/>
      </c>
      <c r="Q165" s="1" t="str">
        <f>IF($J165="Inhouseothers",VLOOKUP($D165,Group!$C:$E,3,0),"")</f>
        <v/>
      </c>
      <c r="R165" s="1" t="str">
        <f>IF($J165="BOSFOthers",VLOOKUP($D165,Group!$C:$E,3,0),"")</f>
        <v/>
      </c>
      <c r="S165" s="3" t="str">
        <f>IF($J165="BOFOthers",VLOOKUP($D165,Group!$C:$E,3,0),"")</f>
        <v/>
      </c>
      <c r="U165" s="1" t="str">
        <f>IFERROR(Backend!$L165*VLOOKUP($F165,'OH,Profit &amp; Other Base'!$A:$V,Backend!U$6,0),"")</f>
        <v/>
      </c>
      <c r="V165" s="1" t="str">
        <f>IFERROR(Backend!$M165*VLOOKUP($F165,'OH,Profit &amp; Other Base'!$A:$V,Backend!V$6,0),"")</f>
        <v/>
      </c>
      <c r="W165" s="1" t="str">
        <f>IFERROR(Backend!$L165*VLOOKUP($F165,'OH,Profit &amp; Other Base'!$A:$V,Backend!W$6,0),"")</f>
        <v/>
      </c>
      <c r="X165" s="1" t="str">
        <f>IFERROR(Backend!$M165*VLOOKUP($F165,'OH,Profit &amp; Other Base'!$A:$V,Backend!X$6,0),"")</f>
        <v/>
      </c>
      <c r="Y165" s="1" t="str">
        <f>IFERROR(Backend!$L165*VLOOKUP($F165,'OH,Profit &amp; Other Base'!$A:$V,Backend!Y$6,0),"")</f>
        <v/>
      </c>
      <c r="Z165" s="1" t="str">
        <f>IFERROR(Backend!$M165*VLOOKUP($F165,'OH,Profit &amp; Other Base'!$A:$V,Backend!Z$6,0),"")</f>
        <v/>
      </c>
      <c r="AA165" s="1" t="str">
        <f>IFERROR(Backend!$L165*VLOOKUP($F165,'OH,Profit &amp; Other Base'!$A:$V,Backend!AA$6,0),"")</f>
        <v/>
      </c>
      <c r="AB165" s="1" t="str">
        <f>IFERROR(Backend!$M165*VLOOKUP($F165,'OH,Profit &amp; Other Base'!$A:$V,Backend!AB$6,0),"")</f>
        <v/>
      </c>
      <c r="AC165" s="1" t="str">
        <f>IFERROR(Backend!$L165*VLOOKUP($F165,'OH,Profit &amp; Other Base'!$A:$V,Backend!AC$6,0),"")</f>
        <v/>
      </c>
      <c r="AD165" s="1" t="str">
        <f>IFERROR(Backend!$M165*VLOOKUP($F165,'OH,Profit &amp; Other Base'!$A:$V,Backend!AD$6,0),"")</f>
        <v/>
      </c>
      <c r="AE165" s="1" t="str">
        <f>IFERROR(Backend!$L165*VLOOKUP($F165,'OH,Profit &amp; Other Base'!$A:$V,Backend!AE$6,0),"")</f>
        <v/>
      </c>
      <c r="AF165" s="1" t="str">
        <f>IFERROR(Backend!$M165*VLOOKUP($F165,'OH,Profit &amp; Other Base'!$A:$V,Backend!AF$6,0),"")</f>
        <v/>
      </c>
      <c r="AG165" s="1" t="str">
        <f>IFERROR(Backend!$L165*VLOOKUP($F165,'OH,Profit &amp; Other Base'!$A:$V,Backend!AG$6,0),"")</f>
        <v/>
      </c>
      <c r="AH165" s="1" t="str">
        <f>IFERROR(Backend!$M165*VLOOKUP($F165,'OH,Profit &amp; Other Base'!$A:$V,Backend!AH$6,0),"")</f>
        <v/>
      </c>
      <c r="AI165" s="3">
        <f t="shared" si="16"/>
        <v>0</v>
      </c>
      <c r="AL165" s="1" t="str">
        <f t="shared" si="17"/>
        <v/>
      </c>
      <c r="AM165" s="1" t="str">
        <f t="shared" si="18"/>
        <v/>
      </c>
      <c r="AN165" s="1" t="str">
        <f t="shared" si="19"/>
        <v/>
      </c>
      <c r="AO165" s="1" t="str">
        <f t="shared" si="20"/>
        <v/>
      </c>
      <c r="AP165" s="1" t="str">
        <f>IFERROR(ROUND(Backend!$AL165*VLOOKUP($F165,'OH,Profit &amp; Other Base'!$A:$V,Backend!AP$6,0),5),"")</f>
        <v/>
      </c>
      <c r="AQ165" s="1" t="str">
        <f>IFERROR(ROUND(Backend!$AO165*VLOOKUP($F165,'OH,Profit &amp; Other Base'!$A:$V,Backend!AQ$6,0),5),"")</f>
        <v/>
      </c>
      <c r="AR165" s="1" t="str">
        <f>IFERROR(ROUND(Backend!$AM165*VLOOKUP($F165,'OH,Profit &amp; Other Base'!$A:$V,Backend!AR$6,0),5),"")</f>
        <v/>
      </c>
      <c r="AS165" s="1" t="str">
        <f>IFERROR(ROUND(Backend!$AL165*VLOOKUP($F165,'OH,Profit &amp; Other Base'!$A:$V,Backend!AS$6,0),5),"")</f>
        <v/>
      </c>
      <c r="AT165" s="1" t="str">
        <f>IFERROR(ROUND(Backend!$AO165*VLOOKUP($F165,'OH,Profit &amp; Other Base'!$A:$V,Backend!AT$6,0),5),"")</f>
        <v/>
      </c>
      <c r="AU165" s="1" t="str">
        <f>IFERROR(ROUND(Backend!$AM165*VLOOKUP($F165,'OH,Profit &amp; Other Base'!$A:$V,Backend!AU$6,0),5),"")</f>
        <v/>
      </c>
      <c r="AV165" s="1" t="str">
        <f>IFERROR(ROUND(Backend!$AL165*VLOOKUP($F165,'OH,Profit &amp; Other Base'!$A:$V,Backend!AV$6,0),5),"")</f>
        <v/>
      </c>
      <c r="AW165" s="1" t="str">
        <f>IFERROR(ROUND(Backend!$AO165*VLOOKUP($F165,'OH,Profit &amp; Other Base'!$A:$V,Backend!AW$6,0),5),"")</f>
        <v/>
      </c>
      <c r="AX165" s="1" t="str">
        <f>IFERROR(ROUND(Backend!$AM165*VLOOKUP($F165,'OH,Profit &amp; Other Base'!$A:$V,Backend!AX$6,0),5),"")</f>
        <v/>
      </c>
      <c r="AY165" s="1" t="str">
        <f>IFERROR(ROUND(Backend!$AL165*VLOOKUP($F165,'OH,Profit &amp; Other Base'!$A:$V,Backend!AY$6,0),5),"")</f>
        <v/>
      </c>
      <c r="AZ165" s="1" t="str">
        <f>IFERROR(ROUND(Backend!$AO165*VLOOKUP($F165,'OH,Profit &amp; Other Base'!$A:$V,Backend!AZ$6,0),5),"")</f>
        <v/>
      </c>
      <c r="BA165" s="1" t="str">
        <f>IFERROR(ROUND(Backend!$AM165*VLOOKUP($F165,'OH,Profit &amp; Other Base'!$A:$V,Backend!BA$6,0),5),"")</f>
        <v/>
      </c>
      <c r="BB165" s="1" t="str">
        <f>IFERROR(ROUND(Backend!$AL165*VLOOKUP($F165,'OH,Profit &amp; Other Base'!$A:$V,Backend!BB$6,0),5),"")</f>
        <v/>
      </c>
      <c r="BC165" s="1" t="str">
        <f>IFERROR(ROUND(Backend!$AO165*VLOOKUP($F165,'OH,Profit &amp; Other Base'!$A:$V,Backend!BC$6,0),5),"")</f>
        <v/>
      </c>
      <c r="BD165" s="1" t="str">
        <f>IFERROR(ROUND(Backend!$AM165*VLOOKUP($F165,'OH,Profit &amp; Other Base'!$A:$V,Backend!BD$6,0),5),"")</f>
        <v/>
      </c>
      <c r="BE165" s="1" t="str">
        <f>IFERROR(ROUND(Backend!$AL165*VLOOKUP($F165,'OH,Profit &amp; Other Base'!$A:$V,Backend!BE$6,0),5),"")</f>
        <v/>
      </c>
      <c r="BF165" s="1" t="str">
        <f>IFERROR(ROUND(Backend!$AO165*VLOOKUP($F165,'OH,Profit &amp; Other Base'!$A:$V,Backend!BF$6,0),5),"")</f>
        <v/>
      </c>
      <c r="BG165" s="1" t="str">
        <f>IFERROR(ROUND(Backend!$AM165*VLOOKUP($F165,'OH,Profit &amp; Other Base'!$A:$V,Backend!BG$6,0),5),"")</f>
        <v/>
      </c>
      <c r="BH165" s="1" t="str">
        <f>IFERROR(ROUND(Backend!$AL165*VLOOKUP($F165,'OH,Profit &amp; Other Base'!$A:$V,Backend!BH$6,0),5),"")</f>
        <v/>
      </c>
      <c r="BI165" s="1" t="str">
        <f>IFERROR(ROUND(Backend!$AO165*VLOOKUP($F165,'OH,Profit &amp; Other Base'!$A:$V,Backend!BI$6,0),5),"")</f>
        <v/>
      </c>
      <c r="BJ165" s="1" t="str">
        <f>IFERROR(ROUND(Backend!$AM165*VLOOKUP($F165,'OH,Profit &amp; Other Base'!$A:$V,Backend!BJ$6,0),5),"")</f>
        <v/>
      </c>
      <c r="BK165" s="3">
        <f>SUM(AN165:BJ165,Backend!O165)</f>
        <v>0</v>
      </c>
    </row>
    <row r="166" spans="1:63">
      <c r="A166" s="1">
        <f>BOM!A161</f>
        <v>0</v>
      </c>
      <c r="B166" s="1">
        <f>BOM!B161</f>
        <v>0</v>
      </c>
      <c r="C166" s="1">
        <f>BOM!C161</f>
        <v>0</v>
      </c>
      <c r="D166" s="1">
        <f>BOM!D161</f>
        <v>0</v>
      </c>
      <c r="E166" s="1">
        <f>BOM!F161</f>
        <v>0</v>
      </c>
      <c r="F166" s="1" t="str">
        <f>IF(H166="CSC",BOM!H161,IF(J166="BOFOthers","Sheet Metal-B",""))</f>
        <v/>
      </c>
      <c r="G166" s="1">
        <f>BOM!I161</f>
        <v>0</v>
      </c>
      <c r="H166" s="1">
        <f>BOM!J161</f>
        <v>0</v>
      </c>
      <c r="I166" s="1" t="str">
        <f t="shared" si="14"/>
        <v>Others</v>
      </c>
      <c r="J166" s="1" t="str">
        <f t="shared" si="15"/>
        <v>0Others</v>
      </c>
      <c r="K166" s="3" t="str">
        <f>IF($J166="InhouseCSC",VLOOKUP($D166,Group!$C:$E,3,0),"")</f>
        <v/>
      </c>
      <c r="L166" s="3" t="str">
        <f>IF(OR($J166="BOSFCSC",$J166="BOFCSC"),VLOOKUP($D166,Group!$C:$E,3,0),"")</f>
        <v/>
      </c>
      <c r="M166" s="3" t="str">
        <f>IF(OR($J166="BOSFCSC",$J166="BOFCSC"),VLOOKUP($D166,Group!$C:$F,4,0),"")</f>
        <v/>
      </c>
      <c r="N166" s="3" t="str">
        <f>IF(OR($J166="InhouseCSC",$J166="BOSFCSC"),VLOOKUP($D166,Group!$C:$G,5,0),"")</f>
        <v/>
      </c>
      <c r="O166" s="3" t="str">
        <f>IF($J166="InhouseCSC",ROUND(VLOOKUP($D166,Group!$C:$H,6,0),5),"")</f>
        <v/>
      </c>
      <c r="P166" s="3" t="str">
        <f>IF(OR($J166="BOSFCSC",$J166="BOFCSC"),VLOOKUP($D166,Group!$C:$H,6,0),"")</f>
        <v/>
      </c>
      <c r="Q166" s="1" t="str">
        <f>IF($J166="Inhouseothers",VLOOKUP($D166,Group!$C:$E,3,0),"")</f>
        <v/>
      </c>
      <c r="R166" s="1" t="str">
        <f>IF($J166="BOSFOthers",VLOOKUP($D166,Group!$C:$E,3,0),"")</f>
        <v/>
      </c>
      <c r="S166" s="3" t="str">
        <f>IF($J166="BOFOthers",VLOOKUP($D166,Group!$C:$E,3,0),"")</f>
        <v/>
      </c>
      <c r="U166" s="1" t="str">
        <f>IFERROR(Backend!$L166*VLOOKUP($F166,'OH,Profit &amp; Other Base'!$A:$V,Backend!U$6,0),"")</f>
        <v/>
      </c>
      <c r="V166" s="1" t="str">
        <f>IFERROR(Backend!$M166*VLOOKUP($F166,'OH,Profit &amp; Other Base'!$A:$V,Backend!V$6,0),"")</f>
        <v/>
      </c>
      <c r="W166" s="1" t="str">
        <f>IFERROR(Backend!$L166*VLOOKUP($F166,'OH,Profit &amp; Other Base'!$A:$V,Backend!W$6,0),"")</f>
        <v/>
      </c>
      <c r="X166" s="1" t="str">
        <f>IFERROR(Backend!$M166*VLOOKUP($F166,'OH,Profit &amp; Other Base'!$A:$V,Backend!X$6,0),"")</f>
        <v/>
      </c>
      <c r="Y166" s="1" t="str">
        <f>IFERROR(Backend!$L166*VLOOKUP($F166,'OH,Profit &amp; Other Base'!$A:$V,Backend!Y$6,0),"")</f>
        <v/>
      </c>
      <c r="Z166" s="1" t="str">
        <f>IFERROR(Backend!$M166*VLOOKUP($F166,'OH,Profit &amp; Other Base'!$A:$V,Backend!Z$6,0),"")</f>
        <v/>
      </c>
      <c r="AA166" s="1" t="str">
        <f>IFERROR(Backend!$L166*VLOOKUP($F166,'OH,Profit &amp; Other Base'!$A:$V,Backend!AA$6,0),"")</f>
        <v/>
      </c>
      <c r="AB166" s="1" t="str">
        <f>IFERROR(Backend!$M166*VLOOKUP($F166,'OH,Profit &amp; Other Base'!$A:$V,Backend!AB$6,0),"")</f>
        <v/>
      </c>
      <c r="AC166" s="1" t="str">
        <f>IFERROR(Backend!$L166*VLOOKUP($F166,'OH,Profit &amp; Other Base'!$A:$V,Backend!AC$6,0),"")</f>
        <v/>
      </c>
      <c r="AD166" s="1" t="str">
        <f>IFERROR(Backend!$M166*VLOOKUP($F166,'OH,Profit &amp; Other Base'!$A:$V,Backend!AD$6,0),"")</f>
        <v/>
      </c>
      <c r="AE166" s="1" t="str">
        <f>IFERROR(Backend!$L166*VLOOKUP($F166,'OH,Profit &amp; Other Base'!$A:$V,Backend!AE$6,0),"")</f>
        <v/>
      </c>
      <c r="AF166" s="1" t="str">
        <f>IFERROR(Backend!$M166*VLOOKUP($F166,'OH,Profit &amp; Other Base'!$A:$V,Backend!AF$6,0),"")</f>
        <v/>
      </c>
      <c r="AG166" s="1" t="str">
        <f>IFERROR(Backend!$L166*VLOOKUP($F166,'OH,Profit &amp; Other Base'!$A:$V,Backend!AG$6,0),"")</f>
        <v/>
      </c>
      <c r="AH166" s="1" t="str">
        <f>IFERROR(Backend!$M166*VLOOKUP($F166,'OH,Profit &amp; Other Base'!$A:$V,Backend!AH$6,0),"")</f>
        <v/>
      </c>
      <c r="AI166" s="3">
        <f t="shared" si="16"/>
        <v>0</v>
      </c>
      <c r="AL166" s="1" t="str">
        <f t="shared" si="17"/>
        <v/>
      </c>
      <c r="AM166" s="1" t="str">
        <f t="shared" si="18"/>
        <v/>
      </c>
      <c r="AN166" s="1" t="str">
        <f t="shared" si="19"/>
        <v/>
      </c>
      <c r="AO166" s="1" t="str">
        <f t="shared" si="20"/>
        <v/>
      </c>
      <c r="AP166" s="1" t="str">
        <f>IFERROR(ROUND(Backend!$AL166*VLOOKUP($F166,'OH,Profit &amp; Other Base'!$A:$V,Backend!AP$6,0),5),"")</f>
        <v/>
      </c>
      <c r="AQ166" s="1" t="str">
        <f>IFERROR(ROUND(Backend!$AO166*VLOOKUP($F166,'OH,Profit &amp; Other Base'!$A:$V,Backend!AQ$6,0),5),"")</f>
        <v/>
      </c>
      <c r="AR166" s="1" t="str">
        <f>IFERROR(ROUND(Backend!$AM166*VLOOKUP($F166,'OH,Profit &amp; Other Base'!$A:$V,Backend!AR$6,0),5),"")</f>
        <v/>
      </c>
      <c r="AS166" s="1" t="str">
        <f>IFERROR(ROUND(Backend!$AL166*VLOOKUP($F166,'OH,Profit &amp; Other Base'!$A:$V,Backend!AS$6,0),5),"")</f>
        <v/>
      </c>
      <c r="AT166" s="1" t="str">
        <f>IFERROR(ROUND(Backend!$AO166*VLOOKUP($F166,'OH,Profit &amp; Other Base'!$A:$V,Backend!AT$6,0),5),"")</f>
        <v/>
      </c>
      <c r="AU166" s="1" t="str">
        <f>IFERROR(ROUND(Backend!$AM166*VLOOKUP($F166,'OH,Profit &amp; Other Base'!$A:$V,Backend!AU$6,0),5),"")</f>
        <v/>
      </c>
      <c r="AV166" s="1" t="str">
        <f>IFERROR(ROUND(Backend!$AL166*VLOOKUP($F166,'OH,Profit &amp; Other Base'!$A:$V,Backend!AV$6,0),5),"")</f>
        <v/>
      </c>
      <c r="AW166" s="1" t="str">
        <f>IFERROR(ROUND(Backend!$AO166*VLOOKUP($F166,'OH,Profit &amp; Other Base'!$A:$V,Backend!AW$6,0),5),"")</f>
        <v/>
      </c>
      <c r="AX166" s="1" t="str">
        <f>IFERROR(ROUND(Backend!$AM166*VLOOKUP($F166,'OH,Profit &amp; Other Base'!$A:$V,Backend!AX$6,0),5),"")</f>
        <v/>
      </c>
      <c r="AY166" s="1" t="str">
        <f>IFERROR(ROUND(Backend!$AL166*VLOOKUP($F166,'OH,Profit &amp; Other Base'!$A:$V,Backend!AY$6,0),5),"")</f>
        <v/>
      </c>
      <c r="AZ166" s="1" t="str">
        <f>IFERROR(ROUND(Backend!$AO166*VLOOKUP($F166,'OH,Profit &amp; Other Base'!$A:$V,Backend!AZ$6,0),5),"")</f>
        <v/>
      </c>
      <c r="BA166" s="1" t="str">
        <f>IFERROR(ROUND(Backend!$AM166*VLOOKUP($F166,'OH,Profit &amp; Other Base'!$A:$V,Backend!BA$6,0),5),"")</f>
        <v/>
      </c>
      <c r="BB166" s="1" t="str">
        <f>IFERROR(ROUND(Backend!$AL166*VLOOKUP($F166,'OH,Profit &amp; Other Base'!$A:$V,Backend!BB$6,0),5),"")</f>
        <v/>
      </c>
      <c r="BC166" s="1" t="str">
        <f>IFERROR(ROUND(Backend!$AO166*VLOOKUP($F166,'OH,Profit &amp; Other Base'!$A:$V,Backend!BC$6,0),5),"")</f>
        <v/>
      </c>
      <c r="BD166" s="1" t="str">
        <f>IFERROR(ROUND(Backend!$AM166*VLOOKUP($F166,'OH,Profit &amp; Other Base'!$A:$V,Backend!BD$6,0),5),"")</f>
        <v/>
      </c>
      <c r="BE166" s="1" t="str">
        <f>IFERROR(ROUND(Backend!$AL166*VLOOKUP($F166,'OH,Profit &amp; Other Base'!$A:$V,Backend!BE$6,0),5),"")</f>
        <v/>
      </c>
      <c r="BF166" s="1" t="str">
        <f>IFERROR(ROUND(Backend!$AO166*VLOOKUP($F166,'OH,Profit &amp; Other Base'!$A:$V,Backend!BF$6,0),5),"")</f>
        <v/>
      </c>
      <c r="BG166" s="1" t="str">
        <f>IFERROR(ROUND(Backend!$AM166*VLOOKUP($F166,'OH,Profit &amp; Other Base'!$A:$V,Backend!BG$6,0),5),"")</f>
        <v/>
      </c>
      <c r="BH166" s="1" t="str">
        <f>IFERROR(ROUND(Backend!$AL166*VLOOKUP($F166,'OH,Profit &amp; Other Base'!$A:$V,Backend!BH$6,0),5),"")</f>
        <v/>
      </c>
      <c r="BI166" s="1" t="str">
        <f>IFERROR(ROUND(Backend!$AO166*VLOOKUP($F166,'OH,Profit &amp; Other Base'!$A:$V,Backend!BI$6,0),5),"")</f>
        <v/>
      </c>
      <c r="BJ166" s="1" t="str">
        <f>IFERROR(ROUND(Backend!$AM166*VLOOKUP($F166,'OH,Profit &amp; Other Base'!$A:$V,Backend!BJ$6,0),5),"")</f>
        <v/>
      </c>
      <c r="BK166" s="3">
        <f>SUM(AN166:BJ166,Backend!O166)</f>
        <v>0</v>
      </c>
    </row>
    <row r="167" spans="1:63">
      <c r="A167" s="1">
        <f>BOM!A162</f>
        <v>0</v>
      </c>
      <c r="B167" s="1">
        <f>BOM!B162</f>
        <v>0</v>
      </c>
      <c r="C167" s="1">
        <f>BOM!C162</f>
        <v>0</v>
      </c>
      <c r="D167" s="1">
        <f>BOM!D162</f>
        <v>0</v>
      </c>
      <c r="E167" s="1">
        <f>BOM!F162</f>
        <v>0</v>
      </c>
      <c r="F167" s="1" t="str">
        <f>IF(H167="CSC",BOM!H162,IF(J167="BOFOthers","Sheet Metal-B",""))</f>
        <v/>
      </c>
      <c r="G167" s="1">
        <f>BOM!I162</f>
        <v>0</v>
      </c>
      <c r="H167" s="1">
        <f>BOM!J162</f>
        <v>0</v>
      </c>
      <c r="I167" s="1" t="str">
        <f t="shared" si="14"/>
        <v>Others</v>
      </c>
      <c r="J167" s="1" t="str">
        <f t="shared" si="15"/>
        <v>0Others</v>
      </c>
      <c r="K167" s="3" t="str">
        <f>IF($J167="InhouseCSC",VLOOKUP($D167,Group!$C:$E,3,0),"")</f>
        <v/>
      </c>
      <c r="L167" s="3" t="str">
        <f>IF(OR($J167="BOSFCSC",$J167="BOFCSC"),VLOOKUP($D167,Group!$C:$E,3,0),"")</f>
        <v/>
      </c>
      <c r="M167" s="3" t="str">
        <f>IF(OR($J167="BOSFCSC",$J167="BOFCSC"),VLOOKUP($D167,Group!$C:$F,4,0),"")</f>
        <v/>
      </c>
      <c r="N167" s="3" t="str">
        <f>IF(OR($J167="InhouseCSC",$J167="BOSFCSC"),VLOOKUP($D167,Group!$C:$G,5,0),"")</f>
        <v/>
      </c>
      <c r="O167" s="3" t="str">
        <f>IF($J167="InhouseCSC",ROUND(VLOOKUP($D167,Group!$C:$H,6,0),5),"")</f>
        <v/>
      </c>
      <c r="P167" s="3" t="str">
        <f>IF(OR($J167="BOSFCSC",$J167="BOFCSC"),VLOOKUP($D167,Group!$C:$H,6,0),"")</f>
        <v/>
      </c>
      <c r="Q167" s="1" t="str">
        <f>IF($J167="Inhouseothers",VLOOKUP($D167,Group!$C:$E,3,0),"")</f>
        <v/>
      </c>
      <c r="R167" s="1" t="str">
        <f>IF($J167="BOSFOthers",VLOOKUP($D167,Group!$C:$E,3,0),"")</f>
        <v/>
      </c>
      <c r="S167" s="3" t="str">
        <f>IF($J167="BOFOthers",VLOOKUP($D167,Group!$C:$E,3,0),"")</f>
        <v/>
      </c>
      <c r="U167" s="1" t="str">
        <f>IFERROR(Backend!$L167*VLOOKUP($F167,'OH,Profit &amp; Other Base'!$A:$V,Backend!U$6,0),"")</f>
        <v/>
      </c>
      <c r="V167" s="1" t="str">
        <f>IFERROR(Backend!$M167*VLOOKUP($F167,'OH,Profit &amp; Other Base'!$A:$V,Backend!V$6,0),"")</f>
        <v/>
      </c>
      <c r="W167" s="1" t="str">
        <f>IFERROR(Backend!$L167*VLOOKUP($F167,'OH,Profit &amp; Other Base'!$A:$V,Backend!W$6,0),"")</f>
        <v/>
      </c>
      <c r="X167" s="1" t="str">
        <f>IFERROR(Backend!$M167*VLOOKUP($F167,'OH,Profit &amp; Other Base'!$A:$V,Backend!X$6,0),"")</f>
        <v/>
      </c>
      <c r="Y167" s="1" t="str">
        <f>IFERROR(Backend!$L167*VLOOKUP($F167,'OH,Profit &amp; Other Base'!$A:$V,Backend!Y$6,0),"")</f>
        <v/>
      </c>
      <c r="Z167" s="1" t="str">
        <f>IFERROR(Backend!$M167*VLOOKUP($F167,'OH,Profit &amp; Other Base'!$A:$V,Backend!Z$6,0),"")</f>
        <v/>
      </c>
      <c r="AA167" s="1" t="str">
        <f>IFERROR(Backend!$L167*VLOOKUP($F167,'OH,Profit &amp; Other Base'!$A:$V,Backend!AA$6,0),"")</f>
        <v/>
      </c>
      <c r="AB167" s="1" t="str">
        <f>IFERROR(Backend!$M167*VLOOKUP($F167,'OH,Profit &amp; Other Base'!$A:$V,Backend!AB$6,0),"")</f>
        <v/>
      </c>
      <c r="AC167" s="1" t="str">
        <f>IFERROR(Backend!$L167*VLOOKUP($F167,'OH,Profit &amp; Other Base'!$A:$V,Backend!AC$6,0),"")</f>
        <v/>
      </c>
      <c r="AD167" s="1" t="str">
        <f>IFERROR(Backend!$M167*VLOOKUP($F167,'OH,Profit &amp; Other Base'!$A:$V,Backend!AD$6,0),"")</f>
        <v/>
      </c>
      <c r="AE167" s="1" t="str">
        <f>IFERROR(Backend!$L167*VLOOKUP($F167,'OH,Profit &amp; Other Base'!$A:$V,Backend!AE$6,0),"")</f>
        <v/>
      </c>
      <c r="AF167" s="1" t="str">
        <f>IFERROR(Backend!$M167*VLOOKUP($F167,'OH,Profit &amp; Other Base'!$A:$V,Backend!AF$6,0),"")</f>
        <v/>
      </c>
      <c r="AG167" s="1" t="str">
        <f>IFERROR(Backend!$L167*VLOOKUP($F167,'OH,Profit &amp; Other Base'!$A:$V,Backend!AG$6,0),"")</f>
        <v/>
      </c>
      <c r="AH167" s="1" t="str">
        <f>IFERROR(Backend!$M167*VLOOKUP($F167,'OH,Profit &amp; Other Base'!$A:$V,Backend!AH$6,0),"")</f>
        <v/>
      </c>
      <c r="AI167" s="3">
        <f t="shared" si="16"/>
        <v>0</v>
      </c>
      <c r="AL167" s="1" t="str">
        <f t="shared" si="17"/>
        <v/>
      </c>
      <c r="AM167" s="1" t="str">
        <f t="shared" si="18"/>
        <v/>
      </c>
      <c r="AN167" s="1" t="str">
        <f t="shared" si="19"/>
        <v/>
      </c>
      <c r="AO167" s="1" t="str">
        <f t="shared" si="20"/>
        <v/>
      </c>
      <c r="AP167" s="1" t="str">
        <f>IFERROR(ROUND(Backend!$AL167*VLOOKUP($F167,'OH,Profit &amp; Other Base'!$A:$V,Backend!AP$6,0),5),"")</f>
        <v/>
      </c>
      <c r="AQ167" s="1" t="str">
        <f>IFERROR(ROUND(Backend!$AO167*VLOOKUP($F167,'OH,Profit &amp; Other Base'!$A:$V,Backend!AQ$6,0),5),"")</f>
        <v/>
      </c>
      <c r="AR167" s="1" t="str">
        <f>IFERROR(ROUND(Backend!$AM167*VLOOKUP($F167,'OH,Profit &amp; Other Base'!$A:$V,Backend!AR$6,0),5),"")</f>
        <v/>
      </c>
      <c r="AS167" s="1" t="str">
        <f>IFERROR(ROUND(Backend!$AL167*VLOOKUP($F167,'OH,Profit &amp; Other Base'!$A:$V,Backend!AS$6,0),5),"")</f>
        <v/>
      </c>
      <c r="AT167" s="1" t="str">
        <f>IFERROR(ROUND(Backend!$AO167*VLOOKUP($F167,'OH,Profit &amp; Other Base'!$A:$V,Backend!AT$6,0),5),"")</f>
        <v/>
      </c>
      <c r="AU167" s="1" t="str">
        <f>IFERROR(ROUND(Backend!$AM167*VLOOKUP($F167,'OH,Profit &amp; Other Base'!$A:$V,Backend!AU$6,0),5),"")</f>
        <v/>
      </c>
      <c r="AV167" s="1" t="str">
        <f>IFERROR(ROUND(Backend!$AL167*VLOOKUP($F167,'OH,Profit &amp; Other Base'!$A:$V,Backend!AV$6,0),5),"")</f>
        <v/>
      </c>
      <c r="AW167" s="1" t="str">
        <f>IFERROR(ROUND(Backend!$AO167*VLOOKUP($F167,'OH,Profit &amp; Other Base'!$A:$V,Backend!AW$6,0),5),"")</f>
        <v/>
      </c>
      <c r="AX167" s="1" t="str">
        <f>IFERROR(ROUND(Backend!$AM167*VLOOKUP($F167,'OH,Profit &amp; Other Base'!$A:$V,Backend!AX$6,0),5),"")</f>
        <v/>
      </c>
      <c r="AY167" s="1" t="str">
        <f>IFERROR(ROUND(Backend!$AL167*VLOOKUP($F167,'OH,Profit &amp; Other Base'!$A:$V,Backend!AY$6,0),5),"")</f>
        <v/>
      </c>
      <c r="AZ167" s="1" t="str">
        <f>IFERROR(ROUND(Backend!$AO167*VLOOKUP($F167,'OH,Profit &amp; Other Base'!$A:$V,Backend!AZ$6,0),5),"")</f>
        <v/>
      </c>
      <c r="BA167" s="1" t="str">
        <f>IFERROR(ROUND(Backend!$AM167*VLOOKUP($F167,'OH,Profit &amp; Other Base'!$A:$V,Backend!BA$6,0),5),"")</f>
        <v/>
      </c>
      <c r="BB167" s="1" t="str">
        <f>IFERROR(ROUND(Backend!$AL167*VLOOKUP($F167,'OH,Profit &amp; Other Base'!$A:$V,Backend!BB$6,0),5),"")</f>
        <v/>
      </c>
      <c r="BC167" s="1" t="str">
        <f>IFERROR(ROUND(Backend!$AO167*VLOOKUP($F167,'OH,Profit &amp; Other Base'!$A:$V,Backend!BC$6,0),5),"")</f>
        <v/>
      </c>
      <c r="BD167" s="1" t="str">
        <f>IFERROR(ROUND(Backend!$AM167*VLOOKUP($F167,'OH,Profit &amp; Other Base'!$A:$V,Backend!BD$6,0),5),"")</f>
        <v/>
      </c>
      <c r="BE167" s="1" t="str">
        <f>IFERROR(ROUND(Backend!$AL167*VLOOKUP($F167,'OH,Profit &amp; Other Base'!$A:$V,Backend!BE$6,0),5),"")</f>
        <v/>
      </c>
      <c r="BF167" s="1" t="str">
        <f>IFERROR(ROUND(Backend!$AO167*VLOOKUP($F167,'OH,Profit &amp; Other Base'!$A:$V,Backend!BF$6,0),5),"")</f>
        <v/>
      </c>
      <c r="BG167" s="1" t="str">
        <f>IFERROR(ROUND(Backend!$AM167*VLOOKUP($F167,'OH,Profit &amp; Other Base'!$A:$V,Backend!BG$6,0),5),"")</f>
        <v/>
      </c>
      <c r="BH167" s="1" t="str">
        <f>IFERROR(ROUND(Backend!$AL167*VLOOKUP($F167,'OH,Profit &amp; Other Base'!$A:$V,Backend!BH$6,0),5),"")</f>
        <v/>
      </c>
      <c r="BI167" s="1" t="str">
        <f>IFERROR(ROUND(Backend!$AO167*VLOOKUP($F167,'OH,Profit &amp; Other Base'!$A:$V,Backend!BI$6,0),5),"")</f>
        <v/>
      </c>
      <c r="BJ167" s="1" t="str">
        <f>IFERROR(ROUND(Backend!$AM167*VLOOKUP($F167,'OH,Profit &amp; Other Base'!$A:$V,Backend!BJ$6,0),5),"")</f>
        <v/>
      </c>
      <c r="BK167" s="3">
        <f>SUM(AN167:BJ167,Backend!O167)</f>
        <v>0</v>
      </c>
    </row>
    <row r="168" spans="1:63">
      <c r="A168" s="1">
        <f>BOM!A163</f>
        <v>0</v>
      </c>
      <c r="B168" s="1">
        <f>BOM!B163</f>
        <v>0</v>
      </c>
      <c r="C168" s="1">
        <f>BOM!C163</f>
        <v>0</v>
      </c>
      <c r="D168" s="1">
        <f>BOM!D163</f>
        <v>0</v>
      </c>
      <c r="E168" s="1">
        <f>BOM!F163</f>
        <v>0</v>
      </c>
      <c r="F168" s="1" t="str">
        <f>IF(H168="CSC",BOM!H163,IF(J168="BOFOthers","Sheet Metal-B",""))</f>
        <v/>
      </c>
      <c r="G168" s="1">
        <f>BOM!I163</f>
        <v>0</v>
      </c>
      <c r="H168" s="1">
        <f>BOM!J163</f>
        <v>0</v>
      </c>
      <c r="I168" s="1" t="str">
        <f t="shared" si="14"/>
        <v>Others</v>
      </c>
      <c r="J168" s="1" t="str">
        <f t="shared" si="15"/>
        <v>0Others</v>
      </c>
      <c r="K168" s="3" t="str">
        <f>IF($J168="InhouseCSC",VLOOKUP($D168,Group!$C:$E,3,0),"")</f>
        <v/>
      </c>
      <c r="L168" s="3" t="str">
        <f>IF(OR($J168="BOSFCSC",$J168="BOFCSC"),VLOOKUP($D168,Group!$C:$E,3,0),"")</f>
        <v/>
      </c>
      <c r="M168" s="3" t="str">
        <f>IF(OR($J168="BOSFCSC",$J168="BOFCSC"),VLOOKUP($D168,Group!$C:$F,4,0),"")</f>
        <v/>
      </c>
      <c r="N168" s="3" t="str">
        <f>IF(OR($J168="InhouseCSC",$J168="BOSFCSC"),VLOOKUP($D168,Group!$C:$G,5,0),"")</f>
        <v/>
      </c>
      <c r="O168" s="3" t="str">
        <f>IF($J168="InhouseCSC",ROUND(VLOOKUP($D168,Group!$C:$H,6,0),5),"")</f>
        <v/>
      </c>
      <c r="P168" s="3" t="str">
        <f>IF(OR($J168="BOSFCSC",$J168="BOFCSC"),VLOOKUP($D168,Group!$C:$H,6,0),"")</f>
        <v/>
      </c>
      <c r="Q168" s="1" t="str">
        <f>IF($J168="Inhouseothers",VLOOKUP($D168,Group!$C:$E,3,0),"")</f>
        <v/>
      </c>
      <c r="R168" s="1" t="str">
        <f>IF($J168="BOSFOthers",VLOOKUP($D168,Group!$C:$E,3,0),"")</f>
        <v/>
      </c>
      <c r="S168" s="3" t="str">
        <f>IF($J168="BOFOthers",VLOOKUP($D168,Group!$C:$E,3,0),"")</f>
        <v/>
      </c>
      <c r="U168" s="1" t="str">
        <f>IFERROR(Backend!$L168*VLOOKUP($F168,'OH,Profit &amp; Other Base'!$A:$V,Backend!U$6,0),"")</f>
        <v/>
      </c>
      <c r="V168" s="1" t="str">
        <f>IFERROR(Backend!$M168*VLOOKUP($F168,'OH,Profit &amp; Other Base'!$A:$V,Backend!V$6,0),"")</f>
        <v/>
      </c>
      <c r="W168" s="1" t="str">
        <f>IFERROR(Backend!$L168*VLOOKUP($F168,'OH,Profit &amp; Other Base'!$A:$V,Backend!W$6,0),"")</f>
        <v/>
      </c>
      <c r="X168" s="1" t="str">
        <f>IFERROR(Backend!$M168*VLOOKUP($F168,'OH,Profit &amp; Other Base'!$A:$V,Backend!X$6,0),"")</f>
        <v/>
      </c>
      <c r="Y168" s="1" t="str">
        <f>IFERROR(Backend!$L168*VLOOKUP($F168,'OH,Profit &amp; Other Base'!$A:$V,Backend!Y$6,0),"")</f>
        <v/>
      </c>
      <c r="Z168" s="1" t="str">
        <f>IFERROR(Backend!$M168*VLOOKUP($F168,'OH,Profit &amp; Other Base'!$A:$V,Backend!Z$6,0),"")</f>
        <v/>
      </c>
      <c r="AA168" s="1" t="str">
        <f>IFERROR(Backend!$L168*VLOOKUP($F168,'OH,Profit &amp; Other Base'!$A:$V,Backend!AA$6,0),"")</f>
        <v/>
      </c>
      <c r="AB168" s="1" t="str">
        <f>IFERROR(Backend!$M168*VLOOKUP($F168,'OH,Profit &amp; Other Base'!$A:$V,Backend!AB$6,0),"")</f>
        <v/>
      </c>
      <c r="AC168" s="1" t="str">
        <f>IFERROR(Backend!$L168*VLOOKUP($F168,'OH,Profit &amp; Other Base'!$A:$V,Backend!AC$6,0),"")</f>
        <v/>
      </c>
      <c r="AD168" s="1" t="str">
        <f>IFERROR(Backend!$M168*VLOOKUP($F168,'OH,Profit &amp; Other Base'!$A:$V,Backend!AD$6,0),"")</f>
        <v/>
      </c>
      <c r="AE168" s="1" t="str">
        <f>IFERROR(Backend!$L168*VLOOKUP($F168,'OH,Profit &amp; Other Base'!$A:$V,Backend!AE$6,0),"")</f>
        <v/>
      </c>
      <c r="AF168" s="1" t="str">
        <f>IFERROR(Backend!$M168*VLOOKUP($F168,'OH,Profit &amp; Other Base'!$A:$V,Backend!AF$6,0),"")</f>
        <v/>
      </c>
      <c r="AG168" s="1" t="str">
        <f>IFERROR(Backend!$L168*VLOOKUP($F168,'OH,Profit &amp; Other Base'!$A:$V,Backend!AG$6,0),"")</f>
        <v/>
      </c>
      <c r="AH168" s="1" t="str">
        <f>IFERROR(Backend!$M168*VLOOKUP($F168,'OH,Profit &amp; Other Base'!$A:$V,Backend!AH$6,0),"")</f>
        <v/>
      </c>
      <c r="AI168" s="3">
        <f t="shared" si="16"/>
        <v>0</v>
      </c>
      <c r="AL168" s="1" t="str">
        <f t="shared" si="17"/>
        <v/>
      </c>
      <c r="AM168" s="1" t="str">
        <f t="shared" si="18"/>
        <v/>
      </c>
      <c r="AN168" s="1" t="str">
        <f t="shared" si="19"/>
        <v/>
      </c>
      <c r="AO168" s="1" t="str">
        <f t="shared" si="20"/>
        <v/>
      </c>
      <c r="AP168" s="1" t="str">
        <f>IFERROR(ROUND(Backend!$AL168*VLOOKUP($F168,'OH,Profit &amp; Other Base'!$A:$V,Backend!AP$6,0),5),"")</f>
        <v/>
      </c>
      <c r="AQ168" s="1" t="str">
        <f>IFERROR(ROUND(Backend!$AO168*VLOOKUP($F168,'OH,Profit &amp; Other Base'!$A:$V,Backend!AQ$6,0),5),"")</f>
        <v/>
      </c>
      <c r="AR168" s="1" t="str">
        <f>IFERROR(ROUND(Backend!$AM168*VLOOKUP($F168,'OH,Profit &amp; Other Base'!$A:$V,Backend!AR$6,0),5),"")</f>
        <v/>
      </c>
      <c r="AS168" s="1" t="str">
        <f>IFERROR(ROUND(Backend!$AL168*VLOOKUP($F168,'OH,Profit &amp; Other Base'!$A:$V,Backend!AS$6,0),5),"")</f>
        <v/>
      </c>
      <c r="AT168" s="1" t="str">
        <f>IFERROR(ROUND(Backend!$AO168*VLOOKUP($F168,'OH,Profit &amp; Other Base'!$A:$V,Backend!AT$6,0),5),"")</f>
        <v/>
      </c>
      <c r="AU168" s="1" t="str">
        <f>IFERROR(ROUND(Backend!$AM168*VLOOKUP($F168,'OH,Profit &amp; Other Base'!$A:$V,Backend!AU$6,0),5),"")</f>
        <v/>
      </c>
      <c r="AV168" s="1" t="str">
        <f>IFERROR(ROUND(Backend!$AL168*VLOOKUP($F168,'OH,Profit &amp; Other Base'!$A:$V,Backend!AV$6,0),5),"")</f>
        <v/>
      </c>
      <c r="AW168" s="1" t="str">
        <f>IFERROR(ROUND(Backend!$AO168*VLOOKUP($F168,'OH,Profit &amp; Other Base'!$A:$V,Backend!AW$6,0),5),"")</f>
        <v/>
      </c>
      <c r="AX168" s="1" t="str">
        <f>IFERROR(ROUND(Backend!$AM168*VLOOKUP($F168,'OH,Profit &amp; Other Base'!$A:$V,Backend!AX$6,0),5),"")</f>
        <v/>
      </c>
      <c r="AY168" s="1" t="str">
        <f>IFERROR(ROUND(Backend!$AL168*VLOOKUP($F168,'OH,Profit &amp; Other Base'!$A:$V,Backend!AY$6,0),5),"")</f>
        <v/>
      </c>
      <c r="AZ168" s="1" t="str">
        <f>IFERROR(ROUND(Backend!$AO168*VLOOKUP($F168,'OH,Profit &amp; Other Base'!$A:$V,Backend!AZ$6,0),5),"")</f>
        <v/>
      </c>
      <c r="BA168" s="1" t="str">
        <f>IFERROR(ROUND(Backend!$AM168*VLOOKUP($F168,'OH,Profit &amp; Other Base'!$A:$V,Backend!BA$6,0),5),"")</f>
        <v/>
      </c>
      <c r="BB168" s="1" t="str">
        <f>IFERROR(ROUND(Backend!$AL168*VLOOKUP($F168,'OH,Profit &amp; Other Base'!$A:$V,Backend!BB$6,0),5),"")</f>
        <v/>
      </c>
      <c r="BC168" s="1" t="str">
        <f>IFERROR(ROUND(Backend!$AO168*VLOOKUP($F168,'OH,Profit &amp; Other Base'!$A:$V,Backend!BC$6,0),5),"")</f>
        <v/>
      </c>
      <c r="BD168" s="1" t="str">
        <f>IFERROR(ROUND(Backend!$AM168*VLOOKUP($F168,'OH,Profit &amp; Other Base'!$A:$V,Backend!BD$6,0),5),"")</f>
        <v/>
      </c>
      <c r="BE168" s="1" t="str">
        <f>IFERROR(ROUND(Backend!$AL168*VLOOKUP($F168,'OH,Profit &amp; Other Base'!$A:$V,Backend!BE$6,0),5),"")</f>
        <v/>
      </c>
      <c r="BF168" s="1" t="str">
        <f>IFERROR(ROUND(Backend!$AO168*VLOOKUP($F168,'OH,Profit &amp; Other Base'!$A:$V,Backend!BF$6,0),5),"")</f>
        <v/>
      </c>
      <c r="BG168" s="1" t="str">
        <f>IFERROR(ROUND(Backend!$AM168*VLOOKUP($F168,'OH,Profit &amp; Other Base'!$A:$V,Backend!BG$6,0),5),"")</f>
        <v/>
      </c>
      <c r="BH168" s="1" t="str">
        <f>IFERROR(ROUND(Backend!$AL168*VLOOKUP($F168,'OH,Profit &amp; Other Base'!$A:$V,Backend!BH$6,0),5),"")</f>
        <v/>
      </c>
      <c r="BI168" s="1" t="str">
        <f>IFERROR(ROUND(Backend!$AO168*VLOOKUP($F168,'OH,Profit &amp; Other Base'!$A:$V,Backend!BI$6,0),5),"")</f>
        <v/>
      </c>
      <c r="BJ168" s="1" t="str">
        <f>IFERROR(ROUND(Backend!$AM168*VLOOKUP($F168,'OH,Profit &amp; Other Base'!$A:$V,Backend!BJ$6,0),5),"")</f>
        <v/>
      </c>
      <c r="BK168" s="3">
        <f>SUM(AN168:BJ168,Backend!O168)</f>
        <v>0</v>
      </c>
    </row>
    <row r="169" spans="1:63">
      <c r="A169" s="1">
        <f>BOM!A164</f>
        <v>0</v>
      </c>
      <c r="B169" s="1">
        <f>BOM!B164</f>
        <v>0</v>
      </c>
      <c r="C169" s="1">
        <f>BOM!C164</f>
        <v>0</v>
      </c>
      <c r="D169" s="1">
        <f>BOM!D164</f>
        <v>0</v>
      </c>
      <c r="E169" s="1">
        <f>BOM!F164</f>
        <v>0</v>
      </c>
      <c r="F169" s="1" t="str">
        <f>IF(H169="CSC",BOM!H164,IF(J169="BOFOthers","Sheet Metal-B",""))</f>
        <v/>
      </c>
      <c r="G169" s="1">
        <f>BOM!I164</f>
        <v>0</v>
      </c>
      <c r="H169" s="1">
        <f>BOM!J164</f>
        <v>0</v>
      </c>
      <c r="I169" s="1" t="str">
        <f t="shared" si="14"/>
        <v>Others</v>
      </c>
      <c r="J169" s="1" t="str">
        <f t="shared" si="15"/>
        <v>0Others</v>
      </c>
      <c r="K169" s="3" t="str">
        <f>IF($J169="InhouseCSC",VLOOKUP($D169,Group!$C:$E,3,0),"")</f>
        <v/>
      </c>
      <c r="L169" s="3" t="str">
        <f>IF(OR($J169="BOSFCSC",$J169="BOFCSC"),VLOOKUP($D169,Group!$C:$E,3,0),"")</f>
        <v/>
      </c>
      <c r="M169" s="3" t="str">
        <f>IF(OR($J169="BOSFCSC",$J169="BOFCSC"),VLOOKUP($D169,Group!$C:$F,4,0),"")</f>
        <v/>
      </c>
      <c r="N169" s="3" t="str">
        <f>IF(OR($J169="InhouseCSC",$J169="BOSFCSC"),VLOOKUP($D169,Group!$C:$G,5,0),"")</f>
        <v/>
      </c>
      <c r="O169" s="3" t="str">
        <f>IF($J169="InhouseCSC",ROUND(VLOOKUP($D169,Group!$C:$H,6,0),5),"")</f>
        <v/>
      </c>
      <c r="P169" s="3" t="str">
        <f>IF(OR($J169="BOSFCSC",$J169="BOFCSC"),VLOOKUP($D169,Group!$C:$H,6,0),"")</f>
        <v/>
      </c>
      <c r="Q169" s="1" t="str">
        <f>IF($J169="Inhouseothers",VLOOKUP($D169,Group!$C:$E,3,0),"")</f>
        <v/>
      </c>
      <c r="R169" s="1" t="str">
        <f>IF($J169="BOSFOthers",VLOOKUP($D169,Group!$C:$E,3,0),"")</f>
        <v/>
      </c>
      <c r="S169" s="3" t="str">
        <f>IF($J169="BOFOthers",VLOOKUP($D169,Group!$C:$E,3,0),"")</f>
        <v/>
      </c>
      <c r="U169" s="1" t="str">
        <f>IFERROR(Backend!$L169*VLOOKUP($F169,'OH,Profit &amp; Other Base'!$A:$V,Backend!U$6,0),"")</f>
        <v/>
      </c>
      <c r="V169" s="1" t="str">
        <f>IFERROR(Backend!$M169*VLOOKUP($F169,'OH,Profit &amp; Other Base'!$A:$V,Backend!V$6,0),"")</f>
        <v/>
      </c>
      <c r="W169" s="1" t="str">
        <f>IFERROR(Backend!$L169*VLOOKUP($F169,'OH,Profit &amp; Other Base'!$A:$V,Backend!W$6,0),"")</f>
        <v/>
      </c>
      <c r="X169" s="1" t="str">
        <f>IFERROR(Backend!$M169*VLOOKUP($F169,'OH,Profit &amp; Other Base'!$A:$V,Backend!X$6,0),"")</f>
        <v/>
      </c>
      <c r="Y169" s="1" t="str">
        <f>IFERROR(Backend!$L169*VLOOKUP($F169,'OH,Profit &amp; Other Base'!$A:$V,Backend!Y$6,0),"")</f>
        <v/>
      </c>
      <c r="Z169" s="1" t="str">
        <f>IFERROR(Backend!$M169*VLOOKUP($F169,'OH,Profit &amp; Other Base'!$A:$V,Backend!Z$6,0),"")</f>
        <v/>
      </c>
      <c r="AA169" s="1" t="str">
        <f>IFERROR(Backend!$L169*VLOOKUP($F169,'OH,Profit &amp; Other Base'!$A:$V,Backend!AA$6,0),"")</f>
        <v/>
      </c>
      <c r="AB169" s="1" t="str">
        <f>IFERROR(Backend!$M169*VLOOKUP($F169,'OH,Profit &amp; Other Base'!$A:$V,Backend!AB$6,0),"")</f>
        <v/>
      </c>
      <c r="AC169" s="1" t="str">
        <f>IFERROR(Backend!$L169*VLOOKUP($F169,'OH,Profit &amp; Other Base'!$A:$V,Backend!AC$6,0),"")</f>
        <v/>
      </c>
      <c r="AD169" s="1" t="str">
        <f>IFERROR(Backend!$M169*VLOOKUP($F169,'OH,Profit &amp; Other Base'!$A:$V,Backend!AD$6,0),"")</f>
        <v/>
      </c>
      <c r="AE169" s="1" t="str">
        <f>IFERROR(Backend!$L169*VLOOKUP($F169,'OH,Profit &amp; Other Base'!$A:$V,Backend!AE$6,0),"")</f>
        <v/>
      </c>
      <c r="AF169" s="1" t="str">
        <f>IFERROR(Backend!$M169*VLOOKUP($F169,'OH,Profit &amp; Other Base'!$A:$V,Backend!AF$6,0),"")</f>
        <v/>
      </c>
      <c r="AG169" s="1" t="str">
        <f>IFERROR(Backend!$L169*VLOOKUP($F169,'OH,Profit &amp; Other Base'!$A:$V,Backend!AG$6,0),"")</f>
        <v/>
      </c>
      <c r="AH169" s="1" t="str">
        <f>IFERROR(Backend!$M169*VLOOKUP($F169,'OH,Profit &amp; Other Base'!$A:$V,Backend!AH$6,0),"")</f>
        <v/>
      </c>
      <c r="AI169" s="3">
        <f t="shared" si="16"/>
        <v>0</v>
      </c>
      <c r="AL169" s="1" t="str">
        <f t="shared" si="17"/>
        <v/>
      </c>
      <c r="AM169" s="1" t="str">
        <f t="shared" si="18"/>
        <v/>
      </c>
      <c r="AN169" s="1" t="str">
        <f t="shared" si="19"/>
        <v/>
      </c>
      <c r="AO169" s="1" t="str">
        <f t="shared" si="20"/>
        <v/>
      </c>
      <c r="AP169" s="1" t="str">
        <f>IFERROR(ROUND(Backend!$AL169*VLOOKUP($F169,'OH,Profit &amp; Other Base'!$A:$V,Backend!AP$6,0),5),"")</f>
        <v/>
      </c>
      <c r="AQ169" s="1" t="str">
        <f>IFERROR(ROUND(Backend!$AO169*VLOOKUP($F169,'OH,Profit &amp; Other Base'!$A:$V,Backend!AQ$6,0),5),"")</f>
        <v/>
      </c>
      <c r="AR169" s="1" t="str">
        <f>IFERROR(ROUND(Backend!$AM169*VLOOKUP($F169,'OH,Profit &amp; Other Base'!$A:$V,Backend!AR$6,0),5),"")</f>
        <v/>
      </c>
      <c r="AS169" s="1" t="str">
        <f>IFERROR(ROUND(Backend!$AL169*VLOOKUP($F169,'OH,Profit &amp; Other Base'!$A:$V,Backend!AS$6,0),5),"")</f>
        <v/>
      </c>
      <c r="AT169" s="1" t="str">
        <f>IFERROR(ROUND(Backend!$AO169*VLOOKUP($F169,'OH,Profit &amp; Other Base'!$A:$V,Backend!AT$6,0),5),"")</f>
        <v/>
      </c>
      <c r="AU169" s="1" t="str">
        <f>IFERROR(ROUND(Backend!$AM169*VLOOKUP($F169,'OH,Profit &amp; Other Base'!$A:$V,Backend!AU$6,0),5),"")</f>
        <v/>
      </c>
      <c r="AV169" s="1" t="str">
        <f>IFERROR(ROUND(Backend!$AL169*VLOOKUP($F169,'OH,Profit &amp; Other Base'!$A:$V,Backend!AV$6,0),5),"")</f>
        <v/>
      </c>
      <c r="AW169" s="1" t="str">
        <f>IFERROR(ROUND(Backend!$AO169*VLOOKUP($F169,'OH,Profit &amp; Other Base'!$A:$V,Backend!AW$6,0),5),"")</f>
        <v/>
      </c>
      <c r="AX169" s="1" t="str">
        <f>IFERROR(ROUND(Backend!$AM169*VLOOKUP($F169,'OH,Profit &amp; Other Base'!$A:$V,Backend!AX$6,0),5),"")</f>
        <v/>
      </c>
      <c r="AY169" s="1" t="str">
        <f>IFERROR(ROUND(Backend!$AL169*VLOOKUP($F169,'OH,Profit &amp; Other Base'!$A:$V,Backend!AY$6,0),5),"")</f>
        <v/>
      </c>
      <c r="AZ169" s="1" t="str">
        <f>IFERROR(ROUND(Backend!$AO169*VLOOKUP($F169,'OH,Profit &amp; Other Base'!$A:$V,Backend!AZ$6,0),5),"")</f>
        <v/>
      </c>
      <c r="BA169" s="1" t="str">
        <f>IFERROR(ROUND(Backend!$AM169*VLOOKUP($F169,'OH,Profit &amp; Other Base'!$A:$V,Backend!BA$6,0),5),"")</f>
        <v/>
      </c>
      <c r="BB169" s="1" t="str">
        <f>IFERROR(ROUND(Backend!$AL169*VLOOKUP($F169,'OH,Profit &amp; Other Base'!$A:$V,Backend!BB$6,0),5),"")</f>
        <v/>
      </c>
      <c r="BC169" s="1" t="str">
        <f>IFERROR(ROUND(Backend!$AO169*VLOOKUP($F169,'OH,Profit &amp; Other Base'!$A:$V,Backend!BC$6,0),5),"")</f>
        <v/>
      </c>
      <c r="BD169" s="1" t="str">
        <f>IFERROR(ROUND(Backend!$AM169*VLOOKUP($F169,'OH,Profit &amp; Other Base'!$A:$V,Backend!BD$6,0),5),"")</f>
        <v/>
      </c>
      <c r="BE169" s="1" t="str">
        <f>IFERROR(ROUND(Backend!$AL169*VLOOKUP($F169,'OH,Profit &amp; Other Base'!$A:$V,Backend!BE$6,0),5),"")</f>
        <v/>
      </c>
      <c r="BF169" s="1" t="str">
        <f>IFERROR(ROUND(Backend!$AO169*VLOOKUP($F169,'OH,Profit &amp; Other Base'!$A:$V,Backend!BF$6,0),5),"")</f>
        <v/>
      </c>
      <c r="BG169" s="1" t="str">
        <f>IFERROR(ROUND(Backend!$AM169*VLOOKUP($F169,'OH,Profit &amp; Other Base'!$A:$V,Backend!BG$6,0),5),"")</f>
        <v/>
      </c>
      <c r="BH169" s="1" t="str">
        <f>IFERROR(ROUND(Backend!$AL169*VLOOKUP($F169,'OH,Profit &amp; Other Base'!$A:$V,Backend!BH$6,0),5),"")</f>
        <v/>
      </c>
      <c r="BI169" s="1" t="str">
        <f>IFERROR(ROUND(Backend!$AO169*VLOOKUP($F169,'OH,Profit &amp; Other Base'!$A:$V,Backend!BI$6,0),5),"")</f>
        <v/>
      </c>
      <c r="BJ169" s="1" t="str">
        <f>IFERROR(ROUND(Backend!$AM169*VLOOKUP($F169,'OH,Profit &amp; Other Base'!$A:$V,Backend!BJ$6,0),5),"")</f>
        <v/>
      </c>
      <c r="BK169" s="3">
        <f>SUM(AN169:BJ169,Backend!O169)</f>
        <v>0</v>
      </c>
    </row>
    <row r="170" spans="1:63">
      <c r="A170" s="1">
        <f>BOM!A165</f>
        <v>0</v>
      </c>
      <c r="B170" s="1">
        <f>BOM!B165</f>
        <v>0</v>
      </c>
      <c r="C170" s="1">
        <f>BOM!C165</f>
        <v>0</v>
      </c>
      <c r="D170" s="1">
        <f>BOM!D165</f>
        <v>0</v>
      </c>
      <c r="E170" s="1">
        <f>BOM!F165</f>
        <v>0</v>
      </c>
      <c r="F170" s="1" t="str">
        <f>IF(H170="CSC",BOM!H165,IF(J170="BOFOthers","Sheet Metal-B",""))</f>
        <v/>
      </c>
      <c r="G170" s="1">
        <f>BOM!I165</f>
        <v>0</v>
      </c>
      <c r="H170" s="1">
        <f>BOM!J165</f>
        <v>0</v>
      </c>
      <c r="I170" s="1" t="str">
        <f t="shared" si="14"/>
        <v>Others</v>
      </c>
      <c r="J170" s="1" t="str">
        <f t="shared" si="15"/>
        <v>0Others</v>
      </c>
      <c r="K170" s="3" t="str">
        <f>IF($J170="InhouseCSC",VLOOKUP($D170,Group!$C:$E,3,0),"")</f>
        <v/>
      </c>
      <c r="L170" s="3" t="str">
        <f>IF(OR($J170="BOSFCSC",$J170="BOFCSC"),VLOOKUP($D170,Group!$C:$E,3,0),"")</f>
        <v/>
      </c>
      <c r="M170" s="3" t="str">
        <f>IF(OR($J170="BOSFCSC",$J170="BOFCSC"),VLOOKUP($D170,Group!$C:$F,4,0),"")</f>
        <v/>
      </c>
      <c r="N170" s="3" t="str">
        <f>IF(OR($J170="InhouseCSC",$J170="BOSFCSC"),VLOOKUP($D170,Group!$C:$G,5,0),"")</f>
        <v/>
      </c>
      <c r="O170" s="3" t="str">
        <f>IF($J170="InhouseCSC",ROUND(VLOOKUP($D170,Group!$C:$H,6,0),5),"")</f>
        <v/>
      </c>
      <c r="P170" s="3" t="str">
        <f>IF(OR($J170="BOSFCSC",$J170="BOFCSC"),VLOOKUP($D170,Group!$C:$H,6,0),"")</f>
        <v/>
      </c>
      <c r="Q170" s="1" t="str">
        <f>IF($J170="Inhouseothers",VLOOKUP($D170,Group!$C:$E,3,0),"")</f>
        <v/>
      </c>
      <c r="R170" s="1" t="str">
        <f>IF($J170="BOSFOthers",VLOOKUP($D170,Group!$C:$E,3,0),"")</f>
        <v/>
      </c>
      <c r="S170" s="3" t="str">
        <f>IF($J170="BOFOthers",VLOOKUP($D170,Group!$C:$E,3,0),"")</f>
        <v/>
      </c>
      <c r="U170" s="1" t="str">
        <f>IFERROR(Backend!$L170*VLOOKUP($F170,'OH,Profit &amp; Other Base'!$A:$V,Backend!U$6,0),"")</f>
        <v/>
      </c>
      <c r="V170" s="1" t="str">
        <f>IFERROR(Backend!$M170*VLOOKUP($F170,'OH,Profit &amp; Other Base'!$A:$V,Backend!V$6,0),"")</f>
        <v/>
      </c>
      <c r="W170" s="1" t="str">
        <f>IFERROR(Backend!$L170*VLOOKUP($F170,'OH,Profit &amp; Other Base'!$A:$V,Backend!W$6,0),"")</f>
        <v/>
      </c>
      <c r="X170" s="1" t="str">
        <f>IFERROR(Backend!$M170*VLOOKUP($F170,'OH,Profit &amp; Other Base'!$A:$V,Backend!X$6,0),"")</f>
        <v/>
      </c>
      <c r="Y170" s="1" t="str">
        <f>IFERROR(Backend!$L170*VLOOKUP($F170,'OH,Profit &amp; Other Base'!$A:$V,Backend!Y$6,0),"")</f>
        <v/>
      </c>
      <c r="Z170" s="1" t="str">
        <f>IFERROR(Backend!$M170*VLOOKUP($F170,'OH,Profit &amp; Other Base'!$A:$V,Backend!Z$6,0),"")</f>
        <v/>
      </c>
      <c r="AA170" s="1" t="str">
        <f>IFERROR(Backend!$L170*VLOOKUP($F170,'OH,Profit &amp; Other Base'!$A:$V,Backend!AA$6,0),"")</f>
        <v/>
      </c>
      <c r="AB170" s="1" t="str">
        <f>IFERROR(Backend!$M170*VLOOKUP($F170,'OH,Profit &amp; Other Base'!$A:$V,Backend!AB$6,0),"")</f>
        <v/>
      </c>
      <c r="AC170" s="1" t="str">
        <f>IFERROR(Backend!$L170*VLOOKUP($F170,'OH,Profit &amp; Other Base'!$A:$V,Backend!AC$6,0),"")</f>
        <v/>
      </c>
      <c r="AD170" s="1" t="str">
        <f>IFERROR(Backend!$M170*VLOOKUP($F170,'OH,Profit &amp; Other Base'!$A:$V,Backend!AD$6,0),"")</f>
        <v/>
      </c>
      <c r="AE170" s="1" t="str">
        <f>IFERROR(Backend!$L170*VLOOKUP($F170,'OH,Profit &amp; Other Base'!$A:$V,Backend!AE$6,0),"")</f>
        <v/>
      </c>
      <c r="AF170" s="1" t="str">
        <f>IFERROR(Backend!$M170*VLOOKUP($F170,'OH,Profit &amp; Other Base'!$A:$V,Backend!AF$6,0),"")</f>
        <v/>
      </c>
      <c r="AG170" s="1" t="str">
        <f>IFERROR(Backend!$L170*VLOOKUP($F170,'OH,Profit &amp; Other Base'!$A:$V,Backend!AG$6,0),"")</f>
        <v/>
      </c>
      <c r="AH170" s="1" t="str">
        <f>IFERROR(Backend!$M170*VLOOKUP($F170,'OH,Profit &amp; Other Base'!$A:$V,Backend!AH$6,0),"")</f>
        <v/>
      </c>
      <c r="AI170" s="3">
        <f t="shared" si="16"/>
        <v>0</v>
      </c>
      <c r="AL170" s="1" t="str">
        <f t="shared" si="17"/>
        <v/>
      </c>
      <c r="AM170" s="1" t="str">
        <f t="shared" si="18"/>
        <v/>
      </c>
      <c r="AN170" s="1" t="str">
        <f t="shared" si="19"/>
        <v/>
      </c>
      <c r="AO170" s="1" t="str">
        <f t="shared" si="20"/>
        <v/>
      </c>
      <c r="AP170" s="1" t="str">
        <f>IFERROR(ROUND(Backend!$AL170*VLOOKUP($F170,'OH,Profit &amp; Other Base'!$A:$V,Backend!AP$6,0),5),"")</f>
        <v/>
      </c>
      <c r="AQ170" s="1" t="str">
        <f>IFERROR(ROUND(Backend!$AO170*VLOOKUP($F170,'OH,Profit &amp; Other Base'!$A:$V,Backend!AQ$6,0),5),"")</f>
        <v/>
      </c>
      <c r="AR170" s="1" t="str">
        <f>IFERROR(ROUND(Backend!$AM170*VLOOKUP($F170,'OH,Profit &amp; Other Base'!$A:$V,Backend!AR$6,0),5),"")</f>
        <v/>
      </c>
      <c r="AS170" s="1" t="str">
        <f>IFERROR(ROUND(Backend!$AL170*VLOOKUP($F170,'OH,Profit &amp; Other Base'!$A:$V,Backend!AS$6,0),5),"")</f>
        <v/>
      </c>
      <c r="AT170" s="1" t="str">
        <f>IFERROR(ROUND(Backend!$AO170*VLOOKUP($F170,'OH,Profit &amp; Other Base'!$A:$V,Backend!AT$6,0),5),"")</f>
        <v/>
      </c>
      <c r="AU170" s="1" t="str">
        <f>IFERROR(ROUND(Backend!$AM170*VLOOKUP($F170,'OH,Profit &amp; Other Base'!$A:$V,Backend!AU$6,0),5),"")</f>
        <v/>
      </c>
      <c r="AV170" s="1" t="str">
        <f>IFERROR(ROUND(Backend!$AL170*VLOOKUP($F170,'OH,Profit &amp; Other Base'!$A:$V,Backend!AV$6,0),5),"")</f>
        <v/>
      </c>
      <c r="AW170" s="1" t="str">
        <f>IFERROR(ROUND(Backend!$AO170*VLOOKUP($F170,'OH,Profit &amp; Other Base'!$A:$V,Backend!AW$6,0),5),"")</f>
        <v/>
      </c>
      <c r="AX170" s="1" t="str">
        <f>IFERROR(ROUND(Backend!$AM170*VLOOKUP($F170,'OH,Profit &amp; Other Base'!$A:$V,Backend!AX$6,0),5),"")</f>
        <v/>
      </c>
      <c r="AY170" s="1" t="str">
        <f>IFERROR(ROUND(Backend!$AL170*VLOOKUP($F170,'OH,Profit &amp; Other Base'!$A:$V,Backend!AY$6,0),5),"")</f>
        <v/>
      </c>
      <c r="AZ170" s="1" t="str">
        <f>IFERROR(ROUND(Backend!$AO170*VLOOKUP($F170,'OH,Profit &amp; Other Base'!$A:$V,Backend!AZ$6,0),5),"")</f>
        <v/>
      </c>
      <c r="BA170" s="1" t="str">
        <f>IFERROR(ROUND(Backend!$AM170*VLOOKUP($F170,'OH,Profit &amp; Other Base'!$A:$V,Backend!BA$6,0),5),"")</f>
        <v/>
      </c>
      <c r="BB170" s="1" t="str">
        <f>IFERROR(ROUND(Backend!$AL170*VLOOKUP($F170,'OH,Profit &amp; Other Base'!$A:$V,Backend!BB$6,0),5),"")</f>
        <v/>
      </c>
      <c r="BC170" s="1" t="str">
        <f>IFERROR(ROUND(Backend!$AO170*VLOOKUP($F170,'OH,Profit &amp; Other Base'!$A:$V,Backend!BC$6,0),5),"")</f>
        <v/>
      </c>
      <c r="BD170" s="1" t="str">
        <f>IFERROR(ROUND(Backend!$AM170*VLOOKUP($F170,'OH,Profit &amp; Other Base'!$A:$V,Backend!BD$6,0),5),"")</f>
        <v/>
      </c>
      <c r="BE170" s="1" t="str">
        <f>IFERROR(ROUND(Backend!$AL170*VLOOKUP($F170,'OH,Profit &amp; Other Base'!$A:$V,Backend!BE$6,0),5),"")</f>
        <v/>
      </c>
      <c r="BF170" s="1" t="str">
        <f>IFERROR(ROUND(Backend!$AO170*VLOOKUP($F170,'OH,Profit &amp; Other Base'!$A:$V,Backend!BF$6,0),5),"")</f>
        <v/>
      </c>
      <c r="BG170" s="1" t="str">
        <f>IFERROR(ROUND(Backend!$AM170*VLOOKUP($F170,'OH,Profit &amp; Other Base'!$A:$V,Backend!BG$6,0),5),"")</f>
        <v/>
      </c>
      <c r="BH170" s="1" t="str">
        <f>IFERROR(ROUND(Backend!$AL170*VLOOKUP($F170,'OH,Profit &amp; Other Base'!$A:$V,Backend!BH$6,0),5),"")</f>
        <v/>
      </c>
      <c r="BI170" s="1" t="str">
        <f>IFERROR(ROUND(Backend!$AO170*VLOOKUP($F170,'OH,Profit &amp; Other Base'!$A:$V,Backend!BI$6,0),5),"")</f>
        <v/>
      </c>
      <c r="BJ170" s="1" t="str">
        <f>IFERROR(ROUND(Backend!$AM170*VLOOKUP($F170,'OH,Profit &amp; Other Base'!$A:$V,Backend!BJ$6,0),5),"")</f>
        <v/>
      </c>
      <c r="BK170" s="3">
        <f>SUM(AN170:BJ170,Backend!O170)</f>
        <v>0</v>
      </c>
    </row>
    <row r="171" spans="1:63">
      <c r="A171" s="1">
        <f>BOM!A166</f>
        <v>0</v>
      </c>
      <c r="B171" s="1">
        <f>BOM!B166</f>
        <v>0</v>
      </c>
      <c r="C171" s="1">
        <f>BOM!C166</f>
        <v>0</v>
      </c>
      <c r="D171" s="1">
        <f>BOM!D166</f>
        <v>0</v>
      </c>
      <c r="E171" s="1">
        <f>BOM!F166</f>
        <v>0</v>
      </c>
      <c r="F171" s="1" t="str">
        <f>IF(H171="CSC",BOM!H166,IF(J171="BOFOthers","Sheet Metal-B",""))</f>
        <v/>
      </c>
      <c r="G171" s="1">
        <f>BOM!I166</f>
        <v>0</v>
      </c>
      <c r="H171" s="1">
        <f>BOM!J166</f>
        <v>0</v>
      </c>
      <c r="I171" s="1" t="str">
        <f t="shared" si="14"/>
        <v>Others</v>
      </c>
      <c r="J171" s="1" t="str">
        <f t="shared" si="15"/>
        <v>0Others</v>
      </c>
      <c r="K171" s="3" t="str">
        <f>IF($J171="InhouseCSC",VLOOKUP($D171,Group!$C:$E,3,0),"")</f>
        <v/>
      </c>
      <c r="L171" s="3" t="str">
        <f>IF(OR($J171="BOSFCSC",$J171="BOFCSC"),VLOOKUP($D171,Group!$C:$E,3,0),"")</f>
        <v/>
      </c>
      <c r="M171" s="3" t="str">
        <f>IF(OR($J171="BOSFCSC",$J171="BOFCSC"),VLOOKUP($D171,Group!$C:$F,4,0),"")</f>
        <v/>
      </c>
      <c r="N171" s="3" t="str">
        <f>IF(OR($J171="InhouseCSC",$J171="BOSFCSC"),VLOOKUP($D171,Group!$C:$G,5,0),"")</f>
        <v/>
      </c>
      <c r="O171" s="3" t="str">
        <f>IF($J171="InhouseCSC",ROUND(VLOOKUP($D171,Group!$C:$H,6,0),5),"")</f>
        <v/>
      </c>
      <c r="P171" s="3" t="str">
        <f>IF(OR($J171="BOSFCSC",$J171="BOFCSC"),VLOOKUP($D171,Group!$C:$H,6,0),"")</f>
        <v/>
      </c>
      <c r="Q171" s="1" t="str">
        <f>IF($J171="Inhouseothers",VLOOKUP($D171,Group!$C:$E,3,0),"")</f>
        <v/>
      </c>
      <c r="R171" s="1" t="str">
        <f>IF($J171="BOSFOthers",VLOOKUP($D171,Group!$C:$E,3,0),"")</f>
        <v/>
      </c>
      <c r="S171" s="3" t="str">
        <f>IF($J171="BOFOthers",VLOOKUP($D171,Group!$C:$E,3,0),"")</f>
        <v/>
      </c>
      <c r="U171" s="1" t="str">
        <f>IFERROR(Backend!$L171*VLOOKUP($F171,'OH,Profit &amp; Other Base'!$A:$V,Backend!U$6,0),"")</f>
        <v/>
      </c>
      <c r="V171" s="1" t="str">
        <f>IFERROR(Backend!$M171*VLOOKUP($F171,'OH,Profit &amp; Other Base'!$A:$V,Backend!V$6,0),"")</f>
        <v/>
      </c>
      <c r="W171" s="1" t="str">
        <f>IFERROR(Backend!$L171*VLOOKUP($F171,'OH,Profit &amp; Other Base'!$A:$V,Backend!W$6,0),"")</f>
        <v/>
      </c>
      <c r="X171" s="1" t="str">
        <f>IFERROR(Backend!$M171*VLOOKUP($F171,'OH,Profit &amp; Other Base'!$A:$V,Backend!X$6,0),"")</f>
        <v/>
      </c>
      <c r="Y171" s="1" t="str">
        <f>IFERROR(Backend!$L171*VLOOKUP($F171,'OH,Profit &amp; Other Base'!$A:$V,Backend!Y$6,0),"")</f>
        <v/>
      </c>
      <c r="Z171" s="1" t="str">
        <f>IFERROR(Backend!$M171*VLOOKUP($F171,'OH,Profit &amp; Other Base'!$A:$V,Backend!Z$6,0),"")</f>
        <v/>
      </c>
      <c r="AA171" s="1" t="str">
        <f>IFERROR(Backend!$L171*VLOOKUP($F171,'OH,Profit &amp; Other Base'!$A:$V,Backend!AA$6,0),"")</f>
        <v/>
      </c>
      <c r="AB171" s="1" t="str">
        <f>IFERROR(Backend!$M171*VLOOKUP($F171,'OH,Profit &amp; Other Base'!$A:$V,Backend!AB$6,0),"")</f>
        <v/>
      </c>
      <c r="AC171" s="1" t="str">
        <f>IFERROR(Backend!$L171*VLOOKUP($F171,'OH,Profit &amp; Other Base'!$A:$V,Backend!AC$6,0),"")</f>
        <v/>
      </c>
      <c r="AD171" s="1" t="str">
        <f>IFERROR(Backend!$M171*VLOOKUP($F171,'OH,Profit &amp; Other Base'!$A:$V,Backend!AD$6,0),"")</f>
        <v/>
      </c>
      <c r="AE171" s="1" t="str">
        <f>IFERROR(Backend!$L171*VLOOKUP($F171,'OH,Profit &amp; Other Base'!$A:$V,Backend!AE$6,0),"")</f>
        <v/>
      </c>
      <c r="AF171" s="1" t="str">
        <f>IFERROR(Backend!$M171*VLOOKUP($F171,'OH,Profit &amp; Other Base'!$A:$V,Backend!AF$6,0),"")</f>
        <v/>
      </c>
      <c r="AG171" s="1" t="str">
        <f>IFERROR(Backend!$L171*VLOOKUP($F171,'OH,Profit &amp; Other Base'!$A:$V,Backend!AG$6,0),"")</f>
        <v/>
      </c>
      <c r="AH171" s="1" t="str">
        <f>IFERROR(Backend!$M171*VLOOKUP($F171,'OH,Profit &amp; Other Base'!$A:$V,Backend!AH$6,0),"")</f>
        <v/>
      </c>
      <c r="AI171" s="3">
        <f t="shared" si="16"/>
        <v>0</v>
      </c>
      <c r="AL171" s="1" t="str">
        <f t="shared" si="17"/>
        <v/>
      </c>
      <c r="AM171" s="1" t="str">
        <f t="shared" si="18"/>
        <v/>
      </c>
      <c r="AN171" s="1" t="str">
        <f t="shared" si="19"/>
        <v/>
      </c>
      <c r="AO171" s="1" t="str">
        <f t="shared" si="20"/>
        <v/>
      </c>
      <c r="AP171" s="1" t="str">
        <f>IFERROR(ROUND(Backend!$AL171*VLOOKUP($F171,'OH,Profit &amp; Other Base'!$A:$V,Backend!AP$6,0),5),"")</f>
        <v/>
      </c>
      <c r="AQ171" s="1" t="str">
        <f>IFERROR(ROUND(Backend!$AO171*VLOOKUP($F171,'OH,Profit &amp; Other Base'!$A:$V,Backend!AQ$6,0),5),"")</f>
        <v/>
      </c>
      <c r="AR171" s="1" t="str">
        <f>IFERROR(ROUND(Backend!$AM171*VLOOKUP($F171,'OH,Profit &amp; Other Base'!$A:$V,Backend!AR$6,0),5),"")</f>
        <v/>
      </c>
      <c r="AS171" s="1" t="str">
        <f>IFERROR(ROUND(Backend!$AL171*VLOOKUP($F171,'OH,Profit &amp; Other Base'!$A:$V,Backend!AS$6,0),5),"")</f>
        <v/>
      </c>
      <c r="AT171" s="1" t="str">
        <f>IFERROR(ROUND(Backend!$AO171*VLOOKUP($F171,'OH,Profit &amp; Other Base'!$A:$V,Backend!AT$6,0),5),"")</f>
        <v/>
      </c>
      <c r="AU171" s="1" t="str">
        <f>IFERROR(ROUND(Backend!$AM171*VLOOKUP($F171,'OH,Profit &amp; Other Base'!$A:$V,Backend!AU$6,0),5),"")</f>
        <v/>
      </c>
      <c r="AV171" s="1" t="str">
        <f>IFERROR(ROUND(Backend!$AL171*VLOOKUP($F171,'OH,Profit &amp; Other Base'!$A:$V,Backend!AV$6,0),5),"")</f>
        <v/>
      </c>
      <c r="AW171" s="1" t="str">
        <f>IFERROR(ROUND(Backend!$AO171*VLOOKUP($F171,'OH,Profit &amp; Other Base'!$A:$V,Backend!AW$6,0),5),"")</f>
        <v/>
      </c>
      <c r="AX171" s="1" t="str">
        <f>IFERROR(ROUND(Backend!$AM171*VLOOKUP($F171,'OH,Profit &amp; Other Base'!$A:$V,Backend!AX$6,0),5),"")</f>
        <v/>
      </c>
      <c r="AY171" s="1" t="str">
        <f>IFERROR(ROUND(Backend!$AL171*VLOOKUP($F171,'OH,Profit &amp; Other Base'!$A:$V,Backend!AY$6,0),5),"")</f>
        <v/>
      </c>
      <c r="AZ171" s="1" t="str">
        <f>IFERROR(ROUND(Backend!$AO171*VLOOKUP($F171,'OH,Profit &amp; Other Base'!$A:$V,Backend!AZ$6,0),5),"")</f>
        <v/>
      </c>
      <c r="BA171" s="1" t="str">
        <f>IFERROR(ROUND(Backend!$AM171*VLOOKUP($F171,'OH,Profit &amp; Other Base'!$A:$V,Backend!BA$6,0),5),"")</f>
        <v/>
      </c>
      <c r="BB171" s="1" t="str">
        <f>IFERROR(ROUND(Backend!$AL171*VLOOKUP($F171,'OH,Profit &amp; Other Base'!$A:$V,Backend!BB$6,0),5),"")</f>
        <v/>
      </c>
      <c r="BC171" s="1" t="str">
        <f>IFERROR(ROUND(Backend!$AO171*VLOOKUP($F171,'OH,Profit &amp; Other Base'!$A:$V,Backend!BC$6,0),5),"")</f>
        <v/>
      </c>
      <c r="BD171" s="1" t="str">
        <f>IFERROR(ROUND(Backend!$AM171*VLOOKUP($F171,'OH,Profit &amp; Other Base'!$A:$V,Backend!BD$6,0),5),"")</f>
        <v/>
      </c>
      <c r="BE171" s="1" t="str">
        <f>IFERROR(ROUND(Backend!$AL171*VLOOKUP($F171,'OH,Profit &amp; Other Base'!$A:$V,Backend!BE$6,0),5),"")</f>
        <v/>
      </c>
      <c r="BF171" s="1" t="str">
        <f>IFERROR(ROUND(Backend!$AO171*VLOOKUP($F171,'OH,Profit &amp; Other Base'!$A:$V,Backend!BF$6,0),5),"")</f>
        <v/>
      </c>
      <c r="BG171" s="1" t="str">
        <f>IFERROR(ROUND(Backend!$AM171*VLOOKUP($F171,'OH,Profit &amp; Other Base'!$A:$V,Backend!BG$6,0),5),"")</f>
        <v/>
      </c>
      <c r="BH171" s="1" t="str">
        <f>IFERROR(ROUND(Backend!$AL171*VLOOKUP($F171,'OH,Profit &amp; Other Base'!$A:$V,Backend!BH$6,0),5),"")</f>
        <v/>
      </c>
      <c r="BI171" s="1" t="str">
        <f>IFERROR(ROUND(Backend!$AO171*VLOOKUP($F171,'OH,Profit &amp; Other Base'!$A:$V,Backend!BI$6,0),5),"")</f>
        <v/>
      </c>
      <c r="BJ171" s="1" t="str">
        <f>IFERROR(ROUND(Backend!$AM171*VLOOKUP($F171,'OH,Profit &amp; Other Base'!$A:$V,Backend!BJ$6,0),5),"")</f>
        <v/>
      </c>
      <c r="BK171" s="3">
        <f>SUM(AN171:BJ171,Backend!O171)</f>
        <v>0</v>
      </c>
    </row>
    <row r="172" spans="1:63">
      <c r="A172" s="1">
        <f>BOM!A167</f>
        <v>0</v>
      </c>
      <c r="B172" s="1">
        <f>BOM!B167</f>
        <v>0</v>
      </c>
      <c r="C172" s="1">
        <f>BOM!C167</f>
        <v>0</v>
      </c>
      <c r="D172" s="1">
        <f>BOM!D167</f>
        <v>0</v>
      </c>
      <c r="E172" s="1">
        <f>BOM!F167</f>
        <v>0</v>
      </c>
      <c r="F172" s="1" t="str">
        <f>IF(H172="CSC",BOM!H167,IF(J172="BOFOthers","Sheet Metal-B",""))</f>
        <v/>
      </c>
      <c r="G172" s="1">
        <f>BOM!I167</f>
        <v>0</v>
      </c>
      <c r="H172" s="1">
        <f>BOM!J167</f>
        <v>0</v>
      </c>
      <c r="I172" s="1" t="str">
        <f t="shared" si="14"/>
        <v>Others</v>
      </c>
      <c r="J172" s="1" t="str">
        <f t="shared" si="15"/>
        <v>0Others</v>
      </c>
      <c r="K172" s="3" t="str">
        <f>IF($J172="InhouseCSC",VLOOKUP($D172,Group!$C:$E,3,0),"")</f>
        <v/>
      </c>
      <c r="L172" s="3" t="str">
        <f>IF(OR($J172="BOSFCSC",$J172="BOFCSC"),VLOOKUP($D172,Group!$C:$E,3,0),"")</f>
        <v/>
      </c>
      <c r="M172" s="3" t="str">
        <f>IF(OR($J172="BOSFCSC",$J172="BOFCSC"),VLOOKUP($D172,Group!$C:$F,4,0),"")</f>
        <v/>
      </c>
      <c r="N172" s="3" t="str">
        <f>IF(OR($J172="InhouseCSC",$J172="BOSFCSC"),VLOOKUP($D172,Group!$C:$G,5,0),"")</f>
        <v/>
      </c>
      <c r="O172" s="3" t="str">
        <f>IF($J172="InhouseCSC",ROUND(VLOOKUP($D172,Group!$C:$H,6,0),5),"")</f>
        <v/>
      </c>
      <c r="P172" s="3" t="str">
        <f>IF(OR($J172="BOSFCSC",$J172="BOFCSC"),VLOOKUP($D172,Group!$C:$H,6,0),"")</f>
        <v/>
      </c>
      <c r="Q172" s="1" t="str">
        <f>IF($J172="Inhouseothers",VLOOKUP($D172,Group!$C:$E,3,0),"")</f>
        <v/>
      </c>
      <c r="R172" s="1" t="str">
        <f>IF($J172="BOSFOthers",VLOOKUP($D172,Group!$C:$E,3,0),"")</f>
        <v/>
      </c>
      <c r="S172" s="3" t="str">
        <f>IF($J172="BOFOthers",VLOOKUP($D172,Group!$C:$E,3,0),"")</f>
        <v/>
      </c>
      <c r="U172" s="1" t="str">
        <f>IFERROR(Backend!$L172*VLOOKUP($F172,'OH,Profit &amp; Other Base'!$A:$V,Backend!U$6,0),"")</f>
        <v/>
      </c>
      <c r="V172" s="1" t="str">
        <f>IFERROR(Backend!$M172*VLOOKUP($F172,'OH,Profit &amp; Other Base'!$A:$V,Backend!V$6,0),"")</f>
        <v/>
      </c>
      <c r="W172" s="1" t="str">
        <f>IFERROR(Backend!$L172*VLOOKUP($F172,'OH,Profit &amp; Other Base'!$A:$V,Backend!W$6,0),"")</f>
        <v/>
      </c>
      <c r="X172" s="1" t="str">
        <f>IFERROR(Backend!$M172*VLOOKUP($F172,'OH,Profit &amp; Other Base'!$A:$V,Backend!X$6,0),"")</f>
        <v/>
      </c>
      <c r="Y172" s="1" t="str">
        <f>IFERROR(Backend!$L172*VLOOKUP($F172,'OH,Profit &amp; Other Base'!$A:$V,Backend!Y$6,0),"")</f>
        <v/>
      </c>
      <c r="Z172" s="1" t="str">
        <f>IFERROR(Backend!$M172*VLOOKUP($F172,'OH,Profit &amp; Other Base'!$A:$V,Backend!Z$6,0),"")</f>
        <v/>
      </c>
      <c r="AA172" s="1" t="str">
        <f>IFERROR(Backend!$L172*VLOOKUP($F172,'OH,Profit &amp; Other Base'!$A:$V,Backend!AA$6,0),"")</f>
        <v/>
      </c>
      <c r="AB172" s="1" t="str">
        <f>IFERROR(Backend!$M172*VLOOKUP($F172,'OH,Profit &amp; Other Base'!$A:$V,Backend!AB$6,0),"")</f>
        <v/>
      </c>
      <c r="AC172" s="1" t="str">
        <f>IFERROR(Backend!$L172*VLOOKUP($F172,'OH,Profit &amp; Other Base'!$A:$V,Backend!AC$6,0),"")</f>
        <v/>
      </c>
      <c r="AD172" s="1" t="str">
        <f>IFERROR(Backend!$M172*VLOOKUP($F172,'OH,Profit &amp; Other Base'!$A:$V,Backend!AD$6,0),"")</f>
        <v/>
      </c>
      <c r="AE172" s="1" t="str">
        <f>IFERROR(Backend!$L172*VLOOKUP($F172,'OH,Profit &amp; Other Base'!$A:$V,Backend!AE$6,0),"")</f>
        <v/>
      </c>
      <c r="AF172" s="1" t="str">
        <f>IFERROR(Backend!$M172*VLOOKUP($F172,'OH,Profit &amp; Other Base'!$A:$V,Backend!AF$6,0),"")</f>
        <v/>
      </c>
      <c r="AG172" s="1" t="str">
        <f>IFERROR(Backend!$L172*VLOOKUP($F172,'OH,Profit &amp; Other Base'!$A:$V,Backend!AG$6,0),"")</f>
        <v/>
      </c>
      <c r="AH172" s="1" t="str">
        <f>IFERROR(Backend!$M172*VLOOKUP($F172,'OH,Profit &amp; Other Base'!$A:$V,Backend!AH$6,0),"")</f>
        <v/>
      </c>
      <c r="AI172" s="3">
        <f t="shared" si="16"/>
        <v>0</v>
      </c>
      <c r="AL172" s="1" t="str">
        <f t="shared" si="17"/>
        <v/>
      </c>
      <c r="AM172" s="1" t="str">
        <f t="shared" si="18"/>
        <v/>
      </c>
      <c r="AN172" s="1" t="str">
        <f t="shared" si="19"/>
        <v/>
      </c>
      <c r="AO172" s="1" t="str">
        <f t="shared" si="20"/>
        <v/>
      </c>
      <c r="AP172" s="1" t="str">
        <f>IFERROR(ROUND(Backend!$AL172*VLOOKUP($F172,'OH,Profit &amp; Other Base'!$A:$V,Backend!AP$6,0),5),"")</f>
        <v/>
      </c>
      <c r="AQ172" s="1" t="str">
        <f>IFERROR(ROUND(Backend!$AO172*VLOOKUP($F172,'OH,Profit &amp; Other Base'!$A:$V,Backend!AQ$6,0),5),"")</f>
        <v/>
      </c>
      <c r="AR172" s="1" t="str">
        <f>IFERROR(ROUND(Backend!$AM172*VLOOKUP($F172,'OH,Profit &amp; Other Base'!$A:$V,Backend!AR$6,0),5),"")</f>
        <v/>
      </c>
      <c r="AS172" s="1" t="str">
        <f>IFERROR(ROUND(Backend!$AL172*VLOOKUP($F172,'OH,Profit &amp; Other Base'!$A:$V,Backend!AS$6,0),5),"")</f>
        <v/>
      </c>
      <c r="AT172" s="1" t="str">
        <f>IFERROR(ROUND(Backend!$AO172*VLOOKUP($F172,'OH,Profit &amp; Other Base'!$A:$V,Backend!AT$6,0),5),"")</f>
        <v/>
      </c>
      <c r="AU172" s="1" t="str">
        <f>IFERROR(ROUND(Backend!$AM172*VLOOKUP($F172,'OH,Profit &amp; Other Base'!$A:$V,Backend!AU$6,0),5),"")</f>
        <v/>
      </c>
      <c r="AV172" s="1" t="str">
        <f>IFERROR(ROUND(Backend!$AL172*VLOOKUP($F172,'OH,Profit &amp; Other Base'!$A:$V,Backend!AV$6,0),5),"")</f>
        <v/>
      </c>
      <c r="AW172" s="1" t="str">
        <f>IFERROR(ROUND(Backend!$AO172*VLOOKUP($F172,'OH,Profit &amp; Other Base'!$A:$V,Backend!AW$6,0),5),"")</f>
        <v/>
      </c>
      <c r="AX172" s="1" t="str">
        <f>IFERROR(ROUND(Backend!$AM172*VLOOKUP($F172,'OH,Profit &amp; Other Base'!$A:$V,Backend!AX$6,0),5),"")</f>
        <v/>
      </c>
      <c r="AY172" s="1" t="str">
        <f>IFERROR(ROUND(Backend!$AL172*VLOOKUP($F172,'OH,Profit &amp; Other Base'!$A:$V,Backend!AY$6,0),5),"")</f>
        <v/>
      </c>
      <c r="AZ172" s="1" t="str">
        <f>IFERROR(ROUND(Backend!$AO172*VLOOKUP($F172,'OH,Profit &amp; Other Base'!$A:$V,Backend!AZ$6,0),5),"")</f>
        <v/>
      </c>
      <c r="BA172" s="1" t="str">
        <f>IFERROR(ROUND(Backend!$AM172*VLOOKUP($F172,'OH,Profit &amp; Other Base'!$A:$V,Backend!BA$6,0),5),"")</f>
        <v/>
      </c>
      <c r="BB172" s="1" t="str">
        <f>IFERROR(ROUND(Backend!$AL172*VLOOKUP($F172,'OH,Profit &amp; Other Base'!$A:$V,Backend!BB$6,0),5),"")</f>
        <v/>
      </c>
      <c r="BC172" s="1" t="str">
        <f>IFERROR(ROUND(Backend!$AO172*VLOOKUP($F172,'OH,Profit &amp; Other Base'!$A:$V,Backend!BC$6,0),5),"")</f>
        <v/>
      </c>
      <c r="BD172" s="1" t="str">
        <f>IFERROR(ROUND(Backend!$AM172*VLOOKUP($F172,'OH,Profit &amp; Other Base'!$A:$V,Backend!BD$6,0),5),"")</f>
        <v/>
      </c>
      <c r="BE172" s="1" t="str">
        <f>IFERROR(ROUND(Backend!$AL172*VLOOKUP($F172,'OH,Profit &amp; Other Base'!$A:$V,Backend!BE$6,0),5),"")</f>
        <v/>
      </c>
      <c r="BF172" s="1" t="str">
        <f>IFERROR(ROUND(Backend!$AO172*VLOOKUP($F172,'OH,Profit &amp; Other Base'!$A:$V,Backend!BF$6,0),5),"")</f>
        <v/>
      </c>
      <c r="BG172" s="1" t="str">
        <f>IFERROR(ROUND(Backend!$AM172*VLOOKUP($F172,'OH,Profit &amp; Other Base'!$A:$V,Backend!BG$6,0),5),"")</f>
        <v/>
      </c>
      <c r="BH172" s="1" t="str">
        <f>IFERROR(ROUND(Backend!$AL172*VLOOKUP($F172,'OH,Profit &amp; Other Base'!$A:$V,Backend!BH$6,0),5),"")</f>
        <v/>
      </c>
      <c r="BI172" s="1" t="str">
        <f>IFERROR(ROUND(Backend!$AO172*VLOOKUP($F172,'OH,Profit &amp; Other Base'!$A:$V,Backend!BI$6,0),5),"")</f>
        <v/>
      </c>
      <c r="BJ172" s="1" t="str">
        <f>IFERROR(ROUND(Backend!$AM172*VLOOKUP($F172,'OH,Profit &amp; Other Base'!$A:$V,Backend!BJ$6,0),5),"")</f>
        <v/>
      </c>
      <c r="BK172" s="3">
        <f>SUM(AN172:BJ172,Backend!O172)</f>
        <v>0</v>
      </c>
    </row>
    <row r="173" spans="1:63">
      <c r="A173" s="1">
        <f>BOM!A168</f>
        <v>0</v>
      </c>
      <c r="B173" s="1">
        <f>BOM!B168</f>
        <v>0</v>
      </c>
      <c r="C173" s="1">
        <f>BOM!C168</f>
        <v>0</v>
      </c>
      <c r="D173" s="1">
        <f>BOM!D168</f>
        <v>0</v>
      </c>
      <c r="E173" s="1">
        <f>BOM!F168</f>
        <v>0</v>
      </c>
      <c r="F173" s="1" t="str">
        <f>IF(H173="CSC",BOM!H168,IF(J173="BOFOthers","Sheet Metal-B",""))</f>
        <v/>
      </c>
      <c r="G173" s="1">
        <f>BOM!I168</f>
        <v>0</v>
      </c>
      <c r="H173" s="1">
        <f>BOM!J168</f>
        <v>0</v>
      </c>
      <c r="I173" s="1" t="str">
        <f t="shared" si="14"/>
        <v>Others</v>
      </c>
      <c r="J173" s="1" t="str">
        <f t="shared" si="15"/>
        <v>0Others</v>
      </c>
      <c r="K173" s="3" t="str">
        <f>IF($J173="InhouseCSC",VLOOKUP($D173,Group!$C:$E,3,0),"")</f>
        <v/>
      </c>
      <c r="L173" s="3" t="str">
        <f>IF(OR($J173="BOSFCSC",$J173="BOFCSC"),VLOOKUP($D173,Group!$C:$E,3,0),"")</f>
        <v/>
      </c>
      <c r="M173" s="3" t="str">
        <f>IF(OR($J173="BOSFCSC",$J173="BOFCSC"),VLOOKUP($D173,Group!$C:$F,4,0),"")</f>
        <v/>
      </c>
      <c r="N173" s="3" t="str">
        <f>IF(OR($J173="InhouseCSC",$J173="BOSFCSC"),VLOOKUP($D173,Group!$C:$G,5,0),"")</f>
        <v/>
      </c>
      <c r="O173" s="3" t="str">
        <f>IF($J173="InhouseCSC",ROUND(VLOOKUP($D173,Group!$C:$H,6,0),5),"")</f>
        <v/>
      </c>
      <c r="P173" s="3" t="str">
        <f>IF(OR($J173="BOSFCSC",$J173="BOFCSC"),VLOOKUP($D173,Group!$C:$H,6,0),"")</f>
        <v/>
      </c>
      <c r="Q173" s="1" t="str">
        <f>IF($J173="Inhouseothers",VLOOKUP($D173,Group!$C:$E,3,0),"")</f>
        <v/>
      </c>
      <c r="R173" s="1" t="str">
        <f>IF($J173="BOSFOthers",VLOOKUP($D173,Group!$C:$E,3,0),"")</f>
        <v/>
      </c>
      <c r="S173" s="3" t="str">
        <f>IF($J173="BOFOthers",VLOOKUP($D173,Group!$C:$E,3,0),"")</f>
        <v/>
      </c>
      <c r="U173" s="1" t="str">
        <f>IFERROR(Backend!$L173*VLOOKUP($F173,'OH,Profit &amp; Other Base'!$A:$V,Backend!U$6,0),"")</f>
        <v/>
      </c>
      <c r="V173" s="1" t="str">
        <f>IFERROR(Backend!$M173*VLOOKUP($F173,'OH,Profit &amp; Other Base'!$A:$V,Backend!V$6,0),"")</f>
        <v/>
      </c>
      <c r="W173" s="1" t="str">
        <f>IFERROR(Backend!$L173*VLOOKUP($F173,'OH,Profit &amp; Other Base'!$A:$V,Backend!W$6,0),"")</f>
        <v/>
      </c>
      <c r="X173" s="1" t="str">
        <f>IFERROR(Backend!$M173*VLOOKUP($F173,'OH,Profit &amp; Other Base'!$A:$V,Backend!X$6,0),"")</f>
        <v/>
      </c>
      <c r="Y173" s="1" t="str">
        <f>IFERROR(Backend!$L173*VLOOKUP($F173,'OH,Profit &amp; Other Base'!$A:$V,Backend!Y$6,0),"")</f>
        <v/>
      </c>
      <c r="Z173" s="1" t="str">
        <f>IFERROR(Backend!$M173*VLOOKUP($F173,'OH,Profit &amp; Other Base'!$A:$V,Backend!Z$6,0),"")</f>
        <v/>
      </c>
      <c r="AA173" s="1" t="str">
        <f>IFERROR(Backend!$L173*VLOOKUP($F173,'OH,Profit &amp; Other Base'!$A:$V,Backend!AA$6,0),"")</f>
        <v/>
      </c>
      <c r="AB173" s="1" t="str">
        <f>IFERROR(Backend!$M173*VLOOKUP($F173,'OH,Profit &amp; Other Base'!$A:$V,Backend!AB$6,0),"")</f>
        <v/>
      </c>
      <c r="AC173" s="1" t="str">
        <f>IFERROR(Backend!$L173*VLOOKUP($F173,'OH,Profit &amp; Other Base'!$A:$V,Backend!AC$6,0),"")</f>
        <v/>
      </c>
      <c r="AD173" s="1" t="str">
        <f>IFERROR(Backend!$M173*VLOOKUP($F173,'OH,Profit &amp; Other Base'!$A:$V,Backend!AD$6,0),"")</f>
        <v/>
      </c>
      <c r="AE173" s="1" t="str">
        <f>IFERROR(Backend!$L173*VLOOKUP($F173,'OH,Profit &amp; Other Base'!$A:$V,Backend!AE$6,0),"")</f>
        <v/>
      </c>
      <c r="AF173" s="1" t="str">
        <f>IFERROR(Backend!$M173*VLOOKUP($F173,'OH,Profit &amp; Other Base'!$A:$V,Backend!AF$6,0),"")</f>
        <v/>
      </c>
      <c r="AG173" s="1" t="str">
        <f>IFERROR(Backend!$L173*VLOOKUP($F173,'OH,Profit &amp; Other Base'!$A:$V,Backend!AG$6,0),"")</f>
        <v/>
      </c>
      <c r="AH173" s="1" t="str">
        <f>IFERROR(Backend!$M173*VLOOKUP($F173,'OH,Profit &amp; Other Base'!$A:$V,Backend!AH$6,0),"")</f>
        <v/>
      </c>
      <c r="AI173" s="3">
        <f t="shared" si="16"/>
        <v>0</v>
      </c>
      <c r="AL173" s="1" t="str">
        <f t="shared" si="17"/>
        <v/>
      </c>
      <c r="AM173" s="1" t="str">
        <f t="shared" si="18"/>
        <v/>
      </c>
      <c r="AN173" s="1" t="str">
        <f t="shared" si="19"/>
        <v/>
      </c>
      <c r="AO173" s="1" t="str">
        <f t="shared" si="20"/>
        <v/>
      </c>
      <c r="AP173" s="1" t="str">
        <f>IFERROR(ROUND(Backend!$AL173*VLOOKUP($F173,'OH,Profit &amp; Other Base'!$A:$V,Backend!AP$6,0),5),"")</f>
        <v/>
      </c>
      <c r="AQ173" s="1" t="str">
        <f>IFERROR(ROUND(Backend!$AO173*VLOOKUP($F173,'OH,Profit &amp; Other Base'!$A:$V,Backend!AQ$6,0),5),"")</f>
        <v/>
      </c>
      <c r="AR173" s="1" t="str">
        <f>IFERROR(ROUND(Backend!$AM173*VLOOKUP($F173,'OH,Profit &amp; Other Base'!$A:$V,Backend!AR$6,0),5),"")</f>
        <v/>
      </c>
      <c r="AS173" s="1" t="str">
        <f>IFERROR(ROUND(Backend!$AL173*VLOOKUP($F173,'OH,Profit &amp; Other Base'!$A:$V,Backend!AS$6,0),5),"")</f>
        <v/>
      </c>
      <c r="AT173" s="1" t="str">
        <f>IFERROR(ROUND(Backend!$AO173*VLOOKUP($F173,'OH,Profit &amp; Other Base'!$A:$V,Backend!AT$6,0),5),"")</f>
        <v/>
      </c>
      <c r="AU173" s="1" t="str">
        <f>IFERROR(ROUND(Backend!$AM173*VLOOKUP($F173,'OH,Profit &amp; Other Base'!$A:$V,Backend!AU$6,0),5),"")</f>
        <v/>
      </c>
      <c r="AV173" s="1" t="str">
        <f>IFERROR(ROUND(Backend!$AL173*VLOOKUP($F173,'OH,Profit &amp; Other Base'!$A:$V,Backend!AV$6,0),5),"")</f>
        <v/>
      </c>
      <c r="AW173" s="1" t="str">
        <f>IFERROR(ROUND(Backend!$AO173*VLOOKUP($F173,'OH,Profit &amp; Other Base'!$A:$V,Backend!AW$6,0),5),"")</f>
        <v/>
      </c>
      <c r="AX173" s="1" t="str">
        <f>IFERROR(ROUND(Backend!$AM173*VLOOKUP($F173,'OH,Profit &amp; Other Base'!$A:$V,Backend!AX$6,0),5),"")</f>
        <v/>
      </c>
      <c r="AY173" s="1" t="str">
        <f>IFERROR(ROUND(Backend!$AL173*VLOOKUP($F173,'OH,Profit &amp; Other Base'!$A:$V,Backend!AY$6,0),5),"")</f>
        <v/>
      </c>
      <c r="AZ173" s="1" t="str">
        <f>IFERROR(ROUND(Backend!$AO173*VLOOKUP($F173,'OH,Profit &amp; Other Base'!$A:$V,Backend!AZ$6,0),5),"")</f>
        <v/>
      </c>
      <c r="BA173" s="1" t="str">
        <f>IFERROR(ROUND(Backend!$AM173*VLOOKUP($F173,'OH,Profit &amp; Other Base'!$A:$V,Backend!BA$6,0),5),"")</f>
        <v/>
      </c>
      <c r="BB173" s="1" t="str">
        <f>IFERROR(ROUND(Backend!$AL173*VLOOKUP($F173,'OH,Profit &amp; Other Base'!$A:$V,Backend!BB$6,0),5),"")</f>
        <v/>
      </c>
      <c r="BC173" s="1" t="str">
        <f>IFERROR(ROUND(Backend!$AO173*VLOOKUP($F173,'OH,Profit &amp; Other Base'!$A:$V,Backend!BC$6,0),5),"")</f>
        <v/>
      </c>
      <c r="BD173" s="1" t="str">
        <f>IFERROR(ROUND(Backend!$AM173*VLOOKUP($F173,'OH,Profit &amp; Other Base'!$A:$V,Backend!BD$6,0),5),"")</f>
        <v/>
      </c>
      <c r="BE173" s="1" t="str">
        <f>IFERROR(ROUND(Backend!$AL173*VLOOKUP($F173,'OH,Profit &amp; Other Base'!$A:$V,Backend!BE$6,0),5),"")</f>
        <v/>
      </c>
      <c r="BF173" s="1" t="str">
        <f>IFERROR(ROUND(Backend!$AO173*VLOOKUP($F173,'OH,Profit &amp; Other Base'!$A:$V,Backend!BF$6,0),5),"")</f>
        <v/>
      </c>
      <c r="BG173" s="1" t="str">
        <f>IFERROR(ROUND(Backend!$AM173*VLOOKUP($F173,'OH,Profit &amp; Other Base'!$A:$V,Backend!BG$6,0),5),"")</f>
        <v/>
      </c>
      <c r="BH173" s="1" t="str">
        <f>IFERROR(ROUND(Backend!$AL173*VLOOKUP($F173,'OH,Profit &amp; Other Base'!$A:$V,Backend!BH$6,0),5),"")</f>
        <v/>
      </c>
      <c r="BI173" s="1" t="str">
        <f>IFERROR(ROUND(Backend!$AO173*VLOOKUP($F173,'OH,Profit &amp; Other Base'!$A:$V,Backend!BI$6,0),5),"")</f>
        <v/>
      </c>
      <c r="BJ173" s="1" t="str">
        <f>IFERROR(ROUND(Backend!$AM173*VLOOKUP($F173,'OH,Profit &amp; Other Base'!$A:$V,Backend!BJ$6,0),5),"")</f>
        <v/>
      </c>
      <c r="BK173" s="3">
        <f>SUM(AN173:BJ173,Backend!O173)</f>
        <v>0</v>
      </c>
    </row>
    <row r="174" spans="1:63">
      <c r="A174" s="1">
        <f>BOM!A169</f>
        <v>0</v>
      </c>
      <c r="B174" s="1">
        <f>BOM!B169</f>
        <v>0</v>
      </c>
      <c r="C174" s="1">
        <f>BOM!C169</f>
        <v>0</v>
      </c>
      <c r="D174" s="1">
        <f>BOM!D169</f>
        <v>0</v>
      </c>
      <c r="E174" s="1">
        <f>BOM!F169</f>
        <v>0</v>
      </c>
      <c r="F174" s="1" t="str">
        <f>IF(H174="CSC",BOM!H169,IF(J174="BOFOthers","Sheet Metal-B",""))</f>
        <v/>
      </c>
      <c r="G174" s="1">
        <f>BOM!I169</f>
        <v>0</v>
      </c>
      <c r="H174" s="1">
        <f>BOM!J169</f>
        <v>0</v>
      </c>
      <c r="I174" s="1" t="str">
        <f t="shared" si="14"/>
        <v>Others</v>
      </c>
      <c r="J174" s="1" t="str">
        <f t="shared" si="15"/>
        <v>0Others</v>
      </c>
      <c r="K174" s="3" t="str">
        <f>IF($J174="InhouseCSC",VLOOKUP($D174,Group!$C:$E,3,0),"")</f>
        <v/>
      </c>
      <c r="L174" s="3" t="str">
        <f>IF(OR($J174="BOSFCSC",$J174="BOFCSC"),VLOOKUP($D174,Group!$C:$E,3,0),"")</f>
        <v/>
      </c>
      <c r="M174" s="3" t="str">
        <f>IF(OR($J174="BOSFCSC",$J174="BOFCSC"),VLOOKUP($D174,Group!$C:$F,4,0),"")</f>
        <v/>
      </c>
      <c r="N174" s="3" t="str">
        <f>IF(OR($J174="InhouseCSC",$J174="BOSFCSC"),VLOOKUP($D174,Group!$C:$G,5,0),"")</f>
        <v/>
      </c>
      <c r="O174" s="3" t="str">
        <f>IF($J174="InhouseCSC",ROUND(VLOOKUP($D174,Group!$C:$H,6,0),5),"")</f>
        <v/>
      </c>
      <c r="P174" s="3" t="str">
        <f>IF(OR($J174="BOSFCSC",$J174="BOFCSC"),VLOOKUP($D174,Group!$C:$H,6,0),"")</f>
        <v/>
      </c>
      <c r="Q174" s="1" t="str">
        <f>IF($J174="Inhouseothers",VLOOKUP($D174,Group!$C:$E,3,0),"")</f>
        <v/>
      </c>
      <c r="R174" s="1" t="str">
        <f>IF($J174="BOSFOthers",VLOOKUP($D174,Group!$C:$E,3,0),"")</f>
        <v/>
      </c>
      <c r="S174" s="3" t="str">
        <f>IF($J174="BOFOthers",VLOOKUP($D174,Group!$C:$E,3,0),"")</f>
        <v/>
      </c>
      <c r="U174" s="1" t="str">
        <f>IFERROR(Backend!$L174*VLOOKUP($F174,'OH,Profit &amp; Other Base'!$A:$V,Backend!U$6,0),"")</f>
        <v/>
      </c>
      <c r="V174" s="1" t="str">
        <f>IFERROR(Backend!$M174*VLOOKUP($F174,'OH,Profit &amp; Other Base'!$A:$V,Backend!V$6,0),"")</f>
        <v/>
      </c>
      <c r="W174" s="1" t="str">
        <f>IFERROR(Backend!$L174*VLOOKUP($F174,'OH,Profit &amp; Other Base'!$A:$V,Backend!W$6,0),"")</f>
        <v/>
      </c>
      <c r="X174" s="1" t="str">
        <f>IFERROR(Backend!$M174*VLOOKUP($F174,'OH,Profit &amp; Other Base'!$A:$V,Backend!X$6,0),"")</f>
        <v/>
      </c>
      <c r="Y174" s="1" t="str">
        <f>IFERROR(Backend!$L174*VLOOKUP($F174,'OH,Profit &amp; Other Base'!$A:$V,Backend!Y$6,0),"")</f>
        <v/>
      </c>
      <c r="Z174" s="1" t="str">
        <f>IFERROR(Backend!$M174*VLOOKUP($F174,'OH,Profit &amp; Other Base'!$A:$V,Backend!Z$6,0),"")</f>
        <v/>
      </c>
      <c r="AA174" s="1" t="str">
        <f>IFERROR(Backend!$L174*VLOOKUP($F174,'OH,Profit &amp; Other Base'!$A:$V,Backend!AA$6,0),"")</f>
        <v/>
      </c>
      <c r="AB174" s="1" t="str">
        <f>IFERROR(Backend!$M174*VLOOKUP($F174,'OH,Profit &amp; Other Base'!$A:$V,Backend!AB$6,0),"")</f>
        <v/>
      </c>
      <c r="AC174" s="1" t="str">
        <f>IFERROR(Backend!$L174*VLOOKUP($F174,'OH,Profit &amp; Other Base'!$A:$V,Backend!AC$6,0),"")</f>
        <v/>
      </c>
      <c r="AD174" s="1" t="str">
        <f>IFERROR(Backend!$M174*VLOOKUP($F174,'OH,Profit &amp; Other Base'!$A:$V,Backend!AD$6,0),"")</f>
        <v/>
      </c>
      <c r="AE174" s="1" t="str">
        <f>IFERROR(Backend!$L174*VLOOKUP($F174,'OH,Profit &amp; Other Base'!$A:$V,Backend!AE$6,0),"")</f>
        <v/>
      </c>
      <c r="AF174" s="1" t="str">
        <f>IFERROR(Backend!$M174*VLOOKUP($F174,'OH,Profit &amp; Other Base'!$A:$V,Backend!AF$6,0),"")</f>
        <v/>
      </c>
      <c r="AG174" s="1" t="str">
        <f>IFERROR(Backend!$L174*VLOOKUP($F174,'OH,Profit &amp; Other Base'!$A:$V,Backend!AG$6,0),"")</f>
        <v/>
      </c>
      <c r="AH174" s="1" t="str">
        <f>IFERROR(Backend!$M174*VLOOKUP($F174,'OH,Profit &amp; Other Base'!$A:$V,Backend!AH$6,0),"")</f>
        <v/>
      </c>
      <c r="AI174" s="3">
        <f t="shared" si="16"/>
        <v>0</v>
      </c>
      <c r="AL174" s="1" t="str">
        <f t="shared" si="17"/>
        <v/>
      </c>
      <c r="AM174" s="1" t="str">
        <f t="shared" si="18"/>
        <v/>
      </c>
      <c r="AN174" s="1" t="str">
        <f t="shared" si="19"/>
        <v/>
      </c>
      <c r="AO174" s="1" t="str">
        <f t="shared" si="20"/>
        <v/>
      </c>
      <c r="AP174" s="1" t="str">
        <f>IFERROR(ROUND(Backend!$AL174*VLOOKUP($F174,'OH,Profit &amp; Other Base'!$A:$V,Backend!AP$6,0),5),"")</f>
        <v/>
      </c>
      <c r="AQ174" s="1" t="str">
        <f>IFERROR(ROUND(Backend!$AO174*VLOOKUP($F174,'OH,Profit &amp; Other Base'!$A:$V,Backend!AQ$6,0),5),"")</f>
        <v/>
      </c>
      <c r="AR174" s="1" t="str">
        <f>IFERROR(ROUND(Backend!$AM174*VLOOKUP($F174,'OH,Profit &amp; Other Base'!$A:$V,Backend!AR$6,0),5),"")</f>
        <v/>
      </c>
      <c r="AS174" s="1" t="str">
        <f>IFERROR(ROUND(Backend!$AL174*VLOOKUP($F174,'OH,Profit &amp; Other Base'!$A:$V,Backend!AS$6,0),5),"")</f>
        <v/>
      </c>
      <c r="AT174" s="1" t="str">
        <f>IFERROR(ROUND(Backend!$AO174*VLOOKUP($F174,'OH,Profit &amp; Other Base'!$A:$V,Backend!AT$6,0),5),"")</f>
        <v/>
      </c>
      <c r="AU174" s="1" t="str">
        <f>IFERROR(ROUND(Backend!$AM174*VLOOKUP($F174,'OH,Profit &amp; Other Base'!$A:$V,Backend!AU$6,0),5),"")</f>
        <v/>
      </c>
      <c r="AV174" s="1" t="str">
        <f>IFERROR(ROUND(Backend!$AL174*VLOOKUP($F174,'OH,Profit &amp; Other Base'!$A:$V,Backend!AV$6,0),5),"")</f>
        <v/>
      </c>
      <c r="AW174" s="1" t="str">
        <f>IFERROR(ROUND(Backend!$AO174*VLOOKUP($F174,'OH,Profit &amp; Other Base'!$A:$V,Backend!AW$6,0),5),"")</f>
        <v/>
      </c>
      <c r="AX174" s="1" t="str">
        <f>IFERROR(ROUND(Backend!$AM174*VLOOKUP($F174,'OH,Profit &amp; Other Base'!$A:$V,Backend!AX$6,0),5),"")</f>
        <v/>
      </c>
      <c r="AY174" s="1" t="str">
        <f>IFERROR(ROUND(Backend!$AL174*VLOOKUP($F174,'OH,Profit &amp; Other Base'!$A:$V,Backend!AY$6,0),5),"")</f>
        <v/>
      </c>
      <c r="AZ174" s="1" t="str">
        <f>IFERROR(ROUND(Backend!$AO174*VLOOKUP($F174,'OH,Profit &amp; Other Base'!$A:$V,Backend!AZ$6,0),5),"")</f>
        <v/>
      </c>
      <c r="BA174" s="1" t="str">
        <f>IFERROR(ROUND(Backend!$AM174*VLOOKUP($F174,'OH,Profit &amp; Other Base'!$A:$V,Backend!BA$6,0),5),"")</f>
        <v/>
      </c>
      <c r="BB174" s="1" t="str">
        <f>IFERROR(ROUND(Backend!$AL174*VLOOKUP($F174,'OH,Profit &amp; Other Base'!$A:$V,Backend!BB$6,0),5),"")</f>
        <v/>
      </c>
      <c r="BC174" s="1" t="str">
        <f>IFERROR(ROUND(Backend!$AO174*VLOOKUP($F174,'OH,Profit &amp; Other Base'!$A:$V,Backend!BC$6,0),5),"")</f>
        <v/>
      </c>
      <c r="BD174" s="1" t="str">
        <f>IFERROR(ROUND(Backend!$AM174*VLOOKUP($F174,'OH,Profit &amp; Other Base'!$A:$V,Backend!BD$6,0),5),"")</f>
        <v/>
      </c>
      <c r="BE174" s="1" t="str">
        <f>IFERROR(ROUND(Backend!$AL174*VLOOKUP($F174,'OH,Profit &amp; Other Base'!$A:$V,Backend!BE$6,0),5),"")</f>
        <v/>
      </c>
      <c r="BF174" s="1" t="str">
        <f>IFERROR(ROUND(Backend!$AO174*VLOOKUP($F174,'OH,Profit &amp; Other Base'!$A:$V,Backend!BF$6,0),5),"")</f>
        <v/>
      </c>
      <c r="BG174" s="1" t="str">
        <f>IFERROR(ROUND(Backend!$AM174*VLOOKUP($F174,'OH,Profit &amp; Other Base'!$A:$V,Backend!BG$6,0),5),"")</f>
        <v/>
      </c>
      <c r="BH174" s="1" t="str">
        <f>IFERROR(ROUND(Backend!$AL174*VLOOKUP($F174,'OH,Profit &amp; Other Base'!$A:$V,Backend!BH$6,0),5),"")</f>
        <v/>
      </c>
      <c r="BI174" s="1" t="str">
        <f>IFERROR(ROUND(Backend!$AO174*VLOOKUP($F174,'OH,Profit &amp; Other Base'!$A:$V,Backend!BI$6,0),5),"")</f>
        <v/>
      </c>
      <c r="BJ174" s="1" t="str">
        <f>IFERROR(ROUND(Backend!$AM174*VLOOKUP($F174,'OH,Profit &amp; Other Base'!$A:$V,Backend!BJ$6,0),5),"")</f>
        <v/>
      </c>
      <c r="BK174" s="3">
        <f>SUM(AN174:BJ174,Backend!O174)</f>
        <v>0</v>
      </c>
    </row>
    <row r="175" spans="1:63">
      <c r="A175" s="1">
        <f>BOM!A170</f>
        <v>0</v>
      </c>
      <c r="B175" s="1">
        <f>BOM!B170</f>
        <v>0</v>
      </c>
      <c r="C175" s="1">
        <f>BOM!C170</f>
        <v>0</v>
      </c>
      <c r="D175" s="1">
        <f>BOM!D170</f>
        <v>0</v>
      </c>
      <c r="E175" s="1">
        <f>BOM!F170</f>
        <v>0</v>
      </c>
      <c r="F175" s="1" t="str">
        <f>IF(H175="CSC",BOM!H170,IF(J175="BOFOthers","Sheet Metal-B",""))</f>
        <v/>
      </c>
      <c r="G175" s="1">
        <f>BOM!I170</f>
        <v>0</v>
      </c>
      <c r="H175" s="1">
        <f>BOM!J170</f>
        <v>0</v>
      </c>
      <c r="I175" s="1" t="str">
        <f t="shared" si="14"/>
        <v>Others</v>
      </c>
      <c r="J175" s="1" t="str">
        <f t="shared" si="15"/>
        <v>0Others</v>
      </c>
      <c r="K175" s="3" t="str">
        <f>IF($J175="InhouseCSC",VLOOKUP($D175,Group!$C:$E,3,0),"")</f>
        <v/>
      </c>
      <c r="L175" s="3" t="str">
        <f>IF(OR($J175="BOSFCSC",$J175="BOFCSC"),VLOOKUP($D175,Group!$C:$E,3,0),"")</f>
        <v/>
      </c>
      <c r="M175" s="3" t="str">
        <f>IF(OR($J175="BOSFCSC",$J175="BOFCSC"),VLOOKUP($D175,Group!$C:$F,4,0),"")</f>
        <v/>
      </c>
      <c r="N175" s="3" t="str">
        <f>IF(OR($J175="InhouseCSC",$J175="BOSFCSC"),VLOOKUP($D175,Group!$C:$G,5,0),"")</f>
        <v/>
      </c>
      <c r="O175" s="3" t="str">
        <f>IF($J175="InhouseCSC",ROUND(VLOOKUP($D175,Group!$C:$H,6,0),5),"")</f>
        <v/>
      </c>
      <c r="P175" s="3" t="str">
        <f>IF(OR($J175="BOSFCSC",$J175="BOFCSC"),VLOOKUP($D175,Group!$C:$H,6,0),"")</f>
        <v/>
      </c>
      <c r="Q175" s="1" t="str">
        <f>IF($J175="Inhouseothers",VLOOKUP($D175,Group!$C:$E,3,0),"")</f>
        <v/>
      </c>
      <c r="R175" s="1" t="str">
        <f>IF($J175="BOSFOthers",VLOOKUP($D175,Group!$C:$E,3,0),"")</f>
        <v/>
      </c>
      <c r="S175" s="3" t="str">
        <f>IF($J175="BOFOthers",VLOOKUP($D175,Group!$C:$E,3,0),"")</f>
        <v/>
      </c>
      <c r="U175" s="1" t="str">
        <f>IFERROR(Backend!$L175*VLOOKUP($F175,'OH,Profit &amp; Other Base'!$A:$V,Backend!U$6,0),"")</f>
        <v/>
      </c>
      <c r="V175" s="1" t="str">
        <f>IFERROR(Backend!$M175*VLOOKUP($F175,'OH,Profit &amp; Other Base'!$A:$V,Backend!V$6,0),"")</f>
        <v/>
      </c>
      <c r="W175" s="1" t="str">
        <f>IFERROR(Backend!$L175*VLOOKUP($F175,'OH,Profit &amp; Other Base'!$A:$V,Backend!W$6,0),"")</f>
        <v/>
      </c>
      <c r="X175" s="1" t="str">
        <f>IFERROR(Backend!$M175*VLOOKUP($F175,'OH,Profit &amp; Other Base'!$A:$V,Backend!X$6,0),"")</f>
        <v/>
      </c>
      <c r="Y175" s="1" t="str">
        <f>IFERROR(Backend!$L175*VLOOKUP($F175,'OH,Profit &amp; Other Base'!$A:$V,Backend!Y$6,0),"")</f>
        <v/>
      </c>
      <c r="Z175" s="1" t="str">
        <f>IFERROR(Backend!$M175*VLOOKUP($F175,'OH,Profit &amp; Other Base'!$A:$V,Backend!Z$6,0),"")</f>
        <v/>
      </c>
      <c r="AA175" s="1" t="str">
        <f>IFERROR(Backend!$L175*VLOOKUP($F175,'OH,Profit &amp; Other Base'!$A:$V,Backend!AA$6,0),"")</f>
        <v/>
      </c>
      <c r="AB175" s="1" t="str">
        <f>IFERROR(Backend!$M175*VLOOKUP($F175,'OH,Profit &amp; Other Base'!$A:$V,Backend!AB$6,0),"")</f>
        <v/>
      </c>
      <c r="AC175" s="1" t="str">
        <f>IFERROR(Backend!$L175*VLOOKUP($F175,'OH,Profit &amp; Other Base'!$A:$V,Backend!AC$6,0),"")</f>
        <v/>
      </c>
      <c r="AD175" s="1" t="str">
        <f>IFERROR(Backend!$M175*VLOOKUP($F175,'OH,Profit &amp; Other Base'!$A:$V,Backend!AD$6,0),"")</f>
        <v/>
      </c>
      <c r="AE175" s="1" t="str">
        <f>IFERROR(Backend!$L175*VLOOKUP($F175,'OH,Profit &amp; Other Base'!$A:$V,Backend!AE$6,0),"")</f>
        <v/>
      </c>
      <c r="AF175" s="1" t="str">
        <f>IFERROR(Backend!$M175*VLOOKUP($F175,'OH,Profit &amp; Other Base'!$A:$V,Backend!AF$6,0),"")</f>
        <v/>
      </c>
      <c r="AG175" s="1" t="str">
        <f>IFERROR(Backend!$L175*VLOOKUP($F175,'OH,Profit &amp; Other Base'!$A:$V,Backend!AG$6,0),"")</f>
        <v/>
      </c>
      <c r="AH175" s="1" t="str">
        <f>IFERROR(Backend!$M175*VLOOKUP($F175,'OH,Profit &amp; Other Base'!$A:$V,Backend!AH$6,0),"")</f>
        <v/>
      </c>
      <c r="AI175" s="3">
        <f t="shared" si="16"/>
        <v>0</v>
      </c>
      <c r="AL175" s="1" t="str">
        <f t="shared" si="17"/>
        <v/>
      </c>
      <c r="AM175" s="1" t="str">
        <f t="shared" si="18"/>
        <v/>
      </c>
      <c r="AN175" s="1" t="str">
        <f t="shared" si="19"/>
        <v/>
      </c>
      <c r="AO175" s="1" t="str">
        <f t="shared" si="20"/>
        <v/>
      </c>
      <c r="AP175" s="1" t="str">
        <f>IFERROR(ROUND(Backend!$AL175*VLOOKUP($F175,'OH,Profit &amp; Other Base'!$A:$V,Backend!AP$6,0),5),"")</f>
        <v/>
      </c>
      <c r="AQ175" s="1" t="str">
        <f>IFERROR(ROUND(Backend!$AO175*VLOOKUP($F175,'OH,Profit &amp; Other Base'!$A:$V,Backend!AQ$6,0),5),"")</f>
        <v/>
      </c>
      <c r="AR175" s="1" t="str">
        <f>IFERROR(ROUND(Backend!$AM175*VLOOKUP($F175,'OH,Profit &amp; Other Base'!$A:$V,Backend!AR$6,0),5),"")</f>
        <v/>
      </c>
      <c r="AS175" s="1" t="str">
        <f>IFERROR(ROUND(Backend!$AL175*VLOOKUP($F175,'OH,Profit &amp; Other Base'!$A:$V,Backend!AS$6,0),5),"")</f>
        <v/>
      </c>
      <c r="AT175" s="1" t="str">
        <f>IFERROR(ROUND(Backend!$AO175*VLOOKUP($F175,'OH,Profit &amp; Other Base'!$A:$V,Backend!AT$6,0),5),"")</f>
        <v/>
      </c>
      <c r="AU175" s="1" t="str">
        <f>IFERROR(ROUND(Backend!$AM175*VLOOKUP($F175,'OH,Profit &amp; Other Base'!$A:$V,Backend!AU$6,0),5),"")</f>
        <v/>
      </c>
      <c r="AV175" s="1" t="str">
        <f>IFERROR(ROUND(Backend!$AL175*VLOOKUP($F175,'OH,Profit &amp; Other Base'!$A:$V,Backend!AV$6,0),5),"")</f>
        <v/>
      </c>
      <c r="AW175" s="1" t="str">
        <f>IFERROR(ROUND(Backend!$AO175*VLOOKUP($F175,'OH,Profit &amp; Other Base'!$A:$V,Backend!AW$6,0),5),"")</f>
        <v/>
      </c>
      <c r="AX175" s="1" t="str">
        <f>IFERROR(ROUND(Backend!$AM175*VLOOKUP($F175,'OH,Profit &amp; Other Base'!$A:$V,Backend!AX$6,0),5),"")</f>
        <v/>
      </c>
      <c r="AY175" s="1" t="str">
        <f>IFERROR(ROUND(Backend!$AL175*VLOOKUP($F175,'OH,Profit &amp; Other Base'!$A:$V,Backend!AY$6,0),5),"")</f>
        <v/>
      </c>
      <c r="AZ175" s="1" t="str">
        <f>IFERROR(ROUND(Backend!$AO175*VLOOKUP($F175,'OH,Profit &amp; Other Base'!$A:$V,Backend!AZ$6,0),5),"")</f>
        <v/>
      </c>
      <c r="BA175" s="1" t="str">
        <f>IFERROR(ROUND(Backend!$AM175*VLOOKUP($F175,'OH,Profit &amp; Other Base'!$A:$V,Backend!BA$6,0),5),"")</f>
        <v/>
      </c>
      <c r="BB175" s="1" t="str">
        <f>IFERROR(ROUND(Backend!$AL175*VLOOKUP($F175,'OH,Profit &amp; Other Base'!$A:$V,Backend!BB$6,0),5),"")</f>
        <v/>
      </c>
      <c r="BC175" s="1" t="str">
        <f>IFERROR(ROUND(Backend!$AO175*VLOOKUP($F175,'OH,Profit &amp; Other Base'!$A:$V,Backend!BC$6,0),5),"")</f>
        <v/>
      </c>
      <c r="BD175" s="1" t="str">
        <f>IFERROR(ROUND(Backend!$AM175*VLOOKUP($F175,'OH,Profit &amp; Other Base'!$A:$V,Backend!BD$6,0),5),"")</f>
        <v/>
      </c>
      <c r="BE175" s="1" t="str">
        <f>IFERROR(ROUND(Backend!$AL175*VLOOKUP($F175,'OH,Profit &amp; Other Base'!$A:$V,Backend!BE$6,0),5),"")</f>
        <v/>
      </c>
      <c r="BF175" s="1" t="str">
        <f>IFERROR(ROUND(Backend!$AO175*VLOOKUP($F175,'OH,Profit &amp; Other Base'!$A:$V,Backend!BF$6,0),5),"")</f>
        <v/>
      </c>
      <c r="BG175" s="1" t="str">
        <f>IFERROR(ROUND(Backend!$AM175*VLOOKUP($F175,'OH,Profit &amp; Other Base'!$A:$V,Backend!BG$6,0),5),"")</f>
        <v/>
      </c>
      <c r="BH175" s="1" t="str">
        <f>IFERROR(ROUND(Backend!$AL175*VLOOKUP($F175,'OH,Profit &amp; Other Base'!$A:$V,Backend!BH$6,0),5),"")</f>
        <v/>
      </c>
      <c r="BI175" s="1" t="str">
        <f>IFERROR(ROUND(Backend!$AO175*VLOOKUP($F175,'OH,Profit &amp; Other Base'!$A:$V,Backend!BI$6,0),5),"")</f>
        <v/>
      </c>
      <c r="BJ175" s="1" t="str">
        <f>IFERROR(ROUND(Backend!$AM175*VLOOKUP($F175,'OH,Profit &amp; Other Base'!$A:$V,Backend!BJ$6,0),5),"")</f>
        <v/>
      </c>
      <c r="BK175" s="3">
        <f>SUM(AN175:BJ175,Backend!O175)</f>
        <v>0</v>
      </c>
    </row>
    <row r="176" spans="1:63">
      <c r="A176" s="1">
        <f>BOM!A171</f>
        <v>0</v>
      </c>
      <c r="B176" s="1">
        <f>BOM!B171</f>
        <v>0</v>
      </c>
      <c r="C176" s="1">
        <f>BOM!C171</f>
        <v>0</v>
      </c>
      <c r="D176" s="1">
        <f>BOM!D171</f>
        <v>0</v>
      </c>
      <c r="E176" s="1">
        <f>BOM!F171</f>
        <v>0</v>
      </c>
      <c r="F176" s="1" t="str">
        <f>IF(H176="CSC",BOM!H171,IF(J176="BOFOthers","Sheet Metal-B",""))</f>
        <v/>
      </c>
      <c r="G176" s="1">
        <f>BOM!I171</f>
        <v>0</v>
      </c>
      <c r="H176" s="1">
        <f>BOM!J171</f>
        <v>0</v>
      </c>
      <c r="I176" s="1" t="str">
        <f t="shared" si="14"/>
        <v>Others</v>
      </c>
      <c r="J176" s="1" t="str">
        <f t="shared" si="15"/>
        <v>0Others</v>
      </c>
      <c r="K176" s="3" t="str">
        <f>IF($J176="InhouseCSC",VLOOKUP($D176,Group!$C:$E,3,0),"")</f>
        <v/>
      </c>
      <c r="L176" s="3" t="str">
        <f>IF(OR($J176="BOSFCSC",$J176="BOFCSC"),VLOOKUP($D176,Group!$C:$E,3,0),"")</f>
        <v/>
      </c>
      <c r="M176" s="3" t="str">
        <f>IF(OR($J176="BOSFCSC",$J176="BOFCSC"),VLOOKUP($D176,Group!$C:$F,4,0),"")</f>
        <v/>
      </c>
      <c r="N176" s="3" t="str">
        <f>IF(OR($J176="InhouseCSC",$J176="BOSFCSC"),VLOOKUP($D176,Group!$C:$G,5,0),"")</f>
        <v/>
      </c>
      <c r="O176" s="3" t="str">
        <f>IF($J176="InhouseCSC",ROUND(VLOOKUP($D176,Group!$C:$H,6,0),5),"")</f>
        <v/>
      </c>
      <c r="P176" s="3" t="str">
        <f>IF(OR($J176="BOSFCSC",$J176="BOFCSC"),VLOOKUP($D176,Group!$C:$H,6,0),"")</f>
        <v/>
      </c>
      <c r="Q176" s="1" t="str">
        <f>IF($J176="Inhouseothers",VLOOKUP($D176,Group!$C:$E,3,0),"")</f>
        <v/>
      </c>
      <c r="R176" s="1" t="str">
        <f>IF($J176="BOSFOthers",VLOOKUP($D176,Group!$C:$E,3,0),"")</f>
        <v/>
      </c>
      <c r="S176" s="3" t="str">
        <f>IF($J176="BOFOthers",VLOOKUP($D176,Group!$C:$E,3,0),"")</f>
        <v/>
      </c>
      <c r="U176" s="1" t="str">
        <f>IFERROR(Backend!$L176*VLOOKUP($F176,'OH,Profit &amp; Other Base'!$A:$V,Backend!U$6,0),"")</f>
        <v/>
      </c>
      <c r="V176" s="1" t="str">
        <f>IFERROR(Backend!$M176*VLOOKUP($F176,'OH,Profit &amp; Other Base'!$A:$V,Backend!V$6,0),"")</f>
        <v/>
      </c>
      <c r="W176" s="1" t="str">
        <f>IFERROR(Backend!$L176*VLOOKUP($F176,'OH,Profit &amp; Other Base'!$A:$V,Backend!W$6,0),"")</f>
        <v/>
      </c>
      <c r="X176" s="1" t="str">
        <f>IFERROR(Backend!$M176*VLOOKUP($F176,'OH,Profit &amp; Other Base'!$A:$V,Backend!X$6,0),"")</f>
        <v/>
      </c>
      <c r="Y176" s="1" t="str">
        <f>IFERROR(Backend!$L176*VLOOKUP($F176,'OH,Profit &amp; Other Base'!$A:$V,Backend!Y$6,0),"")</f>
        <v/>
      </c>
      <c r="Z176" s="1" t="str">
        <f>IFERROR(Backend!$M176*VLOOKUP($F176,'OH,Profit &amp; Other Base'!$A:$V,Backend!Z$6,0),"")</f>
        <v/>
      </c>
      <c r="AA176" s="1" t="str">
        <f>IFERROR(Backend!$L176*VLOOKUP($F176,'OH,Profit &amp; Other Base'!$A:$V,Backend!AA$6,0),"")</f>
        <v/>
      </c>
      <c r="AB176" s="1" t="str">
        <f>IFERROR(Backend!$M176*VLOOKUP($F176,'OH,Profit &amp; Other Base'!$A:$V,Backend!AB$6,0),"")</f>
        <v/>
      </c>
      <c r="AC176" s="1" t="str">
        <f>IFERROR(Backend!$L176*VLOOKUP($F176,'OH,Profit &amp; Other Base'!$A:$V,Backend!AC$6,0),"")</f>
        <v/>
      </c>
      <c r="AD176" s="1" t="str">
        <f>IFERROR(Backend!$M176*VLOOKUP($F176,'OH,Profit &amp; Other Base'!$A:$V,Backend!AD$6,0),"")</f>
        <v/>
      </c>
      <c r="AE176" s="1" t="str">
        <f>IFERROR(Backend!$L176*VLOOKUP($F176,'OH,Profit &amp; Other Base'!$A:$V,Backend!AE$6,0),"")</f>
        <v/>
      </c>
      <c r="AF176" s="1" t="str">
        <f>IFERROR(Backend!$M176*VLOOKUP($F176,'OH,Profit &amp; Other Base'!$A:$V,Backend!AF$6,0),"")</f>
        <v/>
      </c>
      <c r="AG176" s="1" t="str">
        <f>IFERROR(Backend!$L176*VLOOKUP($F176,'OH,Profit &amp; Other Base'!$A:$V,Backend!AG$6,0),"")</f>
        <v/>
      </c>
      <c r="AH176" s="1" t="str">
        <f>IFERROR(Backend!$M176*VLOOKUP($F176,'OH,Profit &amp; Other Base'!$A:$V,Backend!AH$6,0),"")</f>
        <v/>
      </c>
      <c r="AI176" s="3">
        <f t="shared" si="16"/>
        <v>0</v>
      </c>
      <c r="AL176" s="1" t="str">
        <f t="shared" si="17"/>
        <v/>
      </c>
      <c r="AM176" s="1" t="str">
        <f t="shared" si="18"/>
        <v/>
      </c>
      <c r="AN176" s="1" t="str">
        <f t="shared" si="19"/>
        <v/>
      </c>
      <c r="AO176" s="1" t="str">
        <f t="shared" si="20"/>
        <v/>
      </c>
      <c r="AP176" s="1" t="str">
        <f>IFERROR(ROUND(Backend!$AL176*VLOOKUP($F176,'OH,Profit &amp; Other Base'!$A:$V,Backend!AP$6,0),5),"")</f>
        <v/>
      </c>
      <c r="AQ176" s="1" t="str">
        <f>IFERROR(ROUND(Backend!$AO176*VLOOKUP($F176,'OH,Profit &amp; Other Base'!$A:$V,Backend!AQ$6,0),5),"")</f>
        <v/>
      </c>
      <c r="AR176" s="1" t="str">
        <f>IFERROR(ROUND(Backend!$AM176*VLOOKUP($F176,'OH,Profit &amp; Other Base'!$A:$V,Backend!AR$6,0),5),"")</f>
        <v/>
      </c>
      <c r="AS176" s="1" t="str">
        <f>IFERROR(ROUND(Backend!$AL176*VLOOKUP($F176,'OH,Profit &amp; Other Base'!$A:$V,Backend!AS$6,0),5),"")</f>
        <v/>
      </c>
      <c r="AT176" s="1" t="str">
        <f>IFERROR(ROUND(Backend!$AO176*VLOOKUP($F176,'OH,Profit &amp; Other Base'!$A:$V,Backend!AT$6,0),5),"")</f>
        <v/>
      </c>
      <c r="AU176" s="1" t="str">
        <f>IFERROR(ROUND(Backend!$AM176*VLOOKUP($F176,'OH,Profit &amp; Other Base'!$A:$V,Backend!AU$6,0),5),"")</f>
        <v/>
      </c>
      <c r="AV176" s="1" t="str">
        <f>IFERROR(ROUND(Backend!$AL176*VLOOKUP($F176,'OH,Profit &amp; Other Base'!$A:$V,Backend!AV$6,0),5),"")</f>
        <v/>
      </c>
      <c r="AW176" s="1" t="str">
        <f>IFERROR(ROUND(Backend!$AO176*VLOOKUP($F176,'OH,Profit &amp; Other Base'!$A:$V,Backend!AW$6,0),5),"")</f>
        <v/>
      </c>
      <c r="AX176" s="1" t="str">
        <f>IFERROR(ROUND(Backend!$AM176*VLOOKUP($F176,'OH,Profit &amp; Other Base'!$A:$V,Backend!AX$6,0),5),"")</f>
        <v/>
      </c>
      <c r="AY176" s="1" t="str">
        <f>IFERROR(ROUND(Backend!$AL176*VLOOKUP($F176,'OH,Profit &amp; Other Base'!$A:$V,Backend!AY$6,0),5),"")</f>
        <v/>
      </c>
      <c r="AZ176" s="1" t="str">
        <f>IFERROR(ROUND(Backend!$AO176*VLOOKUP($F176,'OH,Profit &amp; Other Base'!$A:$V,Backend!AZ$6,0),5),"")</f>
        <v/>
      </c>
      <c r="BA176" s="1" t="str">
        <f>IFERROR(ROUND(Backend!$AM176*VLOOKUP($F176,'OH,Profit &amp; Other Base'!$A:$V,Backend!BA$6,0),5),"")</f>
        <v/>
      </c>
      <c r="BB176" s="1" t="str">
        <f>IFERROR(ROUND(Backend!$AL176*VLOOKUP($F176,'OH,Profit &amp; Other Base'!$A:$V,Backend!BB$6,0),5),"")</f>
        <v/>
      </c>
      <c r="BC176" s="1" t="str">
        <f>IFERROR(ROUND(Backend!$AO176*VLOOKUP($F176,'OH,Profit &amp; Other Base'!$A:$V,Backend!BC$6,0),5),"")</f>
        <v/>
      </c>
      <c r="BD176" s="1" t="str">
        <f>IFERROR(ROUND(Backend!$AM176*VLOOKUP($F176,'OH,Profit &amp; Other Base'!$A:$V,Backend!BD$6,0),5),"")</f>
        <v/>
      </c>
      <c r="BE176" s="1" t="str">
        <f>IFERROR(ROUND(Backend!$AL176*VLOOKUP($F176,'OH,Profit &amp; Other Base'!$A:$V,Backend!BE$6,0),5),"")</f>
        <v/>
      </c>
      <c r="BF176" s="1" t="str">
        <f>IFERROR(ROUND(Backend!$AO176*VLOOKUP($F176,'OH,Profit &amp; Other Base'!$A:$V,Backend!BF$6,0),5),"")</f>
        <v/>
      </c>
      <c r="BG176" s="1" t="str">
        <f>IFERROR(ROUND(Backend!$AM176*VLOOKUP($F176,'OH,Profit &amp; Other Base'!$A:$V,Backend!BG$6,0),5),"")</f>
        <v/>
      </c>
      <c r="BH176" s="1" t="str">
        <f>IFERROR(ROUND(Backend!$AL176*VLOOKUP($F176,'OH,Profit &amp; Other Base'!$A:$V,Backend!BH$6,0),5),"")</f>
        <v/>
      </c>
      <c r="BI176" s="1" t="str">
        <f>IFERROR(ROUND(Backend!$AO176*VLOOKUP($F176,'OH,Profit &amp; Other Base'!$A:$V,Backend!BI$6,0),5),"")</f>
        <v/>
      </c>
      <c r="BJ176" s="1" t="str">
        <f>IFERROR(ROUND(Backend!$AM176*VLOOKUP($F176,'OH,Profit &amp; Other Base'!$A:$V,Backend!BJ$6,0),5),"")</f>
        <v/>
      </c>
      <c r="BK176" s="3">
        <f>SUM(AN176:BJ176,Backend!O176)</f>
        <v>0</v>
      </c>
    </row>
    <row r="177" spans="1:63">
      <c r="A177" s="1">
        <f>BOM!A172</f>
        <v>0</v>
      </c>
      <c r="B177" s="1">
        <f>BOM!B172</f>
        <v>0</v>
      </c>
      <c r="C177" s="1">
        <f>BOM!C172</f>
        <v>0</v>
      </c>
      <c r="D177" s="1">
        <f>BOM!D172</f>
        <v>0</v>
      </c>
      <c r="E177" s="1">
        <f>BOM!F172</f>
        <v>0</v>
      </c>
      <c r="F177" s="1" t="str">
        <f>IF(H177="CSC",BOM!H172,IF(J177="BOFOthers","Sheet Metal-B",""))</f>
        <v/>
      </c>
      <c r="G177" s="1">
        <f>BOM!I172</f>
        <v>0</v>
      </c>
      <c r="H177" s="1">
        <f>BOM!J172</f>
        <v>0</v>
      </c>
      <c r="I177" s="1" t="str">
        <f t="shared" si="14"/>
        <v>Others</v>
      </c>
      <c r="J177" s="1" t="str">
        <f t="shared" si="15"/>
        <v>0Others</v>
      </c>
      <c r="K177" s="3" t="str">
        <f>IF($J177="InhouseCSC",VLOOKUP($D177,Group!$C:$E,3,0),"")</f>
        <v/>
      </c>
      <c r="L177" s="3" t="str">
        <f>IF(OR($J177="BOSFCSC",$J177="BOFCSC"),VLOOKUP($D177,Group!$C:$E,3,0),"")</f>
        <v/>
      </c>
      <c r="M177" s="3" t="str">
        <f>IF(OR($J177="BOSFCSC",$J177="BOFCSC"),VLOOKUP($D177,Group!$C:$F,4,0),"")</f>
        <v/>
      </c>
      <c r="N177" s="3" t="str">
        <f>IF(OR($J177="InhouseCSC",$J177="BOSFCSC"),VLOOKUP($D177,Group!$C:$G,5,0),"")</f>
        <v/>
      </c>
      <c r="O177" s="3" t="str">
        <f>IF($J177="InhouseCSC",ROUND(VLOOKUP($D177,Group!$C:$H,6,0),5),"")</f>
        <v/>
      </c>
      <c r="P177" s="3" t="str">
        <f>IF(OR($J177="BOSFCSC",$J177="BOFCSC"),VLOOKUP($D177,Group!$C:$H,6,0),"")</f>
        <v/>
      </c>
      <c r="Q177" s="1" t="str">
        <f>IF($J177="Inhouseothers",VLOOKUP($D177,Group!$C:$E,3,0),"")</f>
        <v/>
      </c>
      <c r="R177" s="1" t="str">
        <f>IF($J177="BOSFOthers",VLOOKUP($D177,Group!$C:$E,3,0),"")</f>
        <v/>
      </c>
      <c r="S177" s="3" t="str">
        <f>IF($J177="BOFOthers",VLOOKUP($D177,Group!$C:$E,3,0),"")</f>
        <v/>
      </c>
      <c r="U177" s="1" t="str">
        <f>IFERROR(Backend!$L177*VLOOKUP($F177,'OH,Profit &amp; Other Base'!$A:$V,Backend!U$6,0),"")</f>
        <v/>
      </c>
      <c r="V177" s="1" t="str">
        <f>IFERROR(Backend!$M177*VLOOKUP($F177,'OH,Profit &amp; Other Base'!$A:$V,Backend!V$6,0),"")</f>
        <v/>
      </c>
      <c r="W177" s="1" t="str">
        <f>IFERROR(Backend!$L177*VLOOKUP($F177,'OH,Profit &amp; Other Base'!$A:$V,Backend!W$6,0),"")</f>
        <v/>
      </c>
      <c r="X177" s="1" t="str">
        <f>IFERROR(Backend!$M177*VLOOKUP($F177,'OH,Profit &amp; Other Base'!$A:$V,Backend!X$6,0),"")</f>
        <v/>
      </c>
      <c r="Y177" s="1" t="str">
        <f>IFERROR(Backend!$L177*VLOOKUP($F177,'OH,Profit &amp; Other Base'!$A:$V,Backend!Y$6,0),"")</f>
        <v/>
      </c>
      <c r="Z177" s="1" t="str">
        <f>IFERROR(Backend!$M177*VLOOKUP($F177,'OH,Profit &amp; Other Base'!$A:$V,Backend!Z$6,0),"")</f>
        <v/>
      </c>
      <c r="AA177" s="1" t="str">
        <f>IFERROR(Backend!$L177*VLOOKUP($F177,'OH,Profit &amp; Other Base'!$A:$V,Backend!AA$6,0),"")</f>
        <v/>
      </c>
      <c r="AB177" s="1" t="str">
        <f>IFERROR(Backend!$M177*VLOOKUP($F177,'OH,Profit &amp; Other Base'!$A:$V,Backend!AB$6,0),"")</f>
        <v/>
      </c>
      <c r="AC177" s="1" t="str">
        <f>IFERROR(Backend!$L177*VLOOKUP($F177,'OH,Profit &amp; Other Base'!$A:$V,Backend!AC$6,0),"")</f>
        <v/>
      </c>
      <c r="AD177" s="1" t="str">
        <f>IFERROR(Backend!$M177*VLOOKUP($F177,'OH,Profit &amp; Other Base'!$A:$V,Backend!AD$6,0),"")</f>
        <v/>
      </c>
      <c r="AE177" s="1" t="str">
        <f>IFERROR(Backend!$L177*VLOOKUP($F177,'OH,Profit &amp; Other Base'!$A:$V,Backend!AE$6,0),"")</f>
        <v/>
      </c>
      <c r="AF177" s="1" t="str">
        <f>IFERROR(Backend!$M177*VLOOKUP($F177,'OH,Profit &amp; Other Base'!$A:$V,Backend!AF$6,0),"")</f>
        <v/>
      </c>
      <c r="AG177" s="1" t="str">
        <f>IFERROR(Backend!$L177*VLOOKUP($F177,'OH,Profit &amp; Other Base'!$A:$V,Backend!AG$6,0),"")</f>
        <v/>
      </c>
      <c r="AH177" s="1" t="str">
        <f>IFERROR(Backend!$M177*VLOOKUP($F177,'OH,Profit &amp; Other Base'!$A:$V,Backend!AH$6,0),"")</f>
        <v/>
      </c>
      <c r="AI177" s="3">
        <f t="shared" si="16"/>
        <v>0</v>
      </c>
      <c r="AL177" s="1" t="str">
        <f t="shared" si="17"/>
        <v/>
      </c>
      <c r="AM177" s="1" t="str">
        <f t="shared" si="18"/>
        <v/>
      </c>
      <c r="AN177" s="1" t="str">
        <f t="shared" si="19"/>
        <v/>
      </c>
      <c r="AO177" s="1" t="str">
        <f t="shared" si="20"/>
        <v/>
      </c>
      <c r="AP177" s="1" t="str">
        <f>IFERROR(ROUND(Backend!$AL177*VLOOKUP($F177,'OH,Profit &amp; Other Base'!$A:$V,Backend!AP$6,0),5),"")</f>
        <v/>
      </c>
      <c r="AQ177" s="1" t="str">
        <f>IFERROR(ROUND(Backend!$AO177*VLOOKUP($F177,'OH,Profit &amp; Other Base'!$A:$V,Backend!AQ$6,0),5),"")</f>
        <v/>
      </c>
      <c r="AR177" s="1" t="str">
        <f>IFERROR(ROUND(Backend!$AM177*VLOOKUP($F177,'OH,Profit &amp; Other Base'!$A:$V,Backend!AR$6,0),5),"")</f>
        <v/>
      </c>
      <c r="AS177" s="1" t="str">
        <f>IFERROR(ROUND(Backend!$AL177*VLOOKUP($F177,'OH,Profit &amp; Other Base'!$A:$V,Backend!AS$6,0),5),"")</f>
        <v/>
      </c>
      <c r="AT177" s="1" t="str">
        <f>IFERROR(ROUND(Backend!$AO177*VLOOKUP($F177,'OH,Profit &amp; Other Base'!$A:$V,Backend!AT$6,0),5),"")</f>
        <v/>
      </c>
      <c r="AU177" s="1" t="str">
        <f>IFERROR(ROUND(Backend!$AM177*VLOOKUP($F177,'OH,Profit &amp; Other Base'!$A:$V,Backend!AU$6,0),5),"")</f>
        <v/>
      </c>
      <c r="AV177" s="1" t="str">
        <f>IFERROR(ROUND(Backend!$AL177*VLOOKUP($F177,'OH,Profit &amp; Other Base'!$A:$V,Backend!AV$6,0),5),"")</f>
        <v/>
      </c>
      <c r="AW177" s="1" t="str">
        <f>IFERROR(ROUND(Backend!$AO177*VLOOKUP($F177,'OH,Profit &amp; Other Base'!$A:$V,Backend!AW$6,0),5),"")</f>
        <v/>
      </c>
      <c r="AX177" s="1" t="str">
        <f>IFERROR(ROUND(Backend!$AM177*VLOOKUP($F177,'OH,Profit &amp; Other Base'!$A:$V,Backend!AX$6,0),5),"")</f>
        <v/>
      </c>
      <c r="AY177" s="1" t="str">
        <f>IFERROR(ROUND(Backend!$AL177*VLOOKUP($F177,'OH,Profit &amp; Other Base'!$A:$V,Backend!AY$6,0),5),"")</f>
        <v/>
      </c>
      <c r="AZ177" s="1" t="str">
        <f>IFERROR(ROUND(Backend!$AO177*VLOOKUP($F177,'OH,Profit &amp; Other Base'!$A:$V,Backend!AZ$6,0),5),"")</f>
        <v/>
      </c>
      <c r="BA177" s="1" t="str">
        <f>IFERROR(ROUND(Backend!$AM177*VLOOKUP($F177,'OH,Profit &amp; Other Base'!$A:$V,Backend!BA$6,0),5),"")</f>
        <v/>
      </c>
      <c r="BB177" s="1" t="str">
        <f>IFERROR(ROUND(Backend!$AL177*VLOOKUP($F177,'OH,Profit &amp; Other Base'!$A:$V,Backend!BB$6,0),5),"")</f>
        <v/>
      </c>
      <c r="BC177" s="1" t="str">
        <f>IFERROR(ROUND(Backend!$AO177*VLOOKUP($F177,'OH,Profit &amp; Other Base'!$A:$V,Backend!BC$6,0),5),"")</f>
        <v/>
      </c>
      <c r="BD177" s="1" t="str">
        <f>IFERROR(ROUND(Backend!$AM177*VLOOKUP($F177,'OH,Profit &amp; Other Base'!$A:$V,Backend!BD$6,0),5),"")</f>
        <v/>
      </c>
      <c r="BE177" s="1" t="str">
        <f>IFERROR(ROUND(Backend!$AL177*VLOOKUP($F177,'OH,Profit &amp; Other Base'!$A:$V,Backend!BE$6,0),5),"")</f>
        <v/>
      </c>
      <c r="BF177" s="1" t="str">
        <f>IFERROR(ROUND(Backend!$AO177*VLOOKUP($F177,'OH,Profit &amp; Other Base'!$A:$V,Backend!BF$6,0),5),"")</f>
        <v/>
      </c>
      <c r="BG177" s="1" t="str">
        <f>IFERROR(ROUND(Backend!$AM177*VLOOKUP($F177,'OH,Profit &amp; Other Base'!$A:$V,Backend!BG$6,0),5),"")</f>
        <v/>
      </c>
      <c r="BH177" s="1" t="str">
        <f>IFERROR(ROUND(Backend!$AL177*VLOOKUP($F177,'OH,Profit &amp; Other Base'!$A:$V,Backend!BH$6,0),5),"")</f>
        <v/>
      </c>
      <c r="BI177" s="1" t="str">
        <f>IFERROR(ROUND(Backend!$AO177*VLOOKUP($F177,'OH,Profit &amp; Other Base'!$A:$V,Backend!BI$6,0),5),"")</f>
        <v/>
      </c>
      <c r="BJ177" s="1" t="str">
        <f>IFERROR(ROUND(Backend!$AM177*VLOOKUP($F177,'OH,Profit &amp; Other Base'!$A:$V,Backend!BJ$6,0),5),"")</f>
        <v/>
      </c>
      <c r="BK177" s="3">
        <f>SUM(AN177:BJ177,Backend!O177)</f>
        <v>0</v>
      </c>
    </row>
    <row r="178" spans="1:63">
      <c r="A178" s="1">
        <f>BOM!A173</f>
        <v>0</v>
      </c>
      <c r="B178" s="1">
        <f>BOM!B173</f>
        <v>0</v>
      </c>
      <c r="C178" s="1">
        <f>BOM!C173</f>
        <v>0</v>
      </c>
      <c r="D178" s="1">
        <f>BOM!D173</f>
        <v>0</v>
      </c>
      <c r="E178" s="1">
        <f>BOM!F173</f>
        <v>0</v>
      </c>
      <c r="F178" s="1" t="str">
        <f>IF(H178="CSC",BOM!H173,IF(J178="BOFOthers","Sheet Metal-B",""))</f>
        <v/>
      </c>
      <c r="G178" s="1">
        <f>BOM!I173</f>
        <v>0</v>
      </c>
      <c r="H178" s="1">
        <f>BOM!J173</f>
        <v>0</v>
      </c>
      <c r="I178" s="1" t="str">
        <f t="shared" si="14"/>
        <v>Others</v>
      </c>
      <c r="J178" s="1" t="str">
        <f t="shared" si="15"/>
        <v>0Others</v>
      </c>
      <c r="K178" s="3" t="str">
        <f>IF($J178="InhouseCSC",VLOOKUP($D178,Group!$C:$E,3,0),"")</f>
        <v/>
      </c>
      <c r="L178" s="3" t="str">
        <f>IF(OR($J178="BOSFCSC",$J178="BOFCSC"),VLOOKUP($D178,Group!$C:$E,3,0),"")</f>
        <v/>
      </c>
      <c r="M178" s="3" t="str">
        <f>IF(OR($J178="BOSFCSC",$J178="BOFCSC"),VLOOKUP($D178,Group!$C:$F,4,0),"")</f>
        <v/>
      </c>
      <c r="N178" s="3" t="str">
        <f>IF(OR($J178="InhouseCSC",$J178="BOSFCSC"),VLOOKUP($D178,Group!$C:$G,5,0),"")</f>
        <v/>
      </c>
      <c r="O178" s="3" t="str">
        <f>IF($J178="InhouseCSC",ROUND(VLOOKUP($D178,Group!$C:$H,6,0),5),"")</f>
        <v/>
      </c>
      <c r="P178" s="3" t="str">
        <f>IF(OR($J178="BOSFCSC",$J178="BOFCSC"),VLOOKUP($D178,Group!$C:$H,6,0),"")</f>
        <v/>
      </c>
      <c r="Q178" s="1" t="str">
        <f>IF($J178="Inhouseothers",VLOOKUP($D178,Group!$C:$E,3,0),"")</f>
        <v/>
      </c>
      <c r="R178" s="1" t="str">
        <f>IF($J178="BOSFOthers",VLOOKUP($D178,Group!$C:$E,3,0),"")</f>
        <v/>
      </c>
      <c r="S178" s="3" t="str">
        <f>IF($J178="BOFOthers",VLOOKUP($D178,Group!$C:$E,3,0),"")</f>
        <v/>
      </c>
      <c r="U178" s="1" t="str">
        <f>IFERROR(Backend!$L178*VLOOKUP($F178,'OH,Profit &amp; Other Base'!$A:$V,Backend!U$6,0),"")</f>
        <v/>
      </c>
      <c r="V178" s="1" t="str">
        <f>IFERROR(Backend!$M178*VLOOKUP($F178,'OH,Profit &amp; Other Base'!$A:$V,Backend!V$6,0),"")</f>
        <v/>
      </c>
      <c r="W178" s="1" t="str">
        <f>IFERROR(Backend!$L178*VLOOKUP($F178,'OH,Profit &amp; Other Base'!$A:$V,Backend!W$6,0),"")</f>
        <v/>
      </c>
      <c r="X178" s="1" t="str">
        <f>IFERROR(Backend!$M178*VLOOKUP($F178,'OH,Profit &amp; Other Base'!$A:$V,Backend!X$6,0),"")</f>
        <v/>
      </c>
      <c r="Y178" s="1" t="str">
        <f>IFERROR(Backend!$L178*VLOOKUP($F178,'OH,Profit &amp; Other Base'!$A:$V,Backend!Y$6,0),"")</f>
        <v/>
      </c>
      <c r="Z178" s="1" t="str">
        <f>IFERROR(Backend!$M178*VLOOKUP($F178,'OH,Profit &amp; Other Base'!$A:$V,Backend!Z$6,0),"")</f>
        <v/>
      </c>
      <c r="AA178" s="1" t="str">
        <f>IFERROR(Backend!$L178*VLOOKUP($F178,'OH,Profit &amp; Other Base'!$A:$V,Backend!AA$6,0),"")</f>
        <v/>
      </c>
      <c r="AB178" s="1" t="str">
        <f>IFERROR(Backend!$M178*VLOOKUP($F178,'OH,Profit &amp; Other Base'!$A:$V,Backend!AB$6,0),"")</f>
        <v/>
      </c>
      <c r="AC178" s="1" t="str">
        <f>IFERROR(Backend!$L178*VLOOKUP($F178,'OH,Profit &amp; Other Base'!$A:$V,Backend!AC$6,0),"")</f>
        <v/>
      </c>
      <c r="AD178" s="1" t="str">
        <f>IFERROR(Backend!$M178*VLOOKUP($F178,'OH,Profit &amp; Other Base'!$A:$V,Backend!AD$6,0),"")</f>
        <v/>
      </c>
      <c r="AE178" s="1" t="str">
        <f>IFERROR(Backend!$L178*VLOOKUP($F178,'OH,Profit &amp; Other Base'!$A:$V,Backend!AE$6,0),"")</f>
        <v/>
      </c>
      <c r="AF178" s="1" t="str">
        <f>IFERROR(Backend!$M178*VLOOKUP($F178,'OH,Profit &amp; Other Base'!$A:$V,Backend!AF$6,0),"")</f>
        <v/>
      </c>
      <c r="AG178" s="1" t="str">
        <f>IFERROR(Backend!$L178*VLOOKUP($F178,'OH,Profit &amp; Other Base'!$A:$V,Backend!AG$6,0),"")</f>
        <v/>
      </c>
      <c r="AH178" s="1" t="str">
        <f>IFERROR(Backend!$M178*VLOOKUP($F178,'OH,Profit &amp; Other Base'!$A:$V,Backend!AH$6,0),"")</f>
        <v/>
      </c>
      <c r="AI178" s="3">
        <f t="shared" si="16"/>
        <v>0</v>
      </c>
      <c r="AL178" s="1" t="str">
        <f t="shared" si="17"/>
        <v/>
      </c>
      <c r="AM178" s="1" t="str">
        <f t="shared" si="18"/>
        <v/>
      </c>
      <c r="AN178" s="1" t="str">
        <f t="shared" si="19"/>
        <v/>
      </c>
      <c r="AO178" s="1" t="str">
        <f t="shared" si="20"/>
        <v/>
      </c>
      <c r="AP178" s="1" t="str">
        <f>IFERROR(ROUND(Backend!$AL178*VLOOKUP($F178,'OH,Profit &amp; Other Base'!$A:$V,Backend!AP$6,0),5),"")</f>
        <v/>
      </c>
      <c r="AQ178" s="1" t="str">
        <f>IFERROR(ROUND(Backend!$AO178*VLOOKUP($F178,'OH,Profit &amp; Other Base'!$A:$V,Backend!AQ$6,0),5),"")</f>
        <v/>
      </c>
      <c r="AR178" s="1" t="str">
        <f>IFERROR(ROUND(Backend!$AM178*VLOOKUP($F178,'OH,Profit &amp; Other Base'!$A:$V,Backend!AR$6,0),5),"")</f>
        <v/>
      </c>
      <c r="AS178" s="1" t="str">
        <f>IFERROR(ROUND(Backend!$AL178*VLOOKUP($F178,'OH,Profit &amp; Other Base'!$A:$V,Backend!AS$6,0),5),"")</f>
        <v/>
      </c>
      <c r="AT178" s="1" t="str">
        <f>IFERROR(ROUND(Backend!$AO178*VLOOKUP($F178,'OH,Profit &amp; Other Base'!$A:$V,Backend!AT$6,0),5),"")</f>
        <v/>
      </c>
      <c r="AU178" s="1" t="str">
        <f>IFERROR(ROUND(Backend!$AM178*VLOOKUP($F178,'OH,Profit &amp; Other Base'!$A:$V,Backend!AU$6,0),5),"")</f>
        <v/>
      </c>
      <c r="AV178" s="1" t="str">
        <f>IFERROR(ROUND(Backend!$AL178*VLOOKUP($F178,'OH,Profit &amp; Other Base'!$A:$V,Backend!AV$6,0),5),"")</f>
        <v/>
      </c>
      <c r="AW178" s="1" t="str">
        <f>IFERROR(ROUND(Backend!$AO178*VLOOKUP($F178,'OH,Profit &amp; Other Base'!$A:$V,Backend!AW$6,0),5),"")</f>
        <v/>
      </c>
      <c r="AX178" s="1" t="str">
        <f>IFERROR(ROUND(Backend!$AM178*VLOOKUP($F178,'OH,Profit &amp; Other Base'!$A:$V,Backend!AX$6,0),5),"")</f>
        <v/>
      </c>
      <c r="AY178" s="1" t="str">
        <f>IFERROR(ROUND(Backend!$AL178*VLOOKUP($F178,'OH,Profit &amp; Other Base'!$A:$V,Backend!AY$6,0),5),"")</f>
        <v/>
      </c>
      <c r="AZ178" s="1" t="str">
        <f>IFERROR(ROUND(Backend!$AO178*VLOOKUP($F178,'OH,Profit &amp; Other Base'!$A:$V,Backend!AZ$6,0),5),"")</f>
        <v/>
      </c>
      <c r="BA178" s="1" t="str">
        <f>IFERROR(ROUND(Backend!$AM178*VLOOKUP($F178,'OH,Profit &amp; Other Base'!$A:$V,Backend!BA$6,0),5),"")</f>
        <v/>
      </c>
      <c r="BB178" s="1" t="str">
        <f>IFERROR(ROUND(Backend!$AL178*VLOOKUP($F178,'OH,Profit &amp; Other Base'!$A:$V,Backend!BB$6,0),5),"")</f>
        <v/>
      </c>
      <c r="BC178" s="1" t="str">
        <f>IFERROR(ROUND(Backend!$AO178*VLOOKUP($F178,'OH,Profit &amp; Other Base'!$A:$V,Backend!BC$6,0),5),"")</f>
        <v/>
      </c>
      <c r="BD178" s="1" t="str">
        <f>IFERROR(ROUND(Backend!$AM178*VLOOKUP($F178,'OH,Profit &amp; Other Base'!$A:$V,Backend!BD$6,0),5),"")</f>
        <v/>
      </c>
      <c r="BE178" s="1" t="str">
        <f>IFERROR(ROUND(Backend!$AL178*VLOOKUP($F178,'OH,Profit &amp; Other Base'!$A:$V,Backend!BE$6,0),5),"")</f>
        <v/>
      </c>
      <c r="BF178" s="1" t="str">
        <f>IFERROR(ROUND(Backend!$AO178*VLOOKUP($F178,'OH,Profit &amp; Other Base'!$A:$V,Backend!BF$6,0),5),"")</f>
        <v/>
      </c>
      <c r="BG178" s="1" t="str">
        <f>IFERROR(ROUND(Backend!$AM178*VLOOKUP($F178,'OH,Profit &amp; Other Base'!$A:$V,Backend!BG$6,0),5),"")</f>
        <v/>
      </c>
      <c r="BH178" s="1" t="str">
        <f>IFERROR(ROUND(Backend!$AL178*VLOOKUP($F178,'OH,Profit &amp; Other Base'!$A:$V,Backend!BH$6,0),5),"")</f>
        <v/>
      </c>
      <c r="BI178" s="1" t="str">
        <f>IFERROR(ROUND(Backend!$AO178*VLOOKUP($F178,'OH,Profit &amp; Other Base'!$A:$V,Backend!BI$6,0),5),"")</f>
        <v/>
      </c>
      <c r="BJ178" s="1" t="str">
        <f>IFERROR(ROUND(Backend!$AM178*VLOOKUP($F178,'OH,Profit &amp; Other Base'!$A:$V,Backend!BJ$6,0),5),"")</f>
        <v/>
      </c>
      <c r="BK178" s="3">
        <f>SUM(AN178:BJ178,Backend!O178)</f>
        <v>0</v>
      </c>
    </row>
    <row r="179" spans="1:63">
      <c r="A179" s="1">
        <f>BOM!A174</f>
        <v>0</v>
      </c>
      <c r="B179" s="1">
        <f>BOM!B174</f>
        <v>0</v>
      </c>
      <c r="C179" s="1">
        <f>BOM!C174</f>
        <v>0</v>
      </c>
      <c r="D179" s="1">
        <f>BOM!D174</f>
        <v>0</v>
      </c>
      <c r="E179" s="1">
        <f>BOM!F174</f>
        <v>0</v>
      </c>
      <c r="F179" s="1" t="str">
        <f>IF(H179="CSC",BOM!H174,IF(J179="BOFOthers","Sheet Metal-B",""))</f>
        <v/>
      </c>
      <c r="G179" s="1">
        <f>BOM!I174</f>
        <v>0</v>
      </c>
      <c r="H179" s="1">
        <f>BOM!J174</f>
        <v>0</v>
      </c>
      <c r="I179" s="1" t="str">
        <f t="shared" si="14"/>
        <v>Others</v>
      </c>
      <c r="J179" s="1" t="str">
        <f t="shared" si="15"/>
        <v>0Others</v>
      </c>
      <c r="K179" s="3" t="str">
        <f>IF($J179="InhouseCSC",VLOOKUP($D179,Group!$C:$E,3,0),"")</f>
        <v/>
      </c>
      <c r="L179" s="3" t="str">
        <f>IF(OR($J179="BOSFCSC",$J179="BOFCSC"),VLOOKUP($D179,Group!$C:$E,3,0),"")</f>
        <v/>
      </c>
      <c r="M179" s="3" t="str">
        <f>IF(OR($J179="BOSFCSC",$J179="BOFCSC"),VLOOKUP($D179,Group!$C:$F,4,0),"")</f>
        <v/>
      </c>
      <c r="N179" s="3" t="str">
        <f>IF(OR($J179="InhouseCSC",$J179="BOSFCSC"),VLOOKUP($D179,Group!$C:$G,5,0),"")</f>
        <v/>
      </c>
      <c r="O179" s="3" t="str">
        <f>IF($J179="InhouseCSC",ROUND(VLOOKUP($D179,Group!$C:$H,6,0),5),"")</f>
        <v/>
      </c>
      <c r="P179" s="3" t="str">
        <f>IF(OR($J179="BOSFCSC",$J179="BOFCSC"),VLOOKUP($D179,Group!$C:$H,6,0),"")</f>
        <v/>
      </c>
      <c r="Q179" s="1" t="str">
        <f>IF($J179="Inhouseothers",VLOOKUP($D179,Group!$C:$E,3,0),"")</f>
        <v/>
      </c>
      <c r="R179" s="1" t="str">
        <f>IF($J179="BOSFOthers",VLOOKUP($D179,Group!$C:$E,3,0),"")</f>
        <v/>
      </c>
      <c r="S179" s="3" t="str">
        <f>IF($J179="BOFOthers",VLOOKUP($D179,Group!$C:$E,3,0),"")</f>
        <v/>
      </c>
      <c r="U179" s="1" t="str">
        <f>IFERROR(Backend!$L179*VLOOKUP($F179,'OH,Profit &amp; Other Base'!$A:$V,Backend!U$6,0),"")</f>
        <v/>
      </c>
      <c r="V179" s="1" t="str">
        <f>IFERROR(Backend!$M179*VLOOKUP($F179,'OH,Profit &amp; Other Base'!$A:$V,Backend!V$6,0),"")</f>
        <v/>
      </c>
      <c r="W179" s="1" t="str">
        <f>IFERROR(Backend!$L179*VLOOKUP($F179,'OH,Profit &amp; Other Base'!$A:$V,Backend!W$6,0),"")</f>
        <v/>
      </c>
      <c r="X179" s="1" t="str">
        <f>IFERROR(Backend!$M179*VLOOKUP($F179,'OH,Profit &amp; Other Base'!$A:$V,Backend!X$6,0),"")</f>
        <v/>
      </c>
      <c r="Y179" s="1" t="str">
        <f>IFERROR(Backend!$L179*VLOOKUP($F179,'OH,Profit &amp; Other Base'!$A:$V,Backend!Y$6,0),"")</f>
        <v/>
      </c>
      <c r="Z179" s="1" t="str">
        <f>IFERROR(Backend!$M179*VLOOKUP($F179,'OH,Profit &amp; Other Base'!$A:$V,Backend!Z$6,0),"")</f>
        <v/>
      </c>
      <c r="AA179" s="1" t="str">
        <f>IFERROR(Backend!$L179*VLOOKUP($F179,'OH,Profit &amp; Other Base'!$A:$V,Backend!AA$6,0),"")</f>
        <v/>
      </c>
      <c r="AB179" s="1" t="str">
        <f>IFERROR(Backend!$M179*VLOOKUP($F179,'OH,Profit &amp; Other Base'!$A:$V,Backend!AB$6,0),"")</f>
        <v/>
      </c>
      <c r="AC179" s="1" t="str">
        <f>IFERROR(Backend!$L179*VLOOKUP($F179,'OH,Profit &amp; Other Base'!$A:$V,Backend!AC$6,0),"")</f>
        <v/>
      </c>
      <c r="AD179" s="1" t="str">
        <f>IFERROR(Backend!$M179*VLOOKUP($F179,'OH,Profit &amp; Other Base'!$A:$V,Backend!AD$6,0),"")</f>
        <v/>
      </c>
      <c r="AE179" s="1" t="str">
        <f>IFERROR(Backend!$L179*VLOOKUP($F179,'OH,Profit &amp; Other Base'!$A:$V,Backend!AE$6,0),"")</f>
        <v/>
      </c>
      <c r="AF179" s="1" t="str">
        <f>IFERROR(Backend!$M179*VLOOKUP($F179,'OH,Profit &amp; Other Base'!$A:$V,Backend!AF$6,0),"")</f>
        <v/>
      </c>
      <c r="AG179" s="1" t="str">
        <f>IFERROR(Backend!$L179*VLOOKUP($F179,'OH,Profit &amp; Other Base'!$A:$V,Backend!AG$6,0),"")</f>
        <v/>
      </c>
      <c r="AH179" s="1" t="str">
        <f>IFERROR(Backend!$M179*VLOOKUP($F179,'OH,Profit &amp; Other Base'!$A:$V,Backend!AH$6,0),"")</f>
        <v/>
      </c>
      <c r="AI179" s="3">
        <f t="shared" si="16"/>
        <v>0</v>
      </c>
      <c r="AL179" s="1" t="str">
        <f t="shared" si="17"/>
        <v/>
      </c>
      <c r="AM179" s="1" t="str">
        <f t="shared" si="18"/>
        <v/>
      </c>
      <c r="AN179" s="1" t="str">
        <f t="shared" si="19"/>
        <v/>
      </c>
      <c r="AO179" s="1" t="str">
        <f t="shared" si="20"/>
        <v/>
      </c>
      <c r="AP179" s="1" t="str">
        <f>IFERROR(ROUND(Backend!$AL179*VLOOKUP($F179,'OH,Profit &amp; Other Base'!$A:$V,Backend!AP$6,0),5),"")</f>
        <v/>
      </c>
      <c r="AQ179" s="1" t="str">
        <f>IFERROR(ROUND(Backend!$AO179*VLOOKUP($F179,'OH,Profit &amp; Other Base'!$A:$V,Backend!AQ$6,0),5),"")</f>
        <v/>
      </c>
      <c r="AR179" s="1" t="str">
        <f>IFERROR(ROUND(Backend!$AM179*VLOOKUP($F179,'OH,Profit &amp; Other Base'!$A:$V,Backend!AR$6,0),5),"")</f>
        <v/>
      </c>
      <c r="AS179" s="1" t="str">
        <f>IFERROR(ROUND(Backend!$AL179*VLOOKUP($F179,'OH,Profit &amp; Other Base'!$A:$V,Backend!AS$6,0),5),"")</f>
        <v/>
      </c>
      <c r="AT179" s="1" t="str">
        <f>IFERROR(ROUND(Backend!$AO179*VLOOKUP($F179,'OH,Profit &amp; Other Base'!$A:$V,Backend!AT$6,0),5),"")</f>
        <v/>
      </c>
      <c r="AU179" s="1" t="str">
        <f>IFERROR(ROUND(Backend!$AM179*VLOOKUP($F179,'OH,Profit &amp; Other Base'!$A:$V,Backend!AU$6,0),5),"")</f>
        <v/>
      </c>
      <c r="AV179" s="1" t="str">
        <f>IFERROR(ROUND(Backend!$AL179*VLOOKUP($F179,'OH,Profit &amp; Other Base'!$A:$V,Backend!AV$6,0),5),"")</f>
        <v/>
      </c>
      <c r="AW179" s="1" t="str">
        <f>IFERROR(ROUND(Backend!$AO179*VLOOKUP($F179,'OH,Profit &amp; Other Base'!$A:$V,Backend!AW$6,0),5),"")</f>
        <v/>
      </c>
      <c r="AX179" s="1" t="str">
        <f>IFERROR(ROUND(Backend!$AM179*VLOOKUP($F179,'OH,Profit &amp; Other Base'!$A:$V,Backend!AX$6,0),5),"")</f>
        <v/>
      </c>
      <c r="AY179" s="1" t="str">
        <f>IFERROR(ROUND(Backend!$AL179*VLOOKUP($F179,'OH,Profit &amp; Other Base'!$A:$V,Backend!AY$6,0),5),"")</f>
        <v/>
      </c>
      <c r="AZ179" s="1" t="str">
        <f>IFERROR(ROUND(Backend!$AO179*VLOOKUP($F179,'OH,Profit &amp; Other Base'!$A:$V,Backend!AZ$6,0),5),"")</f>
        <v/>
      </c>
      <c r="BA179" s="1" t="str">
        <f>IFERROR(ROUND(Backend!$AM179*VLOOKUP($F179,'OH,Profit &amp; Other Base'!$A:$V,Backend!BA$6,0),5),"")</f>
        <v/>
      </c>
      <c r="BB179" s="1" t="str">
        <f>IFERROR(ROUND(Backend!$AL179*VLOOKUP($F179,'OH,Profit &amp; Other Base'!$A:$V,Backend!BB$6,0),5),"")</f>
        <v/>
      </c>
      <c r="BC179" s="1" t="str">
        <f>IFERROR(ROUND(Backend!$AO179*VLOOKUP($F179,'OH,Profit &amp; Other Base'!$A:$V,Backend!BC$6,0),5),"")</f>
        <v/>
      </c>
      <c r="BD179" s="1" t="str">
        <f>IFERROR(ROUND(Backend!$AM179*VLOOKUP($F179,'OH,Profit &amp; Other Base'!$A:$V,Backend!BD$6,0),5),"")</f>
        <v/>
      </c>
      <c r="BE179" s="1" t="str">
        <f>IFERROR(ROUND(Backend!$AL179*VLOOKUP($F179,'OH,Profit &amp; Other Base'!$A:$V,Backend!BE$6,0),5),"")</f>
        <v/>
      </c>
      <c r="BF179" s="1" t="str">
        <f>IFERROR(ROUND(Backend!$AO179*VLOOKUP($F179,'OH,Profit &amp; Other Base'!$A:$V,Backend!BF$6,0),5),"")</f>
        <v/>
      </c>
      <c r="BG179" s="1" t="str">
        <f>IFERROR(ROUND(Backend!$AM179*VLOOKUP($F179,'OH,Profit &amp; Other Base'!$A:$V,Backend!BG$6,0),5),"")</f>
        <v/>
      </c>
      <c r="BH179" s="1" t="str">
        <f>IFERROR(ROUND(Backend!$AL179*VLOOKUP($F179,'OH,Profit &amp; Other Base'!$A:$V,Backend!BH$6,0),5),"")</f>
        <v/>
      </c>
      <c r="BI179" s="1" t="str">
        <f>IFERROR(ROUND(Backend!$AO179*VLOOKUP($F179,'OH,Profit &amp; Other Base'!$A:$V,Backend!BI$6,0),5),"")</f>
        <v/>
      </c>
      <c r="BJ179" s="1" t="str">
        <f>IFERROR(ROUND(Backend!$AM179*VLOOKUP($F179,'OH,Profit &amp; Other Base'!$A:$V,Backend!BJ$6,0),5),"")</f>
        <v/>
      </c>
      <c r="BK179" s="3">
        <f>SUM(AN179:BJ179,Backend!O179)</f>
        <v>0</v>
      </c>
    </row>
    <row r="180" spans="1:63">
      <c r="A180" s="1">
        <f>BOM!A175</f>
        <v>0</v>
      </c>
      <c r="B180" s="1">
        <f>BOM!B175</f>
        <v>0</v>
      </c>
      <c r="C180" s="1">
        <f>BOM!C175</f>
        <v>0</v>
      </c>
      <c r="D180" s="1">
        <f>BOM!D175</f>
        <v>0</v>
      </c>
      <c r="E180" s="1">
        <f>BOM!F175</f>
        <v>0</v>
      </c>
      <c r="F180" s="1" t="str">
        <f>IF(H180="CSC",BOM!H175,IF(J180="BOFOthers","Sheet Metal-B",""))</f>
        <v/>
      </c>
      <c r="G180" s="1">
        <f>BOM!I175</f>
        <v>0</v>
      </c>
      <c r="H180" s="1">
        <f>BOM!J175</f>
        <v>0</v>
      </c>
      <c r="I180" s="1" t="str">
        <f t="shared" si="14"/>
        <v>Others</v>
      </c>
      <c r="J180" s="1" t="str">
        <f t="shared" si="15"/>
        <v>0Others</v>
      </c>
      <c r="K180" s="3" t="str">
        <f>IF($J180="InhouseCSC",VLOOKUP($D180,Group!$C:$E,3,0),"")</f>
        <v/>
      </c>
      <c r="L180" s="3" t="str">
        <f>IF(OR($J180="BOSFCSC",$J180="BOFCSC"),VLOOKUP($D180,Group!$C:$E,3,0),"")</f>
        <v/>
      </c>
      <c r="M180" s="3" t="str">
        <f>IF(OR($J180="BOSFCSC",$J180="BOFCSC"),VLOOKUP($D180,Group!$C:$F,4,0),"")</f>
        <v/>
      </c>
      <c r="N180" s="3" t="str">
        <f>IF(OR($J180="InhouseCSC",$J180="BOSFCSC"),VLOOKUP($D180,Group!$C:$G,5,0),"")</f>
        <v/>
      </c>
      <c r="O180" s="3" t="str">
        <f>IF($J180="InhouseCSC",ROUND(VLOOKUP($D180,Group!$C:$H,6,0),5),"")</f>
        <v/>
      </c>
      <c r="P180" s="3" t="str">
        <f>IF(OR($J180="BOSFCSC",$J180="BOFCSC"),VLOOKUP($D180,Group!$C:$H,6,0),"")</f>
        <v/>
      </c>
      <c r="Q180" s="1" t="str">
        <f>IF($J180="Inhouseothers",VLOOKUP($D180,Group!$C:$E,3,0),"")</f>
        <v/>
      </c>
      <c r="R180" s="1" t="str">
        <f>IF($J180="BOSFOthers",VLOOKUP($D180,Group!$C:$E,3,0),"")</f>
        <v/>
      </c>
      <c r="S180" s="3" t="str">
        <f>IF($J180="BOFOthers",VLOOKUP($D180,Group!$C:$E,3,0),"")</f>
        <v/>
      </c>
      <c r="U180" s="1" t="str">
        <f>IFERROR(Backend!$L180*VLOOKUP($F180,'OH,Profit &amp; Other Base'!$A:$V,Backend!U$6,0),"")</f>
        <v/>
      </c>
      <c r="V180" s="1" t="str">
        <f>IFERROR(Backend!$M180*VLOOKUP($F180,'OH,Profit &amp; Other Base'!$A:$V,Backend!V$6,0),"")</f>
        <v/>
      </c>
      <c r="W180" s="1" t="str">
        <f>IFERROR(Backend!$L180*VLOOKUP($F180,'OH,Profit &amp; Other Base'!$A:$V,Backend!W$6,0),"")</f>
        <v/>
      </c>
      <c r="X180" s="1" t="str">
        <f>IFERROR(Backend!$M180*VLOOKUP($F180,'OH,Profit &amp; Other Base'!$A:$V,Backend!X$6,0),"")</f>
        <v/>
      </c>
      <c r="Y180" s="1" t="str">
        <f>IFERROR(Backend!$L180*VLOOKUP($F180,'OH,Profit &amp; Other Base'!$A:$V,Backend!Y$6,0),"")</f>
        <v/>
      </c>
      <c r="Z180" s="1" t="str">
        <f>IFERROR(Backend!$M180*VLOOKUP($F180,'OH,Profit &amp; Other Base'!$A:$V,Backend!Z$6,0),"")</f>
        <v/>
      </c>
      <c r="AA180" s="1" t="str">
        <f>IFERROR(Backend!$L180*VLOOKUP($F180,'OH,Profit &amp; Other Base'!$A:$V,Backend!AA$6,0),"")</f>
        <v/>
      </c>
      <c r="AB180" s="1" t="str">
        <f>IFERROR(Backend!$M180*VLOOKUP($F180,'OH,Profit &amp; Other Base'!$A:$V,Backend!AB$6,0),"")</f>
        <v/>
      </c>
      <c r="AC180" s="1" t="str">
        <f>IFERROR(Backend!$L180*VLOOKUP($F180,'OH,Profit &amp; Other Base'!$A:$V,Backend!AC$6,0),"")</f>
        <v/>
      </c>
      <c r="AD180" s="1" t="str">
        <f>IFERROR(Backend!$M180*VLOOKUP($F180,'OH,Profit &amp; Other Base'!$A:$V,Backend!AD$6,0),"")</f>
        <v/>
      </c>
      <c r="AE180" s="1" t="str">
        <f>IFERROR(Backend!$L180*VLOOKUP($F180,'OH,Profit &amp; Other Base'!$A:$V,Backend!AE$6,0),"")</f>
        <v/>
      </c>
      <c r="AF180" s="1" t="str">
        <f>IFERROR(Backend!$M180*VLOOKUP($F180,'OH,Profit &amp; Other Base'!$A:$V,Backend!AF$6,0),"")</f>
        <v/>
      </c>
      <c r="AG180" s="1" t="str">
        <f>IFERROR(Backend!$L180*VLOOKUP($F180,'OH,Profit &amp; Other Base'!$A:$V,Backend!AG$6,0),"")</f>
        <v/>
      </c>
      <c r="AH180" s="1" t="str">
        <f>IFERROR(Backend!$M180*VLOOKUP($F180,'OH,Profit &amp; Other Base'!$A:$V,Backend!AH$6,0),"")</f>
        <v/>
      </c>
      <c r="AI180" s="3">
        <f t="shared" si="16"/>
        <v>0</v>
      </c>
      <c r="AL180" s="1" t="str">
        <f t="shared" si="17"/>
        <v/>
      </c>
      <c r="AM180" s="1" t="str">
        <f t="shared" si="18"/>
        <v/>
      </c>
      <c r="AN180" s="1" t="str">
        <f t="shared" si="19"/>
        <v/>
      </c>
      <c r="AO180" s="1" t="str">
        <f t="shared" si="20"/>
        <v/>
      </c>
      <c r="AP180" s="1" t="str">
        <f>IFERROR(ROUND(Backend!$AL180*VLOOKUP($F180,'OH,Profit &amp; Other Base'!$A:$V,Backend!AP$6,0),5),"")</f>
        <v/>
      </c>
      <c r="AQ180" s="1" t="str">
        <f>IFERROR(ROUND(Backend!$AO180*VLOOKUP($F180,'OH,Profit &amp; Other Base'!$A:$V,Backend!AQ$6,0),5),"")</f>
        <v/>
      </c>
      <c r="AR180" s="1" t="str">
        <f>IFERROR(ROUND(Backend!$AM180*VLOOKUP($F180,'OH,Profit &amp; Other Base'!$A:$V,Backend!AR$6,0),5),"")</f>
        <v/>
      </c>
      <c r="AS180" s="1" t="str">
        <f>IFERROR(ROUND(Backend!$AL180*VLOOKUP($F180,'OH,Profit &amp; Other Base'!$A:$V,Backend!AS$6,0),5),"")</f>
        <v/>
      </c>
      <c r="AT180" s="1" t="str">
        <f>IFERROR(ROUND(Backend!$AO180*VLOOKUP($F180,'OH,Profit &amp; Other Base'!$A:$V,Backend!AT$6,0),5),"")</f>
        <v/>
      </c>
      <c r="AU180" s="1" t="str">
        <f>IFERROR(ROUND(Backend!$AM180*VLOOKUP($F180,'OH,Profit &amp; Other Base'!$A:$V,Backend!AU$6,0),5),"")</f>
        <v/>
      </c>
      <c r="AV180" s="1" t="str">
        <f>IFERROR(ROUND(Backend!$AL180*VLOOKUP($F180,'OH,Profit &amp; Other Base'!$A:$V,Backend!AV$6,0),5),"")</f>
        <v/>
      </c>
      <c r="AW180" s="1" t="str">
        <f>IFERROR(ROUND(Backend!$AO180*VLOOKUP($F180,'OH,Profit &amp; Other Base'!$A:$V,Backend!AW$6,0),5),"")</f>
        <v/>
      </c>
      <c r="AX180" s="1" t="str">
        <f>IFERROR(ROUND(Backend!$AM180*VLOOKUP($F180,'OH,Profit &amp; Other Base'!$A:$V,Backend!AX$6,0),5),"")</f>
        <v/>
      </c>
      <c r="AY180" s="1" t="str">
        <f>IFERROR(ROUND(Backend!$AL180*VLOOKUP($F180,'OH,Profit &amp; Other Base'!$A:$V,Backend!AY$6,0),5),"")</f>
        <v/>
      </c>
      <c r="AZ180" s="1" t="str">
        <f>IFERROR(ROUND(Backend!$AO180*VLOOKUP($F180,'OH,Profit &amp; Other Base'!$A:$V,Backend!AZ$6,0),5),"")</f>
        <v/>
      </c>
      <c r="BA180" s="1" t="str">
        <f>IFERROR(ROUND(Backend!$AM180*VLOOKUP($F180,'OH,Profit &amp; Other Base'!$A:$V,Backend!BA$6,0),5),"")</f>
        <v/>
      </c>
      <c r="BB180" s="1" t="str">
        <f>IFERROR(ROUND(Backend!$AL180*VLOOKUP($F180,'OH,Profit &amp; Other Base'!$A:$V,Backend!BB$6,0),5),"")</f>
        <v/>
      </c>
      <c r="BC180" s="1" t="str">
        <f>IFERROR(ROUND(Backend!$AO180*VLOOKUP($F180,'OH,Profit &amp; Other Base'!$A:$V,Backend!BC$6,0),5),"")</f>
        <v/>
      </c>
      <c r="BD180" s="1" t="str">
        <f>IFERROR(ROUND(Backend!$AM180*VLOOKUP($F180,'OH,Profit &amp; Other Base'!$A:$V,Backend!BD$6,0),5),"")</f>
        <v/>
      </c>
      <c r="BE180" s="1" t="str">
        <f>IFERROR(ROUND(Backend!$AL180*VLOOKUP($F180,'OH,Profit &amp; Other Base'!$A:$V,Backend!BE$6,0),5),"")</f>
        <v/>
      </c>
      <c r="BF180" s="1" t="str">
        <f>IFERROR(ROUND(Backend!$AO180*VLOOKUP($F180,'OH,Profit &amp; Other Base'!$A:$V,Backend!BF$6,0),5),"")</f>
        <v/>
      </c>
      <c r="BG180" s="1" t="str">
        <f>IFERROR(ROUND(Backend!$AM180*VLOOKUP($F180,'OH,Profit &amp; Other Base'!$A:$V,Backend!BG$6,0),5),"")</f>
        <v/>
      </c>
      <c r="BH180" s="1" t="str">
        <f>IFERROR(ROUND(Backend!$AL180*VLOOKUP($F180,'OH,Profit &amp; Other Base'!$A:$V,Backend!BH$6,0),5),"")</f>
        <v/>
      </c>
      <c r="BI180" s="1" t="str">
        <f>IFERROR(ROUND(Backend!$AO180*VLOOKUP($F180,'OH,Profit &amp; Other Base'!$A:$V,Backend!BI$6,0),5),"")</f>
        <v/>
      </c>
      <c r="BJ180" s="1" t="str">
        <f>IFERROR(ROUND(Backend!$AM180*VLOOKUP($F180,'OH,Profit &amp; Other Base'!$A:$V,Backend!BJ$6,0),5),"")</f>
        <v/>
      </c>
      <c r="BK180" s="3">
        <f>SUM(AN180:BJ180,Backend!O180)</f>
        <v>0</v>
      </c>
    </row>
    <row r="181" spans="1:63">
      <c r="A181" s="1">
        <f>BOM!A176</f>
        <v>0</v>
      </c>
      <c r="B181" s="1">
        <f>BOM!B176</f>
        <v>0</v>
      </c>
      <c r="C181" s="1">
        <f>BOM!C176</f>
        <v>0</v>
      </c>
      <c r="D181" s="1">
        <f>BOM!D176</f>
        <v>0</v>
      </c>
      <c r="E181" s="1">
        <f>BOM!F176</f>
        <v>0</v>
      </c>
      <c r="F181" s="1" t="str">
        <f>IF(H181="CSC",BOM!H176,IF(J181="BOFOthers","Sheet Metal-B",""))</f>
        <v/>
      </c>
      <c r="G181" s="1">
        <f>BOM!I176</f>
        <v>0</v>
      </c>
      <c r="H181" s="1">
        <f>BOM!J176</f>
        <v>0</v>
      </c>
      <c r="I181" s="1" t="str">
        <f t="shared" si="14"/>
        <v>Others</v>
      </c>
      <c r="J181" s="1" t="str">
        <f t="shared" si="15"/>
        <v>0Others</v>
      </c>
      <c r="K181" s="3" t="str">
        <f>IF($J181="InhouseCSC",VLOOKUP($D181,Group!$C:$E,3,0),"")</f>
        <v/>
      </c>
      <c r="L181" s="3" t="str">
        <f>IF(OR($J181="BOSFCSC",$J181="BOFCSC"),VLOOKUP($D181,Group!$C:$E,3,0),"")</f>
        <v/>
      </c>
      <c r="M181" s="3" t="str">
        <f>IF(OR($J181="BOSFCSC",$J181="BOFCSC"),VLOOKUP($D181,Group!$C:$F,4,0),"")</f>
        <v/>
      </c>
      <c r="N181" s="3" t="str">
        <f>IF(OR($J181="InhouseCSC",$J181="BOSFCSC"),VLOOKUP($D181,Group!$C:$G,5,0),"")</f>
        <v/>
      </c>
      <c r="O181" s="3" t="str">
        <f>IF($J181="InhouseCSC",ROUND(VLOOKUP($D181,Group!$C:$H,6,0),5),"")</f>
        <v/>
      </c>
      <c r="P181" s="3" t="str">
        <f>IF(OR($J181="BOSFCSC",$J181="BOFCSC"),VLOOKUP($D181,Group!$C:$H,6,0),"")</f>
        <v/>
      </c>
      <c r="Q181" s="1" t="str">
        <f>IF($J181="Inhouseothers",VLOOKUP($D181,Group!$C:$E,3,0),"")</f>
        <v/>
      </c>
      <c r="R181" s="1" t="str">
        <f>IF($J181="BOSFOthers",VLOOKUP($D181,Group!$C:$E,3,0),"")</f>
        <v/>
      </c>
      <c r="S181" s="3" t="str">
        <f>IF($J181="BOFOthers",VLOOKUP($D181,Group!$C:$E,3,0),"")</f>
        <v/>
      </c>
      <c r="U181" s="1" t="str">
        <f>IFERROR(Backend!$L181*VLOOKUP($F181,'OH,Profit &amp; Other Base'!$A:$V,Backend!U$6,0),"")</f>
        <v/>
      </c>
      <c r="V181" s="1" t="str">
        <f>IFERROR(Backend!$M181*VLOOKUP($F181,'OH,Profit &amp; Other Base'!$A:$V,Backend!V$6,0),"")</f>
        <v/>
      </c>
      <c r="W181" s="1" t="str">
        <f>IFERROR(Backend!$L181*VLOOKUP($F181,'OH,Profit &amp; Other Base'!$A:$V,Backend!W$6,0),"")</f>
        <v/>
      </c>
      <c r="X181" s="1" t="str">
        <f>IFERROR(Backend!$M181*VLOOKUP($F181,'OH,Profit &amp; Other Base'!$A:$V,Backend!X$6,0),"")</f>
        <v/>
      </c>
      <c r="Y181" s="1" t="str">
        <f>IFERROR(Backend!$L181*VLOOKUP($F181,'OH,Profit &amp; Other Base'!$A:$V,Backend!Y$6,0),"")</f>
        <v/>
      </c>
      <c r="Z181" s="1" t="str">
        <f>IFERROR(Backend!$M181*VLOOKUP($F181,'OH,Profit &amp; Other Base'!$A:$V,Backend!Z$6,0),"")</f>
        <v/>
      </c>
      <c r="AA181" s="1" t="str">
        <f>IFERROR(Backend!$L181*VLOOKUP($F181,'OH,Profit &amp; Other Base'!$A:$V,Backend!AA$6,0),"")</f>
        <v/>
      </c>
      <c r="AB181" s="1" t="str">
        <f>IFERROR(Backend!$M181*VLOOKUP($F181,'OH,Profit &amp; Other Base'!$A:$V,Backend!AB$6,0),"")</f>
        <v/>
      </c>
      <c r="AC181" s="1" t="str">
        <f>IFERROR(Backend!$L181*VLOOKUP($F181,'OH,Profit &amp; Other Base'!$A:$V,Backend!AC$6,0),"")</f>
        <v/>
      </c>
      <c r="AD181" s="1" t="str">
        <f>IFERROR(Backend!$M181*VLOOKUP($F181,'OH,Profit &amp; Other Base'!$A:$V,Backend!AD$6,0),"")</f>
        <v/>
      </c>
      <c r="AE181" s="1" t="str">
        <f>IFERROR(Backend!$L181*VLOOKUP($F181,'OH,Profit &amp; Other Base'!$A:$V,Backend!AE$6,0),"")</f>
        <v/>
      </c>
      <c r="AF181" s="1" t="str">
        <f>IFERROR(Backend!$M181*VLOOKUP($F181,'OH,Profit &amp; Other Base'!$A:$V,Backend!AF$6,0),"")</f>
        <v/>
      </c>
      <c r="AG181" s="1" t="str">
        <f>IFERROR(Backend!$L181*VLOOKUP($F181,'OH,Profit &amp; Other Base'!$A:$V,Backend!AG$6,0),"")</f>
        <v/>
      </c>
      <c r="AH181" s="1" t="str">
        <f>IFERROR(Backend!$M181*VLOOKUP($F181,'OH,Profit &amp; Other Base'!$A:$V,Backend!AH$6,0),"")</f>
        <v/>
      </c>
      <c r="AI181" s="3">
        <f t="shared" si="16"/>
        <v>0</v>
      </c>
      <c r="AL181" s="1" t="str">
        <f t="shared" si="17"/>
        <v/>
      </c>
      <c r="AM181" s="1" t="str">
        <f t="shared" si="18"/>
        <v/>
      </c>
      <c r="AN181" s="1" t="str">
        <f t="shared" si="19"/>
        <v/>
      </c>
      <c r="AO181" s="1" t="str">
        <f t="shared" si="20"/>
        <v/>
      </c>
      <c r="AP181" s="1" t="str">
        <f>IFERROR(ROUND(Backend!$AL181*VLOOKUP($F181,'OH,Profit &amp; Other Base'!$A:$V,Backend!AP$6,0),5),"")</f>
        <v/>
      </c>
      <c r="AQ181" s="1" t="str">
        <f>IFERROR(ROUND(Backend!$AO181*VLOOKUP($F181,'OH,Profit &amp; Other Base'!$A:$V,Backend!AQ$6,0),5),"")</f>
        <v/>
      </c>
      <c r="AR181" s="1" t="str">
        <f>IFERROR(ROUND(Backend!$AM181*VLOOKUP($F181,'OH,Profit &amp; Other Base'!$A:$V,Backend!AR$6,0),5),"")</f>
        <v/>
      </c>
      <c r="AS181" s="1" t="str">
        <f>IFERROR(ROUND(Backend!$AL181*VLOOKUP($F181,'OH,Profit &amp; Other Base'!$A:$V,Backend!AS$6,0),5),"")</f>
        <v/>
      </c>
      <c r="AT181" s="1" t="str">
        <f>IFERROR(ROUND(Backend!$AO181*VLOOKUP($F181,'OH,Profit &amp; Other Base'!$A:$V,Backend!AT$6,0),5),"")</f>
        <v/>
      </c>
      <c r="AU181" s="1" t="str">
        <f>IFERROR(ROUND(Backend!$AM181*VLOOKUP($F181,'OH,Profit &amp; Other Base'!$A:$V,Backend!AU$6,0),5),"")</f>
        <v/>
      </c>
      <c r="AV181" s="1" t="str">
        <f>IFERROR(ROUND(Backend!$AL181*VLOOKUP($F181,'OH,Profit &amp; Other Base'!$A:$V,Backend!AV$6,0),5),"")</f>
        <v/>
      </c>
      <c r="AW181" s="1" t="str">
        <f>IFERROR(ROUND(Backend!$AO181*VLOOKUP($F181,'OH,Profit &amp; Other Base'!$A:$V,Backend!AW$6,0),5),"")</f>
        <v/>
      </c>
      <c r="AX181" s="1" t="str">
        <f>IFERROR(ROUND(Backend!$AM181*VLOOKUP($F181,'OH,Profit &amp; Other Base'!$A:$V,Backend!AX$6,0),5),"")</f>
        <v/>
      </c>
      <c r="AY181" s="1" t="str">
        <f>IFERROR(ROUND(Backend!$AL181*VLOOKUP($F181,'OH,Profit &amp; Other Base'!$A:$V,Backend!AY$6,0),5),"")</f>
        <v/>
      </c>
      <c r="AZ181" s="1" t="str">
        <f>IFERROR(ROUND(Backend!$AO181*VLOOKUP($F181,'OH,Profit &amp; Other Base'!$A:$V,Backend!AZ$6,0),5),"")</f>
        <v/>
      </c>
      <c r="BA181" s="1" t="str">
        <f>IFERROR(ROUND(Backend!$AM181*VLOOKUP($F181,'OH,Profit &amp; Other Base'!$A:$V,Backend!BA$6,0),5),"")</f>
        <v/>
      </c>
      <c r="BB181" s="1" t="str">
        <f>IFERROR(ROUND(Backend!$AL181*VLOOKUP($F181,'OH,Profit &amp; Other Base'!$A:$V,Backend!BB$6,0),5),"")</f>
        <v/>
      </c>
      <c r="BC181" s="1" t="str">
        <f>IFERROR(ROUND(Backend!$AO181*VLOOKUP($F181,'OH,Profit &amp; Other Base'!$A:$V,Backend!BC$6,0),5),"")</f>
        <v/>
      </c>
      <c r="BD181" s="1" t="str">
        <f>IFERROR(ROUND(Backend!$AM181*VLOOKUP($F181,'OH,Profit &amp; Other Base'!$A:$V,Backend!BD$6,0),5),"")</f>
        <v/>
      </c>
      <c r="BE181" s="1" t="str">
        <f>IFERROR(ROUND(Backend!$AL181*VLOOKUP($F181,'OH,Profit &amp; Other Base'!$A:$V,Backend!BE$6,0),5),"")</f>
        <v/>
      </c>
      <c r="BF181" s="1" t="str">
        <f>IFERROR(ROUND(Backend!$AO181*VLOOKUP($F181,'OH,Profit &amp; Other Base'!$A:$V,Backend!BF$6,0),5),"")</f>
        <v/>
      </c>
      <c r="BG181" s="1" t="str">
        <f>IFERROR(ROUND(Backend!$AM181*VLOOKUP($F181,'OH,Profit &amp; Other Base'!$A:$V,Backend!BG$6,0),5),"")</f>
        <v/>
      </c>
      <c r="BH181" s="1" t="str">
        <f>IFERROR(ROUND(Backend!$AL181*VLOOKUP($F181,'OH,Profit &amp; Other Base'!$A:$V,Backend!BH$6,0),5),"")</f>
        <v/>
      </c>
      <c r="BI181" s="1" t="str">
        <f>IFERROR(ROUND(Backend!$AO181*VLOOKUP($F181,'OH,Profit &amp; Other Base'!$A:$V,Backend!BI$6,0),5),"")</f>
        <v/>
      </c>
      <c r="BJ181" s="1" t="str">
        <f>IFERROR(ROUND(Backend!$AM181*VLOOKUP($F181,'OH,Profit &amp; Other Base'!$A:$V,Backend!BJ$6,0),5),"")</f>
        <v/>
      </c>
      <c r="BK181" s="3">
        <f>SUM(AN181:BJ181,Backend!O181)</f>
        <v>0</v>
      </c>
    </row>
    <row r="182" spans="1:63">
      <c r="A182" s="1">
        <f>BOM!A177</f>
        <v>0</v>
      </c>
      <c r="B182" s="1">
        <f>BOM!B177</f>
        <v>0</v>
      </c>
      <c r="C182" s="1">
        <f>BOM!C177</f>
        <v>0</v>
      </c>
      <c r="D182" s="1">
        <f>BOM!D177</f>
        <v>0</v>
      </c>
      <c r="E182" s="1">
        <f>BOM!F177</f>
        <v>0</v>
      </c>
      <c r="F182" s="1" t="str">
        <f>IF(H182="CSC",BOM!H177,IF(J182="BOFOthers","Sheet Metal-B",""))</f>
        <v/>
      </c>
      <c r="G182" s="1">
        <f>BOM!I177</f>
        <v>0</v>
      </c>
      <c r="H182" s="1">
        <f>BOM!J177</f>
        <v>0</v>
      </c>
      <c r="I182" s="1" t="str">
        <f t="shared" si="14"/>
        <v>Others</v>
      </c>
      <c r="J182" s="1" t="str">
        <f t="shared" si="15"/>
        <v>0Others</v>
      </c>
      <c r="K182" s="3" t="str">
        <f>IF($J182="InhouseCSC",VLOOKUP($D182,Group!$C:$E,3,0),"")</f>
        <v/>
      </c>
      <c r="L182" s="3" t="str">
        <f>IF(OR($J182="BOSFCSC",$J182="BOFCSC"),VLOOKUP($D182,Group!$C:$E,3,0),"")</f>
        <v/>
      </c>
      <c r="M182" s="3" t="str">
        <f>IF(OR($J182="BOSFCSC",$J182="BOFCSC"),VLOOKUP($D182,Group!$C:$F,4,0),"")</f>
        <v/>
      </c>
      <c r="N182" s="3" t="str">
        <f>IF(OR($J182="InhouseCSC",$J182="BOSFCSC"),VLOOKUP($D182,Group!$C:$G,5,0),"")</f>
        <v/>
      </c>
      <c r="O182" s="3" t="str">
        <f>IF($J182="InhouseCSC",ROUND(VLOOKUP($D182,Group!$C:$H,6,0),5),"")</f>
        <v/>
      </c>
      <c r="P182" s="3" t="str">
        <f>IF(OR($J182="BOSFCSC",$J182="BOFCSC"),VLOOKUP($D182,Group!$C:$H,6,0),"")</f>
        <v/>
      </c>
      <c r="Q182" s="1" t="str">
        <f>IF($J182="Inhouseothers",VLOOKUP($D182,Group!$C:$E,3,0),"")</f>
        <v/>
      </c>
      <c r="R182" s="1" t="str">
        <f>IF($J182="BOSFOthers",VLOOKUP($D182,Group!$C:$E,3,0),"")</f>
        <v/>
      </c>
      <c r="S182" s="3" t="str">
        <f>IF($J182="BOFOthers",VLOOKUP($D182,Group!$C:$E,3,0),"")</f>
        <v/>
      </c>
      <c r="U182" s="1" t="str">
        <f>IFERROR(Backend!$L182*VLOOKUP($F182,'OH,Profit &amp; Other Base'!$A:$V,Backend!U$6,0),"")</f>
        <v/>
      </c>
      <c r="V182" s="1" t="str">
        <f>IFERROR(Backend!$M182*VLOOKUP($F182,'OH,Profit &amp; Other Base'!$A:$V,Backend!V$6,0),"")</f>
        <v/>
      </c>
      <c r="W182" s="1" t="str">
        <f>IFERROR(Backend!$L182*VLOOKUP($F182,'OH,Profit &amp; Other Base'!$A:$V,Backend!W$6,0),"")</f>
        <v/>
      </c>
      <c r="X182" s="1" t="str">
        <f>IFERROR(Backend!$M182*VLOOKUP($F182,'OH,Profit &amp; Other Base'!$A:$V,Backend!X$6,0),"")</f>
        <v/>
      </c>
      <c r="Y182" s="1" t="str">
        <f>IFERROR(Backend!$L182*VLOOKUP($F182,'OH,Profit &amp; Other Base'!$A:$V,Backend!Y$6,0),"")</f>
        <v/>
      </c>
      <c r="Z182" s="1" t="str">
        <f>IFERROR(Backend!$M182*VLOOKUP($F182,'OH,Profit &amp; Other Base'!$A:$V,Backend!Z$6,0),"")</f>
        <v/>
      </c>
      <c r="AA182" s="1" t="str">
        <f>IFERROR(Backend!$L182*VLOOKUP($F182,'OH,Profit &amp; Other Base'!$A:$V,Backend!AA$6,0),"")</f>
        <v/>
      </c>
      <c r="AB182" s="1" t="str">
        <f>IFERROR(Backend!$M182*VLOOKUP($F182,'OH,Profit &amp; Other Base'!$A:$V,Backend!AB$6,0),"")</f>
        <v/>
      </c>
      <c r="AC182" s="1" t="str">
        <f>IFERROR(Backend!$L182*VLOOKUP($F182,'OH,Profit &amp; Other Base'!$A:$V,Backend!AC$6,0),"")</f>
        <v/>
      </c>
      <c r="AD182" s="1" t="str">
        <f>IFERROR(Backend!$M182*VLOOKUP($F182,'OH,Profit &amp; Other Base'!$A:$V,Backend!AD$6,0),"")</f>
        <v/>
      </c>
      <c r="AE182" s="1" t="str">
        <f>IFERROR(Backend!$L182*VLOOKUP($F182,'OH,Profit &amp; Other Base'!$A:$V,Backend!AE$6,0),"")</f>
        <v/>
      </c>
      <c r="AF182" s="1" t="str">
        <f>IFERROR(Backend!$M182*VLOOKUP($F182,'OH,Profit &amp; Other Base'!$A:$V,Backend!AF$6,0),"")</f>
        <v/>
      </c>
      <c r="AG182" s="1" t="str">
        <f>IFERROR(Backend!$L182*VLOOKUP($F182,'OH,Profit &amp; Other Base'!$A:$V,Backend!AG$6,0),"")</f>
        <v/>
      </c>
      <c r="AH182" s="1" t="str">
        <f>IFERROR(Backend!$M182*VLOOKUP($F182,'OH,Profit &amp; Other Base'!$A:$V,Backend!AH$6,0),"")</f>
        <v/>
      </c>
      <c r="AI182" s="3">
        <f t="shared" si="16"/>
        <v>0</v>
      </c>
      <c r="AL182" s="1" t="str">
        <f t="shared" si="17"/>
        <v/>
      </c>
      <c r="AM182" s="1" t="str">
        <f t="shared" si="18"/>
        <v/>
      </c>
      <c r="AN182" s="1" t="str">
        <f t="shared" si="19"/>
        <v/>
      </c>
      <c r="AO182" s="1" t="str">
        <f t="shared" si="20"/>
        <v/>
      </c>
      <c r="AP182" s="1" t="str">
        <f>IFERROR(ROUND(Backend!$AL182*VLOOKUP($F182,'OH,Profit &amp; Other Base'!$A:$V,Backend!AP$6,0),5),"")</f>
        <v/>
      </c>
      <c r="AQ182" s="1" t="str">
        <f>IFERROR(ROUND(Backend!$AO182*VLOOKUP($F182,'OH,Profit &amp; Other Base'!$A:$V,Backend!AQ$6,0),5),"")</f>
        <v/>
      </c>
      <c r="AR182" s="1" t="str">
        <f>IFERROR(ROUND(Backend!$AM182*VLOOKUP($F182,'OH,Profit &amp; Other Base'!$A:$V,Backend!AR$6,0),5),"")</f>
        <v/>
      </c>
      <c r="AS182" s="1" t="str">
        <f>IFERROR(ROUND(Backend!$AL182*VLOOKUP($F182,'OH,Profit &amp; Other Base'!$A:$V,Backend!AS$6,0),5),"")</f>
        <v/>
      </c>
      <c r="AT182" s="1" t="str">
        <f>IFERROR(ROUND(Backend!$AO182*VLOOKUP($F182,'OH,Profit &amp; Other Base'!$A:$V,Backend!AT$6,0),5),"")</f>
        <v/>
      </c>
      <c r="AU182" s="1" t="str">
        <f>IFERROR(ROUND(Backend!$AM182*VLOOKUP($F182,'OH,Profit &amp; Other Base'!$A:$V,Backend!AU$6,0),5),"")</f>
        <v/>
      </c>
      <c r="AV182" s="1" t="str">
        <f>IFERROR(ROUND(Backend!$AL182*VLOOKUP($F182,'OH,Profit &amp; Other Base'!$A:$V,Backend!AV$6,0),5),"")</f>
        <v/>
      </c>
      <c r="AW182" s="1" t="str">
        <f>IFERROR(ROUND(Backend!$AO182*VLOOKUP($F182,'OH,Profit &amp; Other Base'!$A:$V,Backend!AW$6,0),5),"")</f>
        <v/>
      </c>
      <c r="AX182" s="1" t="str">
        <f>IFERROR(ROUND(Backend!$AM182*VLOOKUP($F182,'OH,Profit &amp; Other Base'!$A:$V,Backend!AX$6,0),5),"")</f>
        <v/>
      </c>
      <c r="AY182" s="1" t="str">
        <f>IFERROR(ROUND(Backend!$AL182*VLOOKUP($F182,'OH,Profit &amp; Other Base'!$A:$V,Backend!AY$6,0),5),"")</f>
        <v/>
      </c>
      <c r="AZ182" s="1" t="str">
        <f>IFERROR(ROUND(Backend!$AO182*VLOOKUP($F182,'OH,Profit &amp; Other Base'!$A:$V,Backend!AZ$6,0),5),"")</f>
        <v/>
      </c>
      <c r="BA182" s="1" t="str">
        <f>IFERROR(ROUND(Backend!$AM182*VLOOKUP($F182,'OH,Profit &amp; Other Base'!$A:$V,Backend!BA$6,0),5),"")</f>
        <v/>
      </c>
      <c r="BB182" s="1" t="str">
        <f>IFERROR(ROUND(Backend!$AL182*VLOOKUP($F182,'OH,Profit &amp; Other Base'!$A:$V,Backend!BB$6,0),5),"")</f>
        <v/>
      </c>
      <c r="BC182" s="1" t="str">
        <f>IFERROR(ROUND(Backend!$AO182*VLOOKUP($F182,'OH,Profit &amp; Other Base'!$A:$V,Backend!BC$6,0),5),"")</f>
        <v/>
      </c>
      <c r="BD182" s="1" t="str">
        <f>IFERROR(ROUND(Backend!$AM182*VLOOKUP($F182,'OH,Profit &amp; Other Base'!$A:$V,Backend!BD$6,0),5),"")</f>
        <v/>
      </c>
      <c r="BE182" s="1" t="str">
        <f>IFERROR(ROUND(Backend!$AL182*VLOOKUP($F182,'OH,Profit &amp; Other Base'!$A:$V,Backend!BE$6,0),5),"")</f>
        <v/>
      </c>
      <c r="BF182" s="1" t="str">
        <f>IFERROR(ROUND(Backend!$AO182*VLOOKUP($F182,'OH,Profit &amp; Other Base'!$A:$V,Backend!BF$6,0),5),"")</f>
        <v/>
      </c>
      <c r="BG182" s="1" t="str">
        <f>IFERROR(ROUND(Backend!$AM182*VLOOKUP($F182,'OH,Profit &amp; Other Base'!$A:$V,Backend!BG$6,0),5),"")</f>
        <v/>
      </c>
      <c r="BH182" s="1" t="str">
        <f>IFERROR(ROUND(Backend!$AL182*VLOOKUP($F182,'OH,Profit &amp; Other Base'!$A:$V,Backend!BH$6,0),5),"")</f>
        <v/>
      </c>
      <c r="BI182" s="1" t="str">
        <f>IFERROR(ROUND(Backend!$AO182*VLOOKUP($F182,'OH,Profit &amp; Other Base'!$A:$V,Backend!BI$6,0),5),"")</f>
        <v/>
      </c>
      <c r="BJ182" s="1" t="str">
        <f>IFERROR(ROUND(Backend!$AM182*VLOOKUP($F182,'OH,Profit &amp; Other Base'!$A:$V,Backend!BJ$6,0),5),"")</f>
        <v/>
      </c>
      <c r="BK182" s="3">
        <f>SUM(AN182:BJ182,Backend!O182)</f>
        <v>0</v>
      </c>
    </row>
    <row r="183" spans="1:63">
      <c r="A183" s="1">
        <f>BOM!A178</f>
        <v>0</v>
      </c>
      <c r="B183" s="1">
        <f>BOM!B178</f>
        <v>0</v>
      </c>
      <c r="C183" s="1">
        <f>BOM!C178</f>
        <v>0</v>
      </c>
      <c r="D183" s="1">
        <f>BOM!D178</f>
        <v>0</v>
      </c>
      <c r="E183" s="1">
        <f>BOM!F178</f>
        <v>0</v>
      </c>
      <c r="F183" s="1" t="str">
        <f>IF(H183="CSC",BOM!H178,IF(J183="BOFOthers","Sheet Metal-B",""))</f>
        <v/>
      </c>
      <c r="G183" s="1">
        <f>BOM!I178</f>
        <v>0</v>
      </c>
      <c r="H183" s="1">
        <f>BOM!J178</f>
        <v>0</v>
      </c>
      <c r="I183" s="1" t="str">
        <f t="shared" si="14"/>
        <v>Others</v>
      </c>
      <c r="J183" s="1" t="str">
        <f t="shared" si="15"/>
        <v>0Others</v>
      </c>
      <c r="K183" s="3" t="str">
        <f>IF($J183="InhouseCSC",VLOOKUP($D183,Group!$C:$E,3,0),"")</f>
        <v/>
      </c>
      <c r="L183" s="3" t="str">
        <f>IF(OR($J183="BOSFCSC",$J183="BOFCSC"),VLOOKUP($D183,Group!$C:$E,3,0),"")</f>
        <v/>
      </c>
      <c r="M183" s="3" t="str">
        <f>IF(OR($J183="BOSFCSC",$J183="BOFCSC"),VLOOKUP($D183,Group!$C:$F,4,0),"")</f>
        <v/>
      </c>
      <c r="N183" s="3" t="str">
        <f>IF(OR($J183="InhouseCSC",$J183="BOSFCSC"),VLOOKUP($D183,Group!$C:$G,5,0),"")</f>
        <v/>
      </c>
      <c r="O183" s="3" t="str">
        <f>IF($J183="InhouseCSC",ROUND(VLOOKUP($D183,Group!$C:$H,6,0),5),"")</f>
        <v/>
      </c>
      <c r="P183" s="3" t="str">
        <f>IF(OR($J183="BOSFCSC",$J183="BOFCSC"),VLOOKUP($D183,Group!$C:$H,6,0),"")</f>
        <v/>
      </c>
      <c r="Q183" s="1" t="str">
        <f>IF($J183="Inhouseothers",VLOOKUP($D183,Group!$C:$E,3,0),"")</f>
        <v/>
      </c>
      <c r="R183" s="1" t="str">
        <f>IF($J183="BOSFOthers",VLOOKUP($D183,Group!$C:$E,3,0),"")</f>
        <v/>
      </c>
      <c r="S183" s="3" t="str">
        <f>IF($J183="BOFOthers",VLOOKUP($D183,Group!$C:$E,3,0),"")</f>
        <v/>
      </c>
      <c r="U183" s="1" t="str">
        <f>IFERROR(Backend!$L183*VLOOKUP($F183,'OH,Profit &amp; Other Base'!$A:$V,Backend!U$6,0),"")</f>
        <v/>
      </c>
      <c r="V183" s="1" t="str">
        <f>IFERROR(Backend!$M183*VLOOKUP($F183,'OH,Profit &amp; Other Base'!$A:$V,Backend!V$6,0),"")</f>
        <v/>
      </c>
      <c r="W183" s="1" t="str">
        <f>IFERROR(Backend!$L183*VLOOKUP($F183,'OH,Profit &amp; Other Base'!$A:$V,Backend!W$6,0),"")</f>
        <v/>
      </c>
      <c r="X183" s="1" t="str">
        <f>IFERROR(Backend!$M183*VLOOKUP($F183,'OH,Profit &amp; Other Base'!$A:$V,Backend!X$6,0),"")</f>
        <v/>
      </c>
      <c r="Y183" s="1" t="str">
        <f>IFERROR(Backend!$L183*VLOOKUP($F183,'OH,Profit &amp; Other Base'!$A:$V,Backend!Y$6,0),"")</f>
        <v/>
      </c>
      <c r="Z183" s="1" t="str">
        <f>IFERROR(Backend!$M183*VLOOKUP($F183,'OH,Profit &amp; Other Base'!$A:$V,Backend!Z$6,0),"")</f>
        <v/>
      </c>
      <c r="AA183" s="1" t="str">
        <f>IFERROR(Backend!$L183*VLOOKUP($F183,'OH,Profit &amp; Other Base'!$A:$V,Backend!AA$6,0),"")</f>
        <v/>
      </c>
      <c r="AB183" s="1" t="str">
        <f>IFERROR(Backend!$M183*VLOOKUP($F183,'OH,Profit &amp; Other Base'!$A:$V,Backend!AB$6,0),"")</f>
        <v/>
      </c>
      <c r="AC183" s="1" t="str">
        <f>IFERROR(Backend!$L183*VLOOKUP($F183,'OH,Profit &amp; Other Base'!$A:$V,Backend!AC$6,0),"")</f>
        <v/>
      </c>
      <c r="AD183" s="1" t="str">
        <f>IFERROR(Backend!$M183*VLOOKUP($F183,'OH,Profit &amp; Other Base'!$A:$V,Backend!AD$6,0),"")</f>
        <v/>
      </c>
      <c r="AE183" s="1" t="str">
        <f>IFERROR(Backend!$L183*VLOOKUP($F183,'OH,Profit &amp; Other Base'!$A:$V,Backend!AE$6,0),"")</f>
        <v/>
      </c>
      <c r="AF183" s="1" t="str">
        <f>IFERROR(Backend!$M183*VLOOKUP($F183,'OH,Profit &amp; Other Base'!$A:$V,Backend!AF$6,0),"")</f>
        <v/>
      </c>
      <c r="AG183" s="1" t="str">
        <f>IFERROR(Backend!$L183*VLOOKUP($F183,'OH,Profit &amp; Other Base'!$A:$V,Backend!AG$6,0),"")</f>
        <v/>
      </c>
      <c r="AH183" s="1" t="str">
        <f>IFERROR(Backend!$M183*VLOOKUP($F183,'OH,Profit &amp; Other Base'!$A:$V,Backend!AH$6,0),"")</f>
        <v/>
      </c>
      <c r="AI183" s="3">
        <f t="shared" si="16"/>
        <v>0</v>
      </c>
      <c r="AL183" s="1" t="str">
        <f t="shared" si="17"/>
        <v/>
      </c>
      <c r="AM183" s="1" t="str">
        <f t="shared" si="18"/>
        <v/>
      </c>
      <c r="AN183" s="1" t="str">
        <f t="shared" si="19"/>
        <v/>
      </c>
      <c r="AO183" s="1" t="str">
        <f t="shared" si="20"/>
        <v/>
      </c>
      <c r="AP183" s="1" t="str">
        <f>IFERROR(ROUND(Backend!$AL183*VLOOKUP($F183,'OH,Profit &amp; Other Base'!$A:$V,Backend!AP$6,0),5),"")</f>
        <v/>
      </c>
      <c r="AQ183" s="1" t="str">
        <f>IFERROR(ROUND(Backend!$AO183*VLOOKUP($F183,'OH,Profit &amp; Other Base'!$A:$V,Backend!AQ$6,0),5),"")</f>
        <v/>
      </c>
      <c r="AR183" s="1" t="str">
        <f>IFERROR(ROUND(Backend!$AM183*VLOOKUP($F183,'OH,Profit &amp; Other Base'!$A:$V,Backend!AR$6,0),5),"")</f>
        <v/>
      </c>
      <c r="AS183" s="1" t="str">
        <f>IFERROR(ROUND(Backend!$AL183*VLOOKUP($F183,'OH,Profit &amp; Other Base'!$A:$V,Backend!AS$6,0),5),"")</f>
        <v/>
      </c>
      <c r="AT183" s="1" t="str">
        <f>IFERROR(ROUND(Backend!$AO183*VLOOKUP($F183,'OH,Profit &amp; Other Base'!$A:$V,Backend!AT$6,0),5),"")</f>
        <v/>
      </c>
      <c r="AU183" s="1" t="str">
        <f>IFERROR(ROUND(Backend!$AM183*VLOOKUP($F183,'OH,Profit &amp; Other Base'!$A:$V,Backend!AU$6,0),5),"")</f>
        <v/>
      </c>
      <c r="AV183" s="1" t="str">
        <f>IFERROR(ROUND(Backend!$AL183*VLOOKUP($F183,'OH,Profit &amp; Other Base'!$A:$V,Backend!AV$6,0),5),"")</f>
        <v/>
      </c>
      <c r="AW183" s="1" t="str">
        <f>IFERROR(ROUND(Backend!$AO183*VLOOKUP($F183,'OH,Profit &amp; Other Base'!$A:$V,Backend!AW$6,0),5),"")</f>
        <v/>
      </c>
      <c r="AX183" s="1" t="str">
        <f>IFERROR(ROUND(Backend!$AM183*VLOOKUP($F183,'OH,Profit &amp; Other Base'!$A:$V,Backend!AX$6,0),5),"")</f>
        <v/>
      </c>
      <c r="AY183" s="1" t="str">
        <f>IFERROR(ROUND(Backend!$AL183*VLOOKUP($F183,'OH,Profit &amp; Other Base'!$A:$V,Backend!AY$6,0),5),"")</f>
        <v/>
      </c>
      <c r="AZ183" s="1" t="str">
        <f>IFERROR(ROUND(Backend!$AO183*VLOOKUP($F183,'OH,Profit &amp; Other Base'!$A:$V,Backend!AZ$6,0),5),"")</f>
        <v/>
      </c>
      <c r="BA183" s="1" t="str">
        <f>IFERROR(ROUND(Backend!$AM183*VLOOKUP($F183,'OH,Profit &amp; Other Base'!$A:$V,Backend!BA$6,0),5),"")</f>
        <v/>
      </c>
      <c r="BB183" s="1" t="str">
        <f>IFERROR(ROUND(Backend!$AL183*VLOOKUP($F183,'OH,Profit &amp; Other Base'!$A:$V,Backend!BB$6,0),5),"")</f>
        <v/>
      </c>
      <c r="BC183" s="1" t="str">
        <f>IFERROR(ROUND(Backend!$AO183*VLOOKUP($F183,'OH,Profit &amp; Other Base'!$A:$V,Backend!BC$6,0),5),"")</f>
        <v/>
      </c>
      <c r="BD183" s="1" t="str">
        <f>IFERROR(ROUND(Backend!$AM183*VLOOKUP($F183,'OH,Profit &amp; Other Base'!$A:$V,Backend!BD$6,0),5),"")</f>
        <v/>
      </c>
      <c r="BE183" s="1" t="str">
        <f>IFERROR(ROUND(Backend!$AL183*VLOOKUP($F183,'OH,Profit &amp; Other Base'!$A:$V,Backend!BE$6,0),5),"")</f>
        <v/>
      </c>
      <c r="BF183" s="1" t="str">
        <f>IFERROR(ROUND(Backend!$AO183*VLOOKUP($F183,'OH,Profit &amp; Other Base'!$A:$V,Backend!BF$6,0),5),"")</f>
        <v/>
      </c>
      <c r="BG183" s="1" t="str">
        <f>IFERROR(ROUND(Backend!$AM183*VLOOKUP($F183,'OH,Profit &amp; Other Base'!$A:$V,Backend!BG$6,0),5),"")</f>
        <v/>
      </c>
      <c r="BH183" s="1" t="str">
        <f>IFERROR(ROUND(Backend!$AL183*VLOOKUP($F183,'OH,Profit &amp; Other Base'!$A:$V,Backend!BH$6,0),5),"")</f>
        <v/>
      </c>
      <c r="BI183" s="1" t="str">
        <f>IFERROR(ROUND(Backend!$AO183*VLOOKUP($F183,'OH,Profit &amp; Other Base'!$A:$V,Backend!BI$6,0),5),"")</f>
        <v/>
      </c>
      <c r="BJ183" s="1" t="str">
        <f>IFERROR(ROUND(Backend!$AM183*VLOOKUP($F183,'OH,Profit &amp; Other Base'!$A:$V,Backend!BJ$6,0),5),"")</f>
        <v/>
      </c>
      <c r="BK183" s="3">
        <f>SUM(AN183:BJ183,Backend!O183)</f>
        <v>0</v>
      </c>
    </row>
    <row r="184" spans="1:63">
      <c r="A184" s="1">
        <f>BOM!A179</f>
        <v>0</v>
      </c>
      <c r="B184" s="1">
        <f>BOM!B179</f>
        <v>0</v>
      </c>
      <c r="C184" s="1">
        <f>BOM!C179</f>
        <v>0</v>
      </c>
      <c r="D184" s="1">
        <f>BOM!D179</f>
        <v>0</v>
      </c>
      <c r="E184" s="1">
        <f>BOM!F179</f>
        <v>0</v>
      </c>
      <c r="F184" s="1" t="str">
        <f>IF(H184="CSC",BOM!H179,IF(J184="BOFOthers","Sheet Metal-B",""))</f>
        <v/>
      </c>
      <c r="G184" s="1">
        <f>BOM!I179</f>
        <v>0</v>
      </c>
      <c r="H184" s="1">
        <f>BOM!J179</f>
        <v>0</v>
      </c>
      <c r="I184" s="1" t="str">
        <f t="shared" si="14"/>
        <v>Others</v>
      </c>
      <c r="J184" s="1" t="str">
        <f t="shared" si="15"/>
        <v>0Others</v>
      </c>
      <c r="K184" s="3" t="str">
        <f>IF($J184="InhouseCSC",VLOOKUP($D184,Group!$C:$E,3,0),"")</f>
        <v/>
      </c>
      <c r="L184" s="3" t="str">
        <f>IF(OR($J184="BOSFCSC",$J184="BOFCSC"),VLOOKUP($D184,Group!$C:$E,3,0),"")</f>
        <v/>
      </c>
      <c r="M184" s="3" t="str">
        <f>IF(OR($J184="BOSFCSC",$J184="BOFCSC"),VLOOKUP($D184,Group!$C:$F,4,0),"")</f>
        <v/>
      </c>
      <c r="N184" s="3" t="str">
        <f>IF(OR($J184="InhouseCSC",$J184="BOSFCSC"),VLOOKUP($D184,Group!$C:$G,5,0),"")</f>
        <v/>
      </c>
      <c r="O184" s="3" t="str">
        <f>IF($J184="InhouseCSC",ROUND(VLOOKUP($D184,Group!$C:$H,6,0),5),"")</f>
        <v/>
      </c>
      <c r="P184" s="3" t="str">
        <f>IF(OR($J184="BOSFCSC",$J184="BOFCSC"),VLOOKUP($D184,Group!$C:$H,6,0),"")</f>
        <v/>
      </c>
      <c r="Q184" s="1" t="str">
        <f>IF($J184="Inhouseothers",VLOOKUP($D184,Group!$C:$E,3,0),"")</f>
        <v/>
      </c>
      <c r="R184" s="1" t="str">
        <f>IF($J184="BOSFOthers",VLOOKUP($D184,Group!$C:$E,3,0),"")</f>
        <v/>
      </c>
      <c r="S184" s="3" t="str">
        <f>IF($J184="BOFOthers",VLOOKUP($D184,Group!$C:$E,3,0),"")</f>
        <v/>
      </c>
      <c r="U184" s="1" t="str">
        <f>IFERROR(Backend!$L184*VLOOKUP($F184,'OH,Profit &amp; Other Base'!$A:$V,Backend!U$6,0),"")</f>
        <v/>
      </c>
      <c r="V184" s="1" t="str">
        <f>IFERROR(Backend!$M184*VLOOKUP($F184,'OH,Profit &amp; Other Base'!$A:$V,Backend!V$6,0),"")</f>
        <v/>
      </c>
      <c r="W184" s="1" t="str">
        <f>IFERROR(Backend!$L184*VLOOKUP($F184,'OH,Profit &amp; Other Base'!$A:$V,Backend!W$6,0),"")</f>
        <v/>
      </c>
      <c r="X184" s="1" t="str">
        <f>IFERROR(Backend!$M184*VLOOKUP($F184,'OH,Profit &amp; Other Base'!$A:$V,Backend!X$6,0),"")</f>
        <v/>
      </c>
      <c r="Y184" s="1" t="str">
        <f>IFERROR(Backend!$L184*VLOOKUP($F184,'OH,Profit &amp; Other Base'!$A:$V,Backend!Y$6,0),"")</f>
        <v/>
      </c>
      <c r="Z184" s="1" t="str">
        <f>IFERROR(Backend!$M184*VLOOKUP($F184,'OH,Profit &amp; Other Base'!$A:$V,Backend!Z$6,0),"")</f>
        <v/>
      </c>
      <c r="AA184" s="1" t="str">
        <f>IFERROR(Backend!$L184*VLOOKUP($F184,'OH,Profit &amp; Other Base'!$A:$V,Backend!AA$6,0),"")</f>
        <v/>
      </c>
      <c r="AB184" s="1" t="str">
        <f>IFERROR(Backend!$M184*VLOOKUP($F184,'OH,Profit &amp; Other Base'!$A:$V,Backend!AB$6,0),"")</f>
        <v/>
      </c>
      <c r="AC184" s="1" t="str">
        <f>IFERROR(Backend!$L184*VLOOKUP($F184,'OH,Profit &amp; Other Base'!$A:$V,Backend!AC$6,0),"")</f>
        <v/>
      </c>
      <c r="AD184" s="1" t="str">
        <f>IFERROR(Backend!$M184*VLOOKUP($F184,'OH,Profit &amp; Other Base'!$A:$V,Backend!AD$6,0),"")</f>
        <v/>
      </c>
      <c r="AE184" s="1" t="str">
        <f>IFERROR(Backend!$L184*VLOOKUP($F184,'OH,Profit &amp; Other Base'!$A:$V,Backend!AE$6,0),"")</f>
        <v/>
      </c>
      <c r="AF184" s="1" t="str">
        <f>IFERROR(Backend!$M184*VLOOKUP($F184,'OH,Profit &amp; Other Base'!$A:$V,Backend!AF$6,0),"")</f>
        <v/>
      </c>
      <c r="AG184" s="1" t="str">
        <f>IFERROR(Backend!$L184*VLOOKUP($F184,'OH,Profit &amp; Other Base'!$A:$V,Backend!AG$6,0),"")</f>
        <v/>
      </c>
      <c r="AH184" s="1" t="str">
        <f>IFERROR(Backend!$M184*VLOOKUP($F184,'OH,Profit &amp; Other Base'!$A:$V,Backend!AH$6,0),"")</f>
        <v/>
      </c>
      <c r="AI184" s="3">
        <f t="shared" si="16"/>
        <v>0</v>
      </c>
      <c r="AL184" s="1" t="str">
        <f t="shared" si="17"/>
        <v/>
      </c>
      <c r="AM184" s="1" t="str">
        <f t="shared" si="18"/>
        <v/>
      </c>
      <c r="AN184" s="1" t="str">
        <f t="shared" si="19"/>
        <v/>
      </c>
      <c r="AO184" s="1" t="str">
        <f t="shared" si="20"/>
        <v/>
      </c>
      <c r="AP184" s="1" t="str">
        <f>IFERROR(ROUND(Backend!$AL184*VLOOKUP($F184,'OH,Profit &amp; Other Base'!$A:$V,Backend!AP$6,0),5),"")</f>
        <v/>
      </c>
      <c r="AQ184" s="1" t="str">
        <f>IFERROR(ROUND(Backend!$AO184*VLOOKUP($F184,'OH,Profit &amp; Other Base'!$A:$V,Backend!AQ$6,0),5),"")</f>
        <v/>
      </c>
      <c r="AR184" s="1" t="str">
        <f>IFERROR(ROUND(Backend!$AM184*VLOOKUP($F184,'OH,Profit &amp; Other Base'!$A:$V,Backend!AR$6,0),5),"")</f>
        <v/>
      </c>
      <c r="AS184" s="1" t="str">
        <f>IFERROR(ROUND(Backend!$AL184*VLOOKUP($F184,'OH,Profit &amp; Other Base'!$A:$V,Backend!AS$6,0),5),"")</f>
        <v/>
      </c>
      <c r="AT184" s="1" t="str">
        <f>IFERROR(ROUND(Backend!$AO184*VLOOKUP($F184,'OH,Profit &amp; Other Base'!$A:$V,Backend!AT$6,0),5),"")</f>
        <v/>
      </c>
      <c r="AU184" s="1" t="str">
        <f>IFERROR(ROUND(Backend!$AM184*VLOOKUP($F184,'OH,Profit &amp; Other Base'!$A:$V,Backend!AU$6,0),5),"")</f>
        <v/>
      </c>
      <c r="AV184" s="1" t="str">
        <f>IFERROR(ROUND(Backend!$AL184*VLOOKUP($F184,'OH,Profit &amp; Other Base'!$A:$V,Backend!AV$6,0),5),"")</f>
        <v/>
      </c>
      <c r="AW184" s="1" t="str">
        <f>IFERROR(ROUND(Backend!$AO184*VLOOKUP($F184,'OH,Profit &amp; Other Base'!$A:$V,Backend!AW$6,0),5),"")</f>
        <v/>
      </c>
      <c r="AX184" s="1" t="str">
        <f>IFERROR(ROUND(Backend!$AM184*VLOOKUP($F184,'OH,Profit &amp; Other Base'!$A:$V,Backend!AX$6,0),5),"")</f>
        <v/>
      </c>
      <c r="AY184" s="1" t="str">
        <f>IFERROR(ROUND(Backend!$AL184*VLOOKUP($F184,'OH,Profit &amp; Other Base'!$A:$V,Backend!AY$6,0),5),"")</f>
        <v/>
      </c>
      <c r="AZ184" s="1" t="str">
        <f>IFERROR(ROUND(Backend!$AO184*VLOOKUP($F184,'OH,Profit &amp; Other Base'!$A:$V,Backend!AZ$6,0),5),"")</f>
        <v/>
      </c>
      <c r="BA184" s="1" t="str">
        <f>IFERROR(ROUND(Backend!$AM184*VLOOKUP($F184,'OH,Profit &amp; Other Base'!$A:$V,Backend!BA$6,0),5),"")</f>
        <v/>
      </c>
      <c r="BB184" s="1" t="str">
        <f>IFERROR(ROUND(Backend!$AL184*VLOOKUP($F184,'OH,Profit &amp; Other Base'!$A:$V,Backend!BB$6,0),5),"")</f>
        <v/>
      </c>
      <c r="BC184" s="1" t="str">
        <f>IFERROR(ROUND(Backend!$AO184*VLOOKUP($F184,'OH,Profit &amp; Other Base'!$A:$V,Backend!BC$6,0),5),"")</f>
        <v/>
      </c>
      <c r="BD184" s="1" t="str">
        <f>IFERROR(ROUND(Backend!$AM184*VLOOKUP($F184,'OH,Profit &amp; Other Base'!$A:$V,Backend!BD$6,0),5),"")</f>
        <v/>
      </c>
      <c r="BE184" s="1" t="str">
        <f>IFERROR(ROUND(Backend!$AL184*VLOOKUP($F184,'OH,Profit &amp; Other Base'!$A:$V,Backend!BE$6,0),5),"")</f>
        <v/>
      </c>
      <c r="BF184" s="1" t="str">
        <f>IFERROR(ROUND(Backend!$AO184*VLOOKUP($F184,'OH,Profit &amp; Other Base'!$A:$V,Backend!BF$6,0),5),"")</f>
        <v/>
      </c>
      <c r="BG184" s="1" t="str">
        <f>IFERROR(ROUND(Backend!$AM184*VLOOKUP($F184,'OH,Profit &amp; Other Base'!$A:$V,Backend!BG$6,0),5),"")</f>
        <v/>
      </c>
      <c r="BH184" s="1" t="str">
        <f>IFERROR(ROUND(Backend!$AL184*VLOOKUP($F184,'OH,Profit &amp; Other Base'!$A:$V,Backend!BH$6,0),5),"")</f>
        <v/>
      </c>
      <c r="BI184" s="1" t="str">
        <f>IFERROR(ROUND(Backend!$AO184*VLOOKUP($F184,'OH,Profit &amp; Other Base'!$A:$V,Backend!BI$6,0),5),"")</f>
        <v/>
      </c>
      <c r="BJ184" s="1" t="str">
        <f>IFERROR(ROUND(Backend!$AM184*VLOOKUP($F184,'OH,Profit &amp; Other Base'!$A:$V,Backend!BJ$6,0),5),"")</f>
        <v/>
      </c>
      <c r="BK184" s="3">
        <f>SUM(AN184:BJ184,Backend!O184)</f>
        <v>0</v>
      </c>
    </row>
    <row r="185" spans="1:63">
      <c r="A185" s="1">
        <f>BOM!A180</f>
        <v>0</v>
      </c>
      <c r="B185" s="1">
        <f>BOM!B180</f>
        <v>0</v>
      </c>
      <c r="C185" s="1">
        <f>BOM!C180</f>
        <v>0</v>
      </c>
      <c r="D185" s="1">
        <f>BOM!D180</f>
        <v>0</v>
      </c>
      <c r="E185" s="1">
        <f>BOM!F180</f>
        <v>0</v>
      </c>
      <c r="F185" s="1" t="str">
        <f>IF(H185="CSC",BOM!H180,IF(J185="BOFOthers","Sheet Metal-B",""))</f>
        <v/>
      </c>
      <c r="G185" s="1">
        <f>BOM!I180</f>
        <v>0</v>
      </c>
      <c r="H185" s="1">
        <f>BOM!J180</f>
        <v>0</v>
      </c>
      <c r="I185" s="1" t="str">
        <f t="shared" si="14"/>
        <v>Others</v>
      </c>
      <c r="J185" s="1" t="str">
        <f t="shared" si="15"/>
        <v>0Others</v>
      </c>
      <c r="K185" s="3" t="str">
        <f>IF($J185="InhouseCSC",VLOOKUP($D185,Group!$C:$E,3,0),"")</f>
        <v/>
      </c>
      <c r="L185" s="3" t="str">
        <f>IF(OR($J185="BOSFCSC",$J185="BOFCSC"),VLOOKUP($D185,Group!$C:$E,3,0),"")</f>
        <v/>
      </c>
      <c r="M185" s="3" t="str">
        <f>IF(OR($J185="BOSFCSC",$J185="BOFCSC"),VLOOKUP($D185,Group!$C:$F,4,0),"")</f>
        <v/>
      </c>
      <c r="N185" s="3" t="str">
        <f>IF(OR($J185="InhouseCSC",$J185="BOSFCSC"),VLOOKUP($D185,Group!$C:$G,5,0),"")</f>
        <v/>
      </c>
      <c r="O185" s="3" t="str">
        <f>IF($J185="InhouseCSC",ROUND(VLOOKUP($D185,Group!$C:$H,6,0),5),"")</f>
        <v/>
      </c>
      <c r="P185" s="3" t="str">
        <f>IF(OR($J185="BOSFCSC",$J185="BOFCSC"),VLOOKUP($D185,Group!$C:$H,6,0),"")</f>
        <v/>
      </c>
      <c r="Q185" s="1" t="str">
        <f>IF($J185="Inhouseothers",VLOOKUP($D185,Group!$C:$E,3,0),"")</f>
        <v/>
      </c>
      <c r="R185" s="1" t="str">
        <f>IF($J185="BOSFOthers",VLOOKUP($D185,Group!$C:$E,3,0),"")</f>
        <v/>
      </c>
      <c r="S185" s="3" t="str">
        <f>IF($J185="BOFOthers",VLOOKUP($D185,Group!$C:$E,3,0),"")</f>
        <v/>
      </c>
      <c r="U185" s="1" t="str">
        <f>IFERROR(Backend!$L185*VLOOKUP($F185,'OH,Profit &amp; Other Base'!$A:$V,Backend!U$6,0),"")</f>
        <v/>
      </c>
      <c r="V185" s="1" t="str">
        <f>IFERROR(Backend!$M185*VLOOKUP($F185,'OH,Profit &amp; Other Base'!$A:$V,Backend!V$6,0),"")</f>
        <v/>
      </c>
      <c r="W185" s="1" t="str">
        <f>IFERROR(Backend!$L185*VLOOKUP($F185,'OH,Profit &amp; Other Base'!$A:$V,Backend!W$6,0),"")</f>
        <v/>
      </c>
      <c r="X185" s="1" t="str">
        <f>IFERROR(Backend!$M185*VLOOKUP($F185,'OH,Profit &amp; Other Base'!$A:$V,Backend!X$6,0),"")</f>
        <v/>
      </c>
      <c r="Y185" s="1" t="str">
        <f>IFERROR(Backend!$L185*VLOOKUP($F185,'OH,Profit &amp; Other Base'!$A:$V,Backend!Y$6,0),"")</f>
        <v/>
      </c>
      <c r="Z185" s="1" t="str">
        <f>IFERROR(Backend!$M185*VLOOKUP($F185,'OH,Profit &amp; Other Base'!$A:$V,Backend!Z$6,0),"")</f>
        <v/>
      </c>
      <c r="AA185" s="1" t="str">
        <f>IFERROR(Backend!$L185*VLOOKUP($F185,'OH,Profit &amp; Other Base'!$A:$V,Backend!AA$6,0),"")</f>
        <v/>
      </c>
      <c r="AB185" s="1" t="str">
        <f>IFERROR(Backend!$M185*VLOOKUP($F185,'OH,Profit &amp; Other Base'!$A:$V,Backend!AB$6,0),"")</f>
        <v/>
      </c>
      <c r="AC185" s="1" t="str">
        <f>IFERROR(Backend!$L185*VLOOKUP($F185,'OH,Profit &amp; Other Base'!$A:$V,Backend!AC$6,0),"")</f>
        <v/>
      </c>
      <c r="AD185" s="1" t="str">
        <f>IFERROR(Backend!$M185*VLOOKUP($F185,'OH,Profit &amp; Other Base'!$A:$V,Backend!AD$6,0),"")</f>
        <v/>
      </c>
      <c r="AE185" s="1" t="str">
        <f>IFERROR(Backend!$L185*VLOOKUP($F185,'OH,Profit &amp; Other Base'!$A:$V,Backend!AE$6,0),"")</f>
        <v/>
      </c>
      <c r="AF185" s="1" t="str">
        <f>IFERROR(Backend!$M185*VLOOKUP($F185,'OH,Profit &amp; Other Base'!$A:$V,Backend!AF$6,0),"")</f>
        <v/>
      </c>
      <c r="AG185" s="1" t="str">
        <f>IFERROR(Backend!$L185*VLOOKUP($F185,'OH,Profit &amp; Other Base'!$A:$V,Backend!AG$6,0),"")</f>
        <v/>
      </c>
      <c r="AH185" s="1" t="str">
        <f>IFERROR(Backend!$M185*VLOOKUP($F185,'OH,Profit &amp; Other Base'!$A:$V,Backend!AH$6,0),"")</f>
        <v/>
      </c>
      <c r="AI185" s="3">
        <f t="shared" si="16"/>
        <v>0</v>
      </c>
      <c r="AL185" s="1" t="str">
        <f t="shared" si="17"/>
        <v/>
      </c>
      <c r="AM185" s="1" t="str">
        <f t="shared" si="18"/>
        <v/>
      </c>
      <c r="AN185" s="1" t="str">
        <f t="shared" si="19"/>
        <v/>
      </c>
      <c r="AO185" s="1" t="str">
        <f t="shared" si="20"/>
        <v/>
      </c>
      <c r="AP185" s="1" t="str">
        <f>IFERROR(ROUND(Backend!$AL185*VLOOKUP($F185,'OH,Profit &amp; Other Base'!$A:$V,Backend!AP$6,0),5),"")</f>
        <v/>
      </c>
      <c r="AQ185" s="1" t="str">
        <f>IFERROR(ROUND(Backend!$AO185*VLOOKUP($F185,'OH,Profit &amp; Other Base'!$A:$V,Backend!AQ$6,0),5),"")</f>
        <v/>
      </c>
      <c r="AR185" s="1" t="str">
        <f>IFERROR(ROUND(Backend!$AM185*VLOOKUP($F185,'OH,Profit &amp; Other Base'!$A:$V,Backend!AR$6,0),5),"")</f>
        <v/>
      </c>
      <c r="AS185" s="1" t="str">
        <f>IFERROR(ROUND(Backend!$AL185*VLOOKUP($F185,'OH,Profit &amp; Other Base'!$A:$V,Backend!AS$6,0),5),"")</f>
        <v/>
      </c>
      <c r="AT185" s="1" t="str">
        <f>IFERROR(ROUND(Backend!$AO185*VLOOKUP($F185,'OH,Profit &amp; Other Base'!$A:$V,Backend!AT$6,0),5),"")</f>
        <v/>
      </c>
      <c r="AU185" s="1" t="str">
        <f>IFERROR(ROUND(Backend!$AM185*VLOOKUP($F185,'OH,Profit &amp; Other Base'!$A:$V,Backend!AU$6,0),5),"")</f>
        <v/>
      </c>
      <c r="AV185" s="1" t="str">
        <f>IFERROR(ROUND(Backend!$AL185*VLOOKUP($F185,'OH,Profit &amp; Other Base'!$A:$V,Backend!AV$6,0),5),"")</f>
        <v/>
      </c>
      <c r="AW185" s="1" t="str">
        <f>IFERROR(ROUND(Backend!$AO185*VLOOKUP($F185,'OH,Profit &amp; Other Base'!$A:$V,Backend!AW$6,0),5),"")</f>
        <v/>
      </c>
      <c r="AX185" s="1" t="str">
        <f>IFERROR(ROUND(Backend!$AM185*VLOOKUP($F185,'OH,Profit &amp; Other Base'!$A:$V,Backend!AX$6,0),5),"")</f>
        <v/>
      </c>
      <c r="AY185" s="1" t="str">
        <f>IFERROR(ROUND(Backend!$AL185*VLOOKUP($F185,'OH,Profit &amp; Other Base'!$A:$V,Backend!AY$6,0),5),"")</f>
        <v/>
      </c>
      <c r="AZ185" s="1" t="str">
        <f>IFERROR(ROUND(Backend!$AO185*VLOOKUP($F185,'OH,Profit &amp; Other Base'!$A:$V,Backend!AZ$6,0),5),"")</f>
        <v/>
      </c>
      <c r="BA185" s="1" t="str">
        <f>IFERROR(ROUND(Backend!$AM185*VLOOKUP($F185,'OH,Profit &amp; Other Base'!$A:$V,Backend!BA$6,0),5),"")</f>
        <v/>
      </c>
      <c r="BB185" s="1" t="str">
        <f>IFERROR(ROUND(Backend!$AL185*VLOOKUP($F185,'OH,Profit &amp; Other Base'!$A:$V,Backend!BB$6,0),5),"")</f>
        <v/>
      </c>
      <c r="BC185" s="1" t="str">
        <f>IFERROR(ROUND(Backend!$AO185*VLOOKUP($F185,'OH,Profit &amp; Other Base'!$A:$V,Backend!BC$6,0),5),"")</f>
        <v/>
      </c>
      <c r="BD185" s="1" t="str">
        <f>IFERROR(ROUND(Backend!$AM185*VLOOKUP($F185,'OH,Profit &amp; Other Base'!$A:$V,Backend!BD$6,0),5),"")</f>
        <v/>
      </c>
      <c r="BE185" s="1" t="str">
        <f>IFERROR(ROUND(Backend!$AL185*VLOOKUP($F185,'OH,Profit &amp; Other Base'!$A:$V,Backend!BE$6,0),5),"")</f>
        <v/>
      </c>
      <c r="BF185" s="1" t="str">
        <f>IFERROR(ROUND(Backend!$AO185*VLOOKUP($F185,'OH,Profit &amp; Other Base'!$A:$V,Backend!BF$6,0),5),"")</f>
        <v/>
      </c>
      <c r="BG185" s="1" t="str">
        <f>IFERROR(ROUND(Backend!$AM185*VLOOKUP($F185,'OH,Profit &amp; Other Base'!$A:$V,Backend!BG$6,0),5),"")</f>
        <v/>
      </c>
      <c r="BH185" s="1" t="str">
        <f>IFERROR(ROUND(Backend!$AL185*VLOOKUP($F185,'OH,Profit &amp; Other Base'!$A:$V,Backend!BH$6,0),5),"")</f>
        <v/>
      </c>
      <c r="BI185" s="1" t="str">
        <f>IFERROR(ROUND(Backend!$AO185*VLOOKUP($F185,'OH,Profit &amp; Other Base'!$A:$V,Backend!BI$6,0),5),"")</f>
        <v/>
      </c>
      <c r="BJ185" s="1" t="str">
        <f>IFERROR(ROUND(Backend!$AM185*VLOOKUP($F185,'OH,Profit &amp; Other Base'!$A:$V,Backend!BJ$6,0),5),"")</f>
        <v/>
      </c>
      <c r="BK185" s="3">
        <f>SUM(AN185:BJ185,Backend!O185)</f>
        <v>0</v>
      </c>
    </row>
  </sheetData>
  <mergeCells count="2">
    <mergeCell ref="U3:AI3"/>
    <mergeCell ref="U5:AI5"/>
  </mergeCell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2"/>
  <dimension ref="A1:C25"/>
  <sheetViews>
    <sheetView zoomScaleNormal="100" workbookViewId="0">
      <selection activeCell="C23" sqref="C23"/>
    </sheetView>
  </sheetViews>
  <sheetFormatPr defaultRowHeight="15"/>
  <cols>
    <col min="1" max="1" width="3" style="321" bestFit="1" customWidth="1"/>
    <col min="2" max="2" width="24.5703125" style="321" bestFit="1" customWidth="1"/>
    <col min="3" max="3" width="30.85546875" style="321" bestFit="1" customWidth="1"/>
    <col min="4" max="4" width="14.85546875" bestFit="1" customWidth="1"/>
    <col min="5" max="5" width="10.140625" bestFit="1" customWidth="1"/>
    <col min="6" max="6" width="12.42578125" bestFit="1" customWidth="1"/>
    <col min="7" max="7" width="10.28515625" bestFit="1" customWidth="1"/>
  </cols>
  <sheetData>
    <row r="1" spans="1:3">
      <c r="A1" s="98">
        <v>0</v>
      </c>
      <c r="B1" s="98" t="s">
        <v>210</v>
      </c>
      <c r="C1" s="98" t="s">
        <v>89</v>
      </c>
    </row>
    <row r="2" spans="1:3">
      <c r="A2" s="321">
        <v>1</v>
      </c>
      <c r="B2" s="321" t="s">
        <v>210</v>
      </c>
      <c r="C2" s="321" t="s">
        <v>267</v>
      </c>
    </row>
    <row r="3" spans="1:3">
      <c r="A3" s="321">
        <v>2</v>
      </c>
      <c r="B3" s="321" t="s">
        <v>279</v>
      </c>
      <c r="C3" s="321" t="s">
        <v>82</v>
      </c>
    </row>
    <row r="4" spans="1:3">
      <c r="A4" s="321">
        <v>3</v>
      </c>
      <c r="B4" s="321" t="s">
        <v>46</v>
      </c>
      <c r="C4" s="321" t="s">
        <v>305</v>
      </c>
    </row>
    <row r="5" spans="1:3">
      <c r="A5" s="321">
        <v>4</v>
      </c>
      <c r="B5" s="321" t="s">
        <v>132</v>
      </c>
      <c r="C5" s="321">
        <v>1</v>
      </c>
    </row>
    <row r="6" spans="1:3">
      <c r="A6" s="321">
        <v>5</v>
      </c>
      <c r="C6" s="321" t="s">
        <v>83</v>
      </c>
    </row>
    <row r="7" spans="1:3">
      <c r="A7" s="321">
        <v>6</v>
      </c>
      <c r="B7" s="321" t="e">
        <v>#N/A</v>
      </c>
      <c r="C7" s="321" t="s">
        <v>92</v>
      </c>
    </row>
    <row r="8" spans="1:3">
      <c r="A8" s="321">
        <v>7</v>
      </c>
      <c r="B8" s="321" t="s">
        <v>489</v>
      </c>
      <c r="C8" s="321">
        <v>16.484999999999999</v>
      </c>
    </row>
    <row r="9" spans="1:3">
      <c r="A9" s="321">
        <v>8</v>
      </c>
      <c r="B9" s="726" t="s">
        <v>498</v>
      </c>
      <c r="C9" s="726">
        <v>0</v>
      </c>
    </row>
    <row r="10" spans="1:3" ht="15" customHeight="1">
      <c r="A10" s="321">
        <v>9</v>
      </c>
      <c r="C10" s="726" t="s">
        <v>289</v>
      </c>
    </row>
    <row r="11" spans="1:3" ht="15" customHeight="1">
      <c r="A11" s="321">
        <v>10</v>
      </c>
    </row>
    <row r="12" spans="1:3" ht="15" customHeight="1"/>
    <row r="13" spans="1:3" ht="15" customHeight="1"/>
    <row r="14" spans="1:3" ht="15" customHeight="1"/>
    <row r="15" spans="1:3" ht="15" customHeight="1"/>
    <row r="16" spans="1:3" ht="15" customHeight="1"/>
    <row r="17" spans="3:3" ht="15" customHeight="1"/>
    <row r="18" spans="3:3" ht="15" customHeight="1"/>
    <row r="19" spans="3:3" ht="15" customHeight="1"/>
    <row r="20" spans="3:3" ht="15" customHeight="1"/>
    <row r="21" spans="3:3" ht="15.75" customHeight="1"/>
    <row r="22" spans="3:3">
      <c r="C22" s="726"/>
    </row>
    <row r="23" spans="3:3">
      <c r="C23" s="726"/>
    </row>
    <row r="24" spans="3:3">
      <c r="C24" s="726"/>
    </row>
    <row r="25" spans="3:3">
      <c r="C25" s="726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0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C9A5E33B5DF04DB6F6F012AFDADE00" ma:contentTypeVersion="16" ma:contentTypeDescription="Create a new document." ma:contentTypeScope="" ma:versionID="fd1ed5c2f39b48eaff6ad0390d036241">
  <xsd:schema xmlns:xsd="http://www.w3.org/2001/XMLSchema" xmlns:xs="http://www.w3.org/2001/XMLSchema" xmlns:p="http://schemas.microsoft.com/office/2006/metadata/properties" xmlns:ns2="8e709202-d76e-4312-9e4d-ff919e8c6d3b" xmlns:ns3="2763d673-7b45-45da-9b2f-702f33aec4e6" targetNamespace="http://schemas.microsoft.com/office/2006/metadata/properties" ma:root="true" ma:fieldsID="e8a00596b5b4a0eae8f172fb3ed628f5" ns2:_="" ns3:_="">
    <xsd:import namespace="8e709202-d76e-4312-9e4d-ff919e8c6d3b"/>
    <xsd:import namespace="2763d673-7b45-45da-9b2f-702f33aec4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Aggrega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709202-d76e-4312-9e4d-ff919e8c6d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Aggregate" ma:index="10" nillable="true" ma:displayName="Aggregate" ma:format="Dropdown" ma:list="9fd7e700-ffcb-4663-a3f0-c58a471cc0f0" ma:internalName="Aggregate" ma:showField="L0Desc">
      <xsd:simpleType>
        <xsd:restriction base="dms:Lookup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d92505fa-fe31-4319-891a-6f90768357a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63d673-7b45-45da-9b2f-702f33aec4e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eb2cc04-6f5d-4268-bb92-01f5faf2dd51}" ma:internalName="TaxCatchAll" ma:showField="CatchAllData" ma:web="2763d673-7b45-45da-9b2f-702f33aec4e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763d673-7b45-45da-9b2f-702f33aec4e6" xsi:nil="true"/>
    <lcf76f155ced4ddcb4097134ff3c332f xmlns="8e709202-d76e-4312-9e4d-ff919e8c6d3b">
      <Terms xmlns="http://schemas.microsoft.com/office/infopath/2007/PartnerControls"/>
    </lcf76f155ced4ddcb4097134ff3c332f>
    <Aggregate xmlns="8e709202-d76e-4312-9e4d-ff919e8c6d3b" xsi:nil="true"/>
  </documentManagement>
</p:properties>
</file>

<file path=customXml/itemProps1.xml><?xml version="1.0" encoding="utf-8"?>
<ds:datastoreItem xmlns:ds="http://schemas.openxmlformats.org/officeDocument/2006/customXml" ds:itemID="{371B2599-1CA8-434A-A172-9DA98B1E91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709202-d76e-4312-9e4d-ff919e8c6d3b"/>
    <ds:schemaRef ds:uri="2763d673-7b45-45da-9b2f-702f33aec4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F87266-3FF6-4799-AFC7-60D2866BC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BFC813-34A0-47C6-989B-2B41DD4B8CB4}">
  <ds:schemaRefs>
    <ds:schemaRef ds:uri="http://purl.org/dc/terms/"/>
    <ds:schemaRef ds:uri="http://schemas.openxmlformats.org/package/2006/metadata/core-properties"/>
    <ds:schemaRef ds:uri="http://www.w3.org/XML/1998/namespace"/>
    <ds:schemaRef ds:uri="8e709202-d76e-4312-9e4d-ff919e8c6d3b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2763d673-7b45-45da-9b2f-702f33aec4e6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Summary</vt:lpstr>
      <vt:lpstr>BOM</vt:lpstr>
      <vt:lpstr>Assy_Cost</vt:lpstr>
      <vt:lpstr>Machining_Process</vt:lpstr>
      <vt:lpstr>SM_Material</vt:lpstr>
      <vt:lpstr>SM_Process</vt:lpstr>
      <vt:lpstr>Norms - Format</vt:lpstr>
      <vt:lpstr>IM_Material</vt:lpstr>
      <vt:lpstr>IM_Process</vt:lpstr>
      <vt:lpstr>IM_TC</vt:lpstr>
      <vt:lpstr>IM_Machinery</vt:lpstr>
      <vt:lpstr>IM_Raw_Material</vt:lpstr>
      <vt:lpstr>RM Base</vt:lpstr>
      <vt:lpstr>Process Base</vt:lpstr>
      <vt:lpstr>OH,Profit &amp; Other Base</vt:lpstr>
      <vt:lpstr>Calc</vt:lpstr>
      <vt:lpstr>DATA_SHEET</vt:lpstr>
      <vt:lpstr>Group</vt:lpstr>
      <vt:lpstr>Backend</vt:lpstr>
      <vt:lpstr>RM &amp; Process 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Master Template</dc:title>
  <dc:subject/>
  <dc:creator>Sridhar S (PD)</dc:creator>
  <cp:keywords/>
  <dc:description/>
  <cp:lastModifiedBy>Sridhar S (PD)</cp:lastModifiedBy>
  <cp:revision/>
  <dcterms:created xsi:type="dcterms:W3CDTF">2023-11-28T06:59:02Z</dcterms:created>
  <dcterms:modified xsi:type="dcterms:W3CDTF">2026-03-20T08:19:28Z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0x010100E1C9A5E33B5DF04DB6F6F012AFDADE00</vt:lpwstr>
  </property>
  <property fmtid="{D5CDD505-2E9C-101B-9397-08002B2CF9AE}" pid="3" name="MediaServiceImageTags">
    <vt:lpwstr/>
  </property>
</Properties>
</file>