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xie.wang\Documents\2017 - Diabetes Patient ATU Study W5\Job file\"/>
    </mc:Choice>
  </mc:AlternateContent>
  <bookViews>
    <workbookView xWindow="0" yWindow="0" windowWidth="28800" windowHeight="113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22" i="1" l="1"/>
  <c r="E31" i="1" l="1"/>
  <c r="B43" i="1" l="1"/>
  <c r="B45" i="1"/>
  <c r="D5" i="1" l="1"/>
  <c r="E21" i="1" s="1"/>
  <c r="D16" i="1"/>
  <c r="D15" i="1"/>
  <c r="D14" i="1"/>
  <c r="D13" i="1"/>
  <c r="D12" i="1"/>
  <c r="D11" i="1"/>
  <c r="D10" i="1"/>
  <c r="D7" i="1"/>
  <c r="E22" i="1" s="1"/>
  <c r="B49" i="1" l="1"/>
  <c r="B48" i="1"/>
  <c r="B46" i="1"/>
  <c r="C25" i="1"/>
  <c r="D31" i="1" s="1"/>
  <c r="F32" i="1" l="1"/>
  <c r="G32" i="1" s="1"/>
  <c r="F31" i="1"/>
  <c r="G31" i="1" s="1"/>
  <c r="D33" i="1"/>
  <c r="D26" i="1"/>
  <c r="D24" i="1"/>
  <c r="D23" i="1"/>
  <c r="D27" i="1"/>
  <c r="D30" i="1"/>
  <c r="D25" i="1"/>
  <c r="D21" i="1"/>
  <c r="F21" i="1" s="1"/>
  <c r="D22" i="1"/>
  <c r="F22" i="1" s="1"/>
  <c r="G22" i="1" s="1"/>
  <c r="D28" i="1"/>
  <c r="K6" i="1"/>
  <c r="K7" i="1"/>
  <c r="K5" i="1"/>
  <c r="J11" i="1" s="1"/>
  <c r="K31" i="1" s="1"/>
  <c r="C43" i="1" l="1"/>
  <c r="D43" i="1" s="1"/>
  <c r="G21" i="1"/>
  <c r="J10" i="1"/>
  <c r="K30" i="1" s="1"/>
  <c r="K23" i="1"/>
  <c r="K24" i="1"/>
  <c r="K25" i="1"/>
  <c r="K26" i="1"/>
  <c r="K27" i="1"/>
  <c r="K22" i="1"/>
  <c r="L26" i="1" l="1"/>
  <c r="L24" i="1"/>
  <c r="J31" i="1" s="1"/>
  <c r="L31" i="1" s="1"/>
  <c r="L25" i="1"/>
  <c r="J30" i="1" s="1"/>
  <c r="L30" i="1" s="1"/>
  <c r="E25" i="1" l="1"/>
  <c r="E30" i="1"/>
  <c r="E33" i="1"/>
  <c r="E27" i="1" l="1"/>
  <c r="F27" i="1" s="1"/>
  <c r="E26" i="1"/>
  <c r="F26" i="1" s="1"/>
  <c r="F7" i="1"/>
  <c r="E7" i="1"/>
  <c r="E24" i="1" s="1"/>
  <c r="E13" i="1"/>
  <c r="E28" i="1" s="1"/>
  <c r="F33" i="1"/>
  <c r="E11" i="1"/>
  <c r="F30" i="1"/>
  <c r="F25" i="1"/>
  <c r="G27" i="1" l="1"/>
  <c r="C49" i="1"/>
  <c r="D49" i="1" s="1"/>
  <c r="G26" i="1"/>
  <c r="C48" i="1"/>
  <c r="D48" i="1" s="1"/>
  <c r="G33" i="1"/>
  <c r="C55" i="1"/>
  <c r="D55" i="1" s="1"/>
  <c r="G30" i="1"/>
  <c r="C52" i="1"/>
  <c r="D52" i="1" s="1"/>
  <c r="G25" i="1"/>
  <c r="F28" i="1"/>
  <c r="C50" i="1" s="1"/>
  <c r="D50" i="1" s="1"/>
  <c r="F29" i="1"/>
  <c r="C51" i="1" s="1"/>
  <c r="D51" i="1" s="1"/>
  <c r="F24" i="1"/>
  <c r="E23" i="1"/>
  <c r="F23" i="1" s="1"/>
  <c r="G29" i="1" l="1"/>
  <c r="G23" i="1"/>
  <c r="C45" i="1"/>
  <c r="D45" i="1" s="1"/>
  <c r="G24" i="1"/>
  <c r="C46" i="1"/>
  <c r="D46" i="1" s="1"/>
  <c r="G28" i="1"/>
  <c r="C53" i="1"/>
  <c r="D53" i="1" s="1"/>
  <c r="C54" i="1" l="1"/>
  <c r="D54" i="1" s="1"/>
</calcChain>
</file>

<file path=xl/sharedStrings.xml><?xml version="1.0" encoding="utf-8"?>
<sst xmlns="http://schemas.openxmlformats.org/spreadsheetml/2006/main" count="81" uniqueCount="64">
  <si>
    <t>T1 Pump</t>
  </si>
  <si>
    <t>T1 Premix/Other</t>
  </si>
  <si>
    <t>T1 Basal-Bolus</t>
  </si>
  <si>
    <t>T1 Total</t>
  </si>
  <si>
    <t>T2 1 OAD (no GLP or insulin)</t>
  </si>
  <si>
    <t>T2 2 or more OADs (no GLP or insulin)</t>
  </si>
  <si>
    <t>T2 GLP +/- OAD (no insulin)</t>
  </si>
  <si>
    <t>T2 Basal +/- OAD</t>
  </si>
  <si>
    <t>T2 Basal + GLP1 (+/- OAD)</t>
  </si>
  <si>
    <t>T2 Premix/Bolus (no basal, +/- OAD)</t>
  </si>
  <si>
    <t xml:space="preserve">T2 Basal-Bolus (+/- OAD) </t>
  </si>
  <si>
    <t>T2 Total</t>
  </si>
  <si>
    <t>Type 2 - Insulin - Basal + Bolus</t>
  </si>
  <si>
    <t>Type 2 - Insulin - Basal Only - Controlled</t>
  </si>
  <si>
    <t>Type 2 - Insulin - Basal Only - Uncontrolled</t>
  </si>
  <si>
    <t>Type 2 - Insulin - Premix / Bolus no Basal</t>
  </si>
  <si>
    <t>Type 2 - No Insulin - 1 GLP + 1 or more OAD or No GLP + 2 or more OAD - Controlled</t>
  </si>
  <si>
    <t>Type 2 - No Insulin - 1 GLP + 1 or more OAD or No GLP + 2 or more OAD - Uncontrolled</t>
  </si>
  <si>
    <t>Type 2 - No Insulin - 1 OAD (no GLP) or 1 GLP (no OAD)</t>
  </si>
  <si>
    <t>Rx %</t>
  </si>
  <si>
    <t>Sample %</t>
  </si>
  <si>
    <t>Weighted Sample</t>
  </si>
  <si>
    <t>Weight per patient</t>
  </si>
  <si>
    <t>From the client (# of patients)</t>
  </si>
  <si>
    <t>Uncontrolled</t>
  </si>
  <si>
    <t>Controlled</t>
  </si>
  <si>
    <t>From :Segmentation tool Sept 5-JS ver 2.pptx</t>
  </si>
  <si>
    <t>Not in Toujeo Segment</t>
  </si>
  <si>
    <t>Toujeo Segment - Type 1 - Natural Switchers</t>
  </si>
  <si>
    <t>Toujeo Segment - Type 1 - Active Switchers</t>
  </si>
  <si>
    <t>Toujeo Segment - Type 2 - Natural Switchers</t>
  </si>
  <si>
    <t>Toujeo Segment - Type 2 - Active Switchers</t>
  </si>
  <si>
    <t>Toujeo Segment - Type 2 - Need Some Convincing</t>
  </si>
  <si>
    <t>Toujeo Segment - Type 2 - 1 GLP + 1 or more OAD or No GLP + 2 or more OAD - Uncontrolled</t>
  </si>
  <si>
    <t>Toujeo Segment</t>
  </si>
  <si>
    <t>Sample</t>
  </si>
  <si>
    <t>Rx</t>
  </si>
  <si>
    <t xml:space="preserve">Segment 3
(23%) + Segment 4  (5%)
</t>
  </si>
  <si>
    <t xml:space="preserve">Segment 5(19%).
</t>
  </si>
  <si>
    <t xml:space="preserve">Segment 6(35%)
</t>
  </si>
  <si>
    <t xml:space="preserve">Segment 1(6%)
</t>
  </si>
  <si>
    <t xml:space="preserve">Segment 2(12%)
</t>
  </si>
  <si>
    <t>Type1 - Uncontrolled</t>
  </si>
  <si>
    <t>Type1 - Controlled</t>
  </si>
  <si>
    <t>Type2 - Uncontrolled</t>
  </si>
  <si>
    <t>Type2 - Controlled</t>
  </si>
  <si>
    <t>used in overall segment calculations</t>
  </si>
  <si>
    <t>Renormalized</t>
  </si>
  <si>
    <t>Step2: Get segment %s from 'Segmentation tool Sept 5-JS ver 2.pptx'</t>
  </si>
  <si>
    <t>Step3: Use Type 1 controlled and uncontrolled split from Step 2 table</t>
  </si>
  <si>
    <t>Step4: Calculate Toujeo Segment counts using column F in Step 3</t>
  </si>
  <si>
    <t>Step5: Factor calculations for Controlled &amp; Uncontrolled</t>
  </si>
  <si>
    <t>Factor</t>
  </si>
  <si>
    <t>Adjusted by using Factor vaclues</t>
  </si>
  <si>
    <t>Step6: Final Weight calculations by applying adjustment factors for Controlled &amp; Uncontrolled</t>
  </si>
  <si>
    <t>Step1: Calculate the Total segment population %s (below table was received from the Client):</t>
  </si>
  <si>
    <t>Note to Yiwen: Sample sizes need to be updated based on final data</t>
  </si>
  <si>
    <t>Type 1 - Pump</t>
  </si>
  <si>
    <t>Type 1 - Non Pump</t>
  </si>
  <si>
    <t xml:space="preserve">   Type 1 - Controlled</t>
  </si>
  <si>
    <t xml:space="preserve">   Type 1 - Uncontrolled</t>
  </si>
  <si>
    <t xml:space="preserve">   Type 2 - Insulin - Basal + Bolus - Controlled</t>
  </si>
  <si>
    <t xml:space="preserve">   Type 2 - Insulin - Basal + Bolus - Uncontrolled</t>
  </si>
  <si>
    <t>Type - Insulin - Basal + Bolus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</si>
</sst>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0000000000000"/>
    <numFmt numFmtId="171" formatCode="0.00000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/>
    <xf numFmtId="164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9" fontId="0" fillId="0" borderId="1" xfId="0" applyNumberFormat="1" applyBorder="1"/>
    <xf numFmtId="0" fontId="0" fillId="0" borderId="1" xfId="0" applyFill="1" applyBorder="1"/>
    <xf numFmtId="1" fontId="0" fillId="0" borderId="1" xfId="0" applyNumberFormat="1" applyFill="1" applyBorder="1" applyAlignment="1">
      <alignment horizontal="center"/>
    </xf>
    <xf numFmtId="2" fontId="0" fillId="0" borderId="1" xfId="1" applyNumberFormat="1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/>
    <xf numFmtId="0" fontId="0" fillId="3" borderId="0" xfId="0" applyFill="1" applyAlignment="1"/>
    <xf numFmtId="9" fontId="0" fillId="0" borderId="1" xfId="0" applyNumberFormat="1" applyBorder="1" applyAlignment="1">
      <alignment horizontal="center"/>
    </xf>
    <xf numFmtId="0" fontId="3" fillId="0" borderId="0" xfId="0" applyFont="1"/>
    <xf numFmtId="9" fontId="0" fillId="0" borderId="0" xfId="1" applyFont="1"/>
    <xf numFmtId="0" fontId="0" fillId="3" borderId="1" xfId="0" applyFill="1" applyBorder="1"/>
    <xf numFmtId="1" fontId="0" fillId="3" borderId="1" xfId="0" applyNumberFormat="1" applyFill="1" applyBorder="1" applyAlignment="1">
      <alignment horizontal="center"/>
    </xf>
    <xf numFmtId="0" fontId="0" fillId="0" borderId="5" xfId="0" applyFill="1" applyBorder="1"/>
    <xf numFmtId="0" fontId="0" fillId="0" borderId="4" xfId="0" applyFill="1" applyBorder="1"/>
    <xf numFmtId="9" fontId="0" fillId="3" borderId="1" xfId="1" applyFont="1" applyFill="1" applyBorder="1" applyAlignment="1">
      <alignment horizontal="center"/>
    </xf>
    <xf numFmtId="2" fontId="0" fillId="4" borderId="1" xfId="1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/>
    </xf>
    <xf numFmtId="0" fontId="0" fillId="0" borderId="2" xfId="0" applyBorder="1"/>
    <xf numFmtId="43" fontId="0" fillId="0" borderId="1" xfId="2" applyFont="1" applyBorder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9" fontId="0" fillId="0" borderId="0" xfId="0" applyNumberFormat="1" applyAlignme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1" applyNumberFormat="1" applyFont="1"/>
    <xf numFmtId="0" fontId="0" fillId="6" borderId="1" xfId="0" applyFill="1" applyBorder="1" applyAlignment="1">
      <alignment horizontal="left" indent="1"/>
    </xf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2" fontId="0" fillId="6" borderId="1" xfId="1" applyNumberFormat="1" applyFont="1" applyFill="1" applyBorder="1" applyAlignment="1">
      <alignment horizontal="center"/>
    </xf>
    <xf numFmtId="165" fontId="0" fillId="0" borderId="0" xfId="0" applyNumberFormat="1"/>
    <xf numFmtId="10" fontId="0" fillId="0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2" fontId="0" fillId="9" borderId="1" xfId="1" applyNumberFormat="1" applyFon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6" xfId="1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9" borderId="5" xfId="1" applyFont="1" applyFill="1" applyBorder="1" applyAlignment="1">
      <alignment horizontal="center" vertical="center"/>
    </xf>
    <xf numFmtId="9" fontId="0" fillId="9" borderId="4" xfId="1" applyFont="1" applyFill="1" applyBorder="1" applyAlignment="1">
      <alignment horizontal="center" vertical="center"/>
    </xf>
    <xf numFmtId="10" fontId="0" fillId="9" borderId="5" xfId="0" applyNumberFormat="1" applyFill="1" applyBorder="1" applyAlignment="1">
      <alignment horizontal="center" vertical="center"/>
    </xf>
    <xf numFmtId="10" fontId="0" fillId="9" borderId="4" xfId="0" applyNumberFormat="1" applyFill="1" applyBorder="1" applyAlignment="1">
      <alignment horizontal="center" vertical="center"/>
    </xf>
    <xf numFmtId="164" fontId="0" fillId="9" borderId="5" xfId="0" applyNumberFormat="1" applyFill="1" applyBorder="1" applyAlignment="1">
      <alignment horizontal="center" vertical="center"/>
    </xf>
    <xf numFmtId="164" fontId="0" fillId="9" borderId="4" xfId="0" applyNumberFormat="1" applyFill="1" applyBorder="1" applyAlignment="1">
      <alignment horizontal="center" vertical="center"/>
    </xf>
    <xf numFmtId="171" fontId="0" fillId="0" borderId="0" xfId="0" applyNumberFormat="1"/>
    <xf numFmtId="171" fontId="0" fillId="4" borderId="1" xfId="1" applyNumberFormat="1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tabSelected="1" topLeftCell="A41" zoomScale="80" zoomScaleNormal="80" workbookViewId="0">
      <selection activeCell="H48" sqref="H48"/>
    </sheetView>
  </sheetViews>
  <sheetFormatPr defaultRowHeight="14.5" x14ac:dyDescent="0.35"/>
  <cols>
    <col min="2" max="2" width="73.36328125" bestFit="1" customWidth="1"/>
    <col min="3" max="3" width="15.54296875" style="2" customWidth="1"/>
    <col min="5" max="5" width="20.453125" bestFit="1" customWidth="1"/>
    <col min="6" max="6" width="13.54296875" customWidth="1"/>
    <col min="7" max="7" width="11.453125" customWidth="1"/>
    <col min="8" max="8" width="44.54296875" customWidth="1"/>
    <col min="9" max="9" width="45.1796875" customWidth="1"/>
    <col min="10" max="10" width="11" customWidth="1"/>
    <col min="11" max="11" width="13.54296875" customWidth="1"/>
    <col min="12" max="12" width="7.453125" customWidth="1"/>
    <col min="13" max="13" width="20.453125" bestFit="1" customWidth="1"/>
  </cols>
  <sheetData>
    <row r="1" spans="1:13" x14ac:dyDescent="0.35">
      <c r="H1" s="17" t="s">
        <v>48</v>
      </c>
    </row>
    <row r="2" spans="1:13" x14ac:dyDescent="0.35">
      <c r="A2" s="17" t="s">
        <v>55</v>
      </c>
      <c r="I2" s="53" t="s">
        <v>26</v>
      </c>
      <c r="J2" s="54"/>
    </row>
    <row r="3" spans="1:13" x14ac:dyDescent="0.35">
      <c r="C3" s="5">
        <v>2014</v>
      </c>
      <c r="H3" s="34" t="s">
        <v>40</v>
      </c>
      <c r="I3" s="1" t="s">
        <v>42</v>
      </c>
      <c r="J3" s="27">
        <v>0.06</v>
      </c>
      <c r="M3" s="15" t="s">
        <v>46</v>
      </c>
    </row>
    <row r="4" spans="1:13" ht="29" x14ac:dyDescent="0.35">
      <c r="C4" s="8" t="s">
        <v>23</v>
      </c>
      <c r="D4" s="2"/>
      <c r="H4" s="34" t="s">
        <v>41</v>
      </c>
      <c r="I4" s="1" t="s">
        <v>43</v>
      </c>
      <c r="J4" s="27">
        <v>0.12</v>
      </c>
      <c r="K4" s="32" t="s">
        <v>47</v>
      </c>
      <c r="L4" s="14"/>
    </row>
    <row r="5" spans="1:13" x14ac:dyDescent="0.35">
      <c r="B5" s="3" t="s">
        <v>0</v>
      </c>
      <c r="C5" s="6">
        <v>420</v>
      </c>
      <c r="D5" s="4">
        <f>C5/SUM($C$7+$C$17+$C$5)</f>
        <v>2.2236340533672173E-2</v>
      </c>
      <c r="H5" s="34" t="s">
        <v>37</v>
      </c>
      <c r="I5" s="1" t="s">
        <v>44</v>
      </c>
      <c r="J5" s="16">
        <v>0.28000000000000003</v>
      </c>
      <c r="K5" s="16">
        <f>J5/SUM($J$5:$J$7)</f>
        <v>0.34146341463414637</v>
      </c>
      <c r="L5" s="33"/>
      <c r="M5" s="18"/>
    </row>
    <row r="6" spans="1:13" ht="13.5" customHeight="1" x14ac:dyDescent="0.35">
      <c r="B6" s="3" t="s">
        <v>1</v>
      </c>
      <c r="C6" s="6">
        <v>54</v>
      </c>
      <c r="E6" s="5" t="s">
        <v>24</v>
      </c>
      <c r="F6" s="5" t="s">
        <v>25</v>
      </c>
      <c r="H6" s="34" t="s">
        <v>39</v>
      </c>
      <c r="I6" s="1" t="s">
        <v>45</v>
      </c>
      <c r="J6" s="16">
        <v>0.35</v>
      </c>
      <c r="K6" s="16">
        <f t="shared" ref="K6:K7" si="0">J6/SUM($J$5:$J$7)</f>
        <v>0.42682926829268286</v>
      </c>
      <c r="L6" s="33"/>
    </row>
    <row r="7" spans="1:13" x14ac:dyDescent="0.35">
      <c r="B7" s="1" t="s">
        <v>2</v>
      </c>
      <c r="C7" s="5">
        <v>690</v>
      </c>
      <c r="D7" s="4">
        <f>C7/SUM($C$7+$C$17+$C$5)</f>
        <v>3.6531130876747142E-2</v>
      </c>
      <c r="E7" s="27">
        <f>D7*J3/SUM($J$3:$J$4)</f>
        <v>1.2177043625582381E-2</v>
      </c>
      <c r="F7" s="27">
        <f>D7*J4/SUM($J$3:$J$4)</f>
        <v>2.4354087251164763E-2</v>
      </c>
      <c r="H7" s="34" t="s">
        <v>38</v>
      </c>
      <c r="I7" s="1" t="s">
        <v>45</v>
      </c>
      <c r="J7" s="16">
        <v>0.19</v>
      </c>
      <c r="K7" s="16">
        <f t="shared" si="0"/>
        <v>0.23170731707317072</v>
      </c>
      <c r="L7" s="14"/>
    </row>
    <row r="8" spans="1:13" x14ac:dyDescent="0.35">
      <c r="B8" s="1" t="s">
        <v>3</v>
      </c>
      <c r="C8" s="7">
        <v>1164</v>
      </c>
      <c r="J8" s="2"/>
    </row>
    <row r="9" spans="1:13" ht="6" customHeight="1" x14ac:dyDescent="0.35">
      <c r="C9"/>
      <c r="J9" s="2"/>
    </row>
    <row r="10" spans="1:13" x14ac:dyDescent="0.35">
      <c r="B10" s="1" t="s">
        <v>4</v>
      </c>
      <c r="C10" s="7">
        <v>5659</v>
      </c>
      <c r="D10" s="4">
        <f t="shared" ref="D10:D16" si="1">C10/SUM($C$7+$C$17+$C$5)</f>
        <v>0.29960821685726385</v>
      </c>
      <c r="I10" s="1" t="s">
        <v>45</v>
      </c>
      <c r="J10" s="16">
        <f>SUM(K6:K7)</f>
        <v>0.65853658536585358</v>
      </c>
    </row>
    <row r="11" spans="1:13" x14ac:dyDescent="0.35">
      <c r="B11" s="1" t="s">
        <v>5</v>
      </c>
      <c r="C11" s="7">
        <v>5372</v>
      </c>
      <c r="D11" s="4">
        <f t="shared" si="1"/>
        <v>0.28441338415925455</v>
      </c>
      <c r="E11" s="55">
        <f>D11+D12</f>
        <v>0.32629182549767044</v>
      </c>
      <c r="F11" s="48"/>
      <c r="G11" s="49"/>
      <c r="I11" s="1" t="s">
        <v>44</v>
      </c>
      <c r="J11" s="16">
        <f>K5</f>
        <v>0.34146341463414637</v>
      </c>
    </row>
    <row r="12" spans="1:13" x14ac:dyDescent="0.35">
      <c r="B12" s="1" t="s">
        <v>6</v>
      </c>
      <c r="C12" s="5">
        <v>791</v>
      </c>
      <c r="D12" s="4">
        <f t="shared" si="1"/>
        <v>4.1878441338415923E-2</v>
      </c>
      <c r="E12" s="56"/>
      <c r="F12" s="50"/>
      <c r="G12" s="51"/>
    </row>
    <row r="13" spans="1:13" x14ac:dyDescent="0.35">
      <c r="B13" s="1" t="s">
        <v>7</v>
      </c>
      <c r="C13" s="7">
        <v>2004</v>
      </c>
      <c r="D13" s="4">
        <f t="shared" si="1"/>
        <v>0.10609911054637865</v>
      </c>
      <c r="E13" s="55">
        <f>D13+D14</f>
        <v>0.12330580262600592</v>
      </c>
    </row>
    <row r="14" spans="1:13" x14ac:dyDescent="0.35">
      <c r="B14" s="1" t="s">
        <v>8</v>
      </c>
      <c r="C14" s="5">
        <v>325</v>
      </c>
      <c r="D14" s="4">
        <f t="shared" si="1"/>
        <v>1.7206692079627276E-2</v>
      </c>
      <c r="E14" s="56"/>
    </row>
    <row r="15" spans="1:13" x14ac:dyDescent="0.35">
      <c r="B15" s="1" t="s">
        <v>9</v>
      </c>
      <c r="C15" s="7">
        <v>1959</v>
      </c>
      <c r="D15" s="4">
        <f t="shared" si="1"/>
        <v>0.1037166454891995</v>
      </c>
    </row>
    <row r="16" spans="1:13" x14ac:dyDescent="0.35">
      <c r="B16" s="1" t="s">
        <v>10</v>
      </c>
      <c r="C16" s="7">
        <v>1668</v>
      </c>
      <c r="D16" s="4">
        <f t="shared" si="1"/>
        <v>8.8310038119440909E-2</v>
      </c>
    </row>
    <row r="17" spans="1:14" x14ac:dyDescent="0.35">
      <c r="B17" s="1" t="s">
        <v>11</v>
      </c>
      <c r="C17" s="7">
        <v>17778</v>
      </c>
    </row>
    <row r="19" spans="1:14" x14ac:dyDescent="0.35">
      <c r="A19" s="17" t="s">
        <v>49</v>
      </c>
      <c r="I19" s="17" t="s">
        <v>50</v>
      </c>
    </row>
    <row r="20" spans="1:14" ht="33" customHeight="1" x14ac:dyDescent="0.35">
      <c r="D20" s="25" t="s">
        <v>20</v>
      </c>
      <c r="E20" s="25" t="s">
        <v>19</v>
      </c>
      <c r="F20" s="26" t="s">
        <v>22</v>
      </c>
      <c r="G20" s="26" t="s">
        <v>21</v>
      </c>
      <c r="I20" s="26" t="s">
        <v>34</v>
      </c>
      <c r="J20" s="26" t="s">
        <v>21</v>
      </c>
      <c r="K20" t="s">
        <v>35</v>
      </c>
      <c r="L20" s="2" t="s">
        <v>47</v>
      </c>
    </row>
    <row r="21" spans="1:14" x14ac:dyDescent="0.35">
      <c r="B21" s="10" t="s">
        <v>57</v>
      </c>
      <c r="C21" s="39">
        <v>50</v>
      </c>
      <c r="D21" s="43">
        <f t="shared" ref="D21:D27" si="2">C21/(SUM($C$21:$C$33)-$C$25-$C$22)</f>
        <v>6.8775790921595595E-2</v>
      </c>
      <c r="E21" s="44">
        <f>D5</f>
        <v>2.2236340533672173E-2</v>
      </c>
      <c r="F21" s="45">
        <f>E21/D21</f>
        <v>0.32331639135959339</v>
      </c>
      <c r="G21" s="46">
        <f t="shared" ref="G21:G27" si="3">C21*F21</f>
        <v>16.165819567979671</v>
      </c>
      <c r="I21" s="10" t="s">
        <v>27</v>
      </c>
      <c r="J21" s="11">
        <v>169</v>
      </c>
    </row>
    <row r="22" spans="1:14" x14ac:dyDescent="0.35">
      <c r="B22" s="38" t="s">
        <v>58</v>
      </c>
      <c r="C22" s="39">
        <f>SUM(C23:C24)</f>
        <v>147</v>
      </c>
      <c r="D22" s="43">
        <f t="shared" si="2"/>
        <v>0.20220082530949107</v>
      </c>
      <c r="E22" s="42">
        <f>D7</f>
        <v>3.6531130876747142E-2</v>
      </c>
      <c r="F22" s="12">
        <f>E22/D22</f>
        <v>0.18066756562853858</v>
      </c>
      <c r="G22" s="11">
        <f t="shared" si="3"/>
        <v>26.55813214739517</v>
      </c>
      <c r="I22" s="10" t="s">
        <v>28</v>
      </c>
      <c r="J22" s="11">
        <v>57</v>
      </c>
      <c r="K22" s="13">
        <f>J22/SUM($J$22:$J$27)</f>
        <v>0.10215053763440861</v>
      </c>
    </row>
    <row r="23" spans="1:14" x14ac:dyDescent="0.35">
      <c r="B23" s="37" t="s">
        <v>59</v>
      </c>
      <c r="C23" s="39">
        <v>90</v>
      </c>
      <c r="D23" s="43">
        <f t="shared" si="2"/>
        <v>0.12379642365887207</v>
      </c>
      <c r="E23" s="44">
        <f>F7</f>
        <v>2.4354087251164763E-2</v>
      </c>
      <c r="F23" s="45">
        <f>E23/D23</f>
        <v>0.19672690479551982</v>
      </c>
      <c r="G23" s="46">
        <f t="shared" si="3"/>
        <v>17.705421431596783</v>
      </c>
      <c r="I23" s="21" t="s">
        <v>29</v>
      </c>
      <c r="J23" s="11">
        <v>90</v>
      </c>
      <c r="K23" s="13">
        <f t="shared" ref="K23:K27" si="4">J23/SUM($J$22:$J$27)</f>
        <v>0.16129032258064516</v>
      </c>
    </row>
    <row r="24" spans="1:14" x14ac:dyDescent="0.35">
      <c r="B24" s="37" t="s">
        <v>60</v>
      </c>
      <c r="C24" s="39">
        <v>57</v>
      </c>
      <c r="D24" s="43">
        <f t="shared" si="2"/>
        <v>7.8404401650618988E-2</v>
      </c>
      <c r="E24" s="44">
        <f>E7</f>
        <v>1.2177043625582381E-2</v>
      </c>
      <c r="F24" s="45">
        <f>E24/D24</f>
        <v>0.15531071431225246</v>
      </c>
      <c r="G24" s="46">
        <f t="shared" si="3"/>
        <v>8.8527107157983895</v>
      </c>
      <c r="I24" s="19" t="s">
        <v>30</v>
      </c>
      <c r="J24" s="20">
        <v>137</v>
      </c>
      <c r="K24" s="23">
        <f t="shared" si="4"/>
        <v>0.24551971326164876</v>
      </c>
      <c r="L24" s="23">
        <f>K24/SUM($K$24:$K$26)</f>
        <v>0.42679127725856703</v>
      </c>
    </row>
    <row r="25" spans="1:14" x14ac:dyDescent="0.35">
      <c r="B25" s="38" t="s">
        <v>12</v>
      </c>
      <c r="C25" s="39">
        <f>SUM(C26:C27)</f>
        <v>137</v>
      </c>
      <c r="D25" s="43">
        <f t="shared" si="2"/>
        <v>0.18844566712517194</v>
      </c>
      <c r="E25" s="42">
        <f>D16</f>
        <v>8.8310038119440909E-2</v>
      </c>
      <c r="F25" s="12">
        <f>E25/D25</f>
        <v>0.46862334096958791</v>
      </c>
      <c r="G25" s="11">
        <f t="shared" si="3"/>
        <v>64.20139771283354</v>
      </c>
      <c r="I25" s="19" t="s">
        <v>31</v>
      </c>
      <c r="J25" s="20">
        <v>108</v>
      </c>
      <c r="K25" s="23">
        <f t="shared" si="4"/>
        <v>0.19354838709677419</v>
      </c>
      <c r="L25" s="23">
        <f t="shared" ref="L25:L26" si="5">K25/SUM($K$24:$K$26)</f>
        <v>0.33644859813084116</v>
      </c>
    </row>
    <row r="26" spans="1:14" x14ac:dyDescent="0.35">
      <c r="B26" s="37" t="s">
        <v>61</v>
      </c>
      <c r="C26" s="39">
        <v>85</v>
      </c>
      <c r="D26" s="43">
        <f t="shared" si="2"/>
        <v>0.11691884456671252</v>
      </c>
      <c r="E26" s="44">
        <f>(71.0526315789475%)*$E$25</f>
        <v>6.2746606032234448E-2</v>
      </c>
      <c r="F26" s="45">
        <f t="shared" ref="F26:F27" si="6">E26/D26</f>
        <v>0.53666803041687583</v>
      </c>
      <c r="G26" s="46">
        <f t="shared" si="3"/>
        <v>45.616782585434443</v>
      </c>
      <c r="I26" s="19" t="s">
        <v>32</v>
      </c>
      <c r="J26" s="20">
        <v>76</v>
      </c>
      <c r="K26" s="23">
        <f t="shared" si="4"/>
        <v>0.13620071684587814</v>
      </c>
      <c r="L26" s="23">
        <f t="shared" si="5"/>
        <v>0.23676012461059195</v>
      </c>
    </row>
    <row r="27" spans="1:14" x14ac:dyDescent="0.35">
      <c r="B27" s="37" t="s">
        <v>62</v>
      </c>
      <c r="C27" s="39">
        <v>52</v>
      </c>
      <c r="D27" s="43">
        <f t="shared" si="2"/>
        <v>7.1526822558459421E-2</v>
      </c>
      <c r="E27" s="44">
        <f>(28.9473684210527%)*$E$25</f>
        <v>2.5563432087206638E-2</v>
      </c>
      <c r="F27" s="45">
        <f t="shared" si="6"/>
        <v>0.3573964447576774</v>
      </c>
      <c r="G27" s="46">
        <f t="shared" si="3"/>
        <v>18.584615127399225</v>
      </c>
      <c r="I27" s="22" t="s">
        <v>33</v>
      </c>
      <c r="J27" s="11">
        <v>90</v>
      </c>
      <c r="K27" s="13">
        <f t="shared" si="4"/>
        <v>0.16129032258064516</v>
      </c>
    </row>
    <row r="28" spans="1:14" x14ac:dyDescent="0.35">
      <c r="B28" s="10" t="s">
        <v>13</v>
      </c>
      <c r="C28" s="39">
        <v>99</v>
      </c>
      <c r="D28" s="57">
        <f>SUM(C28:C29)/(SUM($C$21:$C$33)-$C$25-$C$22)</f>
        <v>0.25309491059147182</v>
      </c>
      <c r="E28" s="59">
        <f>E13</f>
        <v>0.12330580262600592</v>
      </c>
      <c r="F28" s="45">
        <f>(E28/D28)</f>
        <v>0.48719194841905594</v>
      </c>
      <c r="G28" s="46">
        <f t="shared" ref="G28:G30" si="7">C28*F28</f>
        <v>48.232002893486538</v>
      </c>
    </row>
    <row r="29" spans="1:14" x14ac:dyDescent="0.35">
      <c r="B29" s="10" t="s">
        <v>14</v>
      </c>
      <c r="C29" s="39">
        <v>85</v>
      </c>
      <c r="D29" s="58"/>
      <c r="E29" s="60"/>
      <c r="F29" s="45">
        <f>(E28/D28)</f>
        <v>0.48719194841905594</v>
      </c>
      <c r="G29" s="46">
        <f t="shared" si="7"/>
        <v>41.411315615619756</v>
      </c>
      <c r="I29" s="17" t="s">
        <v>51</v>
      </c>
      <c r="J29" s="30" t="s">
        <v>35</v>
      </c>
      <c r="K29" s="30" t="s">
        <v>36</v>
      </c>
      <c r="L29" s="30" t="s">
        <v>52</v>
      </c>
    </row>
    <row r="30" spans="1:14" x14ac:dyDescent="0.35">
      <c r="B30" s="10" t="s">
        <v>15</v>
      </c>
      <c r="C30" s="39">
        <v>30</v>
      </c>
      <c r="D30" s="43">
        <f>C30/(SUM($C$21:$C$33)-$C$25-$C$22)</f>
        <v>4.1265474552957357E-2</v>
      </c>
      <c r="E30" s="44">
        <f>D15</f>
        <v>0.1037166454891995</v>
      </c>
      <c r="F30" s="45">
        <f>E30/D30</f>
        <v>2.5134000423549345</v>
      </c>
      <c r="G30" s="46">
        <f t="shared" si="7"/>
        <v>75.402001270648043</v>
      </c>
      <c r="I30" s="28" t="s">
        <v>25</v>
      </c>
      <c r="J30" s="9">
        <f>SUM(L25,L26)</f>
        <v>0.57320872274143309</v>
      </c>
      <c r="K30" s="9">
        <f>J10</f>
        <v>0.65853658536585358</v>
      </c>
      <c r="L30" s="29">
        <f>K30/J30</f>
        <v>1.1488600212089075</v>
      </c>
      <c r="N30" s="18"/>
    </row>
    <row r="31" spans="1:14" x14ac:dyDescent="0.35">
      <c r="B31" s="10" t="s">
        <v>16</v>
      </c>
      <c r="C31" s="39">
        <v>48</v>
      </c>
      <c r="D31" s="61">
        <f>SUM(C31:C32)/(SUM(C21:C33)-C22-C25)</f>
        <v>0.18982118294360384</v>
      </c>
      <c r="E31" s="59">
        <f>E11</f>
        <v>0.32629182549767044</v>
      </c>
      <c r="F31" s="45">
        <f>E31/D31</f>
        <v>1.7189431676580176</v>
      </c>
      <c r="G31" s="46">
        <f>C31*F31</f>
        <v>82.509272047584844</v>
      </c>
      <c r="I31" s="28" t="s">
        <v>24</v>
      </c>
      <c r="J31" s="9">
        <f>L24</f>
        <v>0.42679127725856703</v>
      </c>
      <c r="K31" s="9">
        <f>J11</f>
        <v>0.34146341463414637</v>
      </c>
      <c r="L31" s="29">
        <f>K31/J31</f>
        <v>0.80007121239095602</v>
      </c>
      <c r="N31" s="18"/>
    </row>
    <row r="32" spans="1:14" x14ac:dyDescent="0.35">
      <c r="B32" s="10" t="s">
        <v>17</v>
      </c>
      <c r="C32" s="39">
        <v>90</v>
      </c>
      <c r="D32" s="62"/>
      <c r="E32" s="60"/>
      <c r="F32" s="45">
        <f>E31/D31</f>
        <v>1.7189431676580176</v>
      </c>
      <c r="G32" s="46">
        <f>C32*F32</f>
        <v>154.70488508922159</v>
      </c>
    </row>
    <row r="33" spans="1:9" x14ac:dyDescent="0.35">
      <c r="B33" s="10" t="s">
        <v>18</v>
      </c>
      <c r="C33" s="39">
        <v>41</v>
      </c>
      <c r="D33" s="43">
        <f>C33/(SUM($C$21:$C$33)-$C$25-$C$22)</f>
        <v>5.6396148555708389E-2</v>
      </c>
      <c r="E33" s="44">
        <f>D10</f>
        <v>0.29960821685726385</v>
      </c>
      <c r="F33" s="45">
        <f>E33/D33</f>
        <v>5.3125652111031911</v>
      </c>
      <c r="G33" s="46">
        <f>C33*F33</f>
        <v>217.81517365523084</v>
      </c>
    </row>
    <row r="37" spans="1:9" x14ac:dyDescent="0.35">
      <c r="C37" s="39"/>
      <c r="D37" s="36" t="s">
        <v>56</v>
      </c>
      <c r="E37" s="35"/>
      <c r="F37" s="36"/>
      <c r="G37" s="35"/>
      <c r="H37" s="13"/>
    </row>
    <row r="38" spans="1:9" x14ac:dyDescent="0.35">
      <c r="D38" s="36"/>
      <c r="E38" s="35"/>
      <c r="F38" s="36"/>
      <c r="G38" s="35"/>
      <c r="H38" s="13"/>
    </row>
    <row r="39" spans="1:9" x14ac:dyDescent="0.35">
      <c r="A39" s="31" t="s">
        <v>54</v>
      </c>
      <c r="F39" s="36"/>
      <c r="G39" s="35"/>
      <c r="H39" s="13"/>
    </row>
    <row r="42" spans="1:9" ht="29" x14ac:dyDescent="0.35">
      <c r="C42" s="26" t="s">
        <v>22</v>
      </c>
      <c r="D42" s="26" t="s">
        <v>21</v>
      </c>
    </row>
    <row r="43" spans="1:9" x14ac:dyDescent="0.35">
      <c r="A43">
        <v>1</v>
      </c>
      <c r="B43" s="1" t="str">
        <f>B21</f>
        <v>Type 1 - Pump</v>
      </c>
      <c r="C43" s="47">
        <f>F21</f>
        <v>0.32331639135959339</v>
      </c>
      <c r="D43" s="11">
        <f>C43*C21</f>
        <v>16.165819567979671</v>
      </c>
      <c r="E43" s="63">
        <v>0.32331639135959339</v>
      </c>
      <c r="I43" s="41"/>
    </row>
    <row r="44" spans="1:9" x14ac:dyDescent="0.35">
      <c r="B44" s="1" t="s">
        <v>58</v>
      </c>
      <c r="C44" s="52"/>
      <c r="D44" s="52"/>
      <c r="E44" s="63"/>
      <c r="I44" s="41"/>
    </row>
    <row r="45" spans="1:9" x14ac:dyDescent="0.35">
      <c r="A45">
        <v>2</v>
      </c>
      <c r="B45" s="10" t="str">
        <f>B23</f>
        <v xml:space="preserve">   Type 1 - Controlled</v>
      </c>
      <c r="C45" s="12">
        <f>F23</f>
        <v>0.19672690479551982</v>
      </c>
      <c r="D45" s="11">
        <f>C45*C23</f>
        <v>17.705421431596783</v>
      </c>
      <c r="E45" s="63">
        <v>0.19672690479551982</v>
      </c>
      <c r="I45" s="41"/>
    </row>
    <row r="46" spans="1:9" x14ac:dyDescent="0.35">
      <c r="A46">
        <v>3</v>
      </c>
      <c r="B46" s="10" t="str">
        <f>B24</f>
        <v xml:space="preserve">   Type 1 - Uncontrolled</v>
      </c>
      <c r="C46" s="12">
        <f>F24</f>
        <v>0.15531071431225246</v>
      </c>
      <c r="D46" s="11">
        <f>C46*C24</f>
        <v>8.8527107157983895</v>
      </c>
      <c r="E46" s="63">
        <v>0.15531071431225246</v>
      </c>
      <c r="I46" s="41"/>
    </row>
    <row r="47" spans="1:9" x14ac:dyDescent="0.35">
      <c r="B47" s="1" t="s">
        <v>63</v>
      </c>
      <c r="C47" s="52"/>
      <c r="D47" s="52"/>
      <c r="E47" s="64"/>
      <c r="F47" t="s">
        <v>53</v>
      </c>
      <c r="I47" s="41"/>
    </row>
    <row r="48" spans="1:9" x14ac:dyDescent="0.35">
      <c r="A48">
        <v>10</v>
      </c>
      <c r="B48" s="10" t="str">
        <f>B26</f>
        <v xml:space="preserve">   Type 2 - Insulin - Basal + Bolus - Controlled</v>
      </c>
      <c r="C48" s="40">
        <f>F26</f>
        <v>0.53666803041687583</v>
      </c>
      <c r="D48" s="11">
        <f t="shared" ref="D48:D55" si="8">C48*C26</f>
        <v>45.616782585434443</v>
      </c>
      <c r="E48" s="63">
        <v>0.53666803041687583</v>
      </c>
      <c r="I48" s="41"/>
    </row>
    <row r="49" spans="1:9" x14ac:dyDescent="0.35">
      <c r="A49">
        <v>11</v>
      </c>
      <c r="B49" s="10" t="str">
        <f>B27</f>
        <v xml:space="preserve">   Type 2 - Insulin - Basal + Bolus - Uncontrolled</v>
      </c>
      <c r="C49" s="40">
        <f>F27</f>
        <v>0.3573964447576774</v>
      </c>
      <c r="D49" s="11">
        <f t="shared" si="8"/>
        <v>18.584615127399225</v>
      </c>
      <c r="E49" s="63">
        <v>0.3573964447576774</v>
      </c>
      <c r="I49" s="41"/>
    </row>
    <row r="50" spans="1:9" x14ac:dyDescent="0.35">
      <c r="A50">
        <v>7</v>
      </c>
      <c r="B50" s="10" t="s">
        <v>13</v>
      </c>
      <c r="C50" s="24">
        <f>F28*L30</f>
        <v>0.55971535219352564</v>
      </c>
      <c r="D50" s="11">
        <f t="shared" si="8"/>
        <v>55.411819867159039</v>
      </c>
      <c r="E50" s="63">
        <v>0.55971535219352564</v>
      </c>
      <c r="I50" s="41"/>
    </row>
    <row r="51" spans="1:9" x14ac:dyDescent="0.35">
      <c r="A51">
        <v>8</v>
      </c>
      <c r="B51" s="10" t="s">
        <v>14</v>
      </c>
      <c r="C51" s="24">
        <f>F29*L31</f>
        <v>0.38978825283874619</v>
      </c>
      <c r="D51" s="11">
        <f t="shared" si="8"/>
        <v>33.132001491293423</v>
      </c>
      <c r="E51" s="63">
        <v>0.38978825283874624</v>
      </c>
      <c r="I51" s="41"/>
    </row>
    <row r="52" spans="1:9" x14ac:dyDescent="0.35">
      <c r="A52">
        <v>9</v>
      </c>
      <c r="B52" s="10" t="s">
        <v>15</v>
      </c>
      <c r="C52" s="12">
        <f>F30</f>
        <v>2.5134000423549345</v>
      </c>
      <c r="D52" s="11">
        <f t="shared" si="8"/>
        <v>75.402001270648043</v>
      </c>
      <c r="E52" s="63">
        <v>2.5134000423549345</v>
      </c>
      <c r="I52" s="41"/>
    </row>
    <row r="53" spans="1:9" x14ac:dyDescent="0.35">
      <c r="A53">
        <v>5</v>
      </c>
      <c r="B53" s="10" t="s">
        <v>16</v>
      </c>
      <c r="C53" s="12">
        <f>F31</f>
        <v>1.7189431676580176</v>
      </c>
      <c r="D53" s="11">
        <f t="shared" si="8"/>
        <v>82.509272047584844</v>
      </c>
      <c r="E53" s="63">
        <v>1.7189431676580176</v>
      </c>
    </row>
    <row r="54" spans="1:9" x14ac:dyDescent="0.35">
      <c r="A54">
        <v>6</v>
      </c>
      <c r="B54" s="10" t="s">
        <v>17</v>
      </c>
      <c r="C54" s="12">
        <f>F32</f>
        <v>1.7189431676580176</v>
      </c>
      <c r="D54" s="11">
        <f t="shared" si="8"/>
        <v>154.70488508922159</v>
      </c>
      <c r="E54" s="63">
        <v>1.7189431676580176</v>
      </c>
    </row>
    <row r="55" spans="1:9" x14ac:dyDescent="0.35">
      <c r="A55">
        <v>4</v>
      </c>
      <c r="B55" s="10" t="s">
        <v>18</v>
      </c>
      <c r="C55" s="12">
        <f>F33</f>
        <v>5.3125652111031911</v>
      </c>
      <c r="D55" s="11">
        <f t="shared" si="8"/>
        <v>217.81517365523084</v>
      </c>
      <c r="E55" s="63">
        <v>5.3125652111031911</v>
      </c>
    </row>
  </sheetData>
  <mergeCells count="9">
    <mergeCell ref="C44:D44"/>
    <mergeCell ref="C47:D47"/>
    <mergeCell ref="I2:J2"/>
    <mergeCell ref="E13:E14"/>
    <mergeCell ref="E11:E12"/>
    <mergeCell ref="D28:D29"/>
    <mergeCell ref="E28:E29"/>
    <mergeCell ref="D31:D32"/>
    <mergeCell ref="E31:E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Yiwen Xu</dc:creator>
  <cp:lastModifiedBy>Strategic Research Insights</cp:lastModifiedBy>
  <dcterms:created xsi:type="dcterms:W3CDTF">2015-03-03T22:33:49Z</dcterms:created>
  <dcterms:modified xsi:type="dcterms:W3CDTF">2017-06-26T16:02:29Z</dcterms:modified>
</cp:coreProperties>
</file>