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abetes-W6-OG\Diabetes-W6-SL\"/>
    </mc:Choice>
  </mc:AlternateContent>
  <bookViews>
    <workbookView xWindow="0" yWindow="0" windowWidth="20490" windowHeight="6855"/>
  </bookViews>
  <sheets>
    <sheet name="Sheet1" sheetId="5" r:id="rId1"/>
  </sheets>
  <calcPr calcId="152511"/>
</workbook>
</file>

<file path=xl/calcChain.xml><?xml version="1.0" encoding="utf-8"?>
<calcChain xmlns="http://schemas.openxmlformats.org/spreadsheetml/2006/main">
  <c r="K24" i="5" l="1"/>
  <c r="C22" i="5"/>
  <c r="D21" i="5" s="1"/>
  <c r="F21" i="5" s="1"/>
  <c r="G21" i="5" s="1"/>
  <c r="C25" i="5"/>
  <c r="K22" i="5"/>
  <c r="E21" i="5"/>
  <c r="B49" i="5" l="1"/>
  <c r="B48" i="5"/>
  <c r="B46" i="5"/>
  <c r="B45" i="5"/>
  <c r="B43" i="5"/>
  <c r="K27" i="5"/>
  <c r="K26" i="5"/>
  <c r="K25" i="5"/>
  <c r="D28" i="5"/>
  <c r="K23" i="5"/>
  <c r="D22" i="5"/>
  <c r="D16" i="5"/>
  <c r="E25" i="5" s="1"/>
  <c r="D15" i="5"/>
  <c r="E30" i="5" s="1"/>
  <c r="D14" i="5"/>
  <c r="D13" i="5"/>
  <c r="E13" i="5" s="1"/>
  <c r="E28" i="5" s="1"/>
  <c r="D12" i="5"/>
  <c r="E11" i="5" s="1"/>
  <c r="E31" i="5" s="1"/>
  <c r="J11" i="5"/>
  <c r="K31" i="5" s="1"/>
  <c r="D11" i="5"/>
  <c r="D10" i="5"/>
  <c r="E33" i="5" s="1"/>
  <c r="K7" i="5"/>
  <c r="D7" i="5"/>
  <c r="F7" i="5" s="1"/>
  <c r="E23" i="5" s="1"/>
  <c r="K6" i="5"/>
  <c r="J10" i="5" s="1"/>
  <c r="K30" i="5" s="1"/>
  <c r="K5" i="5"/>
  <c r="D5" i="5"/>
  <c r="L25" i="5" l="1"/>
  <c r="L26" i="5"/>
  <c r="L24" i="5"/>
  <c r="J31" i="5" s="1"/>
  <c r="L31" i="5" s="1"/>
  <c r="E27" i="5"/>
  <c r="E26" i="5"/>
  <c r="F29" i="5"/>
  <c r="F28" i="5"/>
  <c r="J30" i="5"/>
  <c r="L30" i="5" s="1"/>
  <c r="D33" i="5"/>
  <c r="F33" i="5" s="1"/>
  <c r="D26" i="5"/>
  <c r="D31" i="5"/>
  <c r="D30" i="5"/>
  <c r="F30" i="5" s="1"/>
  <c r="E7" i="5"/>
  <c r="E24" i="5" s="1"/>
  <c r="E22" i="5"/>
  <c r="F22" i="5" s="1"/>
  <c r="G22" i="5" s="1"/>
  <c r="D23" i="5"/>
  <c r="F23" i="5" s="1"/>
  <c r="D25" i="5"/>
  <c r="F25" i="5" s="1"/>
  <c r="G25" i="5" s="1"/>
  <c r="D27" i="5"/>
  <c r="D24" i="5"/>
  <c r="F32" i="5" l="1"/>
  <c r="C54" i="5" s="1"/>
  <c r="D54" i="5" s="1"/>
  <c r="F31" i="5"/>
  <c r="C53" i="5" s="1"/>
  <c r="D53" i="5" s="1"/>
  <c r="C43" i="5"/>
  <c r="D43" i="5" s="1"/>
  <c r="F26" i="5"/>
  <c r="G26" i="5" s="1"/>
  <c r="G23" i="5"/>
  <c r="C45" i="5"/>
  <c r="D45" i="5" s="1"/>
  <c r="G32" i="5"/>
  <c r="C55" i="5"/>
  <c r="D55" i="5" s="1"/>
  <c r="G33" i="5"/>
  <c r="F24" i="5"/>
  <c r="G28" i="5"/>
  <c r="C50" i="5"/>
  <c r="D50" i="5" s="1"/>
  <c r="C51" i="5"/>
  <c r="D51" i="5" s="1"/>
  <c r="G29" i="5"/>
  <c r="C52" i="5"/>
  <c r="D52" i="5" s="1"/>
  <c r="G30" i="5"/>
  <c r="F27" i="5"/>
  <c r="G31" i="5" l="1"/>
  <c r="C48" i="5"/>
  <c r="D48" i="5" s="1"/>
  <c r="G24" i="5"/>
  <c r="C46" i="5"/>
  <c r="D46" i="5" s="1"/>
  <c r="C49" i="5"/>
  <c r="D49" i="5" s="1"/>
  <c r="G27" i="5"/>
</calcChain>
</file>

<file path=xl/sharedStrings.xml><?xml version="1.0" encoding="utf-8"?>
<sst xmlns="http://schemas.openxmlformats.org/spreadsheetml/2006/main" count="79" uniqueCount="62">
  <si>
    <t>T1 Pump</t>
  </si>
  <si>
    <t>T1 Premix/Other</t>
  </si>
  <si>
    <t>T1 Basal-Bolus</t>
  </si>
  <si>
    <t>T1 Total</t>
  </si>
  <si>
    <t>T2 1 OAD (no GLP or insulin)</t>
  </si>
  <si>
    <t>T2 2 or more OADs (no GLP or insulin)</t>
  </si>
  <si>
    <t>T2 GLP +/- OAD (no insulin)</t>
  </si>
  <si>
    <t>T2 Basal +/- OAD</t>
  </si>
  <si>
    <t>T2 Basal + GLP1 (+/- OAD)</t>
  </si>
  <si>
    <t>T2 Premix/Bolus (no basal, +/- OAD)</t>
  </si>
  <si>
    <t xml:space="preserve">T2 Basal-Bolus (+/- OAD) </t>
  </si>
  <si>
    <t>T2 Total</t>
  </si>
  <si>
    <t>Type 2 - Insulin - Basal + Bolus</t>
  </si>
  <si>
    <t>Type 2 - Insulin - Basal Only - Controlled</t>
  </si>
  <si>
    <t>Type 2 - Insulin - Basal Only - Uncontrolled</t>
  </si>
  <si>
    <t>Type 2 - Insulin - Premix / Bolus no Basal</t>
  </si>
  <si>
    <t>Type 2 - No Insulin - 1 GLP + 1 or more OAD or No GLP + 2 or more OAD - Controlled</t>
  </si>
  <si>
    <t>Type 2 - No Insulin - 1 GLP + 1 or more OAD or No GLP + 2 or more OAD - Uncontrolled</t>
  </si>
  <si>
    <t>Type 2 - No Insulin - 1 OAD (no GLP) or 1 GLP (no OAD)</t>
  </si>
  <si>
    <t>Rx %</t>
  </si>
  <si>
    <t>Sample %</t>
  </si>
  <si>
    <t>Weighted Sample</t>
  </si>
  <si>
    <t>Weight per patient</t>
  </si>
  <si>
    <t>From the client (# of patients)</t>
  </si>
  <si>
    <t>Uncontrolled</t>
  </si>
  <si>
    <t>Controlled</t>
  </si>
  <si>
    <t>From :Segmentation tool Sept 5-JS ver 2.pptx</t>
  </si>
  <si>
    <t>Not in Toujeo Segment</t>
  </si>
  <si>
    <t>Toujeo Segment - Type 1 - Natural Switchers</t>
  </si>
  <si>
    <t>Toujeo Segment - Type 1 - Active Switchers</t>
  </si>
  <si>
    <t>Toujeo Segment - Type 2 - Natural Switchers</t>
  </si>
  <si>
    <t>Toujeo Segment - Type 2 - Active Switchers</t>
  </si>
  <si>
    <t>Toujeo Segment - Type 2 - Need Some Convincing</t>
  </si>
  <si>
    <t>Toujeo Segment - Type 2 - 1 GLP + 1 or more OAD or No GLP + 2 or more OAD - Uncontrolled</t>
  </si>
  <si>
    <t>Toujeo Segment</t>
  </si>
  <si>
    <t>Sample</t>
  </si>
  <si>
    <t>Rx</t>
  </si>
  <si>
    <t xml:space="preserve">Segment 3
(23%) + Segment 4  (5%)
</t>
  </si>
  <si>
    <t xml:space="preserve">Segment 5(19%).
</t>
  </si>
  <si>
    <t xml:space="preserve">Segment 6(35%)
</t>
  </si>
  <si>
    <t xml:space="preserve">Segment 1(6%)
</t>
  </si>
  <si>
    <t xml:space="preserve">Segment 2(12%)
</t>
  </si>
  <si>
    <t>Type1 - Uncontrolled</t>
  </si>
  <si>
    <t>Type1 - Controlled</t>
  </si>
  <si>
    <t>Type2 - Uncontrolled</t>
  </si>
  <si>
    <t>Type2 - Controlled</t>
  </si>
  <si>
    <t>used in overall segment calculations</t>
  </si>
  <si>
    <t>Renormalized</t>
  </si>
  <si>
    <t>Step2: Get segment %s from 'Segmentation tool Sept 5-JS ver 2.pptx'</t>
  </si>
  <si>
    <t>Step3: Use Type 1 controlled and uncontrolled split from Step 2 table</t>
  </si>
  <si>
    <t>Step4: Calculate Toujeo Segment counts using column F in Step 3</t>
  </si>
  <si>
    <t>Step5: Factor calculations for Controlled &amp; Uncontrolled</t>
  </si>
  <si>
    <t>Factor</t>
  </si>
  <si>
    <t>Step6: Final Weight calculations by applying adjustment factors for Controlled &amp; Uncontrolled</t>
  </si>
  <si>
    <t>Step1: Calculate the Total segment population %s (below table was received from the Client):</t>
  </si>
  <si>
    <t>Type 1 - Pump</t>
  </si>
  <si>
    <t>Type 1 - Non Pump</t>
  </si>
  <si>
    <t xml:space="preserve">   Type 1 - Controlled</t>
  </si>
  <si>
    <t xml:space="preserve">   Type 1 - Uncontrolled</t>
  </si>
  <si>
    <t xml:space="preserve">   Type 2 - Insulin - Basal + Bolus - Controlled</t>
  </si>
  <si>
    <t xml:space="preserve">   Type 2 - Insulin - Basal + Bolus - Uncontrolled</t>
  </si>
  <si>
    <t>Type - Insulin - Basal + Bolus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</si>
</sst>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0.0000000000000000"/>
    <numFmt numFmtId="166" formatCode="0.000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/>
    <xf numFmtId="0" fontId="0" fillId="3" borderId="0" xfId="0" applyFill="1" applyAlignment="1"/>
    <xf numFmtId="9" fontId="0" fillId="0" borderId="1" xfId="0" applyNumberFormat="1" applyBorder="1" applyAlignment="1">
      <alignment horizontal="center"/>
    </xf>
    <xf numFmtId="0" fontId="3" fillId="0" borderId="0" xfId="0" applyFont="1"/>
    <xf numFmtId="9" fontId="0" fillId="0" borderId="0" xfId="1" applyFont="1"/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/>
    <xf numFmtId="9" fontId="0" fillId="3" borderId="1" xfId="1" applyFont="1" applyFill="1" applyBorder="1" applyAlignment="1">
      <alignment horizontal="center"/>
    </xf>
    <xf numFmtId="2" fontId="0" fillId="4" borderId="1" xfId="1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/>
    </xf>
    <xf numFmtId="0" fontId="0" fillId="0" borderId="2" xfId="0" applyBorder="1"/>
    <xf numFmtId="43" fontId="0" fillId="0" borderId="1" xfId="2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9" fontId="0" fillId="0" borderId="0" xfId="0" applyNumberFormat="1" applyAlignmen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1" applyNumberFormat="1" applyFont="1"/>
    <xf numFmtId="0" fontId="0" fillId="6" borderId="1" xfId="0" applyFill="1" applyBorder="1" applyAlignment="1">
      <alignment horizontal="left" indent="1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2" fontId="0" fillId="6" borderId="1" xfId="1" applyNumberFormat="1" applyFont="1" applyFill="1" applyBorder="1" applyAlignment="1">
      <alignment horizontal="center"/>
    </xf>
    <xf numFmtId="165" fontId="0" fillId="0" borderId="0" xfId="0" applyNumberFormat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0" borderId="6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 vertical="center"/>
    </xf>
    <xf numFmtId="10" fontId="0" fillId="9" borderId="1" xfId="0" applyNumberFormat="1" applyFill="1" applyBorder="1" applyAlignment="1">
      <alignment horizontal="center" vertical="center"/>
    </xf>
    <xf numFmtId="2" fontId="0" fillId="9" borderId="1" xfId="1" applyNumberFormat="1" applyFont="1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6" fontId="0" fillId="0" borderId="0" xfId="0" applyNumberFormat="1"/>
    <xf numFmtId="166" fontId="0" fillId="4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9" borderId="5" xfId="1" applyFont="1" applyFill="1" applyBorder="1" applyAlignment="1">
      <alignment horizontal="center" vertical="center"/>
    </xf>
    <xf numFmtId="9" fontId="0" fillId="9" borderId="4" xfId="1" applyFont="1" applyFill="1" applyBorder="1" applyAlignment="1">
      <alignment horizontal="center" vertical="center"/>
    </xf>
    <xf numFmtId="10" fontId="0" fillId="9" borderId="5" xfId="0" applyNumberFormat="1" applyFill="1" applyBorder="1" applyAlignment="1">
      <alignment horizontal="center" vertical="center"/>
    </xf>
    <xf numFmtId="10" fontId="0" fillId="9" borderId="4" xfId="0" applyNumberFormat="1" applyFill="1" applyBorder="1" applyAlignment="1">
      <alignment horizontal="center" vertical="center"/>
    </xf>
    <xf numFmtId="164" fontId="0" fillId="9" borderId="5" xfId="0" applyNumberFormat="1" applyFill="1" applyBorder="1" applyAlignment="1">
      <alignment horizontal="center" vertical="center"/>
    </xf>
    <xf numFmtId="164" fontId="0" fillId="9" borderId="4" xfId="0" applyNumberForma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tabSelected="1" topLeftCell="A16" zoomScaleNormal="100" workbookViewId="0">
      <selection activeCell="C29" sqref="C29"/>
    </sheetView>
  </sheetViews>
  <sheetFormatPr defaultRowHeight="15" x14ac:dyDescent="0.25"/>
  <cols>
    <col min="2" max="2" width="73.42578125" bestFit="1" customWidth="1"/>
    <col min="3" max="3" width="15.5703125" style="2" customWidth="1"/>
    <col min="5" max="5" width="20.42578125" bestFit="1" customWidth="1"/>
    <col min="6" max="6" width="13.5703125" customWidth="1"/>
    <col min="7" max="7" width="11.42578125" customWidth="1"/>
    <col min="8" max="8" width="44.5703125" customWidth="1"/>
    <col min="9" max="9" width="45.140625" customWidth="1"/>
    <col min="10" max="10" width="11" customWidth="1"/>
    <col min="11" max="11" width="13.5703125" customWidth="1"/>
    <col min="12" max="12" width="7.42578125" customWidth="1"/>
    <col min="13" max="13" width="20.42578125" bestFit="1" customWidth="1"/>
  </cols>
  <sheetData>
    <row r="1" spans="1:13" x14ac:dyDescent="0.25">
      <c r="H1" s="17" t="s">
        <v>48</v>
      </c>
    </row>
    <row r="2" spans="1:13" x14ac:dyDescent="0.25">
      <c r="A2" s="17" t="s">
        <v>54</v>
      </c>
      <c r="I2" s="55" t="s">
        <v>26</v>
      </c>
      <c r="J2" s="56"/>
    </row>
    <row r="3" spans="1:13" x14ac:dyDescent="0.25">
      <c r="C3" s="5">
        <v>2014</v>
      </c>
      <c r="H3" s="34" t="s">
        <v>40</v>
      </c>
      <c r="I3" s="1" t="s">
        <v>42</v>
      </c>
      <c r="J3" s="27">
        <v>0.06</v>
      </c>
      <c r="M3" s="15" t="s">
        <v>46</v>
      </c>
    </row>
    <row r="4" spans="1:13" ht="30" x14ac:dyDescent="0.25">
      <c r="C4" s="8" t="s">
        <v>23</v>
      </c>
      <c r="D4" s="2"/>
      <c r="H4" s="34" t="s">
        <v>41</v>
      </c>
      <c r="I4" s="1" t="s">
        <v>43</v>
      </c>
      <c r="J4" s="27">
        <v>0.12</v>
      </c>
      <c r="K4" s="32" t="s">
        <v>47</v>
      </c>
      <c r="L4" s="14"/>
    </row>
    <row r="5" spans="1:13" x14ac:dyDescent="0.25">
      <c r="B5" s="3" t="s">
        <v>0</v>
      </c>
      <c r="C5" s="6">
        <v>543</v>
      </c>
      <c r="D5" s="4">
        <f>C5/SUM($C$7+$C$17+$C$5)</f>
        <v>2.3913330690976353E-2</v>
      </c>
      <c r="H5" s="34" t="s">
        <v>37</v>
      </c>
      <c r="I5" s="1" t="s">
        <v>44</v>
      </c>
      <c r="J5" s="16">
        <v>0.28000000000000003</v>
      </c>
      <c r="K5" s="16">
        <f>J5/SUM($J$5:$J$7)</f>
        <v>0.34146341463414637</v>
      </c>
      <c r="L5" s="33"/>
      <c r="M5" s="18"/>
    </row>
    <row r="6" spans="1:13" ht="13.5" customHeight="1" x14ac:dyDescent="0.25">
      <c r="B6" s="3" t="s">
        <v>1</v>
      </c>
      <c r="C6" s="6">
        <v>0</v>
      </c>
      <c r="E6" s="5" t="s">
        <v>24</v>
      </c>
      <c r="F6" s="5" t="s">
        <v>25</v>
      </c>
      <c r="H6" s="34" t="s">
        <v>39</v>
      </c>
      <c r="I6" s="1" t="s">
        <v>45</v>
      </c>
      <c r="J6" s="16">
        <v>0.35</v>
      </c>
      <c r="K6" s="16">
        <f t="shared" ref="K6:K7" si="0">J6/SUM($J$5:$J$7)</f>
        <v>0.42682926829268286</v>
      </c>
      <c r="L6" s="33"/>
    </row>
    <row r="7" spans="1:13" x14ac:dyDescent="0.25">
      <c r="B7" s="1" t="s">
        <v>2</v>
      </c>
      <c r="C7" s="5">
        <v>690</v>
      </c>
      <c r="D7" s="4">
        <f>C7/SUM($C$7+$C$17+$C$5)</f>
        <v>3.0387105297925751E-2</v>
      </c>
      <c r="E7" s="27">
        <f>D7*J3/SUM($J$3:$J$4)</f>
        <v>1.0129035099308584E-2</v>
      </c>
      <c r="F7" s="27">
        <f>D7*J4/SUM($J$3:$J$4)</f>
        <v>2.0258070198617167E-2</v>
      </c>
      <c r="H7" s="34" t="s">
        <v>38</v>
      </c>
      <c r="I7" s="1" t="s">
        <v>45</v>
      </c>
      <c r="J7" s="16">
        <v>0.19</v>
      </c>
      <c r="K7" s="16">
        <f t="shared" si="0"/>
        <v>0.23170731707317072</v>
      </c>
      <c r="L7" s="14"/>
    </row>
    <row r="8" spans="1:13" x14ac:dyDescent="0.25">
      <c r="B8" s="1" t="s">
        <v>3</v>
      </c>
      <c r="C8" s="7">
        <v>1233</v>
      </c>
      <c r="J8" s="2"/>
    </row>
    <row r="9" spans="1:13" ht="6" customHeight="1" x14ac:dyDescent="0.25">
      <c r="C9"/>
      <c r="J9" s="2"/>
    </row>
    <row r="10" spans="1:13" x14ac:dyDescent="0.25">
      <c r="B10" s="1" t="s">
        <v>4</v>
      </c>
      <c r="C10" s="7">
        <v>7179</v>
      </c>
      <c r="D10" s="4">
        <f t="shared" ref="D10:D16" si="1">C10/SUM($C$7+$C$17+$C$5)</f>
        <v>0.31615801294754919</v>
      </c>
      <c r="I10" s="1" t="s">
        <v>45</v>
      </c>
      <c r="J10" s="16">
        <f>SUM(K6:K7)</f>
        <v>0.65853658536585358</v>
      </c>
    </row>
    <row r="11" spans="1:13" x14ac:dyDescent="0.25">
      <c r="B11" s="1" t="s">
        <v>5</v>
      </c>
      <c r="C11" s="7">
        <v>7436</v>
      </c>
      <c r="D11" s="4">
        <f t="shared" si="1"/>
        <v>0.32747610868895055</v>
      </c>
      <c r="E11" s="57">
        <f>D11+D12</f>
        <v>0.3671555027084159</v>
      </c>
      <c r="F11" s="42"/>
      <c r="G11" s="43"/>
      <c r="I11" s="1" t="s">
        <v>44</v>
      </c>
      <c r="J11" s="16">
        <f>K5</f>
        <v>0.34146341463414637</v>
      </c>
    </row>
    <row r="12" spans="1:13" x14ac:dyDescent="0.25">
      <c r="B12" s="1" t="s">
        <v>6</v>
      </c>
      <c r="C12" s="5">
        <v>901</v>
      </c>
      <c r="D12" s="4">
        <f t="shared" si="1"/>
        <v>3.967939401946536E-2</v>
      </c>
      <c r="E12" s="58"/>
      <c r="F12" s="44"/>
      <c r="G12" s="45"/>
    </row>
    <row r="13" spans="1:13" x14ac:dyDescent="0.25">
      <c r="B13" s="1" t="s">
        <v>7</v>
      </c>
      <c r="C13" s="7">
        <v>2209</v>
      </c>
      <c r="D13" s="4">
        <f t="shared" si="1"/>
        <v>9.7282776236402871E-2</v>
      </c>
      <c r="E13" s="57">
        <f>D13+D14</f>
        <v>0.12973972783723081</v>
      </c>
    </row>
    <row r="14" spans="1:13" x14ac:dyDescent="0.25">
      <c r="B14" s="1" t="s">
        <v>8</v>
      </c>
      <c r="C14" s="5">
        <v>737</v>
      </c>
      <c r="D14" s="4">
        <f t="shared" si="1"/>
        <v>3.2456951600827941E-2</v>
      </c>
      <c r="E14" s="58"/>
    </row>
    <row r="15" spans="1:13" x14ac:dyDescent="0.25">
      <c r="B15" s="1" t="s">
        <v>9</v>
      </c>
      <c r="C15" s="7">
        <v>1020</v>
      </c>
      <c r="D15" s="4">
        <f t="shared" si="1"/>
        <v>4.492006870128154E-2</v>
      </c>
    </row>
    <row r="16" spans="1:13" x14ac:dyDescent="0.25">
      <c r="B16" s="1" t="s">
        <v>10</v>
      </c>
      <c r="C16" s="7">
        <v>1992</v>
      </c>
      <c r="D16" s="4">
        <f t="shared" si="1"/>
        <v>8.7726251816620429E-2</v>
      </c>
    </row>
    <row r="17" spans="1:14" x14ac:dyDescent="0.25">
      <c r="B17" s="1" t="s">
        <v>11</v>
      </c>
      <c r="C17" s="7">
        <v>21474</v>
      </c>
    </row>
    <row r="19" spans="1:14" x14ac:dyDescent="0.25">
      <c r="A19" s="17" t="s">
        <v>49</v>
      </c>
      <c r="I19" s="17" t="s">
        <v>50</v>
      </c>
    </row>
    <row r="20" spans="1:14" ht="33" customHeight="1" x14ac:dyDescent="0.25">
      <c r="D20" s="25" t="s">
        <v>20</v>
      </c>
      <c r="E20" s="25" t="s">
        <v>19</v>
      </c>
      <c r="F20" s="26" t="s">
        <v>22</v>
      </c>
      <c r="G20" s="26" t="s">
        <v>21</v>
      </c>
      <c r="I20" s="26" t="s">
        <v>34</v>
      </c>
      <c r="J20" s="26" t="s">
        <v>21</v>
      </c>
      <c r="K20" t="s">
        <v>35</v>
      </c>
      <c r="L20" s="2" t="s">
        <v>47</v>
      </c>
    </row>
    <row r="21" spans="1:14" x14ac:dyDescent="0.25">
      <c r="B21" s="10" t="s">
        <v>55</v>
      </c>
      <c r="C21" s="39">
        <v>50</v>
      </c>
      <c r="D21" s="46">
        <f>C21/(SUM($C$21:$C$33)-$C$25-$C$22)</f>
        <v>6.3856960408684549E-2</v>
      </c>
      <c r="E21" s="47">
        <f>D5</f>
        <v>2.3913330690976353E-2</v>
      </c>
      <c r="F21" s="48">
        <f>E21/D21</f>
        <v>0.37448275862068969</v>
      </c>
      <c r="G21" s="49">
        <f>C21*F21</f>
        <v>18.724137931034484</v>
      </c>
      <c r="I21" s="10" t="s">
        <v>27</v>
      </c>
      <c r="J21" s="11">
        <v>215</v>
      </c>
    </row>
    <row r="22" spans="1:14" x14ac:dyDescent="0.25">
      <c r="B22" s="38" t="s">
        <v>56</v>
      </c>
      <c r="C22" s="39">
        <f>SUM(C23:C24)</f>
        <v>125</v>
      </c>
      <c r="D22" s="46">
        <f t="shared" ref="D22:D27" si="2">C22/(SUM($C$21:$C$33)-$C$25-$C$22)</f>
        <v>0.15964240102171137</v>
      </c>
      <c r="E22" s="50">
        <f>D7</f>
        <v>3.0387105297925751E-2</v>
      </c>
      <c r="F22" s="12">
        <f>E22/D22</f>
        <v>0.19034482758620691</v>
      </c>
      <c r="G22" s="11">
        <f t="shared" ref="G22:G30" si="3">C22*F22</f>
        <v>23.793103448275865</v>
      </c>
      <c r="I22" s="10" t="s">
        <v>28</v>
      </c>
      <c r="J22" s="11">
        <v>45</v>
      </c>
      <c r="K22" s="13">
        <f>J22/SUM($J$22:$J$27)</f>
        <v>8.3487940630797772E-2</v>
      </c>
    </row>
    <row r="23" spans="1:14" x14ac:dyDescent="0.25">
      <c r="B23" s="37" t="s">
        <v>57</v>
      </c>
      <c r="C23" s="39">
        <v>80</v>
      </c>
      <c r="D23" s="46">
        <f t="shared" si="2"/>
        <v>0.10217113665389528</v>
      </c>
      <c r="E23" s="47">
        <f>F7</f>
        <v>2.0258070198617167E-2</v>
      </c>
      <c r="F23" s="48">
        <f>E23/D23</f>
        <v>0.19827586206896552</v>
      </c>
      <c r="G23" s="49">
        <f t="shared" si="3"/>
        <v>15.862068965517242</v>
      </c>
      <c r="I23" s="21" t="s">
        <v>29</v>
      </c>
      <c r="J23" s="11">
        <v>80</v>
      </c>
      <c r="K23" s="13">
        <f t="shared" ref="K23:K27" si="4">J23/SUM($J$22:$J$27)</f>
        <v>0.14842300556586271</v>
      </c>
    </row>
    <row r="24" spans="1:14" x14ac:dyDescent="0.25">
      <c r="B24" s="37" t="s">
        <v>58</v>
      </c>
      <c r="C24" s="39">
        <v>45</v>
      </c>
      <c r="D24" s="46">
        <f t="shared" si="2"/>
        <v>5.7471264367816091E-2</v>
      </c>
      <c r="E24" s="47">
        <f>E7</f>
        <v>1.0129035099308584E-2</v>
      </c>
      <c r="F24" s="48">
        <f>E24/D24</f>
        <v>0.17624521072796936</v>
      </c>
      <c r="G24" s="49">
        <f t="shared" si="3"/>
        <v>7.931034482758621</v>
      </c>
      <c r="I24" s="19" t="s">
        <v>30</v>
      </c>
      <c r="J24" s="20">
        <v>137</v>
      </c>
      <c r="K24" s="23">
        <f>J24/SUM($J$22:$J$27)</f>
        <v>0.25417439703153988</v>
      </c>
      <c r="L24" s="23">
        <f>K24/SUM($K$24:$K$26)</f>
        <v>0.39941690962099125</v>
      </c>
    </row>
    <row r="25" spans="1:14" x14ac:dyDescent="0.25">
      <c r="B25" s="38" t="s">
        <v>12</v>
      </c>
      <c r="C25" s="39">
        <f>SUM(C26:C27)</f>
        <v>158</v>
      </c>
      <c r="D25" s="46">
        <f t="shared" si="2"/>
        <v>0.20178799489144317</v>
      </c>
      <c r="E25" s="50">
        <f>D16</f>
        <v>8.7726251816620429E-2</v>
      </c>
      <c r="F25" s="12">
        <f>E25/D25</f>
        <v>0.43474465298996073</v>
      </c>
      <c r="G25" s="11">
        <f t="shared" si="3"/>
        <v>68.689655172413794</v>
      </c>
      <c r="I25" s="19" t="s">
        <v>31</v>
      </c>
      <c r="J25" s="20">
        <v>133</v>
      </c>
      <c r="K25" s="23">
        <f t="shared" si="4"/>
        <v>0.24675324675324675</v>
      </c>
      <c r="L25" s="23">
        <f t="shared" ref="L25:L26" si="5">K25/SUM($K$24:$K$26)</f>
        <v>0.38775510204081631</v>
      </c>
    </row>
    <row r="26" spans="1:14" x14ac:dyDescent="0.25">
      <c r="B26" s="37" t="s">
        <v>59</v>
      </c>
      <c r="C26" s="39">
        <v>102</v>
      </c>
      <c r="D26" s="46">
        <f t="shared" si="2"/>
        <v>0.13026819923371646</v>
      </c>
      <c r="E26" s="47">
        <f>(71.0526315789475%)*$E$25</f>
        <v>6.2331810501283051E-2</v>
      </c>
      <c r="F26" s="48">
        <f t="shared" ref="F26:F27" si="6">E26/D26</f>
        <v>0.47848831002455522</v>
      </c>
      <c r="G26" s="49">
        <f t="shared" si="3"/>
        <v>48.805807622504631</v>
      </c>
      <c r="I26" s="19" t="s">
        <v>32</v>
      </c>
      <c r="J26" s="20">
        <v>73</v>
      </c>
      <c r="K26" s="23">
        <f t="shared" si="4"/>
        <v>0.13543599257884972</v>
      </c>
      <c r="L26" s="23">
        <f t="shared" si="5"/>
        <v>0.21282798833819241</v>
      </c>
    </row>
    <row r="27" spans="1:14" x14ac:dyDescent="0.25">
      <c r="B27" s="37" t="s">
        <v>60</v>
      </c>
      <c r="C27" s="39">
        <v>56</v>
      </c>
      <c r="D27" s="46">
        <f t="shared" si="2"/>
        <v>7.151979565772669E-2</v>
      </c>
      <c r="E27" s="47">
        <f>(28.9473684210527%)*$E$25</f>
        <v>2.5394441315337551E-2</v>
      </c>
      <c r="F27" s="48">
        <f t="shared" si="6"/>
        <v>0.35506870624838044</v>
      </c>
      <c r="G27" s="49">
        <f t="shared" si="3"/>
        <v>19.883847549909305</v>
      </c>
      <c r="I27" s="22" t="s">
        <v>33</v>
      </c>
      <c r="J27" s="11">
        <v>71</v>
      </c>
      <c r="K27" s="13">
        <f t="shared" si="4"/>
        <v>0.13172541743970315</v>
      </c>
    </row>
    <row r="28" spans="1:14" x14ac:dyDescent="0.25">
      <c r="B28" s="10" t="s">
        <v>13</v>
      </c>
      <c r="C28" s="39">
        <v>115</v>
      </c>
      <c r="D28" s="59">
        <f>SUM(C28:C29)/(SUM($C$21:$C$33)-$C$25-$C$22)</f>
        <v>0.27330779054916987</v>
      </c>
      <c r="E28" s="61">
        <f>E13</f>
        <v>0.12973972783723081</v>
      </c>
      <c r="F28" s="48">
        <f>(E28/D28)</f>
        <v>0.47470190138575569</v>
      </c>
      <c r="G28" s="49">
        <f t="shared" si="3"/>
        <v>54.590718659361904</v>
      </c>
    </row>
    <row r="29" spans="1:14" x14ac:dyDescent="0.25">
      <c r="B29" s="10" t="s">
        <v>14</v>
      </c>
      <c r="C29" s="39">
        <v>99</v>
      </c>
      <c r="D29" s="60"/>
      <c r="E29" s="62"/>
      <c r="F29" s="48">
        <f>(E28/D28)</f>
        <v>0.47470190138575569</v>
      </c>
      <c r="G29" s="49">
        <f t="shared" si="3"/>
        <v>46.995488237189811</v>
      </c>
      <c r="I29" s="17" t="s">
        <v>51</v>
      </c>
      <c r="J29" s="30" t="s">
        <v>35</v>
      </c>
      <c r="K29" s="30" t="s">
        <v>36</v>
      </c>
      <c r="L29" s="30" t="s">
        <v>52</v>
      </c>
    </row>
    <row r="30" spans="1:14" x14ac:dyDescent="0.25">
      <c r="B30" s="10" t="s">
        <v>15</v>
      </c>
      <c r="C30" s="39">
        <v>41</v>
      </c>
      <c r="D30" s="46">
        <f>C30/(SUM($C$21:$C$33)-$C$25-$C$22)</f>
        <v>5.2362707535121331E-2</v>
      </c>
      <c r="E30" s="47">
        <f>D15</f>
        <v>4.492006870128154E-2</v>
      </c>
      <c r="F30" s="48">
        <f>E30/D30</f>
        <v>0.85786375105130352</v>
      </c>
      <c r="G30" s="49">
        <f t="shared" si="3"/>
        <v>35.172413793103445</v>
      </c>
      <c r="I30" s="28" t="s">
        <v>25</v>
      </c>
      <c r="J30" s="9">
        <f>SUM(L25,L26)</f>
        <v>0.6005830903790087</v>
      </c>
      <c r="K30" s="9">
        <f>J10</f>
        <v>0.65853658536585358</v>
      </c>
      <c r="L30" s="29">
        <f>K30/J30</f>
        <v>1.0964953824295525</v>
      </c>
      <c r="N30" s="18"/>
    </row>
    <row r="31" spans="1:14" x14ac:dyDescent="0.25">
      <c r="B31" s="10" t="s">
        <v>16</v>
      </c>
      <c r="C31" s="39">
        <v>48</v>
      </c>
      <c r="D31" s="63">
        <f>SUM(C31:C32)/(SUM(C21:C33)-C22-C25)</f>
        <v>0.18263090676883781</v>
      </c>
      <c r="E31" s="61">
        <f>E11</f>
        <v>0.3671555027084159</v>
      </c>
      <c r="F31" s="48">
        <f>E31/D31</f>
        <v>2.0103689414034243</v>
      </c>
      <c r="G31" s="49">
        <f>C31*F31</f>
        <v>96.497709187364364</v>
      </c>
      <c r="I31" s="28" t="s">
        <v>24</v>
      </c>
      <c r="J31" s="9">
        <f>L24</f>
        <v>0.39941690962099125</v>
      </c>
      <c r="K31" s="9">
        <f>J11</f>
        <v>0.34146341463414637</v>
      </c>
      <c r="L31" s="29">
        <f>K31/J31</f>
        <v>0.85490475342709638</v>
      </c>
      <c r="N31" s="18"/>
    </row>
    <row r="32" spans="1:14" x14ac:dyDescent="0.25">
      <c r="B32" s="10" t="s">
        <v>17</v>
      </c>
      <c r="C32" s="39">
        <v>95</v>
      </c>
      <c r="D32" s="64"/>
      <c r="E32" s="62"/>
      <c r="F32" s="48">
        <f>E31/D31</f>
        <v>2.0103689414034243</v>
      </c>
      <c r="G32" s="49">
        <f>C32*F32</f>
        <v>190.98504943332532</v>
      </c>
    </row>
    <row r="33" spans="1:9" x14ac:dyDescent="0.25">
      <c r="B33" s="10" t="s">
        <v>18</v>
      </c>
      <c r="C33" s="39">
        <v>52</v>
      </c>
      <c r="D33" s="46">
        <f>C33/(SUM($C$21:$C$33)-$C$25-$C$22)</f>
        <v>6.6411238825031929E-2</v>
      </c>
      <c r="E33" s="47">
        <f>D10</f>
        <v>0.31615801294754919</v>
      </c>
      <c r="F33" s="48">
        <f>E33/D33</f>
        <v>4.7606100795755966</v>
      </c>
      <c r="G33" s="49">
        <f>C33*F33</f>
        <v>247.55172413793102</v>
      </c>
    </row>
    <row r="37" spans="1:9" x14ac:dyDescent="0.25">
      <c r="C37" s="39"/>
      <c r="D37" s="36"/>
      <c r="E37" s="35"/>
      <c r="F37" s="36"/>
      <c r="G37" s="35"/>
      <c r="H37" s="13"/>
    </row>
    <row r="38" spans="1:9" x14ac:dyDescent="0.25">
      <c r="D38" s="36"/>
      <c r="E38" s="35"/>
      <c r="F38" s="36"/>
      <c r="G38" s="35"/>
      <c r="H38" s="13"/>
    </row>
    <row r="39" spans="1:9" x14ac:dyDescent="0.25">
      <c r="A39" s="31" t="s">
        <v>53</v>
      </c>
      <c r="F39" s="36"/>
      <c r="G39" s="35"/>
      <c r="H39" s="13"/>
    </row>
    <row r="42" spans="1:9" ht="30" x14ac:dyDescent="0.25">
      <c r="C42" s="26" t="s">
        <v>22</v>
      </c>
      <c r="D42" s="26" t="s">
        <v>21</v>
      </c>
    </row>
    <row r="43" spans="1:9" x14ac:dyDescent="0.25">
      <c r="A43">
        <v>1</v>
      </c>
      <c r="B43" s="1" t="str">
        <f>B21</f>
        <v>Type 1 - Pump</v>
      </c>
      <c r="C43" s="51">
        <f>F21</f>
        <v>0.37448275862068969</v>
      </c>
      <c r="D43" s="11">
        <f>C43*C21</f>
        <v>18.724137931034484</v>
      </c>
      <c r="E43" s="52"/>
      <c r="I43" s="41"/>
    </row>
    <row r="44" spans="1:9" x14ac:dyDescent="0.25">
      <c r="B44" s="1" t="s">
        <v>56</v>
      </c>
      <c r="C44" s="54"/>
      <c r="D44" s="54"/>
      <c r="E44" s="52"/>
      <c r="I44" s="41"/>
    </row>
    <row r="45" spans="1:9" x14ac:dyDescent="0.25">
      <c r="A45">
        <v>2</v>
      </c>
      <c r="B45" s="10" t="str">
        <f>B23</f>
        <v xml:space="preserve">   Type 1 - Controlled</v>
      </c>
      <c r="C45" s="12">
        <f>F23</f>
        <v>0.19827586206896552</v>
      </c>
      <c r="D45" s="11">
        <f>C45*C23</f>
        <v>15.862068965517242</v>
      </c>
      <c r="E45" s="52"/>
      <c r="I45" s="41"/>
    </row>
    <row r="46" spans="1:9" x14ac:dyDescent="0.25">
      <c r="A46">
        <v>3</v>
      </c>
      <c r="B46" s="10" t="str">
        <f>B24</f>
        <v xml:space="preserve">   Type 1 - Uncontrolled</v>
      </c>
      <c r="C46" s="12">
        <f>F24</f>
        <v>0.17624521072796936</v>
      </c>
      <c r="D46" s="11">
        <f>C46*C24</f>
        <v>7.931034482758621</v>
      </c>
      <c r="E46" s="52"/>
      <c r="I46" s="41"/>
    </row>
    <row r="47" spans="1:9" x14ac:dyDescent="0.25">
      <c r="B47" s="1" t="s">
        <v>61</v>
      </c>
      <c r="C47" s="54"/>
      <c r="D47" s="54"/>
      <c r="E47" s="53"/>
      <c r="I47" s="41"/>
    </row>
    <row r="48" spans="1:9" x14ac:dyDescent="0.25">
      <c r="A48">
        <v>10</v>
      </c>
      <c r="B48" s="10" t="str">
        <f>B26</f>
        <v xml:space="preserve">   Type 2 - Insulin - Basal + Bolus - Controlled</v>
      </c>
      <c r="C48" s="40">
        <f>F26</f>
        <v>0.47848831002455522</v>
      </c>
      <c r="D48" s="11">
        <f t="shared" ref="D48:D55" si="7">C48*C26</f>
        <v>48.805807622504631</v>
      </c>
      <c r="E48" s="52"/>
      <c r="I48" s="41"/>
    </row>
    <row r="49" spans="1:9" x14ac:dyDescent="0.25">
      <c r="A49">
        <v>11</v>
      </c>
      <c r="B49" s="10" t="str">
        <f>B27</f>
        <v xml:space="preserve">   Type 2 - Insulin - Basal + Bolus - Uncontrolled</v>
      </c>
      <c r="C49" s="40">
        <f>F27</f>
        <v>0.35506870624838044</v>
      </c>
      <c r="D49" s="11">
        <f t="shared" si="7"/>
        <v>19.883847549909305</v>
      </c>
      <c r="E49" s="52"/>
      <c r="I49" s="41"/>
    </row>
    <row r="50" spans="1:9" x14ac:dyDescent="0.25">
      <c r="A50">
        <v>7</v>
      </c>
      <c r="B50" s="10" t="s">
        <v>13</v>
      </c>
      <c r="C50" s="24">
        <f>F28*L30</f>
        <v>0.52050844290000986</v>
      </c>
      <c r="D50" s="11">
        <f t="shared" si="7"/>
        <v>59.858470933501131</v>
      </c>
      <c r="E50" s="52"/>
      <c r="I50" s="41"/>
    </row>
    <row r="51" spans="1:9" x14ac:dyDescent="0.25">
      <c r="A51">
        <v>8</v>
      </c>
      <c r="B51" s="10" t="s">
        <v>14</v>
      </c>
      <c r="C51" s="24">
        <f>F29*L31</f>
        <v>0.40582491195556331</v>
      </c>
      <c r="D51" s="11">
        <f t="shared" si="7"/>
        <v>40.176666283600767</v>
      </c>
      <c r="E51" s="52"/>
      <c r="I51" s="41"/>
    </row>
    <row r="52" spans="1:9" x14ac:dyDescent="0.25">
      <c r="A52">
        <v>9</v>
      </c>
      <c r="B52" s="10" t="s">
        <v>15</v>
      </c>
      <c r="C52" s="12">
        <f>F30</f>
        <v>0.85786375105130352</v>
      </c>
      <c r="D52" s="11">
        <f t="shared" si="7"/>
        <v>35.172413793103445</v>
      </c>
      <c r="E52" s="52"/>
      <c r="I52" s="41"/>
    </row>
    <row r="53" spans="1:9" x14ac:dyDescent="0.25">
      <c r="A53">
        <v>5</v>
      </c>
      <c r="B53" s="10" t="s">
        <v>16</v>
      </c>
      <c r="C53" s="12">
        <f>F31</f>
        <v>2.0103689414034243</v>
      </c>
      <c r="D53" s="11">
        <f t="shared" si="7"/>
        <v>96.497709187364364</v>
      </c>
      <c r="E53" s="52"/>
    </row>
    <row r="54" spans="1:9" x14ac:dyDescent="0.25">
      <c r="A54">
        <v>6</v>
      </c>
      <c r="B54" s="10" t="s">
        <v>17</v>
      </c>
      <c r="C54" s="12">
        <f>F32</f>
        <v>2.0103689414034243</v>
      </c>
      <c r="D54" s="11">
        <f t="shared" si="7"/>
        <v>190.98504943332532</v>
      </c>
      <c r="E54" s="52"/>
    </row>
    <row r="55" spans="1:9" x14ac:dyDescent="0.25">
      <c r="A55">
        <v>4</v>
      </c>
      <c r="B55" s="10" t="s">
        <v>18</v>
      </c>
      <c r="C55" s="12">
        <f>F33</f>
        <v>4.7606100795755966</v>
      </c>
      <c r="D55" s="11">
        <f t="shared" si="7"/>
        <v>247.55172413793102</v>
      </c>
      <c r="E55" s="52"/>
    </row>
  </sheetData>
  <mergeCells count="9">
    <mergeCell ref="C44:D44"/>
    <mergeCell ref="C47:D47"/>
    <mergeCell ref="I2:J2"/>
    <mergeCell ref="E11:E12"/>
    <mergeCell ref="E13:E14"/>
    <mergeCell ref="D28:D29"/>
    <mergeCell ref="E28:E29"/>
    <mergeCell ref="D31:D32"/>
    <mergeCell ref="E31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Xu</dc:creator>
  <cp:lastModifiedBy>parthasarathy</cp:lastModifiedBy>
  <dcterms:created xsi:type="dcterms:W3CDTF">2015-03-03T22:33:49Z</dcterms:created>
  <dcterms:modified xsi:type="dcterms:W3CDTF">2018-01-03T11:30:06Z</dcterms:modified>
</cp:coreProperties>
</file>