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50" firstSheet="1" activeTab="6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Sheet1" sheetId="8" r:id="rId8"/>
    <sheet name="9" sheetId="9" r:id="rId9"/>
    <sheet name="10(Color)" sheetId="10" r:id="rId10"/>
    <sheet name="10(warehouses)" sheetId="11" r:id="rId11"/>
    <sheet name="10(level)" sheetId="12" r:id="rId12"/>
    <sheet name="11" sheetId="13" r:id="rId13"/>
    <sheet name="12" sheetId="14" r:id="rId14"/>
    <sheet name="13" sheetId="16" r:id="rId15"/>
    <sheet name="14" sheetId="17" r:id="rId16"/>
    <sheet name="15" sheetId="18" r:id="rId17"/>
    <sheet name="16" sheetId="19" r:id="rId18"/>
    <sheet name="17 &amp; 18" sheetId="15" r:id="rId19"/>
    <sheet name="19" sheetId="20" r:id="rId20"/>
    <sheet name="20" sheetId="21" r:id="rId21"/>
    <sheet name="21" sheetId="22" r:id="rId22"/>
  </sheets>
  <externalReferences>
    <externalReference r:id="rId23"/>
  </externalReferences>
  <definedNames>
    <definedName name="_xlnm._FilterDatabase" localSheetId="9" hidden="1">'10(Color)'!$A$1:$D$1</definedName>
    <definedName name="_xlnm._FilterDatabase" localSheetId="11" hidden="1">'10(level)'!$A$1:$D$1</definedName>
    <definedName name="_xlnm._FilterDatabase" localSheetId="10" hidden="1">'10(warehouses)'!$A$1:$D$1</definedName>
    <definedName name="_xlnm._FilterDatabase" localSheetId="1" hidden="1">'3'!$A$5:$K$20</definedName>
    <definedName name="_xlnm._FilterDatabase" localSheetId="8" hidden="1">'10(Color)'!$A$1:$D$1</definedName>
    <definedName name="_xlchart.0" hidden="1">'13'!$A$2:$Y$2</definedName>
    <definedName name="_xlchart.1" hidden="1">'13'!$A$3:$Y$3</definedName>
    <definedName name="_xlchart.2" hidden="1">'13'!$A$6:$Y$6</definedName>
    <definedName name="_xlchart.3" hidden="1">'13'!$A$7:$Y$7</definedName>
    <definedName name="_xlchart.4" hidden="1">[1]Sheet1!$J$11:$J$15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7" l="1"/>
  <c r="D7" i="18" l="1"/>
  <c r="D8" i="18"/>
  <c r="C7" i="18"/>
  <c r="B7" i="18"/>
  <c r="C8" i="18"/>
  <c r="B8" i="18"/>
  <c r="G24" i="20"/>
  <c r="G22" i="20"/>
  <c r="G20" i="20"/>
  <c r="G18" i="20"/>
  <c r="G16" i="20"/>
  <c r="F9" i="20"/>
  <c r="F7" i="20"/>
  <c r="C24" i="19"/>
  <c r="B21" i="19"/>
  <c r="B19" i="19"/>
  <c r="B16" i="19"/>
  <c r="C13" i="19"/>
  <c r="C11" i="19"/>
  <c r="C9" i="19"/>
  <c r="C6" i="19"/>
  <c r="C4" i="19"/>
  <c r="E5" i="18"/>
  <c r="C14" i="17"/>
  <c r="C12" i="17"/>
  <c r="C10" i="17"/>
  <c r="B22" i="16" l="1"/>
  <c r="C22" i="16"/>
  <c r="C17" i="16"/>
  <c r="B17" i="16"/>
  <c r="C12" i="16"/>
  <c r="B12" i="16"/>
  <c r="F25" i="15"/>
  <c r="F24" i="15"/>
  <c r="F23" i="15"/>
  <c r="F12" i="15" s="1"/>
  <c r="F22" i="15"/>
  <c r="F21" i="15"/>
  <c r="F20" i="15"/>
  <c r="F19" i="15"/>
  <c r="F18" i="15"/>
  <c r="F17" i="15"/>
  <c r="F16" i="15"/>
  <c r="I15" i="15"/>
  <c r="K15" i="15" s="1"/>
  <c r="F15" i="15"/>
  <c r="I14" i="15"/>
  <c r="K13" i="15" s="1"/>
  <c r="F14" i="15"/>
  <c r="I13" i="15"/>
  <c r="F13" i="15"/>
  <c r="K12" i="15"/>
  <c r="I12" i="15"/>
  <c r="K11" i="15"/>
  <c r="I11" i="15"/>
  <c r="F11" i="15"/>
  <c r="K14" i="15" l="1"/>
  <c r="D20" i="14" l="1"/>
  <c r="D17" i="14"/>
  <c r="I13" i="14"/>
  <c r="D14" i="14"/>
  <c r="D12" i="14"/>
  <c r="D10" i="14"/>
  <c r="D18" i="13"/>
  <c r="D16" i="13"/>
  <c r="D13" i="13"/>
  <c r="D11" i="13"/>
  <c r="H33" i="9"/>
  <c r="H32" i="9"/>
  <c r="B56" i="12"/>
  <c r="B55" i="12"/>
  <c r="B44" i="12"/>
  <c r="B33" i="12"/>
  <c r="B22" i="12"/>
  <c r="B11" i="12"/>
  <c r="D56" i="11"/>
  <c r="C56" i="11"/>
  <c r="D55" i="11"/>
  <c r="C55" i="11"/>
  <c r="D44" i="11"/>
  <c r="C44" i="11"/>
  <c r="D33" i="11"/>
  <c r="C33" i="11"/>
  <c r="D22" i="11"/>
  <c r="C22" i="11"/>
  <c r="D11" i="11"/>
  <c r="C11" i="11"/>
  <c r="D56" i="10"/>
  <c r="D55" i="10"/>
  <c r="D44" i="10"/>
  <c r="D33" i="10"/>
  <c r="D22" i="10"/>
  <c r="D11" i="10"/>
  <c r="G17" i="9"/>
  <c r="G15" i="9"/>
  <c r="G14" i="9"/>
  <c r="G12" i="9"/>
  <c r="H16" i="9" l="1"/>
  <c r="C2" i="8"/>
  <c r="C3" i="8" s="1"/>
  <c r="C4" i="8" s="1"/>
  <c r="C5" i="8" s="1"/>
  <c r="C6" i="8" s="1"/>
  <c r="C7" i="8" s="1"/>
  <c r="C8" i="8" s="1"/>
  <c r="C9" i="8" s="1"/>
  <c r="C10" i="8" s="1"/>
  <c r="C11" i="8" s="1"/>
  <c r="C12" i="8" s="1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L35" i="1" l="1"/>
  <c r="L36" i="1"/>
  <c r="L37" i="1"/>
  <c r="L38" i="1"/>
  <c r="L39" i="1"/>
  <c r="L40" i="1"/>
  <c r="L41" i="1"/>
  <c r="L42" i="1"/>
  <c r="L43" i="1"/>
  <c r="L34" i="1"/>
  <c r="I32" i="4"/>
  <c r="G13" i="2"/>
  <c r="M13" i="7" l="1"/>
  <c r="M15" i="7" s="1"/>
  <c r="M16" i="7" s="1"/>
  <c r="M17" i="7" s="1"/>
  <c r="M18" i="7" s="1"/>
  <c r="M19" i="7" s="1"/>
  <c r="M20" i="7" s="1"/>
  <c r="M21" i="7" s="1"/>
  <c r="M22" i="7" s="1"/>
  <c r="M23" i="7" s="1"/>
  <c r="L26" i="7"/>
  <c r="I14" i="7"/>
  <c r="I13" i="7"/>
  <c r="K13" i="7" s="1"/>
  <c r="F20" i="5"/>
  <c r="D32" i="4" a="1"/>
  <c r="D32" i="4" s="1"/>
  <c r="I33" i="4"/>
  <c r="I43" i="4" s="1"/>
  <c r="I34" i="4"/>
  <c r="I35" i="4"/>
  <c r="I36" i="4"/>
  <c r="I37" i="4"/>
  <c r="I38" i="4"/>
  <c r="I39" i="4"/>
  <c r="I40" i="4"/>
  <c r="I41" i="4"/>
  <c r="D31" i="4"/>
  <c r="D27" i="4"/>
  <c r="D26" i="4"/>
  <c r="D22" i="4"/>
  <c r="D21" i="4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31" i="1"/>
  <c r="L30" i="1"/>
  <c r="K24" i="1"/>
  <c r="L29" i="1"/>
  <c r="K26" i="1"/>
  <c r="K25" i="1"/>
  <c r="L23" i="1"/>
  <c r="K23" i="1"/>
  <c r="I16" i="2"/>
  <c r="D17" i="2"/>
  <c r="C20" i="6"/>
  <c r="C16" i="6"/>
  <c r="C18" i="6"/>
  <c r="C14" i="6"/>
  <c r="C11" i="6"/>
  <c r="C18" i="5"/>
  <c r="C16" i="5"/>
  <c r="C14" i="5"/>
  <c r="C11" i="5"/>
  <c r="I42" i="4" l="1"/>
  <c r="I44" i="4" s="1"/>
  <c r="K14" i="7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I17" i="7"/>
  <c r="H18" i="1"/>
  <c r="E14" i="4"/>
  <c r="E15" i="4" l="1"/>
  <c r="E13" i="4"/>
  <c r="E12" i="4"/>
  <c r="F9" i="3"/>
  <c r="F8" i="3"/>
  <c r="F10" i="3"/>
  <c r="F7" i="3"/>
  <c r="F6" i="3"/>
  <c r="F5" i="3"/>
  <c r="D20" i="2"/>
  <c r="D19" i="2"/>
  <c r="D18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</calcChain>
</file>

<file path=xl/sharedStrings.xml><?xml version="1.0" encoding="utf-8"?>
<sst xmlns="http://schemas.openxmlformats.org/spreadsheetml/2006/main" count="627" uniqueCount="268">
  <si>
    <t>Supplier</t>
  </si>
  <si>
    <t>Order No</t>
  </si>
  <si>
    <t>Item No</t>
  </si>
  <si>
    <t>Item Descrpition</t>
  </si>
  <si>
    <t>Hulkey Fasteners</t>
  </si>
  <si>
    <t>Alum Sheeting</t>
  </si>
  <si>
    <t>Fast_Tie Aerospace</t>
  </si>
  <si>
    <t>Steelpin Inc</t>
  </si>
  <si>
    <t>Durrable Products</t>
  </si>
  <si>
    <t>Aug11001</t>
  </si>
  <si>
    <t>Aug11002</t>
  </si>
  <si>
    <t>Aug11003</t>
  </si>
  <si>
    <t>Aug11004</t>
  </si>
  <si>
    <t>Aug11005</t>
  </si>
  <si>
    <t>Aug11006</t>
  </si>
  <si>
    <t>Aug11007</t>
  </si>
  <si>
    <t>Aug11008</t>
  </si>
  <si>
    <t>Aug11009</t>
  </si>
  <si>
    <t>Aug11010</t>
  </si>
  <si>
    <t>Aug11011</t>
  </si>
  <si>
    <t>Aug11012</t>
  </si>
  <si>
    <t>Aug11013</t>
  </si>
  <si>
    <t>Aug11014</t>
  </si>
  <si>
    <t>Sep11001</t>
  </si>
  <si>
    <t>Airframe fasterners</t>
  </si>
  <si>
    <t>Shielded Cable/ft</t>
  </si>
  <si>
    <t>Bolt-nut package</t>
  </si>
  <si>
    <t>Pressure Gauge</t>
  </si>
  <si>
    <t>O-Ring</t>
  </si>
  <si>
    <t>Electrical Connector</t>
  </si>
  <si>
    <t>Hatch Decal</t>
  </si>
  <si>
    <t>Item Cost</t>
  </si>
  <si>
    <t>Quantity</t>
  </si>
  <si>
    <t>Cost per order</t>
  </si>
  <si>
    <t>A/P Terms(Months)</t>
  </si>
  <si>
    <t>Order Date</t>
  </si>
  <si>
    <t>Arrival Date</t>
  </si>
  <si>
    <t>Sno</t>
  </si>
  <si>
    <t>Purchase Order Data</t>
  </si>
  <si>
    <t>sno</t>
  </si>
  <si>
    <t>Number(integer)</t>
  </si>
  <si>
    <t>Text</t>
  </si>
  <si>
    <t>Text(alphanumeric)</t>
  </si>
  <si>
    <t>Number(currenmcy)</t>
  </si>
  <si>
    <t>Date</t>
  </si>
  <si>
    <t>Data Type</t>
  </si>
  <si>
    <t>Object</t>
  </si>
  <si>
    <t>Mobil Loyalty Incntives</t>
  </si>
  <si>
    <t>Incntives</t>
  </si>
  <si>
    <t>max</t>
  </si>
  <si>
    <t>min</t>
  </si>
  <si>
    <t>II Max</t>
  </si>
  <si>
    <t>II Min</t>
  </si>
  <si>
    <t>Name</t>
  </si>
  <si>
    <t>Type 1</t>
  </si>
  <si>
    <t>Type 2</t>
  </si>
  <si>
    <t>Total Stats</t>
  </si>
  <si>
    <t>Mankey</t>
  </si>
  <si>
    <t>Poliwrath</t>
  </si>
  <si>
    <t>Victreebel</t>
  </si>
  <si>
    <t>Tentacool</t>
  </si>
  <si>
    <t>Magneton</t>
  </si>
  <si>
    <t>Dewgong</t>
  </si>
  <si>
    <t>Cloyster</t>
  </si>
  <si>
    <t>Onix</t>
  </si>
  <si>
    <t>Dragonair</t>
  </si>
  <si>
    <t>Pidgotto</t>
  </si>
  <si>
    <t>Rattata</t>
  </si>
  <si>
    <t>Beedrill</t>
  </si>
  <si>
    <t>Duduo</t>
  </si>
  <si>
    <t>Kingler</t>
  </si>
  <si>
    <t>Nidoqueen</t>
  </si>
  <si>
    <t>Hitmonchan</t>
  </si>
  <si>
    <t>Charmelon</t>
  </si>
  <si>
    <t>Arbok</t>
  </si>
  <si>
    <t>Gastly</t>
  </si>
  <si>
    <t>Magikarp</t>
  </si>
  <si>
    <t>Fighting</t>
  </si>
  <si>
    <t>Water</t>
  </si>
  <si>
    <t>Grass</t>
  </si>
  <si>
    <t>Electric</t>
  </si>
  <si>
    <t>Rock</t>
  </si>
  <si>
    <t>Dragon</t>
  </si>
  <si>
    <t>Normal</t>
  </si>
  <si>
    <t>Bug</t>
  </si>
  <si>
    <t>Poison</t>
  </si>
  <si>
    <t>Fire</t>
  </si>
  <si>
    <t>ghost</t>
  </si>
  <si>
    <t>Steel</t>
  </si>
  <si>
    <t>Ice</t>
  </si>
  <si>
    <t>Ground</t>
  </si>
  <si>
    <t>Flying</t>
  </si>
  <si>
    <t>300-500</t>
  </si>
  <si>
    <t>&gt;300</t>
  </si>
  <si>
    <t>empty</t>
  </si>
  <si>
    <t>rows</t>
  </si>
  <si>
    <t>count</t>
  </si>
  <si>
    <t>Cost per Order</t>
  </si>
  <si>
    <t>40000-80000</t>
  </si>
  <si>
    <t>&lt;50000</t>
  </si>
  <si>
    <t>Pareto Principle</t>
  </si>
  <si>
    <t>Pareto Line</t>
  </si>
  <si>
    <t>Process or Chart Name:</t>
  </si>
  <si>
    <t>Type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</si>
  <si>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</si>
  <si>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</si>
  <si>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</si>
  <si>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</si>
  <si>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</si>
  <si>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</si>
  <si>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</si>
  <si>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</si>
  <si>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Wartprtle</t>
  </si>
  <si>
    <t>Blastoise</t>
  </si>
  <si>
    <t>Sum of Speed</t>
  </si>
  <si>
    <t>Sum of Speed-Grass</t>
  </si>
  <si>
    <t>Sum of Speed-fire</t>
  </si>
  <si>
    <t>Sum of Speed-Water</t>
  </si>
  <si>
    <t>Total Values</t>
  </si>
  <si>
    <t>&gt;50000(above)</t>
  </si>
  <si>
    <t>a</t>
  </si>
  <si>
    <t>b</t>
  </si>
  <si>
    <t>Avg Speed</t>
  </si>
  <si>
    <t>Avg Speed - Grass</t>
  </si>
  <si>
    <t>Avg Speed - Fire</t>
  </si>
  <si>
    <t>Avg Speed - Water</t>
  </si>
  <si>
    <t>avgifs</t>
  </si>
  <si>
    <t>second largest incentive</t>
  </si>
  <si>
    <t>e</t>
  </si>
  <si>
    <t>c</t>
  </si>
  <si>
    <t>d</t>
  </si>
  <si>
    <t>Smallest and largest quantity of any item ordered.</t>
  </si>
  <si>
    <t>Total order costs</t>
  </si>
  <si>
    <t>Average number of months per order for accounts payable</t>
  </si>
  <si>
    <t>Number of purchase orders placed in a month.</t>
  </si>
  <si>
    <t>for August</t>
  </si>
  <si>
    <t>a. Number of orders with A/P (accounts payable) terms shorter than 30 months</t>
  </si>
  <si>
    <t>b. Total cost of all Air Frame Fasteners</t>
  </si>
  <si>
    <t>c. Total cost of Air Frame Fasteners purchased from Alim Sheeting</t>
  </si>
  <si>
    <t>d. Duration between the order date and arrival date</t>
  </si>
  <si>
    <t>2. From the above table calculate the following:</t>
  </si>
  <si>
    <t>D.</t>
  </si>
  <si>
    <t>How many values are above average and what is the average of the cost of orders</t>
  </si>
  <si>
    <t>C.</t>
  </si>
  <si>
    <t>Average of the values greater than 50,000and also calculate the average values between 30,000 and 80,000.</t>
  </si>
  <si>
    <t>Average of the values less than 40,000and also calculate the average of the top ten values.</t>
  </si>
  <si>
    <t>top10</t>
  </si>
  <si>
    <t>avg</t>
  </si>
  <si>
    <t>total</t>
  </si>
  <si>
    <t>Sum of the values greater than 43 and below 78</t>
  </si>
  <si>
    <t>Frequency</t>
  </si>
  <si>
    <t>Cumulative</t>
  </si>
  <si>
    <t>BINs</t>
  </si>
  <si>
    <t>Bin Width</t>
  </si>
  <si>
    <t>e.List of the top five orders</t>
  </si>
  <si>
    <t>a bove 70"</t>
  </si>
  <si>
    <t>color</t>
  </si>
  <si>
    <t>size</t>
  </si>
  <si>
    <t>no of units warehouse1</t>
  </si>
  <si>
    <t>no of units warehouse2</t>
  </si>
  <si>
    <t>white</t>
  </si>
  <si>
    <t>Black</t>
  </si>
  <si>
    <t>Pink</t>
  </si>
  <si>
    <t>Green</t>
  </si>
  <si>
    <t>Beige</t>
  </si>
  <si>
    <t>1 80</t>
  </si>
  <si>
    <t>White-12</t>
  </si>
  <si>
    <t>warehouse1</t>
  </si>
  <si>
    <t>warehouse2</t>
  </si>
  <si>
    <t>Black-14</t>
  </si>
  <si>
    <t>Beige Total</t>
  </si>
  <si>
    <t>Black Total</t>
  </si>
  <si>
    <t>Green Total</t>
  </si>
  <si>
    <t>Pink Total</t>
  </si>
  <si>
    <t>white Total</t>
  </si>
  <si>
    <t>Grand Total</t>
  </si>
  <si>
    <t>11 e</t>
  </si>
  <si>
    <t>Mean</t>
  </si>
  <si>
    <t>&lt;50 Avg</t>
  </si>
  <si>
    <t>&gt;60</t>
  </si>
  <si>
    <t>Mobile Loyalty Incentives</t>
  </si>
  <si>
    <t>Meal costs at Center City Restaurants</t>
  </si>
  <si>
    <t>Median</t>
  </si>
  <si>
    <t>I Quartile</t>
  </si>
  <si>
    <t>III Quartile</t>
  </si>
  <si>
    <r>
      <t>35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</t>
    </r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</si>
  <si>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Decile</t>
    </r>
  </si>
  <si>
    <t>IQR</t>
  </si>
  <si>
    <t>room price</t>
  </si>
  <si>
    <t>Column1</t>
  </si>
  <si>
    <t>With Functions</t>
  </si>
  <si>
    <t>BOX LOW</t>
  </si>
  <si>
    <t>Standard Error</t>
  </si>
  <si>
    <t>Q1</t>
  </si>
  <si>
    <t>BOX MID</t>
  </si>
  <si>
    <t>Q2</t>
  </si>
  <si>
    <t>BOX HIGH</t>
  </si>
  <si>
    <t>Mode</t>
  </si>
  <si>
    <t>Q3</t>
  </si>
  <si>
    <t>ERROR DOWN</t>
  </si>
  <si>
    <t>Standard Deviation</t>
  </si>
  <si>
    <t>MAX</t>
  </si>
  <si>
    <t>ERROR UP</t>
  </si>
  <si>
    <t>Sample Variance</t>
  </si>
  <si>
    <t>Kurtosis</t>
  </si>
  <si>
    <t>Data for Box Plot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</si>
  <si>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</si>
  <si>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</si>
  <si>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</si>
  <si>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</si>
  <si>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</si>
  <si>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</si>
  <si>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</si>
  <si>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</si>
  <si>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</si>
  <si>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Meal Costs at Center City Restaurants</t>
  </si>
  <si>
    <t>Meal Costs at Metro City Restaurants</t>
  </si>
  <si>
    <t>Median of 2 Data Sets</t>
  </si>
  <si>
    <t>Center City</t>
  </si>
  <si>
    <t>Metro City</t>
  </si>
  <si>
    <t>First Quartile</t>
  </si>
  <si>
    <t>Third Quartile</t>
  </si>
  <si>
    <t>A</t>
  </si>
  <si>
    <t>B</t>
  </si>
  <si>
    <t>C</t>
  </si>
  <si>
    <t>Subject</t>
  </si>
  <si>
    <t>Weight</t>
  </si>
  <si>
    <t>Students</t>
  </si>
  <si>
    <t>Mathematics</t>
  </si>
  <si>
    <t>Physics</t>
  </si>
  <si>
    <t>Chemistry</t>
  </si>
  <si>
    <t>English</t>
  </si>
  <si>
    <t>II Lang</t>
  </si>
  <si>
    <t>Arithmetic Mean  -A</t>
  </si>
  <si>
    <t>Arithmetic Mean  -C</t>
  </si>
  <si>
    <t>Arithmetic Mean  -B</t>
  </si>
  <si>
    <t>Year</t>
  </si>
  <si>
    <t>DJIA</t>
  </si>
  <si>
    <t>S&amp;P 500</t>
  </si>
  <si>
    <t>NASDAQ</t>
  </si>
  <si>
    <t>DIJA- Dow Jones Industrial Average</t>
  </si>
  <si>
    <t>S&amp;P 500   -  Standard &amp; Poor's 500</t>
  </si>
  <si>
    <t>Geo Mean</t>
  </si>
  <si>
    <t>Ar</t>
  </si>
  <si>
    <t>Max</t>
  </si>
  <si>
    <t>Min</t>
  </si>
  <si>
    <t>E</t>
  </si>
  <si>
    <t>D</t>
  </si>
  <si>
    <t>RANGE</t>
  </si>
  <si>
    <t>Std Dev</t>
  </si>
  <si>
    <t>Vari</t>
  </si>
  <si>
    <t>Cof of Var</t>
  </si>
  <si>
    <t>Marks of Students of two classes in English Subject</t>
  </si>
  <si>
    <t>a.</t>
  </si>
  <si>
    <t>Standard devivation</t>
  </si>
  <si>
    <t>Coefficient of Variation</t>
  </si>
  <si>
    <t>inferences</t>
  </si>
  <si>
    <t>Order no</t>
  </si>
  <si>
    <t>Item no</t>
  </si>
  <si>
    <t>Item Description</t>
  </si>
  <si>
    <t>item cost</t>
  </si>
  <si>
    <t>Qty</t>
  </si>
  <si>
    <t>Sup Terms (months)</t>
  </si>
  <si>
    <t>Order date</t>
  </si>
  <si>
    <t>Number of 
persons (X)</t>
  </si>
  <si>
    <t>Probability P(X)</t>
  </si>
  <si>
    <t>GM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</si>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</sst>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##0;#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131313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1" xfId="0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2" borderId="1" xfId="0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164" fontId="4" fillId="2" borderId="0" xfId="0" applyNumberFormat="1" applyFont="1" applyFill="1" applyBorder="1"/>
    <xf numFmtId="0" fontId="0" fillId="3" borderId="0" xfId="0" applyFill="1"/>
    <xf numFmtId="164" fontId="0" fillId="3" borderId="1" xfId="0" applyNumberFormat="1" applyFill="1" applyBorder="1"/>
    <xf numFmtId="0" fontId="0" fillId="3" borderId="1" xfId="0" applyFill="1" applyBorder="1"/>
    <xf numFmtId="0" fontId="6" fillId="3" borderId="0" xfId="0" applyFont="1" applyFill="1"/>
    <xf numFmtId="0" fontId="3" fillId="0" borderId="0" xfId="0" applyFont="1"/>
    <xf numFmtId="0" fontId="0" fillId="4" borderId="0" xfId="0" applyFill="1"/>
    <xf numFmtId="0" fontId="8" fillId="0" borderId="0" xfId="0" applyFont="1"/>
    <xf numFmtId="0" fontId="9" fillId="2" borderId="0" xfId="0" applyFont="1" applyFill="1"/>
    <xf numFmtId="0" fontId="8" fillId="0" borderId="1" xfId="0" applyFont="1" applyBorder="1"/>
    <xf numFmtId="0" fontId="1" fillId="2" borderId="0" xfId="0" applyFont="1" applyFill="1"/>
    <xf numFmtId="0" fontId="8" fillId="0" borderId="4" xfId="0" applyFont="1" applyFill="1" applyBorder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Border="1"/>
    <xf numFmtId="0" fontId="0" fillId="0" borderId="0" xfId="0" applyFont="1" applyBorder="1"/>
    <xf numFmtId="164" fontId="0" fillId="0" borderId="0" xfId="0" applyNumberFormat="1" applyFont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9" fillId="6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0" fillId="0" borderId="0" xfId="0" applyFont="1"/>
    <xf numFmtId="0" fontId="11" fillId="0" borderId="0" xfId="0" applyFont="1"/>
    <xf numFmtId="0" fontId="8" fillId="0" borderId="0" xfId="0" applyFont="1" applyBorder="1"/>
    <xf numFmtId="3" fontId="0" fillId="0" borderId="0" xfId="0" applyNumberFormat="1"/>
    <xf numFmtId="165" fontId="12" fillId="0" borderId="0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/>
    </xf>
    <xf numFmtId="0" fontId="1" fillId="0" borderId="0" xfId="0" applyFont="1"/>
    <xf numFmtId="0" fontId="5" fillId="2" borderId="0" xfId="0" applyFont="1" applyFill="1"/>
    <xf numFmtId="0" fontId="16" fillId="0" borderId="0" xfId="0" applyFont="1"/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65" fontId="0" fillId="0" borderId="0" xfId="0" applyNumberFormat="1"/>
    <xf numFmtId="0" fontId="10" fillId="0" borderId="1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2" xfId="0" applyFill="1" applyBorder="1" applyAlignment="1"/>
    <xf numFmtId="0" fontId="5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Fill="1" applyBorder="1" applyAlignment="1"/>
    <xf numFmtId="0" fontId="10" fillId="0" borderId="1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'8'!$L$12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'8'!$L$13:$L$23</c:f>
              <c:numCache>
                <c:formatCode>General</c:formatCode>
                <c:ptCount val="11"/>
                <c:pt idx="0">
                  <c:v>1</c:v>
                </c:pt>
                <c:pt idx="1">
                  <c:v>38</c:v>
                </c:pt>
                <c:pt idx="2">
                  <c:v>23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7-425B-85B2-84FA23332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756160"/>
        <c:axId val="982624336"/>
      </c:barChart>
      <c:lineChart>
        <c:grouping val="standard"/>
        <c:varyColors val="0"/>
        <c:ser>
          <c:idx val="1"/>
          <c:order val="1"/>
          <c:tx>
            <c:strRef>
              <c:f>'8'!$M$12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'8'!$M$13:$M$23</c:f>
              <c:numCache>
                <c:formatCode>General</c:formatCode>
                <c:ptCount val="11"/>
                <c:pt idx="0">
                  <c:v>1</c:v>
                </c:pt>
                <c:pt idx="1">
                  <c:v>39</c:v>
                </c:pt>
                <c:pt idx="2">
                  <c:v>62</c:v>
                </c:pt>
                <c:pt idx="3">
                  <c:v>66</c:v>
                </c:pt>
                <c:pt idx="4">
                  <c:v>70</c:v>
                </c:pt>
                <c:pt idx="5">
                  <c:v>74</c:v>
                </c:pt>
                <c:pt idx="6">
                  <c:v>79</c:v>
                </c:pt>
                <c:pt idx="7">
                  <c:v>83</c:v>
                </c:pt>
                <c:pt idx="8">
                  <c:v>84</c:v>
                </c:pt>
                <c:pt idx="9">
                  <c:v>86</c:v>
                </c:pt>
                <c:pt idx="1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7-425B-85B2-84FA23332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763120"/>
        <c:axId val="980334576"/>
      </c:lineChart>
      <c:catAx>
        <c:axId val="129175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24336"/>
        <c:crosses val="autoZero"/>
        <c:auto val="1"/>
        <c:lblAlgn val="ctr"/>
        <c:lblOffset val="100"/>
        <c:noMultiLvlLbl val="0"/>
      </c:catAx>
      <c:valAx>
        <c:axId val="9826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56160"/>
        <c:crosses val="autoZero"/>
        <c:crossBetween val="between"/>
      </c:valAx>
      <c:valAx>
        <c:axId val="98033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63120"/>
        <c:crosses val="max"/>
        <c:crossBetween val="between"/>
      </c:valAx>
      <c:catAx>
        <c:axId val="129176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980334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38</c:v>
                </c:pt>
                <c:pt idx="2">
                  <c:v>23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2-43A9-A69D-4BCF5FE43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3659632"/>
        <c:axId val="1393660880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</c:f>
              <c:numCache>
                <c:formatCode>General</c:formatCode>
                <c:ptCount val="11"/>
                <c:pt idx="0">
                  <c:v>1</c:v>
                </c:pt>
                <c:pt idx="1">
                  <c:v>39</c:v>
                </c:pt>
                <c:pt idx="2">
                  <c:v>62</c:v>
                </c:pt>
                <c:pt idx="3">
                  <c:v>66</c:v>
                </c:pt>
                <c:pt idx="4">
                  <c:v>70</c:v>
                </c:pt>
                <c:pt idx="5">
                  <c:v>74</c:v>
                </c:pt>
                <c:pt idx="6">
                  <c:v>79</c:v>
                </c:pt>
                <c:pt idx="7">
                  <c:v>83</c:v>
                </c:pt>
                <c:pt idx="8">
                  <c:v>84</c:v>
                </c:pt>
                <c:pt idx="9">
                  <c:v>86</c:v>
                </c:pt>
                <c:pt idx="1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62-43A9-A69D-4BCF5FE43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5432640"/>
        <c:axId val="1327927792"/>
      </c:lineChart>
      <c:catAx>
        <c:axId val="1393659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60880"/>
        <c:crosses val="autoZero"/>
        <c:auto val="1"/>
        <c:lblAlgn val="ctr"/>
        <c:lblOffset val="100"/>
        <c:noMultiLvlLbl val="0"/>
      </c:catAx>
      <c:valAx>
        <c:axId val="13936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59632"/>
        <c:crosses val="autoZero"/>
        <c:crossBetween val="between"/>
      </c:valAx>
      <c:valAx>
        <c:axId val="1327927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32640"/>
        <c:crosses val="max"/>
        <c:crossBetween val="between"/>
      </c:valAx>
      <c:catAx>
        <c:axId val="1325432640"/>
        <c:scaling>
          <c:orientation val="minMax"/>
        </c:scaling>
        <c:delete val="1"/>
        <c:axPos val="b"/>
        <c:majorTickMark val="out"/>
        <c:minorTickMark val="none"/>
        <c:tickLblPos val="nextTo"/>
        <c:crossAx val="1327927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_xlchart.0</cx:f>
      </cx:numDim>
    </cx:data>
    <cx:data id="1">
      <cx:numDim type="val">
        <cx:f dir="row"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City Box plot</a:t>
            </a:r>
          </a:p>
        </cx:rich>
      </cx:tx>
    </cx:title>
    <cx:plotArea>
      <cx:plotAreaRegion>
        <cx:series layoutId="boxWhisker" uniqueId="{74F76CB3-8BB3-4D03-A79E-3C259FF5EB1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9E51D09-4879-45A8-964E-5A89EBB53E67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_xlchart.2</cx:f>
      </cx:numDim>
    </cx:data>
    <cx:data id="1">
      <cx:numDim type="val">
        <cx:f dir="row"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Metro City</a:t>
            </a:r>
          </a:p>
        </cx:rich>
      </cx:tx>
    </cx:title>
    <cx:plotArea>
      <cx:plotAreaRegion>
        <cx:series layoutId="boxWhisker" uniqueId="{FFD524A7-1DBE-4CA9-8641-C5E71B7405D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FAE8FA4-86DE-4CE0-9686-ECE22BC42E0E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</cx:f>
      </cx:numDim>
    </cx:data>
  </cx:chartData>
  <cx:chart>
    <cx:title pos="t" align="ctr" overlay="0"/>
    <cx:plotArea>
      <cx:plotAreaRegion>
        <cx:series layoutId="boxWhisker" uniqueId="{A8CB720B-73F0-4972-BC76-F48438573FD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17</xdr:row>
      <xdr:rowOff>38100</xdr:rowOff>
    </xdr:from>
    <xdr:to>
      <xdr:col>15</xdr:col>
      <xdr:colOff>142477</xdr:colOff>
      <xdr:row>25</xdr:row>
      <xdr:rowOff>37910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419225"/>
          <a:ext cx="3180952" cy="1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9</xdr:row>
      <xdr:rowOff>176212</xdr:rowOff>
    </xdr:from>
    <xdr:to>
      <xdr:col>20</xdr:col>
      <xdr:colOff>476250</xdr:colOff>
      <xdr:row>24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10227-49FC-413A-D531-11A884D1F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161925</xdr:rowOff>
    </xdr:from>
    <xdr:to>
      <xdr:col>14</xdr:col>
      <xdr:colOff>152400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328612</xdr:colOff>
      <xdr:row>9</xdr:row>
      <xdr:rowOff>114300</xdr:rowOff>
    </xdr:from>
    <xdr:to>
      <xdr:col>11</xdr:col>
      <xdr:colOff>23812</xdr:colOff>
      <xdr:row>22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33337</xdr:colOff>
      <xdr:row>9</xdr:row>
      <xdr:rowOff>123825</xdr:rowOff>
    </xdr:from>
    <xdr:to>
      <xdr:col>18</xdr:col>
      <xdr:colOff>338137</xdr:colOff>
      <xdr:row>22</xdr:row>
      <xdr:rowOff>114300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4</xdr:row>
      <xdr:rowOff>38100</xdr:rowOff>
    </xdr:from>
    <xdr:to>
      <xdr:col>19</xdr:col>
      <xdr:colOff>200025</xdr:colOff>
      <xdr:row>18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bba-ba(descriptive%20analatics)/Statistical%20Analysis/35%20DESCRIPTIVE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9" zoomScale="85" zoomScaleNormal="85" workbookViewId="0">
      <selection activeCell="L43" sqref="L43"/>
    </sheetView>
  </sheetViews>
  <sheetFormatPr defaultRowHeight="15" x14ac:dyDescent="0.25"/>
  <cols>
    <col min="2" max="2" width="24.7109375" customWidth="1"/>
    <col min="3" max="3" width="16.7109375" customWidth="1"/>
    <col min="4" max="4" width="19.5703125" customWidth="1"/>
    <col min="5" max="5" width="20.85546875" customWidth="1"/>
    <col min="6" max="6" width="10" style="1" customWidth="1"/>
    <col min="8" max="8" width="14.28515625" style="1" customWidth="1"/>
    <col min="9" max="9" width="18.140625" customWidth="1"/>
    <col min="10" max="10" width="17.7109375" customWidth="1"/>
    <col min="11" max="11" width="14.28515625" customWidth="1"/>
  </cols>
  <sheetData>
    <row r="1" spans="1:13" ht="34.5" customHeight="1" x14ac:dyDescent="0.35">
      <c r="A1" s="69" t="s">
        <v>38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3" x14ac:dyDescent="0.25">
      <c r="A2" s="2" t="s">
        <v>37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31</v>
      </c>
      <c r="G2" s="2" t="s">
        <v>32</v>
      </c>
      <c r="H2" s="3" t="s">
        <v>33</v>
      </c>
      <c r="I2" s="2" t="s">
        <v>34</v>
      </c>
      <c r="J2" s="3" t="s">
        <v>35</v>
      </c>
      <c r="K2" s="2" t="s">
        <v>36</v>
      </c>
      <c r="M2" t="s">
        <v>141</v>
      </c>
    </row>
    <row r="3" spans="1:13" x14ac:dyDescent="0.25">
      <c r="A3" s="4">
        <v>1</v>
      </c>
      <c r="B3" s="4" t="s">
        <v>4</v>
      </c>
      <c r="C3" s="4" t="s">
        <v>9</v>
      </c>
      <c r="D3" s="4">
        <v>1122</v>
      </c>
      <c r="E3" s="4" t="s">
        <v>24</v>
      </c>
      <c r="F3" s="5">
        <v>4.25</v>
      </c>
      <c r="G3" s="4">
        <v>19500</v>
      </c>
      <c r="H3" s="5">
        <v>82875</v>
      </c>
      <c r="I3" s="4">
        <v>30</v>
      </c>
      <c r="J3" s="6">
        <v>40760</v>
      </c>
      <c r="K3" s="6">
        <v>40768</v>
      </c>
      <c r="L3">
        <f>DAY(K3)-DAY(J3)</f>
        <v>8</v>
      </c>
      <c r="M3" s="35">
        <f>_xlfn.DAYS(K3,J3)</f>
        <v>8</v>
      </c>
    </row>
    <row r="4" spans="1:13" x14ac:dyDescent="0.25">
      <c r="A4" s="4">
        <v>2</v>
      </c>
      <c r="B4" s="4" t="s">
        <v>5</v>
      </c>
      <c r="C4" s="4" t="s">
        <v>10</v>
      </c>
      <c r="D4" s="4">
        <v>1243</v>
      </c>
      <c r="E4" s="4" t="s">
        <v>24</v>
      </c>
      <c r="F4" s="5">
        <v>4.25</v>
      </c>
      <c r="G4" s="4">
        <v>10000</v>
      </c>
      <c r="H4" s="5">
        <v>42500</v>
      </c>
      <c r="I4" s="4">
        <v>30</v>
      </c>
      <c r="J4" s="6">
        <v>40763</v>
      </c>
      <c r="K4" s="6">
        <v>40769</v>
      </c>
      <c r="L4">
        <f t="shared" ref="L4:L17" si="0">DAY(K4)-DAY(J4)</f>
        <v>6</v>
      </c>
      <c r="M4" s="35">
        <f t="shared" ref="M4:M17" si="1">_xlfn.DAYS(K4,J4)</f>
        <v>6</v>
      </c>
    </row>
    <row r="5" spans="1:13" x14ac:dyDescent="0.25">
      <c r="A5" s="4">
        <v>3</v>
      </c>
      <c r="B5" s="4" t="s">
        <v>6</v>
      </c>
      <c r="C5" s="4" t="s">
        <v>11</v>
      </c>
      <c r="D5" s="4">
        <v>5462</v>
      </c>
      <c r="E5" s="4" t="s">
        <v>25</v>
      </c>
      <c r="F5" s="5">
        <v>1.05</v>
      </c>
      <c r="G5" s="4">
        <v>23000</v>
      </c>
      <c r="H5" s="5">
        <v>24150</v>
      </c>
      <c r="I5" s="4">
        <v>30</v>
      </c>
      <c r="J5" s="6">
        <v>40765</v>
      </c>
      <c r="K5" s="6">
        <v>40769</v>
      </c>
      <c r="L5">
        <f t="shared" si="0"/>
        <v>4</v>
      </c>
      <c r="M5" s="35">
        <f t="shared" si="1"/>
        <v>4</v>
      </c>
    </row>
    <row r="6" spans="1:13" x14ac:dyDescent="0.25">
      <c r="A6" s="4">
        <v>4</v>
      </c>
      <c r="B6" s="4" t="s">
        <v>6</v>
      </c>
      <c r="C6" s="4" t="s">
        <v>12</v>
      </c>
      <c r="D6" s="4">
        <v>5462</v>
      </c>
      <c r="E6" s="4" t="s">
        <v>25</v>
      </c>
      <c r="F6" s="5">
        <v>1.05</v>
      </c>
      <c r="G6" s="4">
        <v>21500</v>
      </c>
      <c r="H6" s="5">
        <v>22575</v>
      </c>
      <c r="I6" s="4">
        <v>30</v>
      </c>
      <c r="J6" s="6">
        <v>40770</v>
      </c>
      <c r="K6" s="6">
        <v>40777</v>
      </c>
      <c r="L6">
        <f t="shared" si="0"/>
        <v>7</v>
      </c>
      <c r="M6" s="35">
        <f t="shared" si="1"/>
        <v>7</v>
      </c>
    </row>
    <row r="7" spans="1:13" x14ac:dyDescent="0.25">
      <c r="A7" s="4">
        <v>5</v>
      </c>
      <c r="B7" s="4" t="s">
        <v>7</v>
      </c>
      <c r="C7" s="4" t="s">
        <v>13</v>
      </c>
      <c r="D7" s="4">
        <v>5319</v>
      </c>
      <c r="E7" s="4" t="s">
        <v>25</v>
      </c>
      <c r="F7" s="5">
        <v>1.1000000000000001</v>
      </c>
      <c r="G7" s="4">
        <v>17500</v>
      </c>
      <c r="H7" s="5">
        <v>19250</v>
      </c>
      <c r="I7" s="4">
        <v>30</v>
      </c>
      <c r="J7" s="6">
        <v>40775</v>
      </c>
      <c r="K7" s="6">
        <v>40782</v>
      </c>
      <c r="L7">
        <f t="shared" si="0"/>
        <v>7</v>
      </c>
      <c r="M7" s="35">
        <f t="shared" si="1"/>
        <v>7</v>
      </c>
    </row>
    <row r="8" spans="1:13" x14ac:dyDescent="0.25">
      <c r="A8" s="4">
        <v>6</v>
      </c>
      <c r="B8" s="4" t="s">
        <v>6</v>
      </c>
      <c r="C8" s="4" t="s">
        <v>14</v>
      </c>
      <c r="D8" s="4">
        <v>5462</v>
      </c>
      <c r="E8" s="4" t="s">
        <v>25</v>
      </c>
      <c r="F8" s="5">
        <v>1.05</v>
      </c>
      <c r="G8" s="4">
        <v>22500</v>
      </c>
      <c r="H8" s="5">
        <v>23625</v>
      </c>
      <c r="I8" s="4">
        <v>30</v>
      </c>
      <c r="J8" s="6">
        <v>40775</v>
      </c>
      <c r="K8" s="6">
        <v>40781</v>
      </c>
      <c r="L8">
        <f t="shared" si="0"/>
        <v>6</v>
      </c>
      <c r="M8" s="35">
        <f t="shared" si="1"/>
        <v>6</v>
      </c>
    </row>
    <row r="9" spans="1:13" x14ac:dyDescent="0.25">
      <c r="A9" s="4">
        <v>7</v>
      </c>
      <c r="B9" s="4" t="s">
        <v>7</v>
      </c>
      <c r="C9" s="4" t="s">
        <v>15</v>
      </c>
      <c r="D9" s="4">
        <v>4312</v>
      </c>
      <c r="E9" s="4" t="s">
        <v>26</v>
      </c>
      <c r="F9" s="5">
        <v>3.75</v>
      </c>
      <c r="G9" s="4">
        <v>4250</v>
      </c>
      <c r="H9" s="5">
        <v>15937</v>
      </c>
      <c r="I9" s="4">
        <v>30</v>
      </c>
      <c r="J9" s="6">
        <v>40775</v>
      </c>
      <c r="K9" s="6">
        <v>40781</v>
      </c>
      <c r="L9">
        <f t="shared" si="0"/>
        <v>6</v>
      </c>
      <c r="M9" s="35">
        <f t="shared" si="1"/>
        <v>6</v>
      </c>
    </row>
    <row r="10" spans="1:13" x14ac:dyDescent="0.25">
      <c r="A10" s="4">
        <v>8</v>
      </c>
      <c r="B10" s="4" t="s">
        <v>8</v>
      </c>
      <c r="C10" s="4" t="s">
        <v>16</v>
      </c>
      <c r="D10" s="4">
        <v>7258</v>
      </c>
      <c r="E10" s="4" t="s">
        <v>27</v>
      </c>
      <c r="F10" s="5">
        <v>90</v>
      </c>
      <c r="G10" s="4">
        <v>100</v>
      </c>
      <c r="H10" s="5">
        <v>9000</v>
      </c>
      <c r="I10" s="4">
        <v>30</v>
      </c>
      <c r="J10" s="6">
        <v>40780</v>
      </c>
      <c r="K10" s="6">
        <v>40783</v>
      </c>
      <c r="L10">
        <f t="shared" si="0"/>
        <v>3</v>
      </c>
      <c r="M10" s="35">
        <f t="shared" si="1"/>
        <v>3</v>
      </c>
    </row>
    <row r="11" spans="1:13" x14ac:dyDescent="0.25">
      <c r="A11" s="4">
        <v>9</v>
      </c>
      <c r="B11" s="4" t="s">
        <v>6</v>
      </c>
      <c r="C11" s="4" t="s">
        <v>17</v>
      </c>
      <c r="D11" s="4">
        <v>6321</v>
      </c>
      <c r="E11" s="4" t="s">
        <v>28</v>
      </c>
      <c r="F11" s="5">
        <v>2.4500000000000002</v>
      </c>
      <c r="G11" s="4">
        <v>1300</v>
      </c>
      <c r="H11" s="5">
        <v>3185</v>
      </c>
      <c r="I11" s="4">
        <v>30</v>
      </c>
      <c r="J11" s="6">
        <v>40780</v>
      </c>
      <c r="K11" s="6">
        <v>40790</v>
      </c>
      <c r="L11">
        <f t="shared" si="0"/>
        <v>-21</v>
      </c>
      <c r="M11" s="35">
        <f t="shared" si="1"/>
        <v>10</v>
      </c>
    </row>
    <row r="12" spans="1:13" x14ac:dyDescent="0.25">
      <c r="A12" s="4">
        <v>10</v>
      </c>
      <c r="B12" s="4" t="s">
        <v>6</v>
      </c>
      <c r="C12" s="4" t="s">
        <v>18</v>
      </c>
      <c r="D12" s="4">
        <v>5462</v>
      </c>
      <c r="E12" s="4" t="s">
        <v>25</v>
      </c>
      <c r="F12" s="5">
        <v>1.05</v>
      </c>
      <c r="G12" s="4">
        <v>22500</v>
      </c>
      <c r="H12" s="5">
        <v>23625</v>
      </c>
      <c r="I12" s="4">
        <v>30</v>
      </c>
      <c r="J12" s="6">
        <v>40780</v>
      </c>
      <c r="K12" s="6">
        <v>40788</v>
      </c>
      <c r="L12">
        <f t="shared" si="0"/>
        <v>-23</v>
      </c>
      <c r="M12" s="35">
        <f t="shared" si="1"/>
        <v>8</v>
      </c>
    </row>
    <row r="13" spans="1:13" x14ac:dyDescent="0.25">
      <c r="A13" s="4">
        <v>11</v>
      </c>
      <c r="B13" s="4" t="s">
        <v>7</v>
      </c>
      <c r="C13" s="4" t="s">
        <v>19</v>
      </c>
      <c r="D13" s="4">
        <v>5319</v>
      </c>
      <c r="E13" s="4" t="s">
        <v>25</v>
      </c>
      <c r="F13" s="5">
        <v>1.1000000000000001</v>
      </c>
      <c r="G13" s="4">
        <v>18100</v>
      </c>
      <c r="H13" s="5">
        <v>19910</v>
      </c>
      <c r="I13" s="4">
        <v>30</v>
      </c>
      <c r="J13" s="6">
        <v>40780</v>
      </c>
      <c r="K13" s="6">
        <v>40791</v>
      </c>
      <c r="L13">
        <f t="shared" si="0"/>
        <v>-20</v>
      </c>
      <c r="M13" s="35">
        <f t="shared" si="1"/>
        <v>11</v>
      </c>
    </row>
    <row r="14" spans="1:13" x14ac:dyDescent="0.25">
      <c r="A14" s="4">
        <v>12</v>
      </c>
      <c r="B14" s="4" t="s">
        <v>4</v>
      </c>
      <c r="C14" s="4" t="s">
        <v>20</v>
      </c>
      <c r="D14" s="4">
        <v>3166</v>
      </c>
      <c r="E14" s="4" t="s">
        <v>29</v>
      </c>
      <c r="F14" s="5">
        <v>1.25</v>
      </c>
      <c r="G14" s="4">
        <v>5600</v>
      </c>
      <c r="H14" s="5">
        <v>7000</v>
      </c>
      <c r="I14" s="4">
        <v>30</v>
      </c>
      <c r="J14" s="6">
        <v>40782</v>
      </c>
      <c r="K14" s="6">
        <v>40784</v>
      </c>
      <c r="L14">
        <f t="shared" si="0"/>
        <v>2</v>
      </c>
      <c r="M14" s="35">
        <f t="shared" si="1"/>
        <v>2</v>
      </c>
    </row>
    <row r="15" spans="1:13" x14ac:dyDescent="0.25">
      <c r="A15" s="4">
        <v>13</v>
      </c>
      <c r="B15" s="4" t="s">
        <v>4</v>
      </c>
      <c r="C15" s="4" t="s">
        <v>21</v>
      </c>
      <c r="D15" s="4">
        <v>9966</v>
      </c>
      <c r="E15" s="4" t="s">
        <v>30</v>
      </c>
      <c r="F15" s="5">
        <v>0.75</v>
      </c>
      <c r="G15" s="4">
        <v>500</v>
      </c>
      <c r="H15" s="5">
        <v>375</v>
      </c>
      <c r="I15" s="4">
        <v>30</v>
      </c>
      <c r="J15" s="6">
        <v>40783</v>
      </c>
      <c r="K15" s="6">
        <v>40816</v>
      </c>
      <c r="L15">
        <f t="shared" si="0"/>
        <v>2</v>
      </c>
      <c r="M15" s="35">
        <f t="shared" si="1"/>
        <v>33</v>
      </c>
    </row>
    <row r="16" spans="1:13" x14ac:dyDescent="0.25">
      <c r="A16" s="4">
        <v>14</v>
      </c>
      <c r="B16" s="4" t="s">
        <v>7</v>
      </c>
      <c r="C16" s="4" t="s">
        <v>22</v>
      </c>
      <c r="D16" s="4">
        <v>5234</v>
      </c>
      <c r="E16" s="4" t="s">
        <v>29</v>
      </c>
      <c r="F16" s="5">
        <v>1.65</v>
      </c>
      <c r="G16" s="4">
        <v>4500</v>
      </c>
      <c r="H16" s="5">
        <v>7425</v>
      </c>
      <c r="I16" s="4">
        <v>30</v>
      </c>
      <c r="J16" s="6">
        <v>40787</v>
      </c>
      <c r="K16" s="6">
        <v>40791</v>
      </c>
      <c r="L16">
        <f t="shared" si="0"/>
        <v>4</v>
      </c>
      <c r="M16" s="35">
        <f t="shared" si="1"/>
        <v>4</v>
      </c>
    </row>
    <row r="17" spans="1:13" x14ac:dyDescent="0.25">
      <c r="A17" s="4">
        <v>15</v>
      </c>
      <c r="B17" s="4" t="s">
        <v>7</v>
      </c>
      <c r="C17" s="4" t="s">
        <v>23</v>
      </c>
      <c r="D17" s="4">
        <v>4312</v>
      </c>
      <c r="E17" s="4" t="s">
        <v>26</v>
      </c>
      <c r="F17" s="5">
        <v>3.75</v>
      </c>
      <c r="G17" s="4">
        <v>4200</v>
      </c>
      <c r="H17" s="5">
        <v>15750</v>
      </c>
      <c r="I17" s="4">
        <v>30</v>
      </c>
      <c r="J17" s="6">
        <v>40787</v>
      </c>
      <c r="K17" s="6">
        <v>40796</v>
      </c>
      <c r="L17">
        <f t="shared" si="0"/>
        <v>9</v>
      </c>
      <c r="M17" s="35">
        <f t="shared" si="1"/>
        <v>9</v>
      </c>
    </row>
    <row r="18" spans="1:13" x14ac:dyDescent="0.25">
      <c r="A18" s="7"/>
      <c r="B18" s="7"/>
      <c r="C18" s="7"/>
      <c r="D18" s="7"/>
      <c r="E18" s="7"/>
      <c r="F18" s="8"/>
      <c r="G18" s="7"/>
      <c r="H18" s="18">
        <f>SUM(H3:H17)</f>
        <v>317182</v>
      </c>
      <c r="I18" s="7"/>
      <c r="J18" s="9"/>
      <c r="K18" s="9"/>
    </row>
    <row r="19" spans="1:13" x14ac:dyDescent="0.25">
      <c r="C19" s="10" t="s">
        <v>46</v>
      </c>
      <c r="D19" s="2" t="s">
        <v>45</v>
      </c>
    </row>
    <row r="20" spans="1:13" x14ac:dyDescent="0.25">
      <c r="B20">
        <v>1</v>
      </c>
      <c r="C20" s="4" t="s">
        <v>39</v>
      </c>
      <c r="D20" s="15" t="s">
        <v>40</v>
      </c>
    </row>
    <row r="21" spans="1:13" x14ac:dyDescent="0.25">
      <c r="B21">
        <v>2</v>
      </c>
      <c r="C21" s="4" t="s">
        <v>0</v>
      </c>
      <c r="D21" s="15" t="s">
        <v>41</v>
      </c>
    </row>
    <row r="22" spans="1:13" x14ac:dyDescent="0.25">
      <c r="B22">
        <v>3</v>
      </c>
      <c r="C22" s="4" t="s">
        <v>1</v>
      </c>
      <c r="D22" s="15" t="s">
        <v>42</v>
      </c>
    </row>
    <row r="23" spans="1:13" ht="15.75" x14ac:dyDescent="0.25">
      <c r="B23">
        <v>4</v>
      </c>
      <c r="C23" s="4" t="s">
        <v>2</v>
      </c>
      <c r="D23" s="15" t="s">
        <v>40</v>
      </c>
      <c r="F23" s="1" t="s">
        <v>121</v>
      </c>
      <c r="G23" s="44" t="s">
        <v>131</v>
      </c>
      <c r="K23">
        <f>SMALL(G3:G17,1)</f>
        <v>100</v>
      </c>
      <c r="L23">
        <f>LARGE(G3:G17,1)</f>
        <v>23000</v>
      </c>
    </row>
    <row r="24" spans="1:13" x14ac:dyDescent="0.25">
      <c r="B24">
        <v>5</v>
      </c>
      <c r="C24" s="4" t="s">
        <v>3</v>
      </c>
      <c r="D24" s="15" t="s">
        <v>41</v>
      </c>
      <c r="F24" s="1" t="s">
        <v>129</v>
      </c>
      <c r="G24" s="25" t="s">
        <v>132</v>
      </c>
      <c r="K24" s="1">
        <f>SUM(H3:H17)</f>
        <v>317182</v>
      </c>
    </row>
    <row r="25" spans="1:13" x14ac:dyDescent="0.25">
      <c r="B25">
        <v>6</v>
      </c>
      <c r="C25" s="4" t="s">
        <v>31</v>
      </c>
      <c r="D25" s="15" t="s">
        <v>43</v>
      </c>
      <c r="F25" s="1" t="s">
        <v>130</v>
      </c>
      <c r="G25" s="43" t="s">
        <v>133</v>
      </c>
      <c r="K25">
        <f>AVERAGE(I3:I17)</f>
        <v>30</v>
      </c>
    </row>
    <row r="26" spans="1:13" x14ac:dyDescent="0.25">
      <c r="B26">
        <v>7</v>
      </c>
      <c r="C26" s="11" t="s">
        <v>32</v>
      </c>
      <c r="D26" s="15" t="s">
        <v>40</v>
      </c>
      <c r="E26" s="13"/>
      <c r="F26" s="13" t="s">
        <v>128</v>
      </c>
      <c r="G26" s="45" t="s">
        <v>134</v>
      </c>
      <c r="K26">
        <f>COUNTIFS(J3:J17,"&gt;=08-08-2011",J3:J17,"&lt;28-08-2011")</f>
        <v>11</v>
      </c>
      <c r="L26" t="s">
        <v>135</v>
      </c>
    </row>
    <row r="27" spans="1:13" x14ac:dyDescent="0.25">
      <c r="B27">
        <v>8</v>
      </c>
      <c r="C27" s="12" t="s">
        <v>33</v>
      </c>
      <c r="D27" s="15" t="s">
        <v>43</v>
      </c>
      <c r="E27" s="14"/>
      <c r="F27" s="14"/>
      <c r="G27" s="14"/>
    </row>
    <row r="28" spans="1:13" x14ac:dyDescent="0.25">
      <c r="B28">
        <v>9</v>
      </c>
      <c r="C28" s="11" t="s">
        <v>34</v>
      </c>
      <c r="D28" s="16" t="s">
        <v>40</v>
      </c>
      <c r="E28" s="13"/>
      <c r="F28" s="13" t="s">
        <v>140</v>
      </c>
      <c r="G28" s="13"/>
    </row>
    <row r="29" spans="1:13" x14ac:dyDescent="0.25">
      <c r="B29">
        <v>10</v>
      </c>
      <c r="C29" s="12" t="s">
        <v>35</v>
      </c>
      <c r="D29" s="17" t="s">
        <v>44</v>
      </c>
      <c r="E29" s="14"/>
      <c r="F29" s="32" t="s">
        <v>136</v>
      </c>
      <c r="G29" s="14"/>
      <c r="L29">
        <f>COUNTIF(I3:I17,"&lt;30")</f>
        <v>0</v>
      </c>
    </row>
    <row r="30" spans="1:13" x14ac:dyDescent="0.25">
      <c r="B30">
        <v>11</v>
      </c>
      <c r="C30" s="11" t="s">
        <v>36</v>
      </c>
      <c r="D30" s="17" t="s">
        <v>44</v>
      </c>
      <c r="E30" s="13"/>
      <c r="F30" s="33" t="s">
        <v>137</v>
      </c>
      <c r="G30" s="13"/>
      <c r="L30">
        <f>SUMIF(E3:E17,E3,H3:H17)</f>
        <v>125375</v>
      </c>
    </row>
    <row r="31" spans="1:13" x14ac:dyDescent="0.25">
      <c r="F31" s="34" t="s">
        <v>138</v>
      </c>
      <c r="L31">
        <f>SUMIFS(H3:H17,E3:E17,E3,B3:B17,B4)</f>
        <v>42500</v>
      </c>
    </row>
    <row r="32" spans="1:13" x14ac:dyDescent="0.25">
      <c r="F32" s="34" t="s">
        <v>139</v>
      </c>
    </row>
    <row r="33" spans="6:12" x14ac:dyDescent="0.25">
      <c r="F33" s="1" t="s">
        <v>154</v>
      </c>
    </row>
    <row r="34" spans="6:12" x14ac:dyDescent="0.25">
      <c r="K34">
        <v>1</v>
      </c>
      <c r="L34">
        <f>LARGE($H$3:$H$17,K34)</f>
        <v>82875</v>
      </c>
    </row>
    <row r="35" spans="6:12" x14ac:dyDescent="0.25">
      <c r="K35">
        <v>2</v>
      </c>
      <c r="L35">
        <f t="shared" ref="L35:L43" si="2">LARGE($H$3:$H$17,K35)</f>
        <v>42500</v>
      </c>
    </row>
    <row r="36" spans="6:12" x14ac:dyDescent="0.25">
      <c r="K36">
        <v>3</v>
      </c>
      <c r="L36">
        <f t="shared" si="2"/>
        <v>24150</v>
      </c>
    </row>
    <row r="37" spans="6:12" x14ac:dyDescent="0.25">
      <c r="K37">
        <v>4</v>
      </c>
      <c r="L37">
        <f t="shared" si="2"/>
        <v>23625</v>
      </c>
    </row>
    <row r="38" spans="6:12" x14ac:dyDescent="0.25">
      <c r="K38">
        <v>5</v>
      </c>
      <c r="L38">
        <f t="shared" si="2"/>
        <v>23625</v>
      </c>
    </row>
    <row r="39" spans="6:12" x14ac:dyDescent="0.25">
      <c r="K39">
        <v>6</v>
      </c>
      <c r="L39">
        <f t="shared" si="2"/>
        <v>22575</v>
      </c>
    </row>
    <row r="40" spans="6:12" x14ac:dyDescent="0.25">
      <c r="K40">
        <v>7</v>
      </c>
      <c r="L40">
        <f t="shared" si="2"/>
        <v>19910</v>
      </c>
    </row>
    <row r="41" spans="6:12" x14ac:dyDescent="0.25">
      <c r="K41">
        <v>8</v>
      </c>
      <c r="L41">
        <f t="shared" si="2"/>
        <v>19250</v>
      </c>
    </row>
    <row r="42" spans="6:12" x14ac:dyDescent="0.25">
      <c r="K42">
        <v>9</v>
      </c>
      <c r="L42">
        <f t="shared" si="2"/>
        <v>15937</v>
      </c>
    </row>
    <row r="43" spans="6:12" x14ac:dyDescent="0.25">
      <c r="K43">
        <v>10</v>
      </c>
      <c r="L43">
        <f t="shared" si="2"/>
        <v>15750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10" workbookViewId="0">
      <selection activeCell="I16" sqref="I16"/>
    </sheetView>
  </sheetViews>
  <sheetFormatPr defaultRowHeight="15" x14ac:dyDescent="0.25"/>
  <sheetData>
    <row r="1" spans="1:11" ht="18.75" x14ac:dyDescent="0.3">
      <c r="A1" s="70" t="s">
        <v>47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x14ac:dyDescent="0.25">
      <c r="A2" s="1">
        <v>59.35</v>
      </c>
      <c r="B2" s="1">
        <v>22.9</v>
      </c>
      <c r="C2" s="1">
        <v>67.5</v>
      </c>
      <c r="D2" s="1">
        <v>46.1</v>
      </c>
      <c r="E2" s="1">
        <v>57.45</v>
      </c>
      <c r="F2" s="1">
        <v>108.25</v>
      </c>
      <c r="G2" s="1">
        <v>50.75</v>
      </c>
      <c r="H2" s="1">
        <v>35.29</v>
      </c>
    </row>
    <row r="3" spans="1:11" x14ac:dyDescent="0.25">
      <c r="A3" s="1">
        <v>78.319999999999993</v>
      </c>
      <c r="B3" s="1">
        <v>50.65</v>
      </c>
      <c r="C3" s="1">
        <v>63.15</v>
      </c>
      <c r="D3" s="1">
        <v>59.72</v>
      </c>
      <c r="E3" s="1">
        <v>41.55</v>
      </c>
      <c r="F3" s="1">
        <v>56.65</v>
      </c>
      <c r="G3" s="1">
        <v>52.6</v>
      </c>
      <c r="H3" s="1"/>
    </row>
    <row r="5" spans="1:11" x14ac:dyDescent="0.25">
      <c r="B5" t="s">
        <v>48</v>
      </c>
    </row>
    <row r="6" spans="1:11" x14ac:dyDescent="0.25">
      <c r="B6" s="1">
        <v>22.9</v>
      </c>
    </row>
    <row r="7" spans="1:11" x14ac:dyDescent="0.25">
      <c r="B7" s="1">
        <v>35.29</v>
      </c>
    </row>
    <row r="8" spans="1:11" x14ac:dyDescent="0.25">
      <c r="B8" s="1">
        <v>41.55</v>
      </c>
      <c r="C8" s="1"/>
      <c r="D8" s="1"/>
      <c r="E8" s="1"/>
      <c r="F8" s="1"/>
      <c r="G8" s="1"/>
      <c r="H8" s="1"/>
    </row>
    <row r="9" spans="1:11" x14ac:dyDescent="0.25">
      <c r="B9" s="1">
        <v>46.1</v>
      </c>
    </row>
    <row r="10" spans="1:11" x14ac:dyDescent="0.25">
      <c r="B10" s="1">
        <v>50.65</v>
      </c>
      <c r="C10" s="1"/>
      <c r="D10" s="1"/>
      <c r="E10" s="1"/>
      <c r="F10" s="1"/>
      <c r="G10" s="1"/>
      <c r="H10" s="1"/>
    </row>
    <row r="11" spans="1:11" x14ac:dyDescent="0.25">
      <c r="B11" s="1">
        <v>50.75</v>
      </c>
    </row>
    <row r="12" spans="1:11" x14ac:dyDescent="0.25">
      <c r="B12" s="1">
        <v>52.6</v>
      </c>
      <c r="C12" s="1"/>
      <c r="D12" s="1"/>
      <c r="E12" s="1"/>
      <c r="F12" s="1"/>
      <c r="G12" s="1"/>
      <c r="H12" s="1"/>
    </row>
    <row r="13" spans="1:11" x14ac:dyDescent="0.25">
      <c r="B13" s="1">
        <v>56.65</v>
      </c>
      <c r="C13" s="1"/>
      <c r="D13" s="1"/>
      <c r="E13" s="1" t="s">
        <v>129</v>
      </c>
      <c r="F13" s="30" t="s">
        <v>155</v>
      </c>
      <c r="G13" s="46">
        <f>COUNTIF(B6:B20,"&gt;70")</f>
        <v>2</v>
      </c>
      <c r="H13" s="1"/>
    </row>
    <row r="14" spans="1:11" x14ac:dyDescent="0.25">
      <c r="B14" s="1">
        <v>57.45</v>
      </c>
    </row>
    <row r="15" spans="1:11" x14ac:dyDescent="0.25">
      <c r="B15" s="1">
        <v>59.35</v>
      </c>
    </row>
    <row r="16" spans="1:11" x14ac:dyDescent="0.25">
      <c r="B16" s="1">
        <v>59.72</v>
      </c>
      <c r="C16" s="1"/>
      <c r="D16" s="1"/>
      <c r="E16" s="31" t="s">
        <v>128</v>
      </c>
      <c r="F16" s="30" t="s">
        <v>127</v>
      </c>
      <c r="G16" s="1"/>
      <c r="H16" s="1"/>
      <c r="I16">
        <f>LARGE(B6:B20,2)</f>
        <v>78.319999999999993</v>
      </c>
    </row>
    <row r="17" spans="2:8" x14ac:dyDescent="0.25">
      <c r="B17" s="1">
        <v>63.15</v>
      </c>
      <c r="C17" s="20" t="s">
        <v>49</v>
      </c>
      <c r="D17" s="20">
        <f>MAX(B6:B20)</f>
        <v>108.25</v>
      </c>
      <c r="E17" s="1"/>
      <c r="F17" s="1"/>
      <c r="G17" s="1"/>
      <c r="H17" s="1"/>
    </row>
    <row r="18" spans="2:8" x14ac:dyDescent="0.25">
      <c r="B18" s="1">
        <v>67.5</v>
      </c>
      <c r="C18" s="21" t="s">
        <v>50</v>
      </c>
      <c r="D18" s="20">
        <f>MIN(B6:B20)</f>
        <v>22.9</v>
      </c>
    </row>
    <row r="19" spans="2:8" x14ac:dyDescent="0.25">
      <c r="B19" s="1">
        <v>78.319999999999993</v>
      </c>
      <c r="C19" s="20" t="s">
        <v>51</v>
      </c>
      <c r="D19" s="20">
        <f>LARGE(B6:B20,2)</f>
        <v>78.319999999999993</v>
      </c>
      <c r="E19" s="1"/>
      <c r="F19" s="1"/>
      <c r="G19" s="1"/>
      <c r="H19" s="1"/>
    </row>
    <row r="20" spans="2:8" x14ac:dyDescent="0.25">
      <c r="B20" s="1">
        <v>108.25</v>
      </c>
      <c r="C20" s="20" t="s">
        <v>52</v>
      </c>
      <c r="D20" s="21">
        <f>SMALL(B6:B20,2)</f>
        <v>35.29</v>
      </c>
    </row>
  </sheetData>
  <autoFilter ref="A5:K20"/>
  <mergeCells count="1">
    <mergeCell ref="A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12.85546875" customWidth="1"/>
    <col min="4" max="4" width="10.140625" bestFit="1" customWidth="1"/>
  </cols>
  <sheetData>
    <row r="1" spans="1:7" x14ac:dyDescent="0.25">
      <c r="A1" s="4" t="s">
        <v>53</v>
      </c>
      <c r="B1" s="4" t="s">
        <v>54</v>
      </c>
      <c r="C1" s="4" t="s">
        <v>55</v>
      </c>
      <c r="D1" s="4" t="s">
        <v>56</v>
      </c>
    </row>
    <row r="2" spans="1:7" x14ac:dyDescent="0.25">
      <c r="A2" s="4" t="s">
        <v>57</v>
      </c>
      <c r="B2" s="4" t="s">
        <v>77</v>
      </c>
      <c r="C2" s="4"/>
      <c r="D2" s="4">
        <v>305</v>
      </c>
    </row>
    <row r="3" spans="1:7" x14ac:dyDescent="0.25">
      <c r="A3" s="4" t="s">
        <v>58</v>
      </c>
      <c r="B3" s="4" t="s">
        <v>78</v>
      </c>
      <c r="C3" s="4" t="s">
        <v>77</v>
      </c>
      <c r="D3" s="4">
        <v>510</v>
      </c>
    </row>
    <row r="4" spans="1:7" x14ac:dyDescent="0.25">
      <c r="A4" s="4" t="s">
        <v>59</v>
      </c>
      <c r="B4" s="4" t="s">
        <v>79</v>
      </c>
      <c r="C4" s="4" t="s">
        <v>85</v>
      </c>
      <c r="D4" s="4">
        <v>490</v>
      </c>
    </row>
    <row r="5" spans="1:7" x14ac:dyDescent="0.25">
      <c r="A5" s="4" t="s">
        <v>60</v>
      </c>
      <c r="B5" s="4" t="s">
        <v>78</v>
      </c>
      <c r="C5" s="4" t="s">
        <v>85</v>
      </c>
      <c r="D5" s="4">
        <v>335</v>
      </c>
      <c r="F5">
        <f>COUNTA(A2:D21)</f>
        <v>72</v>
      </c>
      <c r="G5" t="s">
        <v>96</v>
      </c>
    </row>
    <row r="6" spans="1:7" x14ac:dyDescent="0.25">
      <c r="A6" s="4" t="s">
        <v>61</v>
      </c>
      <c r="B6" s="4" t="s">
        <v>80</v>
      </c>
      <c r="C6" s="4" t="s">
        <v>88</v>
      </c>
      <c r="D6" s="4">
        <v>465</v>
      </c>
      <c r="F6">
        <f>ROWS(A2:D21)</f>
        <v>20</v>
      </c>
      <c r="G6" t="s">
        <v>95</v>
      </c>
    </row>
    <row r="7" spans="1:7" x14ac:dyDescent="0.25">
      <c r="A7" s="4" t="s">
        <v>62</v>
      </c>
      <c r="B7" s="4" t="s">
        <v>78</v>
      </c>
      <c r="C7" s="4" t="s">
        <v>89</v>
      </c>
      <c r="D7" s="4">
        <v>475</v>
      </c>
      <c r="F7">
        <f>COUNTBLANK(A2:D21)</f>
        <v>8</v>
      </c>
      <c r="G7" t="s">
        <v>94</v>
      </c>
    </row>
    <row r="8" spans="1:7" x14ac:dyDescent="0.25">
      <c r="A8" s="4" t="s">
        <v>63</v>
      </c>
      <c r="B8" s="4" t="s">
        <v>78</v>
      </c>
      <c r="C8" s="4" t="s">
        <v>89</v>
      </c>
      <c r="D8" s="4">
        <v>525</v>
      </c>
      <c r="F8">
        <f>COUNTIF(D2:D21,"&gt;300")</f>
        <v>18</v>
      </c>
      <c r="G8" t="s">
        <v>93</v>
      </c>
    </row>
    <row r="9" spans="1:7" x14ac:dyDescent="0.25">
      <c r="A9" s="4" t="s">
        <v>64</v>
      </c>
      <c r="B9" s="4" t="s">
        <v>81</v>
      </c>
      <c r="C9" s="4" t="s">
        <v>90</v>
      </c>
      <c r="D9" s="4">
        <v>385</v>
      </c>
      <c r="F9">
        <f>COUNTIFS(D2:D21,"&gt;300",D2:D21,"&lt;500")</f>
        <v>15</v>
      </c>
      <c r="G9" t="s">
        <v>92</v>
      </c>
    </row>
    <row r="10" spans="1:7" x14ac:dyDescent="0.25">
      <c r="A10" s="4" t="s">
        <v>65</v>
      </c>
      <c r="B10" s="4" t="s">
        <v>82</v>
      </c>
      <c r="C10" s="4"/>
      <c r="D10" s="4">
        <v>420</v>
      </c>
      <c r="F10">
        <f>COUNTIF(B2:B21,"Water")</f>
        <v>6</v>
      </c>
      <c r="G10" t="s">
        <v>78</v>
      </c>
    </row>
    <row r="11" spans="1:7" x14ac:dyDescent="0.25">
      <c r="A11" s="4" t="s">
        <v>66</v>
      </c>
      <c r="B11" s="4" t="s">
        <v>83</v>
      </c>
      <c r="C11" s="4" t="s">
        <v>91</v>
      </c>
      <c r="D11" s="4">
        <v>349</v>
      </c>
    </row>
    <row r="12" spans="1:7" x14ac:dyDescent="0.25">
      <c r="A12" s="4" t="s">
        <v>67</v>
      </c>
      <c r="B12" s="4" t="s">
        <v>83</v>
      </c>
      <c r="C12" s="4"/>
      <c r="D12" s="4">
        <v>253</v>
      </c>
    </row>
    <row r="13" spans="1:7" x14ac:dyDescent="0.25">
      <c r="A13" s="4" t="s">
        <v>68</v>
      </c>
      <c r="B13" s="4" t="s">
        <v>84</v>
      </c>
      <c r="C13" s="4" t="s">
        <v>85</v>
      </c>
      <c r="D13" s="4">
        <v>395</v>
      </c>
    </row>
    <row r="14" spans="1:7" x14ac:dyDescent="0.25">
      <c r="A14" s="4" t="s">
        <v>69</v>
      </c>
      <c r="B14" s="4" t="s">
        <v>83</v>
      </c>
      <c r="C14" s="4" t="s">
        <v>91</v>
      </c>
      <c r="D14" s="4">
        <v>310</v>
      </c>
    </row>
    <row r="15" spans="1:7" x14ac:dyDescent="0.25">
      <c r="A15" s="4" t="s">
        <v>70</v>
      </c>
      <c r="B15" s="4" t="s">
        <v>78</v>
      </c>
      <c r="C15" s="4"/>
      <c r="D15" s="4">
        <v>475</v>
      </c>
    </row>
    <row r="16" spans="1:7" x14ac:dyDescent="0.25">
      <c r="A16" s="4" t="s">
        <v>71</v>
      </c>
      <c r="B16" s="4" t="s">
        <v>85</v>
      </c>
      <c r="C16" s="4" t="s">
        <v>90</v>
      </c>
      <c r="D16" s="4">
        <v>505</v>
      </c>
    </row>
    <row r="17" spans="1:4" x14ac:dyDescent="0.25">
      <c r="A17" s="4" t="s">
        <v>72</v>
      </c>
      <c r="B17" s="4" t="s">
        <v>77</v>
      </c>
      <c r="C17" s="4"/>
      <c r="D17" s="4">
        <v>455</v>
      </c>
    </row>
    <row r="18" spans="1:4" x14ac:dyDescent="0.25">
      <c r="A18" s="4" t="s">
        <v>73</v>
      </c>
      <c r="B18" s="4" t="s">
        <v>86</v>
      </c>
      <c r="C18" s="4"/>
      <c r="D18" s="4">
        <v>405</v>
      </c>
    </row>
    <row r="19" spans="1:4" x14ac:dyDescent="0.25">
      <c r="A19" s="4" t="s">
        <v>74</v>
      </c>
      <c r="B19" s="4" t="s">
        <v>85</v>
      </c>
      <c r="C19" s="4"/>
      <c r="D19" s="4">
        <v>438</v>
      </c>
    </row>
    <row r="20" spans="1:4" x14ac:dyDescent="0.25">
      <c r="A20" s="4" t="s">
        <v>75</v>
      </c>
      <c r="B20" s="4" t="s">
        <v>87</v>
      </c>
      <c r="C20" s="4" t="s">
        <v>85</v>
      </c>
      <c r="D20" s="4">
        <v>310</v>
      </c>
    </row>
    <row r="21" spans="1:4" x14ac:dyDescent="0.25">
      <c r="A21" s="4" t="s">
        <v>76</v>
      </c>
      <c r="B21" s="4" t="s">
        <v>78</v>
      </c>
      <c r="C21" s="4"/>
      <c r="D21" s="4">
        <v>200</v>
      </c>
    </row>
  </sheetData>
  <conditionalFormatting sqref="D1:D1048576">
    <cfRule type="cellIs" dxfId="3" priority="1" operator="between">
      <formula>300</formula>
      <formula>500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31" zoomScale="113" workbookViewId="0">
      <selection activeCell="I44" sqref="I44"/>
    </sheetView>
  </sheetViews>
  <sheetFormatPr defaultRowHeight="15" x14ac:dyDescent="0.25"/>
  <cols>
    <col min="4" max="4" width="13.42578125" customWidth="1"/>
    <col min="7" max="7" width="12" customWidth="1"/>
    <col min="13" max="13" width="11.85546875" customWidth="1"/>
  </cols>
  <sheetData>
    <row r="1" spans="1:21" ht="18.75" x14ac:dyDescent="0.3">
      <c r="A1" s="72" t="s">
        <v>97</v>
      </c>
      <c r="B1" s="72"/>
      <c r="C1" s="72"/>
      <c r="D1" s="72"/>
      <c r="E1" s="72"/>
      <c r="F1" s="72"/>
      <c r="G1" s="72"/>
      <c r="H1" s="72"/>
      <c r="I1" s="72"/>
      <c r="J1" s="72"/>
      <c r="K1" s="72"/>
      <c r="M1" s="73" t="s">
        <v>100</v>
      </c>
      <c r="N1" s="74"/>
      <c r="O1" s="74"/>
      <c r="P1" s="74"/>
      <c r="Q1" s="74"/>
      <c r="R1" s="74"/>
      <c r="S1" s="74"/>
      <c r="T1" s="74"/>
      <c r="U1" s="19"/>
    </row>
    <row r="2" spans="1:21" x14ac:dyDescent="0.25">
      <c r="A2" s="4">
        <v>10800</v>
      </c>
      <c r="B2" s="4">
        <v>82875</v>
      </c>
      <c r="C2" s="4">
        <v>42500</v>
      </c>
      <c r="D2" s="4">
        <v>24150</v>
      </c>
      <c r="E2" s="4">
        <v>22575</v>
      </c>
      <c r="F2" s="4">
        <v>19250</v>
      </c>
      <c r="G2" s="4">
        <v>23625</v>
      </c>
      <c r="H2" s="4">
        <v>15937.5</v>
      </c>
      <c r="I2" s="4">
        <v>9000</v>
      </c>
      <c r="J2" s="4">
        <v>3185</v>
      </c>
      <c r="K2" s="4">
        <v>23625</v>
      </c>
      <c r="M2" s="19"/>
      <c r="N2" s="19"/>
      <c r="O2" s="19"/>
      <c r="P2" s="19"/>
      <c r="Q2" s="19"/>
      <c r="R2" s="19"/>
      <c r="S2" s="19"/>
      <c r="T2" s="19"/>
      <c r="U2" s="19"/>
    </row>
    <row r="3" spans="1:21" ht="15.75" x14ac:dyDescent="0.25">
      <c r="A3" s="4">
        <v>19910</v>
      </c>
      <c r="B3" s="4">
        <v>7000</v>
      </c>
      <c r="C3" s="4">
        <v>375</v>
      </c>
      <c r="D3" s="4">
        <v>7425</v>
      </c>
      <c r="E3" s="4">
        <v>15750</v>
      </c>
      <c r="F3" s="4">
        <v>103530</v>
      </c>
      <c r="G3" s="4">
        <v>6875</v>
      </c>
      <c r="H3" s="4">
        <v>8002.5</v>
      </c>
      <c r="I3" s="4">
        <v>15562.5</v>
      </c>
      <c r="J3" s="4">
        <v>65875</v>
      </c>
      <c r="K3" s="4">
        <v>17040</v>
      </c>
      <c r="M3" s="22" t="s">
        <v>101</v>
      </c>
      <c r="N3" s="75">
        <v>1</v>
      </c>
      <c r="O3" s="75"/>
      <c r="P3" s="19"/>
      <c r="Q3" s="76" t="s">
        <v>102</v>
      </c>
      <c r="R3" s="76"/>
      <c r="S3" s="76"/>
      <c r="T3" s="24"/>
      <c r="U3" s="24"/>
    </row>
    <row r="4" spans="1:21" x14ac:dyDescent="0.25">
      <c r="A4" s="4">
        <v>38250</v>
      </c>
      <c r="B4" s="4">
        <v>10800</v>
      </c>
      <c r="C4" s="4">
        <v>7837.5</v>
      </c>
      <c r="D4" s="4">
        <v>53125</v>
      </c>
      <c r="E4" s="4">
        <v>23750</v>
      </c>
      <c r="F4" s="4">
        <v>7062.5</v>
      </c>
      <c r="G4" s="4">
        <v>63750</v>
      </c>
      <c r="H4" s="4">
        <v>16276.75</v>
      </c>
      <c r="I4" s="4">
        <v>6781.25</v>
      </c>
      <c r="J4" s="4">
        <v>2940</v>
      </c>
      <c r="K4" s="4">
        <v>18150</v>
      </c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4">
        <v>14910</v>
      </c>
      <c r="B5" s="4">
        <v>16625</v>
      </c>
      <c r="C5" s="4">
        <v>6075</v>
      </c>
      <c r="D5" s="4">
        <v>15087.5</v>
      </c>
      <c r="E5" s="4">
        <v>7425</v>
      </c>
      <c r="F5" s="4">
        <v>6562.5</v>
      </c>
      <c r="G5" s="4">
        <v>6277.5</v>
      </c>
      <c r="H5" s="4">
        <v>14910</v>
      </c>
      <c r="I5" s="4">
        <v>63000</v>
      </c>
      <c r="J5" s="4">
        <v>3705</v>
      </c>
      <c r="K5" s="4">
        <v>6125</v>
      </c>
    </row>
    <row r="6" spans="1:21" x14ac:dyDescent="0.25">
      <c r="A6" s="4">
        <v>58800</v>
      </c>
      <c r="B6" s="4">
        <v>61625</v>
      </c>
      <c r="C6" s="4">
        <v>6750</v>
      </c>
      <c r="D6" s="4">
        <v>42000</v>
      </c>
      <c r="E6" s="4">
        <v>17250</v>
      </c>
      <c r="F6" s="4">
        <v>4562.5</v>
      </c>
      <c r="G6" s="4">
        <v>3847.5</v>
      </c>
      <c r="H6" s="4">
        <v>4425</v>
      </c>
      <c r="I6" s="4">
        <v>7062.5</v>
      </c>
      <c r="J6" s="4">
        <v>76500</v>
      </c>
      <c r="K6" s="4">
        <v>5293</v>
      </c>
    </row>
    <row r="7" spans="1:21" x14ac:dyDescent="0.25">
      <c r="A7" s="4">
        <v>3300</v>
      </c>
      <c r="B7" s="4">
        <v>7245.25</v>
      </c>
      <c r="C7" s="4">
        <v>16330</v>
      </c>
      <c r="D7" s="4">
        <v>13650</v>
      </c>
      <c r="E7" s="4">
        <v>3562.5</v>
      </c>
      <c r="F7" s="4">
        <v>5365.5</v>
      </c>
      <c r="G7" s="4">
        <v>121000</v>
      </c>
      <c r="H7" s="4">
        <v>2700</v>
      </c>
      <c r="I7" s="4">
        <v>44625</v>
      </c>
      <c r="J7" s="4">
        <v>64500</v>
      </c>
      <c r="K7" s="4">
        <v>9045</v>
      </c>
    </row>
    <row r="8" spans="1:21" x14ac:dyDescent="0.25">
      <c r="A8" s="4">
        <v>81937.5</v>
      </c>
      <c r="B8" s="4">
        <v>72250</v>
      </c>
      <c r="C8" s="4">
        <v>3062.5</v>
      </c>
      <c r="D8" s="4">
        <v>17775</v>
      </c>
      <c r="E8" s="4">
        <v>110000</v>
      </c>
      <c r="F8" s="4">
        <v>10050</v>
      </c>
      <c r="G8" s="4">
        <v>96750</v>
      </c>
      <c r="H8" s="4">
        <v>127000</v>
      </c>
      <c r="I8" s="4">
        <v>9547.5</v>
      </c>
      <c r="J8" s="4">
        <v>27750</v>
      </c>
      <c r="K8" s="4">
        <v>25000</v>
      </c>
      <c r="N8" s="23"/>
    </row>
    <row r="9" spans="1:21" x14ac:dyDescent="0.25">
      <c r="A9" s="4">
        <v>3675</v>
      </c>
      <c r="B9" s="4">
        <v>27125</v>
      </c>
      <c r="C9" s="4">
        <v>74375</v>
      </c>
      <c r="D9" s="4">
        <v>25350</v>
      </c>
      <c r="E9" s="4">
        <v>77400</v>
      </c>
      <c r="F9" s="4">
        <v>3150</v>
      </c>
      <c r="G9" s="4">
        <v>25900</v>
      </c>
      <c r="H9" s="4">
        <v>525</v>
      </c>
      <c r="I9" s="4">
        <v>82.5</v>
      </c>
      <c r="J9" s="4">
        <v>26250</v>
      </c>
      <c r="K9" s="4">
        <v>10450</v>
      </c>
    </row>
    <row r="12" spans="1:21" x14ac:dyDescent="0.25">
      <c r="C12" s="77" t="s">
        <v>120</v>
      </c>
      <c r="D12" s="27" t="s">
        <v>118</v>
      </c>
      <c r="E12" s="15">
        <f>COUNT(A2:K9)</f>
        <v>88</v>
      </c>
    </row>
    <row r="13" spans="1:21" x14ac:dyDescent="0.25">
      <c r="C13" s="77"/>
      <c r="D13" s="27" t="s">
        <v>119</v>
      </c>
      <c r="E13" s="15">
        <f>COUNTIF(A2:K9,"&gt;50000")</f>
        <v>18</v>
      </c>
    </row>
    <row r="14" spans="1:21" x14ac:dyDescent="0.25">
      <c r="C14" s="71" t="s">
        <v>121</v>
      </c>
      <c r="D14" s="25" t="s">
        <v>98</v>
      </c>
      <c r="E14" s="28">
        <f>COUNTIFS(B2:K9,"&gt;40000",B2:K9,"&lt;80000")</f>
        <v>13</v>
      </c>
    </row>
    <row r="15" spans="1:21" x14ac:dyDescent="0.25">
      <c r="C15" s="71"/>
      <c r="D15" s="25" t="s">
        <v>99</v>
      </c>
      <c r="E15" s="28">
        <f>COUNTIF(A2:K9,"&lt;50000")</f>
        <v>70</v>
      </c>
    </row>
    <row r="19" spans="3:9" x14ac:dyDescent="0.25">
      <c r="C19" t="s">
        <v>143</v>
      </c>
      <c r="D19" t="s">
        <v>142</v>
      </c>
    </row>
    <row r="21" spans="3:9" x14ac:dyDescent="0.25">
      <c r="D21" s="37">
        <f>AVERAGEA(A2:K9)</f>
        <v>27149.28125</v>
      </c>
    </row>
    <row r="22" spans="3:9" x14ac:dyDescent="0.25">
      <c r="D22" s="37">
        <f>COUNTIF(A2:K9,"&gt;"&amp;D21)</f>
        <v>23</v>
      </c>
    </row>
    <row r="24" spans="3:9" x14ac:dyDescent="0.25">
      <c r="D24" t="s">
        <v>144</v>
      </c>
    </row>
    <row r="26" spans="3:9" x14ac:dyDescent="0.25">
      <c r="D26">
        <f>AVERAGEIF(A2:K9,"&gt;50000")</f>
        <v>80794.027777777781</v>
      </c>
    </row>
    <row r="27" spans="3:9" x14ac:dyDescent="0.25">
      <c r="D27">
        <f>AVERAGEIFS(A2:K9,A2:K9,"&gt;30000",A2:K9,"&lt;80000")</f>
        <v>59905</v>
      </c>
    </row>
    <row r="29" spans="3:9" x14ac:dyDescent="0.25">
      <c r="D29" t="s">
        <v>145</v>
      </c>
    </row>
    <row r="31" spans="3:9" x14ac:dyDescent="0.25">
      <c r="D31" s="36">
        <f>AVERAGEIF(A2:K9,"&lt;40000")</f>
        <v>12025.660447761195</v>
      </c>
    </row>
    <row r="32" spans="3:9" x14ac:dyDescent="0.25">
      <c r="D32" s="36">
        <f t="array" ref="D32">AVERAGE(LARGE(A2:K9,{1,2,3,4,5,6,7,8,9,10}))</f>
        <v>95136.75</v>
      </c>
      <c r="H32" s="4">
        <v>1</v>
      </c>
      <c r="I32" s="4">
        <f>LARGE($A$2:$K$9,H32)</f>
        <v>127000</v>
      </c>
    </row>
    <row r="33" spans="8:9" x14ac:dyDescent="0.25">
      <c r="H33" s="4">
        <v>2</v>
      </c>
      <c r="I33" s="4">
        <f t="shared" ref="I33:I41" si="0">LARGE($A$2:$K$9,H33)</f>
        <v>121000</v>
      </c>
    </row>
    <row r="34" spans="8:9" x14ac:dyDescent="0.25">
      <c r="H34" s="4">
        <v>3</v>
      </c>
      <c r="I34" s="4">
        <f t="shared" si="0"/>
        <v>110000</v>
      </c>
    </row>
    <row r="35" spans="8:9" x14ac:dyDescent="0.25">
      <c r="H35" s="4">
        <v>4</v>
      </c>
      <c r="I35" s="4">
        <f t="shared" si="0"/>
        <v>103530</v>
      </c>
    </row>
    <row r="36" spans="8:9" x14ac:dyDescent="0.25">
      <c r="H36" s="4">
        <v>5</v>
      </c>
      <c r="I36" s="4">
        <f t="shared" si="0"/>
        <v>96750</v>
      </c>
    </row>
    <row r="37" spans="8:9" x14ac:dyDescent="0.25">
      <c r="H37" s="4">
        <v>6</v>
      </c>
      <c r="I37" s="4">
        <f t="shared" si="0"/>
        <v>82875</v>
      </c>
    </row>
    <row r="38" spans="8:9" x14ac:dyDescent="0.25">
      <c r="H38" s="4">
        <v>7</v>
      </c>
      <c r="I38" s="4">
        <f t="shared" si="0"/>
        <v>81937.5</v>
      </c>
    </row>
    <row r="39" spans="8:9" x14ac:dyDescent="0.25">
      <c r="H39" s="4">
        <v>8</v>
      </c>
      <c r="I39" s="4">
        <f t="shared" si="0"/>
        <v>77400</v>
      </c>
    </row>
    <row r="40" spans="8:9" x14ac:dyDescent="0.25">
      <c r="H40" s="4">
        <v>9</v>
      </c>
      <c r="I40" s="4">
        <f t="shared" si="0"/>
        <v>76500</v>
      </c>
    </row>
    <row r="41" spans="8:9" x14ac:dyDescent="0.25">
      <c r="H41" s="4">
        <v>10</v>
      </c>
      <c r="I41" s="4">
        <f t="shared" si="0"/>
        <v>74375</v>
      </c>
    </row>
    <row r="42" spans="8:9" x14ac:dyDescent="0.25">
      <c r="H42" s="4" t="s">
        <v>148</v>
      </c>
      <c r="I42" s="4">
        <f>SUM(I32:I41)</f>
        <v>951367.5</v>
      </c>
    </row>
    <row r="43" spans="8:9" x14ac:dyDescent="0.25">
      <c r="H43" s="4" t="s">
        <v>146</v>
      </c>
      <c r="I43" s="4">
        <f>COUNT(I32:I41)</f>
        <v>10</v>
      </c>
    </row>
    <row r="44" spans="8:9" x14ac:dyDescent="0.25">
      <c r="H44" s="4" t="s">
        <v>147</v>
      </c>
      <c r="I44" s="4">
        <f>I42/I43</f>
        <v>95136.75</v>
      </c>
    </row>
  </sheetData>
  <mergeCells count="6">
    <mergeCell ref="C14:C15"/>
    <mergeCell ref="A1:K1"/>
    <mergeCell ref="M1:T1"/>
    <mergeCell ref="N3:O3"/>
    <mergeCell ref="Q3:S3"/>
    <mergeCell ref="C12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F20" sqref="F20"/>
    </sheetView>
  </sheetViews>
  <sheetFormatPr defaultRowHeight="15" x14ac:dyDescent="0.25"/>
  <cols>
    <col min="1" max="1" width="13.42578125" customWidth="1"/>
    <col min="2" max="2" width="21.7109375" customWidth="1"/>
  </cols>
  <sheetData>
    <row r="1" spans="1:3" x14ac:dyDescent="0.25">
      <c r="A1" s="2" t="s">
        <v>53</v>
      </c>
      <c r="B1" s="2" t="s">
        <v>103</v>
      </c>
      <c r="C1" s="2" t="s">
        <v>104</v>
      </c>
    </row>
    <row r="2" spans="1:3" x14ac:dyDescent="0.25">
      <c r="A2" s="4" t="s">
        <v>105</v>
      </c>
      <c r="B2" s="4" t="s">
        <v>79</v>
      </c>
      <c r="C2" s="4">
        <v>45</v>
      </c>
    </row>
    <row r="3" spans="1:3" x14ac:dyDescent="0.25">
      <c r="A3" s="4" t="s">
        <v>106</v>
      </c>
      <c r="B3" s="4" t="s">
        <v>79</v>
      </c>
      <c r="C3" s="4">
        <v>60</v>
      </c>
    </row>
    <row r="4" spans="1:3" x14ac:dyDescent="0.25">
      <c r="A4" s="4" t="s">
        <v>107</v>
      </c>
      <c r="B4" s="4" t="s">
        <v>79</v>
      </c>
      <c r="C4" s="4">
        <v>80</v>
      </c>
    </row>
    <row r="5" spans="1:3" x14ac:dyDescent="0.25">
      <c r="A5" s="4" t="s">
        <v>108</v>
      </c>
      <c r="B5" s="4" t="s">
        <v>86</v>
      </c>
      <c r="C5" s="4">
        <v>65</v>
      </c>
    </row>
    <row r="6" spans="1:3" x14ac:dyDescent="0.25">
      <c r="A6" s="4" t="s">
        <v>109</v>
      </c>
      <c r="B6" s="4" t="s">
        <v>86</v>
      </c>
      <c r="C6" s="4">
        <v>80</v>
      </c>
    </row>
    <row r="7" spans="1:3" x14ac:dyDescent="0.25">
      <c r="A7" s="4" t="s">
        <v>110</v>
      </c>
      <c r="B7" s="4" t="s">
        <v>86</v>
      </c>
      <c r="C7" s="4">
        <v>100</v>
      </c>
    </row>
    <row r="8" spans="1:3" x14ac:dyDescent="0.25">
      <c r="A8" s="4" t="s">
        <v>111</v>
      </c>
      <c r="B8" s="4" t="s">
        <v>78</v>
      </c>
      <c r="C8" s="4">
        <v>43</v>
      </c>
    </row>
    <row r="9" spans="1:3" x14ac:dyDescent="0.25">
      <c r="A9" s="4" t="s">
        <v>112</v>
      </c>
      <c r="B9" s="4" t="s">
        <v>78</v>
      </c>
      <c r="C9" s="4">
        <v>58</v>
      </c>
    </row>
    <row r="10" spans="1:3" x14ac:dyDescent="0.25">
      <c r="A10" s="4" t="s">
        <v>113</v>
      </c>
      <c r="B10" s="4" t="s">
        <v>78</v>
      </c>
      <c r="C10" s="4">
        <v>78</v>
      </c>
    </row>
    <row r="11" spans="1:3" ht="15.75" x14ac:dyDescent="0.25">
      <c r="B11" s="25" t="s">
        <v>114</v>
      </c>
      <c r="C11" s="26">
        <f>SUM(C2:C10)</f>
        <v>609</v>
      </c>
    </row>
    <row r="14" spans="1:3" ht="15.75" x14ac:dyDescent="0.25">
      <c r="B14" s="25" t="s">
        <v>115</v>
      </c>
      <c r="C14" s="26">
        <f>SUMIF(B2:B10,"Grass",C2:C10)</f>
        <v>185</v>
      </c>
    </row>
    <row r="16" spans="1:3" ht="15.75" x14ac:dyDescent="0.25">
      <c r="B16" s="25" t="s">
        <v>116</v>
      </c>
      <c r="C16" s="26">
        <f>SUMIF(B2:B10,"Fire",C2:C10)</f>
        <v>245</v>
      </c>
    </row>
    <row r="18" spans="2:6" ht="15.75" x14ac:dyDescent="0.25">
      <c r="B18" s="25" t="s">
        <v>117</v>
      </c>
      <c r="C18" s="26">
        <f>SUMIF(B2:B10,"Water",C2:C10)</f>
        <v>179</v>
      </c>
    </row>
    <row r="20" spans="2:6" ht="15.75" x14ac:dyDescent="0.25">
      <c r="B20" s="25" t="s">
        <v>149</v>
      </c>
      <c r="F20" s="38">
        <f>SUMIFS(C2:C10,C2:C10,"&gt;43",C2:C10,"&lt;78")</f>
        <v>228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C20" sqref="C20"/>
    </sheetView>
  </sheetViews>
  <sheetFormatPr defaultRowHeight="15" x14ac:dyDescent="0.25"/>
  <cols>
    <col min="2" max="2" width="16.85546875" customWidth="1"/>
    <col min="3" max="3" width="12.28515625" customWidth="1"/>
  </cols>
  <sheetData>
    <row r="1" spans="1:3" x14ac:dyDescent="0.25">
      <c r="A1" s="2" t="s">
        <v>53</v>
      </c>
      <c r="B1" s="2" t="s">
        <v>103</v>
      </c>
      <c r="C1" s="2" t="s">
        <v>104</v>
      </c>
    </row>
    <row r="2" spans="1:3" x14ac:dyDescent="0.25">
      <c r="A2" s="4" t="s">
        <v>105</v>
      </c>
      <c r="B2" s="4" t="s">
        <v>79</v>
      </c>
      <c r="C2" s="4">
        <v>45</v>
      </c>
    </row>
    <row r="3" spans="1:3" x14ac:dyDescent="0.25">
      <c r="A3" s="4" t="s">
        <v>106</v>
      </c>
      <c r="B3" s="4" t="s">
        <v>79</v>
      </c>
      <c r="C3" s="4">
        <v>60</v>
      </c>
    </row>
    <row r="4" spans="1:3" x14ac:dyDescent="0.25">
      <c r="A4" s="4" t="s">
        <v>107</v>
      </c>
      <c r="B4" s="4" t="s">
        <v>79</v>
      </c>
      <c r="C4" s="4">
        <v>80</v>
      </c>
    </row>
    <row r="5" spans="1:3" x14ac:dyDescent="0.25">
      <c r="A5" s="4" t="s">
        <v>108</v>
      </c>
      <c r="B5" s="4" t="s">
        <v>86</v>
      </c>
      <c r="C5" s="4">
        <v>65</v>
      </c>
    </row>
    <row r="6" spans="1:3" x14ac:dyDescent="0.25">
      <c r="A6" s="4" t="s">
        <v>109</v>
      </c>
      <c r="B6" s="4" t="s">
        <v>86</v>
      </c>
      <c r="C6" s="4">
        <v>80</v>
      </c>
    </row>
    <row r="7" spans="1:3" x14ac:dyDescent="0.25">
      <c r="A7" s="4" t="s">
        <v>110</v>
      </c>
      <c r="B7" s="4" t="s">
        <v>86</v>
      </c>
      <c r="C7" s="4">
        <v>100</v>
      </c>
    </row>
    <row r="8" spans="1:3" x14ac:dyDescent="0.25">
      <c r="A8" s="4" t="s">
        <v>111</v>
      </c>
      <c r="B8" s="4" t="s">
        <v>78</v>
      </c>
      <c r="C8" s="4">
        <v>43</v>
      </c>
    </row>
    <row r="9" spans="1:3" x14ac:dyDescent="0.25">
      <c r="A9" s="4" t="s">
        <v>112</v>
      </c>
      <c r="B9" s="4" t="s">
        <v>78</v>
      </c>
      <c r="C9" s="4">
        <v>58</v>
      </c>
    </row>
    <row r="10" spans="1:3" x14ac:dyDescent="0.25">
      <c r="A10" s="4" t="s">
        <v>113</v>
      </c>
      <c r="B10" s="4" t="s">
        <v>78</v>
      </c>
      <c r="C10" s="4">
        <v>78</v>
      </c>
    </row>
    <row r="11" spans="1:3" ht="15.75" x14ac:dyDescent="0.25">
      <c r="B11" s="29" t="s">
        <v>122</v>
      </c>
      <c r="C11" s="26">
        <f>AVEDEV(C2:C10)</f>
        <v>14.962962962962965</v>
      </c>
    </row>
    <row r="14" spans="1:3" ht="15.75" x14ac:dyDescent="0.25">
      <c r="B14" s="25" t="s">
        <v>123</v>
      </c>
      <c r="C14" s="26">
        <f>AVERAGEIF(B2:B10,"Grass",C2:C10)</f>
        <v>61.666666666666664</v>
      </c>
    </row>
    <row r="16" spans="1:3" ht="15.75" x14ac:dyDescent="0.25">
      <c r="B16" s="25" t="s">
        <v>124</v>
      </c>
      <c r="C16" s="26">
        <f>AVERAGEIF(B2:B10,"Fire",C2:C10)</f>
        <v>81.666666666666671</v>
      </c>
    </row>
    <row r="18" spans="1:3" ht="15.75" x14ac:dyDescent="0.25">
      <c r="A18" t="s">
        <v>126</v>
      </c>
      <c r="B18" s="25" t="s">
        <v>125</v>
      </c>
      <c r="C18" s="26">
        <f>AVERAGEIFS(C2:C10,B2:B10,"Water")</f>
        <v>59.666666666666664</v>
      </c>
    </row>
    <row r="20" spans="1:3" x14ac:dyDescent="0.25">
      <c r="A20" t="s">
        <v>126</v>
      </c>
      <c r="B20" s="25" t="s">
        <v>123</v>
      </c>
      <c r="C20" s="28">
        <f>AVERAGEIFS(C2:C10,B2:B10,"Grass")</f>
        <v>61.666666666666664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I17" sqref="I17"/>
    </sheetView>
  </sheetViews>
  <sheetFormatPr defaultRowHeight="15" x14ac:dyDescent="0.25"/>
  <cols>
    <col min="8" max="8" width="10.140625" customWidth="1"/>
    <col min="12" max="12" width="10.28515625" bestFit="1" customWidth="1"/>
    <col min="13" max="13" width="13.85546875" customWidth="1"/>
  </cols>
  <sheetData>
    <row r="1" spans="1:13" ht="18.75" x14ac:dyDescent="0.3">
      <c r="A1" s="72" t="s">
        <v>97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3" x14ac:dyDescent="0.25">
      <c r="A2" s="4">
        <v>10800</v>
      </c>
      <c r="B2" s="4">
        <v>82875</v>
      </c>
      <c r="C2" s="4">
        <v>42500</v>
      </c>
      <c r="D2" s="4">
        <v>24150</v>
      </c>
      <c r="E2" s="4">
        <v>22575</v>
      </c>
      <c r="F2" s="4">
        <v>19250</v>
      </c>
      <c r="G2" s="4">
        <v>23625</v>
      </c>
      <c r="H2" s="4">
        <v>15937.5</v>
      </c>
      <c r="I2" s="4">
        <v>9000</v>
      </c>
      <c r="J2" s="4">
        <v>3185</v>
      </c>
      <c r="K2" s="4">
        <v>23625</v>
      </c>
    </row>
    <row r="3" spans="1:13" x14ac:dyDescent="0.25">
      <c r="A3" s="4">
        <v>19910</v>
      </c>
      <c r="B3" s="4">
        <v>7000</v>
      </c>
      <c r="C3" s="4">
        <v>375</v>
      </c>
      <c r="D3" s="4">
        <v>7425</v>
      </c>
      <c r="E3" s="4">
        <v>15750</v>
      </c>
      <c r="F3" s="4">
        <v>103530</v>
      </c>
      <c r="G3" s="4">
        <v>6875</v>
      </c>
      <c r="H3" s="4">
        <v>8002.5</v>
      </c>
      <c r="I3" s="4">
        <v>15562.5</v>
      </c>
      <c r="J3" s="4">
        <v>65875</v>
      </c>
      <c r="K3" s="4">
        <v>17040</v>
      </c>
    </row>
    <row r="4" spans="1:13" x14ac:dyDescent="0.25">
      <c r="A4" s="4">
        <v>38250</v>
      </c>
      <c r="B4" s="4">
        <v>10800</v>
      </c>
      <c r="C4" s="4">
        <v>7837.5</v>
      </c>
      <c r="D4" s="4">
        <v>53125</v>
      </c>
      <c r="E4" s="4">
        <v>23750</v>
      </c>
      <c r="F4" s="4">
        <v>7062.5</v>
      </c>
      <c r="G4" s="4">
        <v>63750</v>
      </c>
      <c r="H4" s="4">
        <v>16276.75</v>
      </c>
      <c r="I4" s="4">
        <v>6781.25</v>
      </c>
      <c r="J4" s="4">
        <v>2940</v>
      </c>
      <c r="K4" s="4">
        <v>18150</v>
      </c>
    </row>
    <row r="5" spans="1:13" x14ac:dyDescent="0.25">
      <c r="A5" s="4">
        <v>14910</v>
      </c>
      <c r="B5" s="4">
        <v>16625</v>
      </c>
      <c r="C5" s="4">
        <v>6075</v>
      </c>
      <c r="D5" s="4">
        <v>15087.5</v>
      </c>
      <c r="E5" s="4">
        <v>7425</v>
      </c>
      <c r="F5" s="4">
        <v>6562.5</v>
      </c>
      <c r="G5" s="4">
        <v>6277.5</v>
      </c>
      <c r="H5" s="4">
        <v>14910</v>
      </c>
      <c r="I5" s="4">
        <v>63000</v>
      </c>
      <c r="J5" s="4">
        <v>3705</v>
      </c>
      <c r="K5" s="4">
        <v>6125</v>
      </c>
    </row>
    <row r="6" spans="1:13" x14ac:dyDescent="0.25">
      <c r="A6" s="4">
        <v>58800</v>
      </c>
      <c r="B6" s="4">
        <v>61625</v>
      </c>
      <c r="C6" s="4">
        <v>6750</v>
      </c>
      <c r="D6" s="4">
        <v>42000</v>
      </c>
      <c r="E6" s="4">
        <v>17250</v>
      </c>
      <c r="F6" s="4">
        <v>4562.5</v>
      </c>
      <c r="G6" s="4">
        <v>3847.5</v>
      </c>
      <c r="H6" s="4">
        <v>4425</v>
      </c>
      <c r="I6" s="4">
        <v>7062.5</v>
      </c>
      <c r="J6" s="4">
        <v>76500</v>
      </c>
      <c r="K6" s="4">
        <v>5293</v>
      </c>
    </row>
    <row r="7" spans="1:13" x14ac:dyDescent="0.25">
      <c r="A7" s="4">
        <v>3300</v>
      </c>
      <c r="B7" s="4">
        <v>7245.25</v>
      </c>
      <c r="C7" s="4">
        <v>16330</v>
      </c>
      <c r="D7" s="4">
        <v>13650</v>
      </c>
      <c r="E7" s="4">
        <v>3562.5</v>
      </c>
      <c r="F7" s="4">
        <v>5365.5</v>
      </c>
      <c r="G7" s="4">
        <v>121000</v>
      </c>
      <c r="H7" s="4">
        <v>2700</v>
      </c>
      <c r="I7" s="4">
        <v>44625</v>
      </c>
      <c r="J7" s="4">
        <v>64500</v>
      </c>
      <c r="K7" s="4">
        <v>9045</v>
      </c>
    </row>
    <row r="8" spans="1:13" x14ac:dyDescent="0.25">
      <c r="A8" s="4">
        <v>81937.5</v>
      </c>
      <c r="B8" s="4">
        <v>72250</v>
      </c>
      <c r="C8" s="4">
        <v>3062.5</v>
      </c>
      <c r="D8" s="4">
        <v>17775</v>
      </c>
      <c r="E8" s="4">
        <v>110000</v>
      </c>
      <c r="F8" s="4">
        <v>10050</v>
      </c>
      <c r="G8" s="4">
        <v>96750</v>
      </c>
      <c r="H8" s="4">
        <v>127000</v>
      </c>
      <c r="I8" s="4">
        <v>9547.5</v>
      </c>
      <c r="J8" s="4">
        <v>27750</v>
      </c>
      <c r="K8" s="4">
        <v>25000</v>
      </c>
    </row>
    <row r="9" spans="1:13" x14ac:dyDescent="0.25">
      <c r="A9" s="4">
        <v>3675</v>
      </c>
      <c r="B9" s="4">
        <v>27125</v>
      </c>
      <c r="C9" s="4">
        <v>74375</v>
      </c>
      <c r="D9" s="4">
        <v>25350</v>
      </c>
      <c r="E9" s="4">
        <v>77400</v>
      </c>
      <c r="F9" s="4">
        <v>3150</v>
      </c>
      <c r="G9" s="4">
        <v>25900</v>
      </c>
      <c r="H9" s="4">
        <v>525</v>
      </c>
      <c r="I9" s="4">
        <v>82.5</v>
      </c>
      <c r="J9" s="4">
        <v>26250</v>
      </c>
      <c r="K9" s="4">
        <v>10450</v>
      </c>
    </row>
    <row r="12" spans="1:13" ht="15.75" thickBot="1" x14ac:dyDescent="0.3">
      <c r="K12" s="4" t="s">
        <v>152</v>
      </c>
      <c r="L12" s="4" t="s">
        <v>150</v>
      </c>
      <c r="M12" s="4" t="s">
        <v>151</v>
      </c>
    </row>
    <row r="13" spans="1:13" x14ac:dyDescent="0.25">
      <c r="H13" s="39" t="s">
        <v>50</v>
      </c>
      <c r="I13" s="40">
        <f>MIN(A2:K9)</f>
        <v>82.5</v>
      </c>
      <c r="K13" s="4">
        <f>I13</f>
        <v>82.5</v>
      </c>
      <c r="L13" s="4">
        <v>1</v>
      </c>
      <c r="M13" s="4">
        <f>L13</f>
        <v>1</v>
      </c>
    </row>
    <row r="14" spans="1:13" ht="15.75" thickBot="1" x14ac:dyDescent="0.3">
      <c r="H14" s="41" t="s">
        <v>49</v>
      </c>
      <c r="I14" s="42">
        <f>MAX(A2:K9)</f>
        <v>127000</v>
      </c>
      <c r="K14" s="4">
        <f>K13+$I$17</f>
        <v>12774.25</v>
      </c>
      <c r="L14" s="4">
        <v>38</v>
      </c>
      <c r="M14" s="4">
        <f>M13+L14</f>
        <v>39</v>
      </c>
    </row>
    <row r="15" spans="1:13" x14ac:dyDescent="0.25">
      <c r="K15" s="4">
        <f t="shared" ref="K15:K24" si="0">K14+$I$17</f>
        <v>25466</v>
      </c>
      <c r="L15" s="4">
        <v>23</v>
      </c>
      <c r="M15" s="4">
        <f t="shared" ref="M15:M23" si="1">M14+L15</f>
        <v>62</v>
      </c>
    </row>
    <row r="16" spans="1:13" x14ac:dyDescent="0.25">
      <c r="K16" s="4">
        <f t="shared" si="0"/>
        <v>38157.75</v>
      </c>
      <c r="L16" s="4">
        <v>4</v>
      </c>
      <c r="M16" s="4">
        <f t="shared" si="1"/>
        <v>66</v>
      </c>
    </row>
    <row r="17" spans="8:13" x14ac:dyDescent="0.25">
      <c r="H17" t="s">
        <v>153</v>
      </c>
      <c r="I17">
        <f>($I$14-$I$13)/10</f>
        <v>12691.75</v>
      </c>
      <c r="K17" s="4">
        <f t="shared" si="0"/>
        <v>50849.5</v>
      </c>
      <c r="L17" s="4">
        <v>4</v>
      </c>
      <c r="M17" s="4">
        <f t="shared" si="1"/>
        <v>70</v>
      </c>
    </row>
    <row r="18" spans="8:13" x14ac:dyDescent="0.25">
      <c r="K18" s="4">
        <f t="shared" si="0"/>
        <v>63541.25</v>
      </c>
      <c r="L18" s="4">
        <v>4</v>
      </c>
      <c r="M18" s="4">
        <f t="shared" si="1"/>
        <v>74</v>
      </c>
    </row>
    <row r="19" spans="8:13" x14ac:dyDescent="0.25">
      <c r="K19" s="4">
        <f t="shared" si="0"/>
        <v>76233</v>
      </c>
      <c r="L19" s="4">
        <v>5</v>
      </c>
      <c r="M19" s="4">
        <f t="shared" si="1"/>
        <v>79</v>
      </c>
    </row>
    <row r="20" spans="8:13" ht="15.75" thickBot="1" x14ac:dyDescent="0.3">
      <c r="K20" s="4">
        <f t="shared" si="0"/>
        <v>88924.75</v>
      </c>
      <c r="L20" s="4">
        <v>4</v>
      </c>
      <c r="M20" s="4">
        <f t="shared" si="1"/>
        <v>83</v>
      </c>
    </row>
    <row r="21" spans="8:13" x14ac:dyDescent="0.25">
      <c r="H21" s="87"/>
      <c r="I21" s="87"/>
      <c r="K21" s="4">
        <f t="shared" si="0"/>
        <v>101616.5</v>
      </c>
      <c r="L21" s="4">
        <v>1</v>
      </c>
      <c r="M21" s="4">
        <f t="shared" si="1"/>
        <v>84</v>
      </c>
    </row>
    <row r="22" spans="8:13" x14ac:dyDescent="0.25">
      <c r="H22" s="86"/>
      <c r="I22" s="61"/>
      <c r="K22" s="4">
        <f t="shared" si="0"/>
        <v>114308.25</v>
      </c>
      <c r="L22" s="4">
        <v>2</v>
      </c>
      <c r="M22" s="4">
        <f t="shared" si="1"/>
        <v>86</v>
      </c>
    </row>
    <row r="23" spans="8:13" x14ac:dyDescent="0.25">
      <c r="H23" s="86"/>
      <c r="I23" s="61"/>
      <c r="K23" s="4">
        <f t="shared" si="0"/>
        <v>127000</v>
      </c>
      <c r="L23" s="4">
        <v>2</v>
      </c>
      <c r="M23" s="4">
        <f t="shared" si="1"/>
        <v>88</v>
      </c>
    </row>
    <row r="24" spans="8:13" x14ac:dyDescent="0.25">
      <c r="H24" s="86"/>
      <c r="I24" s="61"/>
      <c r="K24" s="4">
        <f t="shared" si="0"/>
        <v>139691.75</v>
      </c>
      <c r="L24" s="4">
        <v>0</v>
      </c>
      <c r="M24" s="4"/>
    </row>
    <row r="25" spans="8:13" x14ac:dyDescent="0.25">
      <c r="H25" s="86"/>
      <c r="I25" s="61"/>
      <c r="K25" s="4"/>
      <c r="L25" s="4">
        <v>0</v>
      </c>
      <c r="M25" s="4"/>
    </row>
    <row r="26" spans="8:13" x14ac:dyDescent="0.25">
      <c r="H26" s="86"/>
      <c r="I26" s="61"/>
      <c r="L26">
        <f>SUM(L13:L25)</f>
        <v>88</v>
      </c>
    </row>
    <row r="27" spans="8:13" x14ac:dyDescent="0.25">
      <c r="H27" s="86"/>
      <c r="I27" s="61"/>
    </row>
    <row r="28" spans="8:13" x14ac:dyDescent="0.25">
      <c r="H28" s="86"/>
      <c r="I28" s="61"/>
    </row>
    <row r="29" spans="8:13" x14ac:dyDescent="0.25">
      <c r="H29" s="86"/>
      <c r="I29" s="61"/>
    </row>
    <row r="30" spans="8:13" x14ac:dyDescent="0.25">
      <c r="H30" s="86"/>
      <c r="I30" s="61"/>
    </row>
    <row r="31" spans="8:13" x14ac:dyDescent="0.25">
      <c r="H31" s="86"/>
      <c r="I31" s="61"/>
    </row>
    <row r="32" spans="8:13" x14ac:dyDescent="0.25">
      <c r="H32" s="86"/>
      <c r="I32" s="61"/>
    </row>
    <row r="33" spans="8:9" x14ac:dyDescent="0.25">
      <c r="H33" s="86"/>
      <c r="I33" s="61"/>
    </row>
    <row r="34" spans="8:9" ht="15.75" thickBot="1" x14ac:dyDescent="0.3">
      <c r="H34" s="62"/>
      <c r="I34" s="62"/>
    </row>
  </sheetData>
  <sortState ref="H22:H33">
    <sortCondition ref="H22"/>
  </sortState>
  <mergeCells count="1">
    <mergeCell ref="A1:K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4" t="s">
        <v>152</v>
      </c>
      <c r="B1" s="4" t="s">
        <v>150</v>
      </c>
      <c r="C1" s="4" t="s">
        <v>151</v>
      </c>
    </row>
    <row r="2" spans="1:3" x14ac:dyDescent="0.25">
      <c r="A2" s="4" t="e">
        <f>#REF!</f>
        <v>#REF!</v>
      </c>
      <c r="B2" s="4">
        <v>1</v>
      </c>
      <c r="C2" s="4">
        <f>B2</f>
        <v>1</v>
      </c>
    </row>
    <row r="3" spans="1:3" x14ac:dyDescent="0.25">
      <c r="A3" s="4" t="e">
        <f>A2+$I$17</f>
        <v>#REF!</v>
      </c>
      <c r="B3" s="4">
        <v>38</v>
      </c>
      <c r="C3" s="4">
        <f>C2+B3</f>
        <v>39</v>
      </c>
    </row>
    <row r="4" spans="1:3" x14ac:dyDescent="0.25">
      <c r="A4" s="4" t="e">
        <f t="shared" ref="A4:A13" si="0">A3+$I$17</f>
        <v>#REF!</v>
      </c>
      <c r="B4" s="4">
        <v>23</v>
      </c>
      <c r="C4" s="4">
        <f t="shared" ref="C4:C12" si="1">C3+B4</f>
        <v>62</v>
      </c>
    </row>
    <row r="5" spans="1:3" x14ac:dyDescent="0.25">
      <c r="A5" s="4" t="e">
        <f t="shared" si="0"/>
        <v>#REF!</v>
      </c>
      <c r="B5" s="4">
        <v>4</v>
      </c>
      <c r="C5" s="4">
        <f t="shared" si="1"/>
        <v>66</v>
      </c>
    </row>
    <row r="6" spans="1:3" x14ac:dyDescent="0.25">
      <c r="A6" s="4" t="e">
        <f t="shared" si="0"/>
        <v>#REF!</v>
      </c>
      <c r="B6" s="4">
        <v>4</v>
      </c>
      <c r="C6" s="4">
        <f t="shared" si="1"/>
        <v>70</v>
      </c>
    </row>
    <row r="7" spans="1:3" x14ac:dyDescent="0.25">
      <c r="A7" s="4" t="e">
        <f t="shared" si="0"/>
        <v>#REF!</v>
      </c>
      <c r="B7" s="4">
        <v>4</v>
      </c>
      <c r="C7" s="4">
        <f t="shared" si="1"/>
        <v>74</v>
      </c>
    </row>
    <row r="8" spans="1:3" x14ac:dyDescent="0.25">
      <c r="A8" s="4" t="e">
        <f t="shared" si="0"/>
        <v>#REF!</v>
      </c>
      <c r="B8" s="4">
        <v>5</v>
      </c>
      <c r="C8" s="4">
        <f t="shared" si="1"/>
        <v>79</v>
      </c>
    </row>
    <row r="9" spans="1:3" x14ac:dyDescent="0.25">
      <c r="A9" s="4" t="e">
        <f t="shared" si="0"/>
        <v>#REF!</v>
      </c>
      <c r="B9" s="4">
        <v>4</v>
      </c>
      <c r="C9" s="4">
        <f t="shared" si="1"/>
        <v>83</v>
      </c>
    </row>
    <row r="10" spans="1:3" x14ac:dyDescent="0.25">
      <c r="A10" s="4" t="e">
        <f t="shared" si="0"/>
        <v>#REF!</v>
      </c>
      <c r="B10" s="4">
        <v>1</v>
      </c>
      <c r="C10" s="4">
        <f t="shared" si="1"/>
        <v>84</v>
      </c>
    </row>
    <row r="11" spans="1:3" x14ac:dyDescent="0.25">
      <c r="A11" s="4" t="e">
        <f t="shared" si="0"/>
        <v>#REF!</v>
      </c>
      <c r="B11" s="4">
        <v>2</v>
      </c>
      <c r="C11" s="4">
        <f t="shared" si="1"/>
        <v>86</v>
      </c>
    </row>
    <row r="12" spans="1:3" x14ac:dyDescent="0.25">
      <c r="A12" s="4" t="e">
        <f t="shared" si="0"/>
        <v>#REF!</v>
      </c>
      <c r="B12" s="4">
        <v>2</v>
      </c>
      <c r="C12" s="4">
        <f t="shared" si="1"/>
        <v>88</v>
      </c>
    </row>
    <row r="13" spans="1:3" x14ac:dyDescent="0.25">
      <c r="A13" s="4" t="e">
        <f t="shared" si="0"/>
        <v>#REF!</v>
      </c>
      <c r="B13" s="4">
        <v>0</v>
      </c>
      <c r="C13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14" workbookViewId="0">
      <selection activeCell="G19" sqref="G19:J29"/>
    </sheetView>
  </sheetViews>
  <sheetFormatPr defaultRowHeight="15" x14ac:dyDescent="0.25"/>
  <cols>
    <col min="3" max="3" width="24.5703125" customWidth="1"/>
    <col min="4" max="4" width="27.7109375" customWidth="1"/>
    <col min="9" max="9" width="21.140625" bestFit="1" customWidth="1"/>
    <col min="10" max="10" width="24.5703125" customWidth="1"/>
    <col min="11" max="11" width="27.7109375" customWidth="1"/>
    <col min="13" max="14" width="21.140625" bestFit="1" customWidth="1"/>
  </cols>
  <sheetData>
    <row r="1" spans="1:8" ht="18.75" x14ac:dyDescent="0.3">
      <c r="A1" s="48" t="s">
        <v>156</v>
      </c>
      <c r="B1" s="48" t="s">
        <v>157</v>
      </c>
      <c r="C1" s="53" t="s">
        <v>158</v>
      </c>
      <c r="D1" s="53" t="s">
        <v>159</v>
      </c>
    </row>
    <row r="2" spans="1:8" ht="18.75" x14ac:dyDescent="0.3">
      <c r="A2" s="48" t="s">
        <v>160</v>
      </c>
      <c r="B2" s="49">
        <v>2</v>
      </c>
      <c r="C2" s="49">
        <v>20</v>
      </c>
      <c r="D2" s="49">
        <v>20</v>
      </c>
    </row>
    <row r="3" spans="1:8" ht="18.75" x14ac:dyDescent="0.3">
      <c r="A3" s="48" t="s">
        <v>161</v>
      </c>
      <c r="B3" s="49">
        <v>4</v>
      </c>
      <c r="C3" s="49">
        <v>90</v>
      </c>
      <c r="D3" s="49">
        <v>90</v>
      </c>
    </row>
    <row r="4" spans="1:8" ht="18.75" x14ac:dyDescent="0.3">
      <c r="A4" s="48" t="s">
        <v>162</v>
      </c>
      <c r="B4" s="49">
        <v>6</v>
      </c>
      <c r="C4" s="49" t="s">
        <v>165</v>
      </c>
      <c r="D4" s="49">
        <v>180</v>
      </c>
    </row>
    <row r="5" spans="1:8" ht="18.75" x14ac:dyDescent="0.3">
      <c r="A5" s="48" t="s">
        <v>163</v>
      </c>
      <c r="B5" s="49">
        <v>8</v>
      </c>
      <c r="C5" s="49">
        <v>90</v>
      </c>
      <c r="D5" s="49">
        <v>90</v>
      </c>
    </row>
    <row r="6" spans="1:8" ht="18.75" x14ac:dyDescent="0.3">
      <c r="A6" s="48" t="s">
        <v>164</v>
      </c>
      <c r="B6" s="49">
        <v>10</v>
      </c>
      <c r="C6" s="49">
        <v>100</v>
      </c>
      <c r="D6" s="49">
        <v>100</v>
      </c>
    </row>
    <row r="7" spans="1:8" ht="18.75" x14ac:dyDescent="0.3">
      <c r="A7" s="48" t="s">
        <v>160</v>
      </c>
      <c r="B7" s="49">
        <v>12</v>
      </c>
      <c r="C7" s="49">
        <v>120</v>
      </c>
      <c r="D7" s="49">
        <v>120</v>
      </c>
    </row>
    <row r="8" spans="1:8" ht="18.75" x14ac:dyDescent="0.3">
      <c r="A8" s="48" t="s">
        <v>161</v>
      </c>
      <c r="B8" s="49">
        <v>14</v>
      </c>
      <c r="C8" s="49">
        <v>60</v>
      </c>
      <c r="D8" s="49">
        <v>60</v>
      </c>
    </row>
    <row r="9" spans="1:8" ht="18.75" x14ac:dyDescent="0.3">
      <c r="A9" s="48" t="s">
        <v>162</v>
      </c>
      <c r="B9" s="49">
        <v>10</v>
      </c>
      <c r="C9" s="49">
        <v>60</v>
      </c>
      <c r="D9" s="49">
        <v>60</v>
      </c>
    </row>
    <row r="10" spans="1:8" ht="18.75" x14ac:dyDescent="0.3">
      <c r="A10" s="48" t="s">
        <v>163</v>
      </c>
      <c r="B10" s="49">
        <v>12</v>
      </c>
      <c r="C10" s="49">
        <v>40</v>
      </c>
      <c r="D10" s="49">
        <v>40</v>
      </c>
    </row>
    <row r="11" spans="1:8" ht="18.75" x14ac:dyDescent="0.3">
      <c r="A11" s="48" t="s">
        <v>164</v>
      </c>
      <c r="B11" s="49">
        <v>14</v>
      </c>
      <c r="C11" s="50">
        <v>50</v>
      </c>
      <c r="D11" s="50">
        <v>50</v>
      </c>
    </row>
    <row r="12" spans="1:8" ht="18.75" x14ac:dyDescent="0.3">
      <c r="A12" s="48" t="s">
        <v>160</v>
      </c>
      <c r="B12" s="49">
        <v>2</v>
      </c>
      <c r="C12" s="49">
        <v>180</v>
      </c>
      <c r="D12" s="49">
        <v>180</v>
      </c>
      <c r="F12" s="25" t="s">
        <v>162</v>
      </c>
      <c r="G12" s="55">
        <f>SUMIF(A2:A50,"Pink",C2:D50)</f>
        <v>390</v>
      </c>
    </row>
    <row r="13" spans="1:8" ht="18.75" x14ac:dyDescent="0.3">
      <c r="A13" s="48" t="s">
        <v>161</v>
      </c>
      <c r="B13" s="49">
        <v>8</v>
      </c>
      <c r="C13" s="49">
        <v>20</v>
      </c>
      <c r="D13" s="49">
        <v>20</v>
      </c>
    </row>
    <row r="14" spans="1:8" ht="18.75" x14ac:dyDescent="0.3">
      <c r="A14" s="48" t="s">
        <v>162</v>
      </c>
      <c r="B14" s="49">
        <v>6</v>
      </c>
      <c r="C14" s="49">
        <v>40</v>
      </c>
      <c r="D14" s="49">
        <v>40</v>
      </c>
      <c r="F14" s="25" t="s">
        <v>166</v>
      </c>
      <c r="G14" s="55">
        <f>SUMIFS(C2:C50,A2:A50,"white",B2:B50,12)</f>
        <v>240</v>
      </c>
      <c r="H14" t="s">
        <v>167</v>
      </c>
    </row>
    <row r="15" spans="1:8" ht="18.75" x14ac:dyDescent="0.3">
      <c r="A15" s="48" t="s">
        <v>163</v>
      </c>
      <c r="B15" s="49">
        <v>10</v>
      </c>
      <c r="C15" s="51">
        <v>50</v>
      </c>
      <c r="D15" s="49">
        <v>120</v>
      </c>
      <c r="G15" s="55">
        <f>SUMIFS(D2:D50,A2:A50,"white",B2:B50,12)</f>
        <v>240</v>
      </c>
      <c r="H15" t="s">
        <v>168</v>
      </c>
    </row>
    <row r="16" spans="1:8" ht="18.75" x14ac:dyDescent="0.3">
      <c r="A16" s="48" t="s">
        <v>164</v>
      </c>
      <c r="B16" s="49">
        <v>12</v>
      </c>
      <c r="C16" s="52">
        <v>70</v>
      </c>
      <c r="D16" s="49">
        <v>100</v>
      </c>
      <c r="G16" s="56"/>
      <c r="H16" s="55">
        <f>G14+G15</f>
        <v>480</v>
      </c>
    </row>
    <row r="17" spans="1:10" ht="18.75" x14ac:dyDescent="0.3">
      <c r="A17" s="48" t="s">
        <v>160</v>
      </c>
      <c r="B17" s="49">
        <v>14</v>
      </c>
      <c r="C17" s="49">
        <v>24</v>
      </c>
      <c r="D17" s="49">
        <v>120</v>
      </c>
      <c r="F17" s="25" t="s">
        <v>169</v>
      </c>
      <c r="G17" s="55">
        <f>SUMIFS(C2:C50,A2:A50,"Black")</f>
        <v>724</v>
      </c>
      <c r="H17" t="s">
        <v>167</v>
      </c>
    </row>
    <row r="18" spans="1:10" ht="18.75" x14ac:dyDescent="0.3">
      <c r="A18" s="48" t="s">
        <v>161</v>
      </c>
      <c r="B18" s="49">
        <v>4</v>
      </c>
      <c r="C18" s="49">
        <v>20</v>
      </c>
      <c r="D18" s="49">
        <v>60</v>
      </c>
    </row>
    <row r="19" spans="1:10" ht="18.75" x14ac:dyDescent="0.3">
      <c r="A19" s="48" t="s">
        <v>162</v>
      </c>
      <c r="B19" s="49">
        <v>6</v>
      </c>
      <c r="C19" s="49">
        <v>90</v>
      </c>
      <c r="D19" s="49">
        <v>60</v>
      </c>
      <c r="G19" s="48" t="s">
        <v>156</v>
      </c>
      <c r="H19" s="48" t="s">
        <v>157</v>
      </c>
      <c r="I19" s="53" t="s">
        <v>158</v>
      </c>
      <c r="J19" s="53" t="s">
        <v>159</v>
      </c>
    </row>
    <row r="20" spans="1:10" ht="18.75" x14ac:dyDescent="0.3">
      <c r="A20" s="48" t="s">
        <v>163</v>
      </c>
      <c r="B20" s="49">
        <v>8</v>
      </c>
      <c r="C20" s="48">
        <v>180</v>
      </c>
      <c r="D20" s="48">
        <v>40</v>
      </c>
      <c r="G20" s="78" t="s">
        <v>163</v>
      </c>
      <c r="H20" s="49">
        <v>8</v>
      </c>
      <c r="I20" s="49">
        <v>90</v>
      </c>
      <c r="J20" s="49">
        <v>90</v>
      </c>
    </row>
    <row r="21" spans="1:10" ht="18.75" x14ac:dyDescent="0.3">
      <c r="A21" s="48" t="s">
        <v>164</v>
      </c>
      <c r="B21" s="49">
        <v>10</v>
      </c>
      <c r="C21" s="48">
        <v>90</v>
      </c>
      <c r="D21" s="48">
        <v>50</v>
      </c>
      <c r="G21" s="79"/>
      <c r="H21" s="49">
        <v>12</v>
      </c>
      <c r="I21" s="49">
        <v>40</v>
      </c>
      <c r="J21" s="49">
        <v>40</v>
      </c>
    </row>
    <row r="22" spans="1:10" ht="18.75" x14ac:dyDescent="0.3">
      <c r="A22" s="48" t="s">
        <v>160</v>
      </c>
      <c r="B22" s="49">
        <v>2</v>
      </c>
      <c r="C22" s="48">
        <v>100</v>
      </c>
      <c r="D22" s="48">
        <v>180</v>
      </c>
      <c r="G22" s="79"/>
      <c r="H22" s="49">
        <v>10</v>
      </c>
      <c r="I22" s="51">
        <v>50</v>
      </c>
      <c r="J22" s="49">
        <v>120</v>
      </c>
    </row>
    <row r="23" spans="1:10" ht="18.75" x14ac:dyDescent="0.3">
      <c r="A23" s="48" t="s">
        <v>161</v>
      </c>
      <c r="B23" s="49">
        <v>4</v>
      </c>
      <c r="C23" s="48">
        <v>120</v>
      </c>
      <c r="D23" s="48">
        <v>20</v>
      </c>
      <c r="G23" s="79"/>
      <c r="H23" s="49">
        <v>8</v>
      </c>
      <c r="I23" s="48">
        <v>180</v>
      </c>
      <c r="J23" s="48">
        <v>40</v>
      </c>
    </row>
    <row r="24" spans="1:10" ht="18.75" x14ac:dyDescent="0.3">
      <c r="A24" s="48" t="s">
        <v>162</v>
      </c>
      <c r="B24" s="49">
        <v>6</v>
      </c>
      <c r="C24" s="48">
        <v>60</v>
      </c>
      <c r="D24" s="48">
        <v>60</v>
      </c>
      <c r="G24" s="79"/>
      <c r="H24" s="49">
        <v>8</v>
      </c>
      <c r="I24" s="48">
        <v>60</v>
      </c>
      <c r="J24" s="48">
        <v>60</v>
      </c>
    </row>
    <row r="25" spans="1:10" ht="18.75" x14ac:dyDescent="0.3">
      <c r="A25" s="48" t="s">
        <v>163</v>
      </c>
      <c r="B25" s="49">
        <v>8</v>
      </c>
      <c r="C25" s="48">
        <v>60</v>
      </c>
      <c r="D25" s="48">
        <v>60</v>
      </c>
      <c r="G25" s="79"/>
      <c r="H25" s="49">
        <v>6</v>
      </c>
      <c r="I25" s="48">
        <v>40</v>
      </c>
      <c r="J25" s="48">
        <v>60</v>
      </c>
    </row>
    <row r="26" spans="1:10" ht="18.75" x14ac:dyDescent="0.3">
      <c r="A26" s="48" t="s">
        <v>164</v>
      </c>
      <c r="B26" s="49">
        <v>14</v>
      </c>
      <c r="C26" s="48">
        <v>40</v>
      </c>
      <c r="D26" s="48">
        <v>40</v>
      </c>
      <c r="G26" s="79"/>
      <c r="H26" s="49">
        <v>2</v>
      </c>
      <c r="I26" s="48">
        <v>50</v>
      </c>
      <c r="J26" s="48">
        <v>20</v>
      </c>
    </row>
    <row r="27" spans="1:10" ht="18.75" x14ac:dyDescent="0.3">
      <c r="A27" s="48" t="s">
        <v>160</v>
      </c>
      <c r="B27" s="49">
        <v>10</v>
      </c>
      <c r="C27" s="48">
        <v>50</v>
      </c>
      <c r="D27" s="48">
        <v>50</v>
      </c>
      <c r="G27" s="79"/>
      <c r="H27" s="49">
        <v>4</v>
      </c>
      <c r="I27" s="48">
        <v>90</v>
      </c>
      <c r="J27" s="48">
        <v>180</v>
      </c>
    </row>
    <row r="28" spans="1:10" ht="18.75" x14ac:dyDescent="0.3">
      <c r="A28" s="48" t="s">
        <v>161</v>
      </c>
      <c r="B28" s="49">
        <v>12</v>
      </c>
      <c r="C28" s="48">
        <v>180</v>
      </c>
      <c r="D28" s="48">
        <v>180</v>
      </c>
      <c r="G28" s="79"/>
      <c r="H28" s="49">
        <v>8</v>
      </c>
      <c r="I28" s="49">
        <v>90</v>
      </c>
      <c r="J28" s="49">
        <v>90</v>
      </c>
    </row>
    <row r="29" spans="1:10" ht="18.75" x14ac:dyDescent="0.3">
      <c r="A29" s="48" t="s">
        <v>162</v>
      </c>
      <c r="B29" s="49">
        <v>8</v>
      </c>
      <c r="C29" s="48">
        <v>20</v>
      </c>
      <c r="D29" s="48">
        <v>60</v>
      </c>
      <c r="G29" s="80"/>
      <c r="H29" s="49">
        <v>12</v>
      </c>
      <c r="I29" s="49">
        <v>40</v>
      </c>
      <c r="J29" s="49">
        <v>40</v>
      </c>
    </row>
    <row r="30" spans="1:10" ht="18.75" x14ac:dyDescent="0.3">
      <c r="A30" s="48" t="s">
        <v>163</v>
      </c>
      <c r="B30" s="49">
        <v>6</v>
      </c>
      <c r="C30" s="48">
        <v>40</v>
      </c>
      <c r="D30" s="48">
        <v>60</v>
      </c>
    </row>
    <row r="31" spans="1:10" ht="18.75" x14ac:dyDescent="0.3">
      <c r="A31" s="48" t="s">
        <v>164</v>
      </c>
      <c r="B31" s="49">
        <v>10</v>
      </c>
      <c r="C31" s="48">
        <v>120</v>
      </c>
      <c r="D31" s="48">
        <v>40</v>
      </c>
    </row>
    <row r="32" spans="1:10" ht="18.75" x14ac:dyDescent="0.3">
      <c r="A32" s="48" t="s">
        <v>160</v>
      </c>
      <c r="B32" s="49">
        <v>4</v>
      </c>
      <c r="C32" s="48">
        <v>60</v>
      </c>
      <c r="D32" s="48">
        <v>50</v>
      </c>
      <c r="G32" t="s">
        <v>176</v>
      </c>
      <c r="H32" s="59">
        <f>MIN(C2:C50)</f>
        <v>20</v>
      </c>
      <c r="I32" t="s">
        <v>50</v>
      </c>
    </row>
    <row r="33" spans="1:9" ht="18.75" x14ac:dyDescent="0.3">
      <c r="A33" s="48" t="s">
        <v>161</v>
      </c>
      <c r="B33" s="49">
        <v>6</v>
      </c>
      <c r="C33" s="48">
        <v>60</v>
      </c>
      <c r="D33" s="48">
        <v>180</v>
      </c>
      <c r="H33">
        <f>D2:D50</f>
        <v>180</v>
      </c>
      <c r="I33" t="s">
        <v>49</v>
      </c>
    </row>
    <row r="34" spans="1:9" ht="18.75" x14ac:dyDescent="0.3">
      <c r="A34" s="48" t="s">
        <v>162</v>
      </c>
      <c r="B34" s="49">
        <v>8</v>
      </c>
      <c r="C34" s="48">
        <v>40</v>
      </c>
      <c r="D34" s="48">
        <v>24</v>
      </c>
    </row>
    <row r="35" spans="1:9" ht="18.75" x14ac:dyDescent="0.3">
      <c r="A35" s="48" t="s">
        <v>163</v>
      </c>
      <c r="B35" s="49">
        <v>2</v>
      </c>
      <c r="C35" s="48">
        <v>50</v>
      </c>
      <c r="D35" s="48">
        <v>20</v>
      </c>
    </row>
    <row r="36" spans="1:9" ht="18.75" x14ac:dyDescent="0.3">
      <c r="A36" s="48" t="s">
        <v>164</v>
      </c>
      <c r="B36" s="49">
        <v>8</v>
      </c>
      <c r="C36" s="48">
        <v>180</v>
      </c>
      <c r="D36" s="48">
        <v>90</v>
      </c>
    </row>
    <row r="37" spans="1:9" ht="18.75" x14ac:dyDescent="0.3">
      <c r="A37" s="48" t="s">
        <v>160</v>
      </c>
      <c r="B37" s="49">
        <v>6</v>
      </c>
      <c r="C37" s="48">
        <v>70</v>
      </c>
      <c r="D37" s="48">
        <v>100</v>
      </c>
    </row>
    <row r="38" spans="1:9" ht="18.75" x14ac:dyDescent="0.3">
      <c r="A38" s="48" t="s">
        <v>161</v>
      </c>
      <c r="B38" s="49">
        <v>10</v>
      </c>
      <c r="C38" s="48">
        <v>24</v>
      </c>
      <c r="D38" s="48">
        <v>40</v>
      </c>
    </row>
    <row r="39" spans="1:9" ht="18.75" x14ac:dyDescent="0.3">
      <c r="A39" s="48" t="s">
        <v>162</v>
      </c>
      <c r="B39" s="49">
        <v>2</v>
      </c>
      <c r="C39" s="48">
        <v>20</v>
      </c>
      <c r="D39" s="48">
        <v>50</v>
      </c>
    </row>
    <row r="40" spans="1:9" ht="18.75" x14ac:dyDescent="0.3">
      <c r="A40" s="48" t="s">
        <v>163</v>
      </c>
      <c r="B40" s="49">
        <v>4</v>
      </c>
      <c r="C40" s="48">
        <v>90</v>
      </c>
      <c r="D40" s="48">
        <v>180</v>
      </c>
    </row>
    <row r="41" spans="1:9" ht="18.75" x14ac:dyDescent="0.3">
      <c r="A41" s="48" t="s">
        <v>164</v>
      </c>
      <c r="B41" s="49">
        <v>2</v>
      </c>
      <c r="C41" s="48">
        <v>180</v>
      </c>
      <c r="D41" s="48">
        <v>70</v>
      </c>
    </row>
    <row r="42" spans="1:9" ht="18.75" x14ac:dyDescent="0.3">
      <c r="A42" s="48" t="s">
        <v>160</v>
      </c>
      <c r="B42" s="49">
        <v>2</v>
      </c>
      <c r="C42" s="49">
        <v>20</v>
      </c>
      <c r="D42" s="49">
        <v>20</v>
      </c>
    </row>
    <row r="43" spans="1:9" ht="18.75" x14ac:dyDescent="0.3">
      <c r="A43" s="48" t="s">
        <v>161</v>
      </c>
      <c r="B43" s="49">
        <v>4</v>
      </c>
      <c r="C43" s="49">
        <v>90</v>
      </c>
      <c r="D43" s="49">
        <v>90</v>
      </c>
    </row>
    <row r="44" spans="1:9" ht="18.75" x14ac:dyDescent="0.3">
      <c r="A44" s="48" t="s">
        <v>162</v>
      </c>
      <c r="B44" s="49">
        <v>6</v>
      </c>
      <c r="C44" s="49" t="s">
        <v>165</v>
      </c>
      <c r="D44" s="49">
        <v>180</v>
      </c>
    </row>
    <row r="45" spans="1:9" ht="18.75" x14ac:dyDescent="0.3">
      <c r="A45" s="48" t="s">
        <v>163</v>
      </c>
      <c r="B45" s="49">
        <v>8</v>
      </c>
      <c r="C45" s="49">
        <v>90</v>
      </c>
      <c r="D45" s="49">
        <v>90</v>
      </c>
    </row>
    <row r="46" spans="1:9" ht="18.75" x14ac:dyDescent="0.3">
      <c r="A46" s="48" t="s">
        <v>164</v>
      </c>
      <c r="B46" s="49">
        <v>10</v>
      </c>
      <c r="C46" s="49">
        <v>100</v>
      </c>
      <c r="D46" s="49">
        <v>100</v>
      </c>
    </row>
    <row r="47" spans="1:9" ht="18.75" x14ac:dyDescent="0.3">
      <c r="A47" s="48" t="s">
        <v>160</v>
      </c>
      <c r="B47" s="49">
        <v>12</v>
      </c>
      <c r="C47" s="49">
        <v>120</v>
      </c>
      <c r="D47" s="49">
        <v>120</v>
      </c>
    </row>
    <row r="48" spans="1:9" ht="18.75" x14ac:dyDescent="0.3">
      <c r="A48" s="48" t="s">
        <v>161</v>
      </c>
      <c r="B48" s="49">
        <v>14</v>
      </c>
      <c r="C48" s="49">
        <v>60</v>
      </c>
      <c r="D48" s="49">
        <v>60</v>
      </c>
    </row>
    <row r="49" spans="1:4" ht="18.75" x14ac:dyDescent="0.3">
      <c r="A49" s="48" t="s">
        <v>162</v>
      </c>
      <c r="B49" s="49">
        <v>10</v>
      </c>
      <c r="C49" s="49">
        <v>60</v>
      </c>
      <c r="D49" s="49">
        <v>60</v>
      </c>
    </row>
    <row r="50" spans="1:4" ht="18.75" x14ac:dyDescent="0.3">
      <c r="A50" s="48" t="s">
        <v>163</v>
      </c>
      <c r="B50" s="49">
        <v>12</v>
      </c>
      <c r="C50" s="49">
        <v>40</v>
      </c>
      <c r="D50" s="49">
        <v>40</v>
      </c>
    </row>
  </sheetData>
  <mergeCells count="1">
    <mergeCell ref="G20:G2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A69" sqref="A69"/>
    </sheetView>
  </sheetViews>
  <sheetFormatPr defaultRowHeight="15" outlineLevelRow="2" x14ac:dyDescent="0.25"/>
  <cols>
    <col min="2" max="2" width="14.85546875" customWidth="1"/>
    <col min="3" max="4" width="21.140625" bestFit="1" customWidth="1"/>
  </cols>
  <sheetData>
    <row r="1" spans="1:4" ht="18.75" x14ac:dyDescent="0.3">
      <c r="A1" s="48" t="s">
        <v>156</v>
      </c>
      <c r="B1" s="48" t="s">
        <v>157</v>
      </c>
      <c r="C1" s="53" t="s">
        <v>158</v>
      </c>
      <c r="D1" s="53" t="s">
        <v>159</v>
      </c>
    </row>
    <row r="2" spans="1:4" ht="18.75" outlineLevel="2" x14ac:dyDescent="0.3">
      <c r="A2" s="48" t="s">
        <v>164</v>
      </c>
      <c r="B2" s="49">
        <v>10</v>
      </c>
      <c r="C2" s="49">
        <v>100</v>
      </c>
      <c r="D2" s="49">
        <v>100</v>
      </c>
    </row>
    <row r="3" spans="1:4" ht="18.75" outlineLevel="2" x14ac:dyDescent="0.3">
      <c r="A3" s="48" t="s">
        <v>164</v>
      </c>
      <c r="B3" s="49">
        <v>14</v>
      </c>
      <c r="C3" s="50">
        <v>50</v>
      </c>
      <c r="D3" s="50">
        <v>50</v>
      </c>
    </row>
    <row r="4" spans="1:4" ht="18.75" outlineLevel="2" x14ac:dyDescent="0.3">
      <c r="A4" s="48" t="s">
        <v>164</v>
      </c>
      <c r="B4" s="49">
        <v>12</v>
      </c>
      <c r="C4" s="52">
        <v>70</v>
      </c>
      <c r="D4" s="49">
        <v>100</v>
      </c>
    </row>
    <row r="5" spans="1:4" ht="18.75" outlineLevel="2" x14ac:dyDescent="0.3">
      <c r="A5" s="48" t="s">
        <v>164</v>
      </c>
      <c r="B5" s="49">
        <v>10</v>
      </c>
      <c r="C5" s="48">
        <v>90</v>
      </c>
      <c r="D5" s="48">
        <v>50</v>
      </c>
    </row>
    <row r="6" spans="1:4" ht="18.75" outlineLevel="2" x14ac:dyDescent="0.3">
      <c r="A6" s="48" t="s">
        <v>164</v>
      </c>
      <c r="B6" s="49">
        <v>14</v>
      </c>
      <c r="C6" s="48">
        <v>40</v>
      </c>
      <c r="D6" s="48">
        <v>40</v>
      </c>
    </row>
    <row r="7" spans="1:4" ht="18.75" outlineLevel="2" x14ac:dyDescent="0.3">
      <c r="A7" s="48" t="s">
        <v>164</v>
      </c>
      <c r="B7" s="49">
        <v>10</v>
      </c>
      <c r="C7" s="48">
        <v>120</v>
      </c>
      <c r="D7" s="48">
        <v>40</v>
      </c>
    </row>
    <row r="8" spans="1:4" ht="18.75" outlineLevel="2" x14ac:dyDescent="0.3">
      <c r="A8" s="48" t="s">
        <v>164</v>
      </c>
      <c r="B8" s="49">
        <v>8</v>
      </c>
      <c r="C8" s="48">
        <v>180</v>
      </c>
      <c r="D8" s="48">
        <v>90</v>
      </c>
    </row>
    <row r="9" spans="1:4" ht="18.75" outlineLevel="2" x14ac:dyDescent="0.3">
      <c r="A9" s="48" t="s">
        <v>164</v>
      </c>
      <c r="B9" s="49">
        <v>2</v>
      </c>
      <c r="C9" s="48">
        <v>180</v>
      </c>
      <c r="D9" s="48">
        <v>70</v>
      </c>
    </row>
    <row r="10" spans="1:4" ht="18.75" outlineLevel="2" x14ac:dyDescent="0.3">
      <c r="A10" s="48" t="s">
        <v>164</v>
      </c>
      <c r="B10" s="49">
        <v>10</v>
      </c>
      <c r="C10" s="49">
        <v>100</v>
      </c>
      <c r="D10" s="49">
        <v>100</v>
      </c>
    </row>
    <row r="11" spans="1:4" ht="18.75" outlineLevel="1" x14ac:dyDescent="0.3">
      <c r="A11" s="57" t="s">
        <v>170</v>
      </c>
      <c r="B11" s="49"/>
      <c r="C11" s="49"/>
      <c r="D11" s="49">
        <f>SUBTOTAL(9,D2:D10)</f>
        <v>640</v>
      </c>
    </row>
    <row r="12" spans="1:4" ht="18.75" outlineLevel="2" x14ac:dyDescent="0.3">
      <c r="A12" s="48" t="s">
        <v>161</v>
      </c>
      <c r="B12" s="49">
        <v>4</v>
      </c>
      <c r="C12" s="49">
        <v>90</v>
      </c>
      <c r="D12" s="49">
        <v>90</v>
      </c>
    </row>
    <row r="13" spans="1:4" ht="18.75" outlineLevel="2" x14ac:dyDescent="0.3">
      <c r="A13" s="48" t="s">
        <v>161</v>
      </c>
      <c r="B13" s="49">
        <v>14</v>
      </c>
      <c r="C13" s="49">
        <v>60</v>
      </c>
      <c r="D13" s="49">
        <v>60</v>
      </c>
    </row>
    <row r="14" spans="1:4" ht="18.75" outlineLevel="2" x14ac:dyDescent="0.3">
      <c r="A14" s="48" t="s">
        <v>161</v>
      </c>
      <c r="B14" s="49">
        <v>8</v>
      </c>
      <c r="C14" s="49">
        <v>20</v>
      </c>
      <c r="D14" s="49">
        <v>20</v>
      </c>
    </row>
    <row r="15" spans="1:4" ht="18.75" outlineLevel="2" x14ac:dyDescent="0.3">
      <c r="A15" s="48" t="s">
        <v>161</v>
      </c>
      <c r="B15" s="49">
        <v>4</v>
      </c>
      <c r="C15" s="49">
        <v>20</v>
      </c>
      <c r="D15" s="49">
        <v>60</v>
      </c>
    </row>
    <row r="16" spans="1:4" ht="18.75" outlineLevel="2" x14ac:dyDescent="0.3">
      <c r="A16" s="48" t="s">
        <v>161</v>
      </c>
      <c r="B16" s="49">
        <v>4</v>
      </c>
      <c r="C16" s="48">
        <v>120</v>
      </c>
      <c r="D16" s="48">
        <v>20</v>
      </c>
    </row>
    <row r="17" spans="1:4" ht="18.75" outlineLevel="2" x14ac:dyDescent="0.3">
      <c r="A17" s="48" t="s">
        <v>161</v>
      </c>
      <c r="B17" s="49">
        <v>12</v>
      </c>
      <c r="C17" s="48">
        <v>180</v>
      </c>
      <c r="D17" s="48">
        <v>180</v>
      </c>
    </row>
    <row r="18" spans="1:4" ht="18.75" outlineLevel="2" x14ac:dyDescent="0.3">
      <c r="A18" s="48" t="s">
        <v>161</v>
      </c>
      <c r="B18" s="49">
        <v>6</v>
      </c>
      <c r="C18" s="48">
        <v>60</v>
      </c>
      <c r="D18" s="48">
        <v>180</v>
      </c>
    </row>
    <row r="19" spans="1:4" ht="18.75" outlineLevel="2" x14ac:dyDescent="0.3">
      <c r="A19" s="48" t="s">
        <v>161</v>
      </c>
      <c r="B19" s="49">
        <v>10</v>
      </c>
      <c r="C19" s="48">
        <v>24</v>
      </c>
      <c r="D19" s="48">
        <v>40</v>
      </c>
    </row>
    <row r="20" spans="1:4" ht="18.75" outlineLevel="2" x14ac:dyDescent="0.3">
      <c r="A20" s="48" t="s">
        <v>161</v>
      </c>
      <c r="B20" s="49">
        <v>4</v>
      </c>
      <c r="C20" s="49">
        <v>90</v>
      </c>
      <c r="D20" s="49">
        <v>90</v>
      </c>
    </row>
    <row r="21" spans="1:4" ht="18.75" outlineLevel="2" x14ac:dyDescent="0.3">
      <c r="A21" s="48" t="s">
        <v>161</v>
      </c>
      <c r="B21" s="49">
        <v>14</v>
      </c>
      <c r="C21" s="49">
        <v>60</v>
      </c>
      <c r="D21" s="49">
        <v>60</v>
      </c>
    </row>
    <row r="22" spans="1:4" ht="18.75" outlineLevel="1" x14ac:dyDescent="0.3">
      <c r="A22" s="57" t="s">
        <v>171</v>
      </c>
      <c r="B22" s="49"/>
      <c r="C22" s="49"/>
      <c r="D22" s="49">
        <f>SUBTOTAL(9,D12:D21)</f>
        <v>800</v>
      </c>
    </row>
    <row r="23" spans="1:4" ht="18.75" outlineLevel="2" x14ac:dyDescent="0.3">
      <c r="A23" s="48" t="s">
        <v>163</v>
      </c>
      <c r="B23" s="49">
        <v>8</v>
      </c>
      <c r="C23" s="49">
        <v>90</v>
      </c>
      <c r="D23" s="49">
        <v>90</v>
      </c>
    </row>
    <row r="24" spans="1:4" ht="18.75" outlineLevel="2" x14ac:dyDescent="0.3">
      <c r="A24" s="48" t="s">
        <v>163</v>
      </c>
      <c r="B24" s="49">
        <v>12</v>
      </c>
      <c r="C24" s="49">
        <v>40</v>
      </c>
      <c r="D24" s="49">
        <v>40</v>
      </c>
    </row>
    <row r="25" spans="1:4" ht="18.75" outlineLevel="2" x14ac:dyDescent="0.3">
      <c r="A25" s="48" t="s">
        <v>163</v>
      </c>
      <c r="B25" s="49">
        <v>10</v>
      </c>
      <c r="C25" s="51">
        <v>50</v>
      </c>
      <c r="D25" s="49">
        <v>120</v>
      </c>
    </row>
    <row r="26" spans="1:4" ht="18.75" outlineLevel="2" x14ac:dyDescent="0.3">
      <c r="A26" s="48" t="s">
        <v>163</v>
      </c>
      <c r="B26" s="49">
        <v>8</v>
      </c>
      <c r="C26" s="48">
        <v>180</v>
      </c>
      <c r="D26" s="48">
        <v>40</v>
      </c>
    </row>
    <row r="27" spans="1:4" ht="18.75" outlineLevel="2" x14ac:dyDescent="0.3">
      <c r="A27" s="48" t="s">
        <v>163</v>
      </c>
      <c r="B27" s="49">
        <v>8</v>
      </c>
      <c r="C27" s="48">
        <v>60</v>
      </c>
      <c r="D27" s="48">
        <v>60</v>
      </c>
    </row>
    <row r="28" spans="1:4" ht="18.75" outlineLevel="2" x14ac:dyDescent="0.3">
      <c r="A28" s="48" t="s">
        <v>163</v>
      </c>
      <c r="B28" s="49">
        <v>6</v>
      </c>
      <c r="C28" s="48">
        <v>40</v>
      </c>
      <c r="D28" s="48">
        <v>60</v>
      </c>
    </row>
    <row r="29" spans="1:4" ht="18.75" outlineLevel="2" x14ac:dyDescent="0.3">
      <c r="A29" s="48" t="s">
        <v>163</v>
      </c>
      <c r="B29" s="49">
        <v>2</v>
      </c>
      <c r="C29" s="48">
        <v>50</v>
      </c>
      <c r="D29" s="48">
        <v>20</v>
      </c>
    </row>
    <row r="30" spans="1:4" ht="18.75" outlineLevel="2" x14ac:dyDescent="0.3">
      <c r="A30" s="48" t="s">
        <v>163</v>
      </c>
      <c r="B30" s="49">
        <v>4</v>
      </c>
      <c r="C30" s="48">
        <v>90</v>
      </c>
      <c r="D30" s="48">
        <v>180</v>
      </c>
    </row>
    <row r="31" spans="1:4" ht="18.75" outlineLevel="2" x14ac:dyDescent="0.3">
      <c r="A31" s="48" t="s">
        <v>163</v>
      </c>
      <c r="B31" s="49">
        <v>8</v>
      </c>
      <c r="C31" s="49">
        <v>90</v>
      </c>
      <c r="D31" s="49">
        <v>90</v>
      </c>
    </row>
    <row r="32" spans="1:4" ht="18.75" outlineLevel="2" x14ac:dyDescent="0.3">
      <c r="A32" s="48" t="s">
        <v>163</v>
      </c>
      <c r="B32" s="49">
        <v>12</v>
      </c>
      <c r="C32" s="49">
        <v>40</v>
      </c>
      <c r="D32" s="49">
        <v>40</v>
      </c>
    </row>
    <row r="33" spans="1:4" ht="18.75" outlineLevel="1" x14ac:dyDescent="0.3">
      <c r="A33" s="57" t="s">
        <v>172</v>
      </c>
      <c r="B33" s="49"/>
      <c r="C33" s="49"/>
      <c r="D33" s="49">
        <f>SUBTOTAL(9,D23:D32)</f>
        <v>740</v>
      </c>
    </row>
    <row r="34" spans="1:4" ht="18.75" outlineLevel="2" x14ac:dyDescent="0.3">
      <c r="A34" s="48" t="s">
        <v>162</v>
      </c>
      <c r="B34" s="49">
        <v>6</v>
      </c>
      <c r="C34" s="49" t="s">
        <v>165</v>
      </c>
      <c r="D34" s="49">
        <v>180</v>
      </c>
    </row>
    <row r="35" spans="1:4" ht="18.75" outlineLevel="2" x14ac:dyDescent="0.3">
      <c r="A35" s="48" t="s">
        <v>162</v>
      </c>
      <c r="B35" s="49">
        <v>10</v>
      </c>
      <c r="C35" s="49">
        <v>60</v>
      </c>
      <c r="D35" s="49">
        <v>60</v>
      </c>
    </row>
    <row r="36" spans="1:4" ht="18.75" outlineLevel="2" x14ac:dyDescent="0.3">
      <c r="A36" s="48" t="s">
        <v>162</v>
      </c>
      <c r="B36" s="49">
        <v>6</v>
      </c>
      <c r="C36" s="49">
        <v>40</v>
      </c>
      <c r="D36" s="49">
        <v>40</v>
      </c>
    </row>
    <row r="37" spans="1:4" ht="18.75" outlineLevel="2" x14ac:dyDescent="0.3">
      <c r="A37" s="48" t="s">
        <v>162</v>
      </c>
      <c r="B37" s="49">
        <v>6</v>
      </c>
      <c r="C37" s="49">
        <v>90</v>
      </c>
      <c r="D37" s="49">
        <v>60</v>
      </c>
    </row>
    <row r="38" spans="1:4" ht="18.75" outlineLevel="2" x14ac:dyDescent="0.3">
      <c r="A38" s="48" t="s">
        <v>162</v>
      </c>
      <c r="B38" s="49">
        <v>6</v>
      </c>
      <c r="C38" s="48">
        <v>60</v>
      </c>
      <c r="D38" s="48">
        <v>60</v>
      </c>
    </row>
    <row r="39" spans="1:4" ht="18.75" outlineLevel="2" x14ac:dyDescent="0.3">
      <c r="A39" s="48" t="s">
        <v>162</v>
      </c>
      <c r="B39" s="49">
        <v>8</v>
      </c>
      <c r="C39" s="48">
        <v>20</v>
      </c>
      <c r="D39" s="48">
        <v>60</v>
      </c>
    </row>
    <row r="40" spans="1:4" ht="18.75" outlineLevel="2" x14ac:dyDescent="0.3">
      <c r="A40" s="48" t="s">
        <v>162</v>
      </c>
      <c r="B40" s="49">
        <v>8</v>
      </c>
      <c r="C40" s="48">
        <v>40</v>
      </c>
      <c r="D40" s="48">
        <v>24</v>
      </c>
    </row>
    <row r="41" spans="1:4" ht="18.75" outlineLevel="2" x14ac:dyDescent="0.3">
      <c r="A41" s="48" t="s">
        <v>162</v>
      </c>
      <c r="B41" s="49">
        <v>2</v>
      </c>
      <c r="C41" s="48">
        <v>20</v>
      </c>
      <c r="D41" s="48">
        <v>50</v>
      </c>
    </row>
    <row r="42" spans="1:4" ht="18.75" outlineLevel="2" x14ac:dyDescent="0.3">
      <c r="A42" s="48" t="s">
        <v>162</v>
      </c>
      <c r="B42" s="49">
        <v>6</v>
      </c>
      <c r="C42" s="49" t="s">
        <v>165</v>
      </c>
      <c r="D42" s="49">
        <v>180</v>
      </c>
    </row>
    <row r="43" spans="1:4" ht="18.75" outlineLevel="2" x14ac:dyDescent="0.3">
      <c r="A43" s="48" t="s">
        <v>162</v>
      </c>
      <c r="B43" s="49">
        <v>10</v>
      </c>
      <c r="C43" s="49">
        <v>60</v>
      </c>
      <c r="D43" s="49">
        <v>60</v>
      </c>
    </row>
    <row r="44" spans="1:4" ht="18.75" outlineLevel="1" x14ac:dyDescent="0.3">
      <c r="A44" s="57" t="s">
        <v>173</v>
      </c>
      <c r="B44" s="49"/>
      <c r="C44" s="49"/>
      <c r="D44" s="49">
        <f>SUBTOTAL(9,D34:D43)</f>
        <v>774</v>
      </c>
    </row>
    <row r="45" spans="1:4" ht="18.75" outlineLevel="2" x14ac:dyDescent="0.3">
      <c r="A45" s="48" t="s">
        <v>160</v>
      </c>
      <c r="B45" s="49">
        <v>2</v>
      </c>
      <c r="C45" s="49">
        <v>20</v>
      </c>
      <c r="D45" s="49">
        <v>20</v>
      </c>
    </row>
    <row r="46" spans="1:4" ht="18.75" outlineLevel="2" x14ac:dyDescent="0.3">
      <c r="A46" s="48" t="s">
        <v>160</v>
      </c>
      <c r="B46" s="49">
        <v>12</v>
      </c>
      <c r="C46" s="49">
        <v>120</v>
      </c>
      <c r="D46" s="49">
        <v>120</v>
      </c>
    </row>
    <row r="47" spans="1:4" ht="18.75" outlineLevel="2" x14ac:dyDescent="0.3">
      <c r="A47" s="48" t="s">
        <v>160</v>
      </c>
      <c r="B47" s="49">
        <v>2</v>
      </c>
      <c r="C47" s="49">
        <v>180</v>
      </c>
      <c r="D47" s="49">
        <v>180</v>
      </c>
    </row>
    <row r="48" spans="1:4" ht="18.75" outlineLevel="2" x14ac:dyDescent="0.3">
      <c r="A48" s="48" t="s">
        <v>160</v>
      </c>
      <c r="B48" s="49">
        <v>14</v>
      </c>
      <c r="C48" s="49">
        <v>24</v>
      </c>
      <c r="D48" s="49">
        <v>120</v>
      </c>
    </row>
    <row r="49" spans="1:4" ht="18.75" outlineLevel="2" x14ac:dyDescent="0.3">
      <c r="A49" s="48" t="s">
        <v>160</v>
      </c>
      <c r="B49" s="49">
        <v>2</v>
      </c>
      <c r="C49" s="48">
        <v>100</v>
      </c>
      <c r="D49" s="48">
        <v>180</v>
      </c>
    </row>
    <row r="50" spans="1:4" ht="18.75" outlineLevel="2" x14ac:dyDescent="0.3">
      <c r="A50" s="48" t="s">
        <v>160</v>
      </c>
      <c r="B50" s="49">
        <v>10</v>
      </c>
      <c r="C50" s="48">
        <v>50</v>
      </c>
      <c r="D50" s="48">
        <v>50</v>
      </c>
    </row>
    <row r="51" spans="1:4" ht="18.75" outlineLevel="2" x14ac:dyDescent="0.3">
      <c r="A51" s="48" t="s">
        <v>160</v>
      </c>
      <c r="B51" s="49">
        <v>4</v>
      </c>
      <c r="C51" s="48">
        <v>60</v>
      </c>
      <c r="D51" s="48">
        <v>50</v>
      </c>
    </row>
    <row r="52" spans="1:4" ht="18.75" outlineLevel="2" x14ac:dyDescent="0.3">
      <c r="A52" s="48" t="s">
        <v>160</v>
      </c>
      <c r="B52" s="49">
        <v>6</v>
      </c>
      <c r="C52" s="48">
        <v>70</v>
      </c>
      <c r="D52" s="48">
        <v>100</v>
      </c>
    </row>
    <row r="53" spans="1:4" ht="18.75" outlineLevel="2" x14ac:dyDescent="0.3">
      <c r="A53" s="48" t="s">
        <v>160</v>
      </c>
      <c r="B53" s="49">
        <v>2</v>
      </c>
      <c r="C53" s="49">
        <v>20</v>
      </c>
      <c r="D53" s="49">
        <v>20</v>
      </c>
    </row>
    <row r="54" spans="1:4" ht="18.75" outlineLevel="2" x14ac:dyDescent="0.3">
      <c r="A54" s="48" t="s">
        <v>160</v>
      </c>
      <c r="B54" s="49">
        <v>12</v>
      </c>
      <c r="C54" s="49">
        <v>120</v>
      </c>
      <c r="D54" s="49">
        <v>120</v>
      </c>
    </row>
    <row r="55" spans="1:4" ht="18.75" outlineLevel="1" x14ac:dyDescent="0.3">
      <c r="A55" s="58" t="s">
        <v>174</v>
      </c>
      <c r="B55" s="47"/>
      <c r="C55" s="47"/>
      <c r="D55" s="47">
        <f>SUBTOTAL(9,D45:D54)</f>
        <v>960</v>
      </c>
    </row>
    <row r="56" spans="1:4" ht="18.75" x14ac:dyDescent="0.3">
      <c r="A56" s="58" t="s">
        <v>175</v>
      </c>
      <c r="B56" s="47"/>
      <c r="C56" s="47"/>
      <c r="D56" s="47">
        <f>SUBTOTAL(9,D2:D54)</f>
        <v>3914</v>
      </c>
    </row>
  </sheetData>
  <autoFilter ref="A1:D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4" workbookViewId="0">
      <selection activeCell="J28" sqref="J28"/>
    </sheetView>
  </sheetViews>
  <sheetFormatPr defaultRowHeight="15" outlineLevelRow="2" x14ac:dyDescent="0.25"/>
  <cols>
    <col min="3" max="4" width="21.140625" bestFit="1" customWidth="1"/>
  </cols>
  <sheetData>
    <row r="1" spans="1:4" ht="18.75" x14ac:dyDescent="0.3">
      <c r="A1" s="48" t="s">
        <v>156</v>
      </c>
      <c r="B1" s="48" t="s">
        <v>157</v>
      </c>
      <c r="C1" s="53" t="s">
        <v>158</v>
      </c>
      <c r="D1" s="53" t="s">
        <v>159</v>
      </c>
    </row>
    <row r="2" spans="1:4" ht="18.75" outlineLevel="2" x14ac:dyDescent="0.3">
      <c r="A2" s="48" t="s">
        <v>164</v>
      </c>
      <c r="B2" s="49">
        <v>10</v>
      </c>
      <c r="C2" s="49">
        <v>100</v>
      </c>
      <c r="D2" s="49">
        <v>100</v>
      </c>
    </row>
    <row r="3" spans="1:4" ht="18.75" outlineLevel="2" x14ac:dyDescent="0.3">
      <c r="A3" s="48" t="s">
        <v>164</v>
      </c>
      <c r="B3" s="49">
        <v>14</v>
      </c>
      <c r="C3" s="50">
        <v>50</v>
      </c>
      <c r="D3" s="50">
        <v>50</v>
      </c>
    </row>
    <row r="4" spans="1:4" ht="18.75" outlineLevel="2" x14ac:dyDescent="0.3">
      <c r="A4" s="48" t="s">
        <v>164</v>
      </c>
      <c r="B4" s="49">
        <v>12</v>
      </c>
      <c r="C4" s="52">
        <v>70</v>
      </c>
      <c r="D4" s="49">
        <v>100</v>
      </c>
    </row>
    <row r="5" spans="1:4" ht="18.75" outlineLevel="2" x14ac:dyDescent="0.3">
      <c r="A5" s="48" t="s">
        <v>164</v>
      </c>
      <c r="B5" s="49">
        <v>10</v>
      </c>
      <c r="C5" s="48">
        <v>90</v>
      </c>
      <c r="D5" s="48">
        <v>50</v>
      </c>
    </row>
    <row r="6" spans="1:4" ht="18.75" outlineLevel="2" x14ac:dyDescent="0.3">
      <c r="A6" s="48" t="s">
        <v>164</v>
      </c>
      <c r="B6" s="49">
        <v>14</v>
      </c>
      <c r="C6" s="48">
        <v>40</v>
      </c>
      <c r="D6" s="48">
        <v>40</v>
      </c>
    </row>
    <row r="7" spans="1:4" ht="18.75" outlineLevel="2" x14ac:dyDescent="0.3">
      <c r="A7" s="48" t="s">
        <v>164</v>
      </c>
      <c r="B7" s="49">
        <v>10</v>
      </c>
      <c r="C7" s="48">
        <v>120</v>
      </c>
      <c r="D7" s="48">
        <v>40</v>
      </c>
    </row>
    <row r="8" spans="1:4" ht="18.75" outlineLevel="2" x14ac:dyDescent="0.3">
      <c r="A8" s="48" t="s">
        <v>164</v>
      </c>
      <c r="B8" s="49">
        <v>8</v>
      </c>
      <c r="C8" s="48">
        <v>180</v>
      </c>
      <c r="D8" s="48">
        <v>90</v>
      </c>
    </row>
    <row r="9" spans="1:4" ht="18.75" outlineLevel="2" x14ac:dyDescent="0.3">
      <c r="A9" s="48" t="s">
        <v>164</v>
      </c>
      <c r="B9" s="49">
        <v>2</v>
      </c>
      <c r="C9" s="48">
        <v>180</v>
      </c>
      <c r="D9" s="48">
        <v>70</v>
      </c>
    </row>
    <row r="10" spans="1:4" ht="18.75" outlineLevel="2" x14ac:dyDescent="0.3">
      <c r="A10" s="48" t="s">
        <v>164</v>
      </c>
      <c r="B10" s="49">
        <v>10</v>
      </c>
      <c r="C10" s="49">
        <v>100</v>
      </c>
      <c r="D10" s="49">
        <v>100</v>
      </c>
    </row>
    <row r="11" spans="1:4" ht="18.75" outlineLevel="1" x14ac:dyDescent="0.3">
      <c r="A11" s="57" t="s">
        <v>170</v>
      </c>
      <c r="B11" s="49"/>
      <c r="C11" s="49">
        <f>SUBTOTAL(9,C2:C10)</f>
        <v>930</v>
      </c>
      <c r="D11" s="49">
        <f>SUBTOTAL(9,D2:D10)</f>
        <v>640</v>
      </c>
    </row>
    <row r="12" spans="1:4" ht="18.75" outlineLevel="2" x14ac:dyDescent="0.3">
      <c r="A12" s="48" t="s">
        <v>161</v>
      </c>
      <c r="B12" s="49">
        <v>4</v>
      </c>
      <c r="C12" s="49">
        <v>90</v>
      </c>
      <c r="D12" s="49">
        <v>90</v>
      </c>
    </row>
    <row r="13" spans="1:4" ht="18.75" outlineLevel="2" x14ac:dyDescent="0.3">
      <c r="A13" s="48" t="s">
        <v>161</v>
      </c>
      <c r="B13" s="49">
        <v>14</v>
      </c>
      <c r="C13" s="49">
        <v>60</v>
      </c>
      <c r="D13" s="49">
        <v>60</v>
      </c>
    </row>
    <row r="14" spans="1:4" ht="18.75" outlineLevel="2" x14ac:dyDescent="0.3">
      <c r="A14" s="48" t="s">
        <v>161</v>
      </c>
      <c r="B14" s="49">
        <v>8</v>
      </c>
      <c r="C14" s="49">
        <v>20</v>
      </c>
      <c r="D14" s="49">
        <v>20</v>
      </c>
    </row>
    <row r="15" spans="1:4" ht="18.75" outlineLevel="2" x14ac:dyDescent="0.3">
      <c r="A15" s="48" t="s">
        <v>161</v>
      </c>
      <c r="B15" s="49">
        <v>4</v>
      </c>
      <c r="C15" s="49">
        <v>20</v>
      </c>
      <c r="D15" s="49">
        <v>60</v>
      </c>
    </row>
    <row r="16" spans="1:4" ht="18.75" outlineLevel="2" x14ac:dyDescent="0.3">
      <c r="A16" s="48" t="s">
        <v>161</v>
      </c>
      <c r="B16" s="49">
        <v>4</v>
      </c>
      <c r="C16" s="48">
        <v>120</v>
      </c>
      <c r="D16" s="48">
        <v>20</v>
      </c>
    </row>
    <row r="17" spans="1:4" ht="18.75" outlineLevel="2" x14ac:dyDescent="0.3">
      <c r="A17" s="48" t="s">
        <v>161</v>
      </c>
      <c r="B17" s="49">
        <v>12</v>
      </c>
      <c r="C17" s="48">
        <v>180</v>
      </c>
      <c r="D17" s="48">
        <v>180</v>
      </c>
    </row>
    <row r="18" spans="1:4" ht="18.75" outlineLevel="2" x14ac:dyDescent="0.3">
      <c r="A18" s="48" t="s">
        <v>161</v>
      </c>
      <c r="B18" s="49">
        <v>6</v>
      </c>
      <c r="C18" s="48">
        <v>60</v>
      </c>
      <c r="D18" s="48">
        <v>180</v>
      </c>
    </row>
    <row r="19" spans="1:4" ht="18.75" outlineLevel="2" x14ac:dyDescent="0.3">
      <c r="A19" s="48" t="s">
        <v>161</v>
      </c>
      <c r="B19" s="49">
        <v>10</v>
      </c>
      <c r="C19" s="48">
        <v>24</v>
      </c>
      <c r="D19" s="48">
        <v>40</v>
      </c>
    </row>
    <row r="20" spans="1:4" ht="18.75" outlineLevel="2" x14ac:dyDescent="0.3">
      <c r="A20" s="48" t="s">
        <v>161</v>
      </c>
      <c r="B20" s="49">
        <v>4</v>
      </c>
      <c r="C20" s="49">
        <v>90</v>
      </c>
      <c r="D20" s="49">
        <v>90</v>
      </c>
    </row>
    <row r="21" spans="1:4" ht="18.75" outlineLevel="2" x14ac:dyDescent="0.3">
      <c r="A21" s="48" t="s">
        <v>161</v>
      </c>
      <c r="B21" s="49">
        <v>14</v>
      </c>
      <c r="C21" s="49">
        <v>60</v>
      </c>
      <c r="D21" s="49">
        <v>60</v>
      </c>
    </row>
    <row r="22" spans="1:4" ht="18.75" outlineLevel="1" x14ac:dyDescent="0.3">
      <c r="A22" s="57" t="s">
        <v>171</v>
      </c>
      <c r="B22" s="49"/>
      <c r="C22" s="49">
        <f>SUBTOTAL(9,C12:C21)</f>
        <v>724</v>
      </c>
      <c r="D22" s="49">
        <f>SUBTOTAL(9,D12:D21)</f>
        <v>800</v>
      </c>
    </row>
    <row r="23" spans="1:4" ht="18.75" outlineLevel="2" x14ac:dyDescent="0.3">
      <c r="A23" s="48" t="s">
        <v>163</v>
      </c>
      <c r="B23" s="49">
        <v>8</v>
      </c>
      <c r="C23" s="49">
        <v>90</v>
      </c>
      <c r="D23" s="49">
        <v>90</v>
      </c>
    </row>
    <row r="24" spans="1:4" ht="18.75" outlineLevel="2" x14ac:dyDescent="0.3">
      <c r="A24" s="48" t="s">
        <v>163</v>
      </c>
      <c r="B24" s="49">
        <v>12</v>
      </c>
      <c r="C24" s="49">
        <v>40</v>
      </c>
      <c r="D24" s="49">
        <v>40</v>
      </c>
    </row>
    <row r="25" spans="1:4" ht="18.75" outlineLevel="2" x14ac:dyDescent="0.3">
      <c r="A25" s="48" t="s">
        <v>163</v>
      </c>
      <c r="B25" s="49">
        <v>10</v>
      </c>
      <c r="C25" s="51">
        <v>50</v>
      </c>
      <c r="D25" s="49">
        <v>120</v>
      </c>
    </row>
    <row r="26" spans="1:4" ht="18.75" outlineLevel="2" x14ac:dyDescent="0.3">
      <c r="A26" s="48" t="s">
        <v>163</v>
      </c>
      <c r="B26" s="49">
        <v>8</v>
      </c>
      <c r="C26" s="48">
        <v>180</v>
      </c>
      <c r="D26" s="48">
        <v>40</v>
      </c>
    </row>
    <row r="27" spans="1:4" ht="18.75" outlineLevel="2" x14ac:dyDescent="0.3">
      <c r="A27" s="48" t="s">
        <v>163</v>
      </c>
      <c r="B27" s="49">
        <v>8</v>
      </c>
      <c r="C27" s="48">
        <v>60</v>
      </c>
      <c r="D27" s="48">
        <v>60</v>
      </c>
    </row>
    <row r="28" spans="1:4" ht="18.75" outlineLevel="2" x14ac:dyDescent="0.3">
      <c r="A28" s="48" t="s">
        <v>163</v>
      </c>
      <c r="B28" s="49">
        <v>6</v>
      </c>
      <c r="C28" s="48">
        <v>40</v>
      </c>
      <c r="D28" s="48">
        <v>60</v>
      </c>
    </row>
    <row r="29" spans="1:4" ht="18.75" outlineLevel="2" x14ac:dyDescent="0.3">
      <c r="A29" s="48" t="s">
        <v>163</v>
      </c>
      <c r="B29" s="49">
        <v>2</v>
      </c>
      <c r="C29" s="48">
        <v>50</v>
      </c>
      <c r="D29" s="48">
        <v>20</v>
      </c>
    </row>
    <row r="30" spans="1:4" ht="18.75" outlineLevel="2" x14ac:dyDescent="0.3">
      <c r="A30" s="48" t="s">
        <v>163</v>
      </c>
      <c r="B30" s="49">
        <v>4</v>
      </c>
      <c r="C30" s="48">
        <v>90</v>
      </c>
      <c r="D30" s="48">
        <v>180</v>
      </c>
    </row>
    <row r="31" spans="1:4" ht="18.75" outlineLevel="2" x14ac:dyDescent="0.3">
      <c r="A31" s="48" t="s">
        <v>163</v>
      </c>
      <c r="B31" s="49">
        <v>8</v>
      </c>
      <c r="C31" s="49">
        <v>90</v>
      </c>
      <c r="D31" s="49">
        <v>90</v>
      </c>
    </row>
    <row r="32" spans="1:4" ht="18.75" outlineLevel="2" x14ac:dyDescent="0.3">
      <c r="A32" s="48" t="s">
        <v>163</v>
      </c>
      <c r="B32" s="49">
        <v>12</v>
      </c>
      <c r="C32" s="49">
        <v>40</v>
      </c>
      <c r="D32" s="49">
        <v>40</v>
      </c>
    </row>
    <row r="33" spans="1:4" ht="18.75" outlineLevel="1" x14ac:dyDescent="0.3">
      <c r="A33" s="57" t="s">
        <v>172</v>
      </c>
      <c r="B33" s="49"/>
      <c r="C33" s="49">
        <f>SUBTOTAL(9,C23:C32)</f>
        <v>730</v>
      </c>
      <c r="D33" s="49">
        <f>SUBTOTAL(9,D23:D32)</f>
        <v>740</v>
      </c>
    </row>
    <row r="34" spans="1:4" ht="18.75" outlineLevel="2" x14ac:dyDescent="0.3">
      <c r="A34" s="48" t="s">
        <v>162</v>
      </c>
      <c r="B34" s="49">
        <v>6</v>
      </c>
      <c r="C34" s="49" t="s">
        <v>165</v>
      </c>
      <c r="D34" s="49">
        <v>180</v>
      </c>
    </row>
    <row r="35" spans="1:4" ht="18.75" outlineLevel="2" x14ac:dyDescent="0.3">
      <c r="A35" s="48" t="s">
        <v>162</v>
      </c>
      <c r="B35" s="49">
        <v>10</v>
      </c>
      <c r="C35" s="49">
        <v>60</v>
      </c>
      <c r="D35" s="49">
        <v>60</v>
      </c>
    </row>
    <row r="36" spans="1:4" ht="18.75" outlineLevel="2" x14ac:dyDescent="0.3">
      <c r="A36" s="48" t="s">
        <v>162</v>
      </c>
      <c r="B36" s="49">
        <v>6</v>
      </c>
      <c r="C36" s="49">
        <v>40</v>
      </c>
      <c r="D36" s="49">
        <v>40</v>
      </c>
    </row>
    <row r="37" spans="1:4" ht="18.75" outlineLevel="2" x14ac:dyDescent="0.3">
      <c r="A37" s="48" t="s">
        <v>162</v>
      </c>
      <c r="B37" s="49">
        <v>6</v>
      </c>
      <c r="C37" s="49">
        <v>90</v>
      </c>
      <c r="D37" s="49">
        <v>60</v>
      </c>
    </row>
    <row r="38" spans="1:4" ht="18.75" outlineLevel="2" x14ac:dyDescent="0.3">
      <c r="A38" s="48" t="s">
        <v>162</v>
      </c>
      <c r="B38" s="49">
        <v>6</v>
      </c>
      <c r="C38" s="48">
        <v>60</v>
      </c>
      <c r="D38" s="48">
        <v>60</v>
      </c>
    </row>
    <row r="39" spans="1:4" ht="18.75" outlineLevel="2" x14ac:dyDescent="0.3">
      <c r="A39" s="48" t="s">
        <v>162</v>
      </c>
      <c r="B39" s="49">
        <v>8</v>
      </c>
      <c r="C39" s="48">
        <v>20</v>
      </c>
      <c r="D39" s="48">
        <v>60</v>
      </c>
    </row>
    <row r="40" spans="1:4" ht="18.75" outlineLevel="2" x14ac:dyDescent="0.3">
      <c r="A40" s="48" t="s">
        <v>162</v>
      </c>
      <c r="B40" s="49">
        <v>8</v>
      </c>
      <c r="C40" s="48">
        <v>40</v>
      </c>
      <c r="D40" s="48">
        <v>24</v>
      </c>
    </row>
    <row r="41" spans="1:4" ht="18.75" outlineLevel="2" x14ac:dyDescent="0.3">
      <c r="A41" s="48" t="s">
        <v>162</v>
      </c>
      <c r="B41" s="49">
        <v>2</v>
      </c>
      <c r="C41" s="48">
        <v>20</v>
      </c>
      <c r="D41" s="48">
        <v>50</v>
      </c>
    </row>
    <row r="42" spans="1:4" ht="18.75" outlineLevel="2" x14ac:dyDescent="0.3">
      <c r="A42" s="48" t="s">
        <v>162</v>
      </c>
      <c r="B42" s="49">
        <v>6</v>
      </c>
      <c r="C42" s="49" t="s">
        <v>165</v>
      </c>
      <c r="D42" s="49">
        <v>180</v>
      </c>
    </row>
    <row r="43" spans="1:4" ht="18.75" outlineLevel="2" x14ac:dyDescent="0.3">
      <c r="A43" s="48" t="s">
        <v>162</v>
      </c>
      <c r="B43" s="49">
        <v>10</v>
      </c>
      <c r="C43" s="49">
        <v>60</v>
      </c>
      <c r="D43" s="49">
        <v>60</v>
      </c>
    </row>
    <row r="44" spans="1:4" ht="18.75" outlineLevel="1" x14ac:dyDescent="0.3">
      <c r="A44" s="57" t="s">
        <v>173</v>
      </c>
      <c r="B44" s="49"/>
      <c r="C44" s="49">
        <f>SUBTOTAL(9,C34:C43)</f>
        <v>390</v>
      </c>
      <c r="D44" s="49">
        <f>SUBTOTAL(9,D34:D43)</f>
        <v>774</v>
      </c>
    </row>
    <row r="45" spans="1:4" ht="18.75" outlineLevel="2" x14ac:dyDescent="0.3">
      <c r="A45" s="48" t="s">
        <v>160</v>
      </c>
      <c r="B45" s="49">
        <v>2</v>
      </c>
      <c r="C45" s="49">
        <v>20</v>
      </c>
      <c r="D45" s="49">
        <v>20</v>
      </c>
    </row>
    <row r="46" spans="1:4" ht="18.75" outlineLevel="2" x14ac:dyDescent="0.3">
      <c r="A46" s="48" t="s">
        <v>160</v>
      </c>
      <c r="B46" s="49">
        <v>12</v>
      </c>
      <c r="C46" s="49">
        <v>120</v>
      </c>
      <c r="D46" s="49">
        <v>120</v>
      </c>
    </row>
    <row r="47" spans="1:4" ht="18.75" outlineLevel="2" x14ac:dyDescent="0.3">
      <c r="A47" s="48" t="s">
        <v>160</v>
      </c>
      <c r="B47" s="49">
        <v>2</v>
      </c>
      <c r="C47" s="49">
        <v>180</v>
      </c>
      <c r="D47" s="49">
        <v>180</v>
      </c>
    </row>
    <row r="48" spans="1:4" ht="18.75" outlineLevel="2" x14ac:dyDescent="0.3">
      <c r="A48" s="48" t="s">
        <v>160</v>
      </c>
      <c r="B48" s="49">
        <v>14</v>
      </c>
      <c r="C48" s="49">
        <v>24</v>
      </c>
      <c r="D48" s="49">
        <v>120</v>
      </c>
    </row>
    <row r="49" spans="1:4" ht="18.75" outlineLevel="2" x14ac:dyDescent="0.3">
      <c r="A49" s="48" t="s">
        <v>160</v>
      </c>
      <c r="B49" s="49">
        <v>2</v>
      </c>
      <c r="C49" s="48">
        <v>100</v>
      </c>
      <c r="D49" s="48">
        <v>180</v>
      </c>
    </row>
    <row r="50" spans="1:4" ht="18.75" outlineLevel="2" x14ac:dyDescent="0.3">
      <c r="A50" s="48" t="s">
        <v>160</v>
      </c>
      <c r="B50" s="49">
        <v>10</v>
      </c>
      <c r="C50" s="48">
        <v>50</v>
      </c>
      <c r="D50" s="48">
        <v>50</v>
      </c>
    </row>
    <row r="51" spans="1:4" ht="18.75" outlineLevel="2" x14ac:dyDescent="0.3">
      <c r="A51" s="48" t="s">
        <v>160</v>
      </c>
      <c r="B51" s="49">
        <v>4</v>
      </c>
      <c r="C51" s="48">
        <v>60</v>
      </c>
      <c r="D51" s="48">
        <v>50</v>
      </c>
    </row>
    <row r="52" spans="1:4" ht="18.75" outlineLevel="2" x14ac:dyDescent="0.3">
      <c r="A52" s="48" t="s">
        <v>160</v>
      </c>
      <c r="B52" s="49">
        <v>6</v>
      </c>
      <c r="C52" s="48">
        <v>70</v>
      </c>
      <c r="D52" s="48">
        <v>100</v>
      </c>
    </row>
    <row r="53" spans="1:4" ht="18.75" outlineLevel="2" x14ac:dyDescent="0.3">
      <c r="A53" s="48" t="s">
        <v>160</v>
      </c>
      <c r="B53" s="49">
        <v>2</v>
      </c>
      <c r="C53" s="49">
        <v>20</v>
      </c>
      <c r="D53" s="49">
        <v>20</v>
      </c>
    </row>
    <row r="54" spans="1:4" ht="18.75" outlineLevel="2" x14ac:dyDescent="0.3">
      <c r="A54" s="48" t="s">
        <v>160</v>
      </c>
      <c r="B54" s="49">
        <v>12</v>
      </c>
      <c r="C54" s="49">
        <v>120</v>
      </c>
      <c r="D54" s="49">
        <v>120</v>
      </c>
    </row>
    <row r="55" spans="1:4" ht="18.75" outlineLevel="1" x14ac:dyDescent="0.3">
      <c r="A55" s="58" t="s">
        <v>174</v>
      </c>
      <c r="B55" s="47"/>
      <c r="C55" s="47">
        <f>SUBTOTAL(9,C45:C54)</f>
        <v>764</v>
      </c>
      <c r="D55" s="47">
        <f>SUBTOTAL(9,D45:D54)</f>
        <v>960</v>
      </c>
    </row>
    <row r="56" spans="1:4" ht="18.75" x14ac:dyDescent="0.3">
      <c r="A56" s="58" t="s">
        <v>175</v>
      </c>
      <c r="B56" s="47"/>
      <c r="C56" s="47">
        <f>SUBTOTAL(9,C2:C54)</f>
        <v>3538</v>
      </c>
      <c r="D56" s="47">
        <f>SUBTOTAL(9,D2:D54)</f>
        <v>3914</v>
      </c>
    </row>
  </sheetData>
  <autoFilter ref="A1:D1">
    <sortState ref="A2:D50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6" workbookViewId="0">
      <selection activeCell="D23" sqref="D23"/>
    </sheetView>
  </sheetViews>
  <sheetFormatPr defaultRowHeight="15" outlineLevelRow="2" x14ac:dyDescent="0.25"/>
  <cols>
    <col min="1" max="1" width="16" bestFit="1" customWidth="1"/>
    <col min="3" max="4" width="21.140625" bestFit="1" customWidth="1"/>
  </cols>
  <sheetData>
    <row r="1" spans="1:4" ht="18.75" x14ac:dyDescent="0.3">
      <c r="A1" s="48" t="s">
        <v>156</v>
      </c>
      <c r="B1" s="48" t="s">
        <v>157</v>
      </c>
      <c r="C1" s="53" t="s">
        <v>158</v>
      </c>
      <c r="D1" s="53" t="s">
        <v>159</v>
      </c>
    </row>
    <row r="2" spans="1:4" ht="18.75" outlineLevel="2" x14ac:dyDescent="0.3">
      <c r="A2" s="48" t="s">
        <v>164</v>
      </c>
      <c r="B2" s="49">
        <v>10</v>
      </c>
      <c r="C2" s="49">
        <v>100</v>
      </c>
      <c r="D2" s="49">
        <v>100</v>
      </c>
    </row>
    <row r="3" spans="1:4" ht="18.75" outlineLevel="2" x14ac:dyDescent="0.3">
      <c r="A3" s="48" t="s">
        <v>164</v>
      </c>
      <c r="B3" s="49">
        <v>14</v>
      </c>
      <c r="C3" s="50">
        <v>50</v>
      </c>
      <c r="D3" s="50">
        <v>50</v>
      </c>
    </row>
    <row r="4" spans="1:4" ht="18.75" outlineLevel="2" x14ac:dyDescent="0.3">
      <c r="A4" s="48" t="s">
        <v>164</v>
      </c>
      <c r="B4" s="49">
        <v>12</v>
      </c>
      <c r="C4" s="52">
        <v>70</v>
      </c>
      <c r="D4" s="49">
        <v>100</v>
      </c>
    </row>
    <row r="5" spans="1:4" ht="18.75" outlineLevel="2" x14ac:dyDescent="0.3">
      <c r="A5" s="48" t="s">
        <v>164</v>
      </c>
      <c r="B5" s="49">
        <v>10</v>
      </c>
      <c r="C5" s="48">
        <v>90</v>
      </c>
      <c r="D5" s="48">
        <v>50</v>
      </c>
    </row>
    <row r="6" spans="1:4" ht="18.75" outlineLevel="2" x14ac:dyDescent="0.3">
      <c r="A6" s="48" t="s">
        <v>164</v>
      </c>
      <c r="B6" s="49">
        <v>14</v>
      </c>
      <c r="C6" s="48">
        <v>40</v>
      </c>
      <c r="D6" s="48">
        <v>40</v>
      </c>
    </row>
    <row r="7" spans="1:4" ht="18.75" outlineLevel="2" x14ac:dyDescent="0.3">
      <c r="A7" s="48" t="s">
        <v>164</v>
      </c>
      <c r="B7" s="49">
        <v>10</v>
      </c>
      <c r="C7" s="48">
        <v>120</v>
      </c>
      <c r="D7" s="48">
        <v>40</v>
      </c>
    </row>
    <row r="8" spans="1:4" ht="18.75" outlineLevel="2" x14ac:dyDescent="0.3">
      <c r="A8" s="48" t="s">
        <v>164</v>
      </c>
      <c r="B8" s="49">
        <v>8</v>
      </c>
      <c r="C8" s="48">
        <v>180</v>
      </c>
      <c r="D8" s="48">
        <v>90</v>
      </c>
    </row>
    <row r="9" spans="1:4" ht="18.75" outlineLevel="2" x14ac:dyDescent="0.3">
      <c r="A9" s="48" t="s">
        <v>164</v>
      </c>
      <c r="B9" s="49">
        <v>2</v>
      </c>
      <c r="C9" s="48">
        <v>180</v>
      </c>
      <c r="D9" s="48">
        <v>70</v>
      </c>
    </row>
    <row r="10" spans="1:4" ht="18.75" outlineLevel="2" x14ac:dyDescent="0.3">
      <c r="A10" s="48" t="s">
        <v>164</v>
      </c>
      <c r="B10" s="49">
        <v>10</v>
      </c>
      <c r="C10" s="49">
        <v>100</v>
      </c>
      <c r="D10" s="49">
        <v>100</v>
      </c>
    </row>
    <row r="11" spans="1:4" ht="18.75" outlineLevel="1" x14ac:dyDescent="0.3">
      <c r="A11" s="57" t="s">
        <v>170</v>
      </c>
      <c r="B11" s="49">
        <f>SUBTOTAL(9,B2:B10)</f>
        <v>90</v>
      </c>
      <c r="C11" s="49"/>
      <c r="D11" s="49"/>
    </row>
    <row r="12" spans="1:4" ht="18.75" outlineLevel="2" x14ac:dyDescent="0.3">
      <c r="A12" s="48" t="s">
        <v>161</v>
      </c>
      <c r="B12" s="49">
        <v>4</v>
      </c>
      <c r="C12" s="49">
        <v>90</v>
      </c>
      <c r="D12" s="49">
        <v>90</v>
      </c>
    </row>
    <row r="13" spans="1:4" ht="18.75" outlineLevel="2" x14ac:dyDescent="0.3">
      <c r="A13" s="48" t="s">
        <v>161</v>
      </c>
      <c r="B13" s="49">
        <v>14</v>
      </c>
      <c r="C13" s="49">
        <v>60</v>
      </c>
      <c r="D13" s="49">
        <v>60</v>
      </c>
    </row>
    <row r="14" spans="1:4" ht="18.75" outlineLevel="2" x14ac:dyDescent="0.3">
      <c r="A14" s="48" t="s">
        <v>161</v>
      </c>
      <c r="B14" s="49">
        <v>8</v>
      </c>
      <c r="C14" s="49">
        <v>20</v>
      </c>
      <c r="D14" s="49">
        <v>20</v>
      </c>
    </row>
    <row r="15" spans="1:4" ht="18.75" outlineLevel="2" x14ac:dyDescent="0.3">
      <c r="A15" s="48" t="s">
        <v>161</v>
      </c>
      <c r="B15" s="49">
        <v>4</v>
      </c>
      <c r="C15" s="49">
        <v>20</v>
      </c>
      <c r="D15" s="49">
        <v>60</v>
      </c>
    </row>
    <row r="16" spans="1:4" ht="18.75" outlineLevel="2" x14ac:dyDescent="0.3">
      <c r="A16" s="48" t="s">
        <v>161</v>
      </c>
      <c r="B16" s="49">
        <v>4</v>
      </c>
      <c r="C16" s="48">
        <v>120</v>
      </c>
      <c r="D16" s="48">
        <v>20</v>
      </c>
    </row>
    <row r="17" spans="1:4" ht="18.75" outlineLevel="2" x14ac:dyDescent="0.3">
      <c r="A17" s="48" t="s">
        <v>161</v>
      </c>
      <c r="B17" s="49">
        <v>12</v>
      </c>
      <c r="C17" s="48">
        <v>180</v>
      </c>
      <c r="D17" s="48">
        <v>180</v>
      </c>
    </row>
    <row r="18" spans="1:4" ht="18.75" outlineLevel="2" x14ac:dyDescent="0.3">
      <c r="A18" s="48" t="s">
        <v>161</v>
      </c>
      <c r="B18" s="49">
        <v>6</v>
      </c>
      <c r="C18" s="48">
        <v>60</v>
      </c>
      <c r="D18" s="48">
        <v>180</v>
      </c>
    </row>
    <row r="19" spans="1:4" ht="18.75" outlineLevel="2" x14ac:dyDescent="0.3">
      <c r="A19" s="48" t="s">
        <v>161</v>
      </c>
      <c r="B19" s="49">
        <v>10</v>
      </c>
      <c r="C19" s="48">
        <v>24</v>
      </c>
      <c r="D19" s="48">
        <v>40</v>
      </c>
    </row>
    <row r="20" spans="1:4" ht="18.75" outlineLevel="2" x14ac:dyDescent="0.3">
      <c r="A20" s="48" t="s">
        <v>161</v>
      </c>
      <c r="B20" s="49">
        <v>4</v>
      </c>
      <c r="C20" s="49">
        <v>90</v>
      </c>
      <c r="D20" s="49">
        <v>90</v>
      </c>
    </row>
    <row r="21" spans="1:4" ht="18.75" outlineLevel="2" x14ac:dyDescent="0.3">
      <c r="A21" s="48" t="s">
        <v>161</v>
      </c>
      <c r="B21" s="49">
        <v>14</v>
      </c>
      <c r="C21" s="49">
        <v>60</v>
      </c>
      <c r="D21" s="49">
        <v>60</v>
      </c>
    </row>
    <row r="22" spans="1:4" ht="18.75" outlineLevel="1" x14ac:dyDescent="0.3">
      <c r="A22" s="57" t="s">
        <v>171</v>
      </c>
      <c r="B22" s="49">
        <f>SUBTOTAL(9,B12:B21)</f>
        <v>80</v>
      </c>
      <c r="C22" s="49"/>
      <c r="D22" s="49"/>
    </row>
    <row r="23" spans="1:4" ht="18.75" outlineLevel="2" x14ac:dyDescent="0.3">
      <c r="A23" s="48" t="s">
        <v>163</v>
      </c>
      <c r="B23" s="49">
        <v>8</v>
      </c>
      <c r="C23" s="49">
        <v>90</v>
      </c>
      <c r="D23" s="49">
        <v>90</v>
      </c>
    </row>
    <row r="24" spans="1:4" ht="18.75" outlineLevel="2" x14ac:dyDescent="0.3">
      <c r="A24" s="48" t="s">
        <v>163</v>
      </c>
      <c r="B24" s="49">
        <v>12</v>
      </c>
      <c r="C24" s="49">
        <v>40</v>
      </c>
      <c r="D24" s="49">
        <v>40</v>
      </c>
    </row>
    <row r="25" spans="1:4" ht="18.75" outlineLevel="2" x14ac:dyDescent="0.3">
      <c r="A25" s="48" t="s">
        <v>163</v>
      </c>
      <c r="B25" s="49">
        <v>10</v>
      </c>
      <c r="C25" s="51">
        <v>50</v>
      </c>
      <c r="D25" s="49">
        <v>120</v>
      </c>
    </row>
    <row r="26" spans="1:4" ht="18.75" outlineLevel="2" x14ac:dyDescent="0.3">
      <c r="A26" s="48" t="s">
        <v>163</v>
      </c>
      <c r="B26" s="49">
        <v>8</v>
      </c>
      <c r="C26" s="48">
        <v>180</v>
      </c>
      <c r="D26" s="48">
        <v>40</v>
      </c>
    </row>
    <row r="27" spans="1:4" ht="18.75" outlineLevel="2" x14ac:dyDescent="0.3">
      <c r="A27" s="48" t="s">
        <v>163</v>
      </c>
      <c r="B27" s="49">
        <v>8</v>
      </c>
      <c r="C27" s="48">
        <v>60</v>
      </c>
      <c r="D27" s="48">
        <v>60</v>
      </c>
    </row>
    <row r="28" spans="1:4" ht="18.75" outlineLevel="2" x14ac:dyDescent="0.3">
      <c r="A28" s="48" t="s">
        <v>163</v>
      </c>
      <c r="B28" s="49">
        <v>6</v>
      </c>
      <c r="C28" s="48">
        <v>40</v>
      </c>
      <c r="D28" s="48">
        <v>60</v>
      </c>
    </row>
    <row r="29" spans="1:4" ht="18.75" outlineLevel="2" x14ac:dyDescent="0.3">
      <c r="A29" s="48" t="s">
        <v>163</v>
      </c>
      <c r="B29" s="49">
        <v>2</v>
      </c>
      <c r="C29" s="48">
        <v>50</v>
      </c>
      <c r="D29" s="48">
        <v>20</v>
      </c>
    </row>
    <row r="30" spans="1:4" ht="18.75" outlineLevel="2" x14ac:dyDescent="0.3">
      <c r="A30" s="48" t="s">
        <v>163</v>
      </c>
      <c r="B30" s="49">
        <v>4</v>
      </c>
      <c r="C30" s="48">
        <v>90</v>
      </c>
      <c r="D30" s="48">
        <v>180</v>
      </c>
    </row>
    <row r="31" spans="1:4" ht="18.75" outlineLevel="2" x14ac:dyDescent="0.3">
      <c r="A31" s="48" t="s">
        <v>163</v>
      </c>
      <c r="B31" s="49">
        <v>8</v>
      </c>
      <c r="C31" s="49">
        <v>90</v>
      </c>
      <c r="D31" s="49">
        <v>90</v>
      </c>
    </row>
    <row r="32" spans="1:4" ht="18.75" outlineLevel="2" x14ac:dyDescent="0.3">
      <c r="A32" s="48" t="s">
        <v>163</v>
      </c>
      <c r="B32" s="49">
        <v>12</v>
      </c>
      <c r="C32" s="49">
        <v>40</v>
      </c>
      <c r="D32" s="49">
        <v>40</v>
      </c>
    </row>
    <row r="33" spans="1:4" ht="18.75" outlineLevel="1" x14ac:dyDescent="0.3">
      <c r="A33" s="57" t="s">
        <v>172</v>
      </c>
      <c r="B33" s="49">
        <f>SUBTOTAL(9,B23:B32)</f>
        <v>78</v>
      </c>
      <c r="C33" s="49"/>
      <c r="D33" s="49"/>
    </row>
    <row r="34" spans="1:4" ht="18.75" outlineLevel="2" x14ac:dyDescent="0.3">
      <c r="A34" s="48" t="s">
        <v>162</v>
      </c>
      <c r="B34" s="49">
        <v>6</v>
      </c>
      <c r="C34" s="49" t="s">
        <v>165</v>
      </c>
      <c r="D34" s="49">
        <v>180</v>
      </c>
    </row>
    <row r="35" spans="1:4" ht="18.75" outlineLevel="2" x14ac:dyDescent="0.3">
      <c r="A35" s="48" t="s">
        <v>162</v>
      </c>
      <c r="B35" s="49">
        <v>10</v>
      </c>
      <c r="C35" s="49">
        <v>60</v>
      </c>
      <c r="D35" s="49">
        <v>60</v>
      </c>
    </row>
    <row r="36" spans="1:4" ht="18.75" outlineLevel="2" x14ac:dyDescent="0.3">
      <c r="A36" s="48" t="s">
        <v>162</v>
      </c>
      <c r="B36" s="49">
        <v>6</v>
      </c>
      <c r="C36" s="49">
        <v>40</v>
      </c>
      <c r="D36" s="49">
        <v>40</v>
      </c>
    </row>
    <row r="37" spans="1:4" ht="18.75" outlineLevel="2" x14ac:dyDescent="0.3">
      <c r="A37" s="48" t="s">
        <v>162</v>
      </c>
      <c r="B37" s="49">
        <v>6</v>
      </c>
      <c r="C37" s="49">
        <v>90</v>
      </c>
      <c r="D37" s="49">
        <v>60</v>
      </c>
    </row>
    <row r="38" spans="1:4" ht="18.75" outlineLevel="2" x14ac:dyDescent="0.3">
      <c r="A38" s="48" t="s">
        <v>162</v>
      </c>
      <c r="B38" s="49">
        <v>6</v>
      </c>
      <c r="C38" s="48">
        <v>60</v>
      </c>
      <c r="D38" s="48">
        <v>60</v>
      </c>
    </row>
    <row r="39" spans="1:4" ht="18.75" outlineLevel="2" x14ac:dyDescent="0.3">
      <c r="A39" s="48" t="s">
        <v>162</v>
      </c>
      <c r="B39" s="49">
        <v>8</v>
      </c>
      <c r="C39" s="48">
        <v>20</v>
      </c>
      <c r="D39" s="48">
        <v>60</v>
      </c>
    </row>
    <row r="40" spans="1:4" ht="18.75" outlineLevel="2" x14ac:dyDescent="0.3">
      <c r="A40" s="48" t="s">
        <v>162</v>
      </c>
      <c r="B40" s="49">
        <v>8</v>
      </c>
      <c r="C40" s="48">
        <v>40</v>
      </c>
      <c r="D40" s="48">
        <v>24</v>
      </c>
    </row>
    <row r="41" spans="1:4" ht="18.75" outlineLevel="2" x14ac:dyDescent="0.3">
      <c r="A41" s="48" t="s">
        <v>162</v>
      </c>
      <c r="B41" s="49">
        <v>2</v>
      </c>
      <c r="C41" s="48">
        <v>20</v>
      </c>
      <c r="D41" s="48">
        <v>50</v>
      </c>
    </row>
    <row r="42" spans="1:4" ht="18.75" outlineLevel="2" x14ac:dyDescent="0.3">
      <c r="A42" s="48" t="s">
        <v>162</v>
      </c>
      <c r="B42" s="49">
        <v>6</v>
      </c>
      <c r="C42" s="49" t="s">
        <v>165</v>
      </c>
      <c r="D42" s="49">
        <v>180</v>
      </c>
    </row>
    <row r="43" spans="1:4" ht="18.75" outlineLevel="2" x14ac:dyDescent="0.3">
      <c r="A43" s="48" t="s">
        <v>162</v>
      </c>
      <c r="B43" s="49">
        <v>10</v>
      </c>
      <c r="C43" s="49">
        <v>60</v>
      </c>
      <c r="D43" s="49">
        <v>60</v>
      </c>
    </row>
    <row r="44" spans="1:4" ht="18.75" outlineLevel="1" x14ac:dyDescent="0.3">
      <c r="A44" s="57" t="s">
        <v>173</v>
      </c>
      <c r="B44" s="49">
        <f>SUBTOTAL(9,B34:B43)</f>
        <v>68</v>
      </c>
      <c r="C44" s="49"/>
      <c r="D44" s="49"/>
    </row>
    <row r="45" spans="1:4" ht="18.75" outlineLevel="2" x14ac:dyDescent="0.3">
      <c r="A45" s="48" t="s">
        <v>160</v>
      </c>
      <c r="B45" s="49">
        <v>2</v>
      </c>
      <c r="C45" s="49">
        <v>20</v>
      </c>
      <c r="D45" s="49">
        <v>20</v>
      </c>
    </row>
    <row r="46" spans="1:4" ht="18.75" outlineLevel="2" x14ac:dyDescent="0.3">
      <c r="A46" s="48" t="s">
        <v>160</v>
      </c>
      <c r="B46" s="49">
        <v>12</v>
      </c>
      <c r="C46" s="49">
        <v>120</v>
      </c>
      <c r="D46" s="49">
        <v>120</v>
      </c>
    </row>
    <row r="47" spans="1:4" ht="18.75" outlineLevel="2" x14ac:dyDescent="0.3">
      <c r="A47" s="48" t="s">
        <v>160</v>
      </c>
      <c r="B47" s="49">
        <v>2</v>
      </c>
      <c r="C47" s="49">
        <v>180</v>
      </c>
      <c r="D47" s="49">
        <v>180</v>
      </c>
    </row>
    <row r="48" spans="1:4" ht="18.75" outlineLevel="2" x14ac:dyDescent="0.3">
      <c r="A48" s="48" t="s">
        <v>160</v>
      </c>
      <c r="B48" s="49">
        <v>14</v>
      </c>
      <c r="C48" s="49">
        <v>24</v>
      </c>
      <c r="D48" s="49">
        <v>120</v>
      </c>
    </row>
    <row r="49" spans="1:4" ht="18.75" outlineLevel="2" x14ac:dyDescent="0.3">
      <c r="A49" s="48" t="s">
        <v>160</v>
      </c>
      <c r="B49" s="49">
        <v>2</v>
      </c>
      <c r="C49" s="48">
        <v>100</v>
      </c>
      <c r="D49" s="48">
        <v>180</v>
      </c>
    </row>
    <row r="50" spans="1:4" ht="18.75" outlineLevel="2" x14ac:dyDescent="0.3">
      <c r="A50" s="48" t="s">
        <v>160</v>
      </c>
      <c r="B50" s="49">
        <v>10</v>
      </c>
      <c r="C50" s="48">
        <v>50</v>
      </c>
      <c r="D50" s="48">
        <v>50</v>
      </c>
    </row>
    <row r="51" spans="1:4" ht="18.75" outlineLevel="2" x14ac:dyDescent="0.3">
      <c r="A51" s="48" t="s">
        <v>160</v>
      </c>
      <c r="B51" s="49">
        <v>4</v>
      </c>
      <c r="C51" s="48">
        <v>60</v>
      </c>
      <c r="D51" s="48">
        <v>50</v>
      </c>
    </row>
    <row r="52" spans="1:4" ht="18.75" outlineLevel="2" x14ac:dyDescent="0.3">
      <c r="A52" s="48" t="s">
        <v>160</v>
      </c>
      <c r="B52" s="49">
        <v>6</v>
      </c>
      <c r="C52" s="48">
        <v>70</v>
      </c>
      <c r="D52" s="48">
        <v>100</v>
      </c>
    </row>
    <row r="53" spans="1:4" ht="18.75" outlineLevel="2" x14ac:dyDescent="0.3">
      <c r="A53" s="48" t="s">
        <v>160</v>
      </c>
      <c r="B53" s="49">
        <v>2</v>
      </c>
      <c r="C53" s="49">
        <v>20</v>
      </c>
      <c r="D53" s="49">
        <v>20</v>
      </c>
    </row>
    <row r="54" spans="1:4" ht="18.75" outlineLevel="2" x14ac:dyDescent="0.3">
      <c r="A54" s="48" t="s">
        <v>160</v>
      </c>
      <c r="B54" s="49">
        <v>12</v>
      </c>
      <c r="C54" s="49">
        <v>120</v>
      </c>
      <c r="D54" s="49">
        <v>120</v>
      </c>
    </row>
    <row r="55" spans="1:4" ht="18.75" outlineLevel="1" x14ac:dyDescent="0.3">
      <c r="A55" s="58" t="s">
        <v>174</v>
      </c>
      <c r="B55" s="47">
        <f>SUBTOTAL(9,B45:B54)</f>
        <v>66</v>
      </c>
      <c r="C55" s="47"/>
      <c r="D55" s="47"/>
    </row>
    <row r="56" spans="1:4" ht="18.75" x14ac:dyDescent="0.3">
      <c r="A56" s="58" t="s">
        <v>175</v>
      </c>
      <c r="B56" s="47">
        <f>SUBTOTAL(9,B2:B54)</f>
        <v>382</v>
      </c>
      <c r="C56" s="47"/>
      <c r="D56" s="47"/>
    </row>
  </sheetData>
  <autoFilter ref="A1:D1">
    <sortState ref="A2:D50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7" sqref="F7"/>
    </sheetView>
  </sheetViews>
  <sheetFormatPr defaultRowHeight="15" x14ac:dyDescent="0.25"/>
  <sheetData>
    <row r="1" spans="1:9" x14ac:dyDescent="0.25">
      <c r="A1" s="81" t="s">
        <v>180</v>
      </c>
      <c r="B1" s="81"/>
      <c r="C1" s="81"/>
      <c r="D1" s="81"/>
      <c r="E1" s="81"/>
      <c r="F1" s="81"/>
      <c r="G1" s="81"/>
      <c r="H1" s="81"/>
    </row>
    <row r="2" spans="1:9" x14ac:dyDescent="0.25">
      <c r="A2" s="1">
        <v>59.35</v>
      </c>
      <c r="B2" s="1">
        <v>22.9</v>
      </c>
      <c r="C2" s="1">
        <v>67.5</v>
      </c>
      <c r="D2" s="1">
        <v>46.1</v>
      </c>
      <c r="E2" s="1">
        <v>57.45</v>
      </c>
      <c r="F2" s="1">
        <v>108.25</v>
      </c>
      <c r="G2" s="1">
        <v>50.75</v>
      </c>
      <c r="H2" s="1">
        <v>36.29</v>
      </c>
      <c r="I2" s="1"/>
    </row>
    <row r="3" spans="1:9" x14ac:dyDescent="0.25">
      <c r="A3" s="1">
        <v>78.319999999999993</v>
      </c>
      <c r="B3" s="1">
        <v>50.65</v>
      </c>
      <c r="C3" s="1">
        <v>63.15</v>
      </c>
      <c r="D3" s="1">
        <v>59.72</v>
      </c>
      <c r="E3" s="1">
        <v>41.55</v>
      </c>
      <c r="F3" s="1">
        <v>56.65</v>
      </c>
      <c r="G3" s="1">
        <v>52.6</v>
      </c>
      <c r="H3" s="1"/>
      <c r="I3" s="1"/>
    </row>
    <row r="7" spans="1:9" x14ac:dyDescent="0.25">
      <c r="A7" s="1">
        <v>59.35</v>
      </c>
    </row>
    <row r="8" spans="1:9" x14ac:dyDescent="0.25">
      <c r="A8" s="1">
        <v>22.9</v>
      </c>
    </row>
    <row r="9" spans="1:9" x14ac:dyDescent="0.25">
      <c r="A9" s="1">
        <v>67.5</v>
      </c>
    </row>
    <row r="10" spans="1:9" x14ac:dyDescent="0.25">
      <c r="A10" s="1">
        <v>46.1</v>
      </c>
    </row>
    <row r="11" spans="1:9" x14ac:dyDescent="0.25">
      <c r="A11" s="1">
        <v>57.45</v>
      </c>
      <c r="C11" t="s">
        <v>177</v>
      </c>
      <c r="D11" s="1">
        <f>AVERAGE(A7:A21)</f>
        <v>56.748666666666665</v>
      </c>
      <c r="H11" s="1"/>
    </row>
    <row r="12" spans="1:9" x14ac:dyDescent="0.25">
      <c r="A12" s="1">
        <v>108.25</v>
      </c>
    </row>
    <row r="13" spans="1:9" x14ac:dyDescent="0.25">
      <c r="A13" s="1">
        <v>50.75</v>
      </c>
      <c r="C13" t="s">
        <v>178</v>
      </c>
      <c r="D13">
        <f>AVERAGEIF(A7:A21,"&lt;50")</f>
        <v>36.709999999999994</v>
      </c>
    </row>
    <row r="14" spans="1:9" x14ac:dyDescent="0.25">
      <c r="A14" s="1">
        <v>36.29</v>
      </c>
    </row>
    <row r="15" spans="1:9" x14ac:dyDescent="0.25">
      <c r="A15" s="1">
        <v>78.319999999999993</v>
      </c>
      <c r="C15" s="1">
        <v>30</v>
      </c>
      <c r="D15" s="1"/>
    </row>
    <row r="16" spans="1:9" x14ac:dyDescent="0.25">
      <c r="A16" s="1">
        <v>50.65</v>
      </c>
      <c r="C16" s="1">
        <v>70</v>
      </c>
      <c r="D16">
        <f>AVERAGEIFS(A7:A21,A7:A21,"&gt;30",A7:A21,"&lt;70")</f>
        <v>53.47999999999999</v>
      </c>
    </row>
    <row r="17" spans="1:4" x14ac:dyDescent="0.25">
      <c r="A17" s="1">
        <v>63.15</v>
      </c>
    </row>
    <row r="18" spans="1:4" x14ac:dyDescent="0.25">
      <c r="A18" s="1">
        <v>59.72</v>
      </c>
      <c r="C18" t="s">
        <v>179</v>
      </c>
      <c r="D18">
        <f>AVERAGEIF(A7:A21,"&gt;60")</f>
        <v>79.304999999999993</v>
      </c>
    </row>
    <row r="19" spans="1:4" x14ac:dyDescent="0.25">
      <c r="A19" s="1">
        <v>41.55</v>
      </c>
    </row>
    <row r="20" spans="1:4" x14ac:dyDescent="0.25">
      <c r="A20" s="1">
        <v>56.65</v>
      </c>
    </row>
    <row r="21" spans="1:4" x14ac:dyDescent="0.25">
      <c r="A21" s="1">
        <v>52.6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sqref="A1:Y1"/>
    </sheetView>
  </sheetViews>
  <sheetFormatPr defaultRowHeight="15" x14ac:dyDescent="0.25"/>
  <cols>
    <col min="3" max="3" width="15.5703125" customWidth="1"/>
  </cols>
  <sheetData>
    <row r="1" spans="1:25" ht="26.25" customHeight="1" x14ac:dyDescent="0.25">
      <c r="A1" s="82" t="s">
        <v>181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1:25" x14ac:dyDescent="0.25">
      <c r="A2">
        <v>29</v>
      </c>
      <c r="B2">
        <v>29</v>
      </c>
      <c r="C2">
        <v>88</v>
      </c>
      <c r="D2">
        <v>58</v>
      </c>
      <c r="E2">
        <v>29</v>
      </c>
      <c r="F2">
        <v>62</v>
      </c>
      <c r="G2">
        <v>64</v>
      </c>
      <c r="H2">
        <v>54</v>
      </c>
      <c r="I2">
        <v>29</v>
      </c>
      <c r="J2">
        <v>36</v>
      </c>
      <c r="K2">
        <v>78</v>
      </c>
      <c r="L2">
        <v>45</v>
      </c>
      <c r="M2">
        <v>40</v>
      </c>
      <c r="N2">
        <v>67</v>
      </c>
      <c r="O2">
        <v>49</v>
      </c>
      <c r="P2">
        <v>33</v>
      </c>
      <c r="Q2">
        <v>83</v>
      </c>
      <c r="R2">
        <v>76</v>
      </c>
      <c r="S2">
        <v>63</v>
      </c>
      <c r="T2">
        <v>29</v>
      </c>
      <c r="U2">
        <v>32</v>
      </c>
      <c r="V2">
        <v>60</v>
      </c>
      <c r="W2">
        <v>22</v>
      </c>
      <c r="X2">
        <v>40</v>
      </c>
      <c r="Y2">
        <v>65</v>
      </c>
    </row>
    <row r="3" spans="1:25" x14ac:dyDescent="0.25">
      <c r="A3">
        <v>63</v>
      </c>
      <c r="B3">
        <v>45</v>
      </c>
      <c r="C3">
        <v>56</v>
      </c>
      <c r="D3">
        <v>76</v>
      </c>
      <c r="E3">
        <v>64</v>
      </c>
      <c r="F3">
        <v>50</v>
      </c>
      <c r="G3">
        <v>99</v>
      </c>
      <c r="H3">
        <v>48</v>
      </c>
      <c r="I3">
        <v>56</v>
      </c>
      <c r="J3">
        <v>34</v>
      </c>
      <c r="K3">
        <v>59</v>
      </c>
      <c r="L3">
        <v>69</v>
      </c>
      <c r="M3">
        <v>53</v>
      </c>
      <c r="N3">
        <v>71</v>
      </c>
      <c r="O3">
        <v>69</v>
      </c>
      <c r="P3">
        <v>35</v>
      </c>
      <c r="Q3">
        <v>56</v>
      </c>
      <c r="R3">
        <v>40</v>
      </c>
      <c r="S3">
        <v>75</v>
      </c>
      <c r="T3">
        <v>43</v>
      </c>
      <c r="U3">
        <v>93</v>
      </c>
      <c r="V3">
        <v>46</v>
      </c>
      <c r="W3">
        <v>72</v>
      </c>
      <c r="X3">
        <v>95</v>
      </c>
      <c r="Y3">
        <v>57</v>
      </c>
    </row>
    <row r="6" spans="1:25" x14ac:dyDescent="0.25">
      <c r="A6">
        <v>29</v>
      </c>
    </row>
    <row r="7" spans="1:25" x14ac:dyDescent="0.25">
      <c r="A7">
        <v>29</v>
      </c>
    </row>
    <row r="8" spans="1:25" x14ac:dyDescent="0.25">
      <c r="A8">
        <v>88</v>
      </c>
    </row>
    <row r="9" spans="1:25" x14ac:dyDescent="0.25">
      <c r="A9">
        <v>58</v>
      </c>
    </row>
    <row r="10" spans="1:25" x14ac:dyDescent="0.25">
      <c r="A10">
        <v>29</v>
      </c>
      <c r="C10" s="54" t="s">
        <v>182</v>
      </c>
      <c r="D10">
        <f>MEDIAN(A6:A55)</f>
        <v>56</v>
      </c>
      <c r="F10">
        <v>50</v>
      </c>
    </row>
    <row r="11" spans="1:25" x14ac:dyDescent="0.25">
      <c r="A11">
        <v>62</v>
      </c>
    </row>
    <row r="12" spans="1:25" x14ac:dyDescent="0.25">
      <c r="A12">
        <v>64</v>
      </c>
      <c r="C12" t="s">
        <v>183</v>
      </c>
      <c r="D12">
        <f>QUARTILE(A6:A55,1)</f>
        <v>40</v>
      </c>
      <c r="F12">
        <v>25</v>
      </c>
    </row>
    <row r="13" spans="1:25" x14ac:dyDescent="0.25">
      <c r="A13">
        <v>54</v>
      </c>
      <c r="H13" t="s">
        <v>187</v>
      </c>
      <c r="I13">
        <f>D14-D12</f>
        <v>28.5</v>
      </c>
    </row>
    <row r="14" spans="1:25" x14ac:dyDescent="0.25">
      <c r="A14">
        <v>29</v>
      </c>
      <c r="C14" t="s">
        <v>184</v>
      </c>
      <c r="D14">
        <f>QUARTILE(A6:A55,3)</f>
        <v>68.5</v>
      </c>
      <c r="F14">
        <v>75</v>
      </c>
    </row>
    <row r="15" spans="1:25" x14ac:dyDescent="0.25">
      <c r="A15">
        <v>36</v>
      </c>
    </row>
    <row r="16" spans="1:25" x14ac:dyDescent="0.25">
      <c r="A16">
        <v>78</v>
      </c>
    </row>
    <row r="17" spans="1:4" ht="17.25" x14ac:dyDescent="0.25">
      <c r="A17">
        <v>45</v>
      </c>
      <c r="C17" t="s">
        <v>185</v>
      </c>
      <c r="D17">
        <f>PERCENTILE(A6:A55,0.35)</f>
        <v>46.3</v>
      </c>
    </row>
    <row r="18" spans="1:4" x14ac:dyDescent="0.25">
      <c r="A18">
        <v>40</v>
      </c>
    </row>
    <row r="19" spans="1:4" x14ac:dyDescent="0.25">
      <c r="A19">
        <v>67</v>
      </c>
    </row>
    <row r="20" spans="1:4" ht="17.25" x14ac:dyDescent="0.25">
      <c r="A20">
        <v>49</v>
      </c>
      <c r="C20" t="s">
        <v>186</v>
      </c>
      <c r="D20">
        <f>PERCENTILE(A6:A55,0.8)</f>
        <v>71.2</v>
      </c>
    </row>
    <row r="21" spans="1:4" x14ac:dyDescent="0.25">
      <c r="A21">
        <v>33</v>
      </c>
    </row>
    <row r="22" spans="1:4" x14ac:dyDescent="0.25">
      <c r="A22">
        <v>83</v>
      </c>
    </row>
    <row r="23" spans="1:4" x14ac:dyDescent="0.25">
      <c r="A23">
        <v>76</v>
      </c>
    </row>
    <row r="24" spans="1:4" x14ac:dyDescent="0.25">
      <c r="A24">
        <v>63</v>
      </c>
    </row>
    <row r="25" spans="1:4" x14ac:dyDescent="0.25">
      <c r="A25">
        <v>29</v>
      </c>
    </row>
    <row r="26" spans="1:4" x14ac:dyDescent="0.25">
      <c r="A26">
        <v>32</v>
      </c>
    </row>
    <row r="27" spans="1:4" x14ac:dyDescent="0.25">
      <c r="A27">
        <v>60</v>
      </c>
    </row>
    <row r="28" spans="1:4" x14ac:dyDescent="0.25">
      <c r="A28">
        <v>22</v>
      </c>
    </row>
    <row r="29" spans="1:4" x14ac:dyDescent="0.25">
      <c r="A29">
        <v>40</v>
      </c>
    </row>
    <row r="30" spans="1:4" x14ac:dyDescent="0.25">
      <c r="A30">
        <v>65</v>
      </c>
    </row>
    <row r="31" spans="1:4" x14ac:dyDescent="0.25">
      <c r="A31">
        <v>63</v>
      </c>
    </row>
    <row r="32" spans="1:4" x14ac:dyDescent="0.25">
      <c r="A32">
        <v>45</v>
      </c>
    </row>
    <row r="33" spans="1:1" x14ac:dyDescent="0.25">
      <c r="A33">
        <v>56</v>
      </c>
    </row>
    <row r="34" spans="1:1" x14ac:dyDescent="0.25">
      <c r="A34">
        <v>76</v>
      </c>
    </row>
    <row r="35" spans="1:1" x14ac:dyDescent="0.25">
      <c r="A35">
        <v>64</v>
      </c>
    </row>
    <row r="36" spans="1:1" x14ac:dyDescent="0.25">
      <c r="A36">
        <v>50</v>
      </c>
    </row>
    <row r="37" spans="1:1" x14ac:dyDescent="0.25">
      <c r="A37">
        <v>99</v>
      </c>
    </row>
    <row r="38" spans="1:1" x14ac:dyDescent="0.25">
      <c r="A38">
        <v>48</v>
      </c>
    </row>
    <row r="39" spans="1:1" x14ac:dyDescent="0.25">
      <c r="A39">
        <v>56</v>
      </c>
    </row>
    <row r="40" spans="1:1" x14ac:dyDescent="0.25">
      <c r="A40">
        <v>34</v>
      </c>
    </row>
    <row r="41" spans="1:1" x14ac:dyDescent="0.25">
      <c r="A41">
        <v>59</v>
      </c>
    </row>
    <row r="42" spans="1:1" x14ac:dyDescent="0.25">
      <c r="A42">
        <v>69</v>
      </c>
    </row>
    <row r="43" spans="1:1" x14ac:dyDescent="0.25">
      <c r="A43">
        <v>53</v>
      </c>
    </row>
    <row r="44" spans="1:1" x14ac:dyDescent="0.25">
      <c r="A44">
        <v>71</v>
      </c>
    </row>
    <row r="45" spans="1:1" x14ac:dyDescent="0.25">
      <c r="A45">
        <v>69</v>
      </c>
    </row>
    <row r="46" spans="1:1" x14ac:dyDescent="0.25">
      <c r="A46">
        <v>35</v>
      </c>
    </row>
    <row r="47" spans="1:1" x14ac:dyDescent="0.25">
      <c r="A47">
        <v>56</v>
      </c>
    </row>
    <row r="48" spans="1:1" x14ac:dyDescent="0.25">
      <c r="A48">
        <v>40</v>
      </c>
    </row>
    <row r="49" spans="1:1" x14ac:dyDescent="0.25">
      <c r="A49">
        <v>75</v>
      </c>
    </row>
    <row r="50" spans="1:1" x14ac:dyDescent="0.25">
      <c r="A50">
        <v>43</v>
      </c>
    </row>
    <row r="51" spans="1:1" x14ac:dyDescent="0.25">
      <c r="A51">
        <v>93</v>
      </c>
    </row>
    <row r="52" spans="1:1" x14ac:dyDescent="0.25">
      <c r="A52">
        <v>46</v>
      </c>
    </row>
    <row r="53" spans="1:1" x14ac:dyDescent="0.25">
      <c r="A53">
        <v>72</v>
      </c>
    </row>
    <row r="54" spans="1:1" x14ac:dyDescent="0.25">
      <c r="A54">
        <v>95</v>
      </c>
    </row>
    <row r="55" spans="1:1" x14ac:dyDescent="0.25">
      <c r="A55">
        <v>57</v>
      </c>
    </row>
  </sheetData>
  <mergeCells count="1">
    <mergeCell ref="A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opLeftCell="F5" workbookViewId="0">
      <selection activeCell="T21" sqref="T21"/>
    </sheetView>
  </sheetViews>
  <sheetFormatPr defaultRowHeight="15" x14ac:dyDescent="0.25"/>
  <cols>
    <col min="2" max="2" width="13.85546875" customWidth="1"/>
    <col min="3" max="3" width="10.85546875" customWidth="1"/>
  </cols>
  <sheetData>
    <row r="1" spans="1:25" ht="32.25" customHeight="1" x14ac:dyDescent="0.25">
      <c r="A1" s="84" t="s">
        <v>215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25" ht="32.25" customHeight="1" x14ac:dyDescent="0.25">
      <c r="A2" s="4">
        <v>29</v>
      </c>
      <c r="B2" s="4">
        <v>29</v>
      </c>
      <c r="C2" s="4">
        <v>88</v>
      </c>
      <c r="D2" s="4">
        <v>58</v>
      </c>
      <c r="E2" s="4">
        <v>29</v>
      </c>
      <c r="F2" s="4">
        <v>62</v>
      </c>
      <c r="G2" s="4">
        <v>64</v>
      </c>
      <c r="H2" s="4">
        <v>54</v>
      </c>
      <c r="I2" s="4">
        <v>29</v>
      </c>
      <c r="J2" s="4">
        <v>36</v>
      </c>
      <c r="K2" s="4">
        <v>78</v>
      </c>
      <c r="L2" s="4">
        <v>45</v>
      </c>
      <c r="M2" s="4">
        <v>40</v>
      </c>
      <c r="N2" s="4">
        <v>67</v>
      </c>
      <c r="O2" s="4">
        <v>49</v>
      </c>
      <c r="P2" s="4">
        <v>33</v>
      </c>
      <c r="Q2" s="4">
        <v>83</v>
      </c>
      <c r="R2" s="4">
        <v>76</v>
      </c>
      <c r="S2" s="4">
        <v>63</v>
      </c>
      <c r="T2" s="4">
        <v>29</v>
      </c>
      <c r="U2" s="4">
        <v>32</v>
      </c>
      <c r="V2" s="4">
        <v>60</v>
      </c>
      <c r="W2" s="4">
        <v>22</v>
      </c>
      <c r="X2" s="4">
        <v>40</v>
      </c>
      <c r="Y2" s="4">
        <v>65</v>
      </c>
    </row>
    <row r="3" spans="1:25" ht="32.25" customHeight="1" x14ac:dyDescent="0.25">
      <c r="A3" s="4">
        <v>63</v>
      </c>
      <c r="B3" s="4">
        <v>45</v>
      </c>
      <c r="C3" s="4">
        <v>56</v>
      </c>
      <c r="D3" s="4">
        <v>76</v>
      </c>
      <c r="E3" s="4">
        <v>64</v>
      </c>
      <c r="F3" s="4">
        <v>50</v>
      </c>
      <c r="G3" s="4">
        <v>99</v>
      </c>
      <c r="H3" s="4">
        <v>48</v>
      </c>
      <c r="I3" s="4">
        <v>56</v>
      </c>
      <c r="J3" s="4">
        <v>34</v>
      </c>
      <c r="K3" s="4">
        <v>59</v>
      </c>
      <c r="L3" s="4">
        <v>69</v>
      </c>
      <c r="M3" s="4">
        <v>53</v>
      </c>
      <c r="N3" s="4">
        <v>71</v>
      </c>
      <c r="O3" s="4">
        <v>69</v>
      </c>
      <c r="P3" s="4">
        <v>35</v>
      </c>
      <c r="Q3" s="4">
        <v>56</v>
      </c>
      <c r="R3" s="4">
        <v>40</v>
      </c>
      <c r="S3" s="4">
        <v>75</v>
      </c>
      <c r="T3" s="4">
        <v>43</v>
      </c>
      <c r="U3" s="4">
        <v>93</v>
      </c>
      <c r="V3" s="4">
        <v>46</v>
      </c>
      <c r="W3" s="4">
        <v>72</v>
      </c>
      <c r="X3" s="4">
        <v>95</v>
      </c>
      <c r="Y3" s="4">
        <v>57</v>
      </c>
    </row>
    <row r="4" spans="1:25" ht="30.75" customHeight="1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5" ht="38.25" customHeight="1" x14ac:dyDescent="0.25">
      <c r="A5" s="84" t="s">
        <v>216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ht="19.5" customHeight="1" x14ac:dyDescent="0.25">
      <c r="A6" s="4">
        <v>63</v>
      </c>
      <c r="B6" s="4">
        <v>62</v>
      </c>
      <c r="C6" s="4">
        <v>30</v>
      </c>
      <c r="D6" s="4">
        <v>51</v>
      </c>
      <c r="E6" s="4">
        <v>58</v>
      </c>
      <c r="F6" s="4">
        <v>47</v>
      </c>
      <c r="G6" s="4">
        <v>36</v>
      </c>
      <c r="H6" s="4">
        <v>26</v>
      </c>
      <c r="I6" s="4">
        <v>14</v>
      </c>
      <c r="J6" s="4">
        <v>25</v>
      </c>
      <c r="K6" s="4">
        <v>38</v>
      </c>
      <c r="L6" s="4">
        <v>43</v>
      </c>
      <c r="M6" s="4">
        <v>22</v>
      </c>
      <c r="N6" s="4">
        <v>44</v>
      </c>
      <c r="O6" s="4">
        <v>44</v>
      </c>
      <c r="P6" s="4">
        <v>23</v>
      </c>
      <c r="Q6" s="4">
        <v>39</v>
      </c>
      <c r="R6" s="4">
        <v>32</v>
      </c>
      <c r="S6" s="4">
        <v>29</v>
      </c>
      <c r="T6" s="4">
        <v>25</v>
      </c>
      <c r="U6" s="4">
        <v>52</v>
      </c>
      <c r="V6" s="4">
        <v>47</v>
      </c>
      <c r="W6" s="4">
        <v>44</v>
      </c>
      <c r="X6" s="4">
        <v>59</v>
      </c>
      <c r="Y6" s="4">
        <v>21</v>
      </c>
    </row>
    <row r="7" spans="1:25" ht="26.25" customHeight="1" x14ac:dyDescent="0.25">
      <c r="A7" s="4">
        <v>31</v>
      </c>
      <c r="B7" s="4">
        <v>43</v>
      </c>
      <c r="C7" s="4">
        <v>53</v>
      </c>
      <c r="D7" s="4">
        <v>53</v>
      </c>
      <c r="E7" s="4">
        <v>25</v>
      </c>
      <c r="F7" s="4">
        <v>52</v>
      </c>
      <c r="G7" s="4">
        <v>54</v>
      </c>
      <c r="H7" s="4">
        <v>26</v>
      </c>
      <c r="I7" s="4">
        <v>49</v>
      </c>
      <c r="J7" s="4">
        <v>48</v>
      </c>
      <c r="K7" s="4">
        <v>29</v>
      </c>
      <c r="L7" s="4">
        <v>31</v>
      </c>
      <c r="M7" s="4">
        <v>36</v>
      </c>
      <c r="N7" s="4">
        <v>31</v>
      </c>
      <c r="O7" s="4">
        <v>54</v>
      </c>
      <c r="P7" s="4">
        <v>29</v>
      </c>
      <c r="Q7" s="4">
        <v>41</v>
      </c>
      <c r="R7" s="4">
        <v>26</v>
      </c>
      <c r="S7" s="4">
        <v>21</v>
      </c>
      <c r="T7" s="4">
        <v>36</v>
      </c>
      <c r="U7" s="4">
        <v>24</v>
      </c>
      <c r="V7" s="4">
        <v>33</v>
      </c>
      <c r="W7" s="4">
        <v>50</v>
      </c>
      <c r="X7" s="4">
        <v>68</v>
      </c>
      <c r="Y7" s="4">
        <v>37</v>
      </c>
    </row>
    <row r="10" spans="1:25" ht="21" x14ac:dyDescent="0.35">
      <c r="A10" s="64" t="s">
        <v>120</v>
      </c>
      <c r="B10" s="83" t="s">
        <v>217</v>
      </c>
      <c r="C10" s="83"/>
    </row>
    <row r="11" spans="1:25" ht="21" x14ac:dyDescent="0.35">
      <c r="A11" s="64"/>
      <c r="B11" s="65" t="s">
        <v>218</v>
      </c>
      <c r="C11" s="65" t="s">
        <v>219</v>
      </c>
    </row>
    <row r="12" spans="1:25" x14ac:dyDescent="0.25">
      <c r="B12" s="66">
        <f>MEDIAN($A$2:$Y$3)</f>
        <v>56</v>
      </c>
      <c r="C12" s="66">
        <f>MEDIAN($A$6:$Y$7)</f>
        <v>37.5</v>
      </c>
    </row>
    <row r="15" spans="1:25" ht="18.75" x14ac:dyDescent="0.3">
      <c r="A15" s="63" t="s">
        <v>121</v>
      </c>
      <c r="B15" s="83" t="s">
        <v>220</v>
      </c>
      <c r="C15" s="83"/>
    </row>
    <row r="16" spans="1:25" x14ac:dyDescent="0.25">
      <c r="B16" s="65" t="s">
        <v>218</v>
      </c>
      <c r="C16" s="65" t="s">
        <v>219</v>
      </c>
    </row>
    <row r="17" spans="1:3" x14ac:dyDescent="0.25">
      <c r="B17" s="66">
        <f>_xlfn.QUARTILE.EXC($A$2:$Y$3,1)</f>
        <v>40</v>
      </c>
      <c r="C17" s="66">
        <f>_xlfn.QUARTILE.EXC($A$6:$Y$7,1)</f>
        <v>28.25</v>
      </c>
    </row>
    <row r="20" spans="1:3" ht="21" x14ac:dyDescent="0.35">
      <c r="A20" s="64" t="s">
        <v>129</v>
      </c>
      <c r="B20" s="83" t="s">
        <v>221</v>
      </c>
      <c r="C20" s="83"/>
    </row>
    <row r="21" spans="1:3" x14ac:dyDescent="0.25">
      <c r="B21" s="65" t="s">
        <v>218</v>
      </c>
      <c r="C21" s="65" t="s">
        <v>219</v>
      </c>
    </row>
    <row r="22" spans="1:3" x14ac:dyDescent="0.25">
      <c r="B22" s="66">
        <f>_xlfn.QUARTILE.EXC($A$2:$Y$3,3)</f>
        <v>69</v>
      </c>
      <c r="C22" s="66">
        <f>_xlfn.QUARTILE.EXC($A$6:$Y$7,3)</f>
        <v>50.25</v>
      </c>
    </row>
  </sheetData>
  <mergeCells count="6">
    <mergeCell ref="B20:C20"/>
    <mergeCell ref="A1:Y1"/>
    <mergeCell ref="A5:Y5"/>
    <mergeCell ref="A4:Y4"/>
    <mergeCell ref="B10:C10"/>
    <mergeCell ref="B15:C15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19" bestFit="1" customWidth="1"/>
  </cols>
  <sheetData>
    <row r="1" spans="1:5" x14ac:dyDescent="0.25">
      <c r="A1" s="85" t="s">
        <v>225</v>
      </c>
      <c r="B1" s="85" t="s">
        <v>226</v>
      </c>
      <c r="C1" s="85" t="s">
        <v>227</v>
      </c>
      <c r="D1" s="85"/>
      <c r="E1" s="85"/>
    </row>
    <row r="2" spans="1:5" x14ac:dyDescent="0.25">
      <c r="A2" s="85"/>
      <c r="B2" s="85"/>
      <c r="C2" s="4" t="s">
        <v>222</v>
      </c>
      <c r="D2" s="4" t="s">
        <v>223</v>
      </c>
      <c r="E2" s="4" t="s">
        <v>224</v>
      </c>
    </row>
    <row r="3" spans="1:5" ht="21.75" customHeight="1" x14ac:dyDescent="0.25">
      <c r="A3" s="4" t="s">
        <v>228</v>
      </c>
      <c r="B3" s="4">
        <v>5</v>
      </c>
      <c r="C3" s="4">
        <v>94</v>
      </c>
      <c r="D3" s="4">
        <v>68</v>
      </c>
      <c r="E3" s="4">
        <v>62</v>
      </c>
    </row>
    <row r="4" spans="1:5" ht="21.75" customHeight="1" x14ac:dyDescent="0.25">
      <c r="A4" s="4" t="s">
        <v>229</v>
      </c>
      <c r="B4" s="4">
        <v>4</v>
      </c>
      <c r="C4" s="4">
        <v>92</v>
      </c>
      <c r="D4" s="4">
        <v>83</v>
      </c>
      <c r="E4" s="4">
        <v>77</v>
      </c>
    </row>
    <row r="5" spans="1:5" ht="21.75" customHeight="1" x14ac:dyDescent="0.25">
      <c r="A5" s="4" t="s">
        <v>230</v>
      </c>
      <c r="B5" s="4">
        <v>4</v>
      </c>
      <c r="C5" s="4">
        <v>55</v>
      </c>
      <c r="D5" s="4">
        <v>53</v>
      </c>
      <c r="E5" s="4">
        <v>60</v>
      </c>
    </row>
    <row r="6" spans="1:5" ht="21.75" customHeight="1" x14ac:dyDescent="0.25">
      <c r="A6" s="4" t="s">
        <v>231</v>
      </c>
      <c r="B6" s="4">
        <v>3</v>
      </c>
      <c r="C6" s="4">
        <v>67</v>
      </c>
      <c r="D6" s="4">
        <v>77</v>
      </c>
      <c r="E6" s="4">
        <v>49</v>
      </c>
    </row>
    <row r="7" spans="1:5" ht="21.75" customHeight="1" x14ac:dyDescent="0.25">
      <c r="A7" s="4" t="s">
        <v>232</v>
      </c>
      <c r="B7" s="4">
        <v>3</v>
      </c>
      <c r="C7" s="4">
        <v>85</v>
      </c>
      <c r="D7" s="4">
        <v>96</v>
      </c>
      <c r="E7" s="4">
        <v>80</v>
      </c>
    </row>
    <row r="10" spans="1:5" x14ac:dyDescent="0.25">
      <c r="A10" s="54" t="s">
        <v>233</v>
      </c>
      <c r="C10" s="67">
        <f>SUMPRODUCT(B3:B7,C3:C7)/SUM(B3:B7)</f>
        <v>79.684210526315795</v>
      </c>
    </row>
    <row r="12" spans="1:5" x14ac:dyDescent="0.25">
      <c r="A12" s="54" t="s">
        <v>235</v>
      </c>
      <c r="C12" s="67">
        <f>SUMPRODUCT(B3:B7,D3:D7)/SUM(B3:B7)</f>
        <v>73.84210526315789</v>
      </c>
    </row>
    <row r="14" spans="1:5" x14ac:dyDescent="0.25">
      <c r="A14" s="54" t="s">
        <v>234</v>
      </c>
      <c r="C14" s="67">
        <f>SUMPRODUCT(B3:B7,E3:E7)/SUM(B3:B7)</f>
        <v>65.526315789473685</v>
      </c>
    </row>
  </sheetData>
  <mergeCells count="3">
    <mergeCell ref="A1:A2"/>
    <mergeCell ref="B1:B2"/>
    <mergeCell ref="C1:E1"/>
  </mergeCells>
  <conditionalFormatting sqref="C3:C7">
    <cfRule type="cellIs" dxfId="2" priority="3" operator="greaterThan">
      <formula>$C$10</formula>
    </cfRule>
  </conditionalFormatting>
  <conditionalFormatting sqref="D3:D7">
    <cfRule type="cellIs" dxfId="1" priority="2" operator="greaterThan">
      <formula>73.84</formula>
    </cfRule>
  </conditionalFormatting>
  <conditionalFormatting sqref="E3:E7">
    <cfRule type="cellIs" dxfId="0" priority="1" operator="greaterThan">
      <formula>65.52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L15" sqref="L15"/>
    </sheetView>
  </sheetViews>
  <sheetFormatPr defaultRowHeight="15" x14ac:dyDescent="0.25"/>
  <sheetData>
    <row r="1" spans="1:7" x14ac:dyDescent="0.25">
      <c r="A1" t="s">
        <v>236</v>
      </c>
      <c r="B1" t="s">
        <v>237</v>
      </c>
      <c r="C1" t="s">
        <v>238</v>
      </c>
      <c r="D1" t="s">
        <v>239</v>
      </c>
      <c r="E1" t="s">
        <v>242</v>
      </c>
      <c r="F1" t="s">
        <v>243</v>
      </c>
    </row>
    <row r="2" spans="1:7" x14ac:dyDescent="0.25">
      <c r="A2">
        <v>2011</v>
      </c>
      <c r="B2">
        <v>5.5</v>
      </c>
      <c r="C2">
        <v>5.5</v>
      </c>
      <c r="D2">
        <v>1.1000000000000001</v>
      </c>
      <c r="G2" t="s">
        <v>240</v>
      </c>
    </row>
    <row r="3" spans="1:7" x14ac:dyDescent="0.25">
      <c r="A3">
        <v>2012</v>
      </c>
      <c r="B3">
        <v>7.3</v>
      </c>
      <c r="C3">
        <v>13.4</v>
      </c>
      <c r="D3">
        <v>15.9</v>
      </c>
    </row>
    <row r="4" spans="1:7" x14ac:dyDescent="0.25">
      <c r="A4">
        <v>2013</v>
      </c>
      <c r="B4">
        <v>26.5</v>
      </c>
      <c r="C4">
        <v>29.6</v>
      </c>
      <c r="D4">
        <v>38.299999999999997</v>
      </c>
      <c r="G4" t="s">
        <v>241</v>
      </c>
    </row>
    <row r="5" spans="1:7" x14ac:dyDescent="0.25">
      <c r="A5">
        <v>2014</v>
      </c>
      <c r="B5">
        <v>7.5</v>
      </c>
      <c r="C5">
        <v>11.4</v>
      </c>
      <c r="D5">
        <v>13.4</v>
      </c>
      <c r="E5">
        <f>GEOMEAN(B2:B5+1)</f>
        <v>8.5</v>
      </c>
    </row>
    <row r="7" spans="1:7" x14ac:dyDescent="0.25">
      <c r="A7" t="s">
        <v>266</v>
      </c>
      <c r="B7">
        <f>GEOMEAN(B2:B5)+1</f>
        <v>10.451444136258869</v>
      </c>
      <c r="C7">
        <f>GEOMEAN(C2:C5)+3</f>
        <v>15.557870857827838</v>
      </c>
      <c r="D7">
        <f>GEOMEAN(D2:D5)+9</f>
        <v>18.733596647285339</v>
      </c>
    </row>
    <row r="8" spans="1:7" x14ac:dyDescent="0.25">
      <c r="A8" t="s">
        <v>267</v>
      </c>
      <c r="B8">
        <f>AVERAGE(B2:B5)</f>
        <v>11.7</v>
      </c>
      <c r="C8">
        <f t="shared" ref="C8" si="0">AVERAGE(C2:C5)</f>
        <v>14.975</v>
      </c>
      <c r="D8">
        <f>AVERAGE(D2:D5)</f>
        <v>17.175000000000001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5" workbookViewId="0">
      <selection activeCell="B21" sqref="B21"/>
    </sheetView>
  </sheetViews>
  <sheetFormatPr defaultRowHeight="15" x14ac:dyDescent="0.25"/>
  <sheetData>
    <row r="1" spans="1:12" x14ac:dyDescent="0.25">
      <c r="A1">
        <v>26</v>
      </c>
      <c r="B1">
        <v>38</v>
      </c>
      <c r="C1">
        <v>26</v>
      </c>
      <c r="D1">
        <v>30</v>
      </c>
      <c r="E1">
        <v>24</v>
      </c>
      <c r="F1">
        <v>26</v>
      </c>
      <c r="G1">
        <v>28</v>
      </c>
      <c r="H1">
        <v>28</v>
      </c>
      <c r="I1">
        <v>24</v>
      </c>
      <c r="J1">
        <v>26</v>
      </c>
      <c r="K1">
        <v>24</v>
      </c>
      <c r="L1">
        <v>39</v>
      </c>
    </row>
    <row r="2" spans="1:12" x14ac:dyDescent="0.25">
      <c r="A2">
        <v>32</v>
      </c>
      <c r="B2">
        <v>23</v>
      </c>
      <c r="C2">
        <v>22</v>
      </c>
      <c r="D2">
        <v>24</v>
      </c>
      <c r="E2">
        <v>28</v>
      </c>
      <c r="F2">
        <v>37</v>
      </c>
      <c r="G2">
        <v>31</v>
      </c>
      <c r="H2">
        <v>40</v>
      </c>
      <c r="I2">
        <v>25</v>
      </c>
      <c r="J2">
        <v>25</v>
      </c>
      <c r="K2">
        <v>33</v>
      </c>
      <c r="L2">
        <v>30</v>
      </c>
    </row>
    <row r="4" spans="1:12" x14ac:dyDescent="0.25">
      <c r="A4" t="s">
        <v>222</v>
      </c>
      <c r="B4" t="s">
        <v>244</v>
      </c>
      <c r="C4">
        <f>MAX(A1:L2)</f>
        <v>40</v>
      </c>
    </row>
    <row r="6" spans="1:12" x14ac:dyDescent="0.25">
      <c r="B6" t="s">
        <v>245</v>
      </c>
      <c r="C6">
        <f>MIN(A1:L2)</f>
        <v>22</v>
      </c>
    </row>
    <row r="9" spans="1:12" x14ac:dyDescent="0.25">
      <c r="A9" t="s">
        <v>223</v>
      </c>
      <c r="B9" t="s">
        <v>177</v>
      </c>
      <c r="C9">
        <f>AVERAGE(A1:L2)</f>
        <v>28.708333333333332</v>
      </c>
    </row>
    <row r="11" spans="1:12" x14ac:dyDescent="0.25">
      <c r="B11" t="s">
        <v>182</v>
      </c>
      <c r="C11">
        <f>MEDIAN(A1:L2)</f>
        <v>27</v>
      </c>
    </row>
    <row r="13" spans="1:12" x14ac:dyDescent="0.25">
      <c r="B13" t="s">
        <v>197</v>
      </c>
      <c r="C13">
        <f>_xlfn.MODE.SNGL(A1:L2)</f>
        <v>26</v>
      </c>
    </row>
    <row r="16" spans="1:12" x14ac:dyDescent="0.25">
      <c r="A16" t="s">
        <v>224</v>
      </c>
      <c r="B16">
        <f>_xlfn.STDEV.P(A1:L2)</f>
        <v>5.2079999893326505</v>
      </c>
      <c r="C16" t="s">
        <v>249</v>
      </c>
    </row>
    <row r="19" spans="1:3" x14ac:dyDescent="0.25">
      <c r="A19" t="s">
        <v>247</v>
      </c>
      <c r="B19">
        <f>_xlfn.VAR.P(A1:L2)</f>
        <v>27.123263888888889</v>
      </c>
      <c r="C19" t="s">
        <v>250</v>
      </c>
    </row>
    <row r="21" spans="1:3" x14ac:dyDescent="0.25">
      <c r="B21" t="e">
        <f>va</f>
        <v>#NAME?</v>
      </c>
      <c r="C21" t="s">
        <v>251</v>
      </c>
    </row>
    <row r="24" spans="1:3" x14ac:dyDescent="0.25">
      <c r="A24" t="s">
        <v>246</v>
      </c>
      <c r="B24" t="s">
        <v>248</v>
      </c>
      <c r="C24">
        <f>C4-C6</f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3" sqref="B13"/>
    </sheetView>
  </sheetViews>
  <sheetFormatPr defaultRowHeight="15" x14ac:dyDescent="0.25"/>
  <cols>
    <col min="4" max="4" width="23.28515625" bestFit="1" customWidth="1"/>
    <col min="5" max="5" width="12.7109375" bestFit="1" customWidth="1"/>
    <col min="6" max="7" width="19.7109375" customWidth="1"/>
  </cols>
  <sheetData>
    <row r="1" spans="1:11" x14ac:dyDescent="0.25">
      <c r="A1" t="s">
        <v>188</v>
      </c>
    </row>
    <row r="2" spans="1:11" x14ac:dyDescent="0.25">
      <c r="A2">
        <v>145</v>
      </c>
    </row>
    <row r="3" spans="1:11" x14ac:dyDescent="0.25">
      <c r="A3">
        <v>170</v>
      </c>
    </row>
    <row r="4" spans="1:11" x14ac:dyDescent="0.25">
      <c r="A4">
        <v>120</v>
      </c>
    </row>
    <row r="5" spans="1:11" x14ac:dyDescent="0.25">
      <c r="A5">
        <v>110</v>
      </c>
    </row>
    <row r="6" spans="1:11" x14ac:dyDescent="0.25">
      <c r="A6">
        <v>70</v>
      </c>
    </row>
    <row r="7" spans="1:11" x14ac:dyDescent="0.25">
      <c r="A7">
        <v>70</v>
      </c>
    </row>
    <row r="8" spans="1:11" ht="15.75" thickBot="1" x14ac:dyDescent="0.3">
      <c r="A8">
        <v>45</v>
      </c>
    </row>
    <row r="9" spans="1:11" x14ac:dyDescent="0.25">
      <c r="A9">
        <v>65</v>
      </c>
      <c r="D9" s="60" t="s">
        <v>189</v>
      </c>
      <c r="E9" s="60"/>
      <c r="F9" t="s">
        <v>190</v>
      </c>
    </row>
    <row r="10" spans="1:11" x14ac:dyDescent="0.25">
      <c r="A10">
        <v>68</v>
      </c>
      <c r="D10" s="61"/>
      <c r="E10" s="61"/>
    </row>
    <row r="11" spans="1:11" x14ac:dyDescent="0.25">
      <c r="A11">
        <v>130</v>
      </c>
      <c r="D11" s="61" t="s">
        <v>177</v>
      </c>
      <c r="E11" s="61">
        <v>103</v>
      </c>
      <c r="F11">
        <f>AVERAGE($A$2:$A$21)</f>
        <v>103</v>
      </c>
      <c r="H11" s="4" t="s">
        <v>50</v>
      </c>
      <c r="I11" s="4">
        <f>MIN($A$2:$A$21)</f>
        <v>45</v>
      </c>
      <c r="J11" s="4" t="s">
        <v>191</v>
      </c>
      <c r="K11" s="4">
        <f>I12</f>
        <v>70.5</v>
      </c>
    </row>
    <row r="12" spans="1:11" x14ac:dyDescent="0.25">
      <c r="A12">
        <v>150</v>
      </c>
      <c r="D12" s="61" t="s">
        <v>192</v>
      </c>
      <c r="E12" s="61">
        <v>7.7129419603812988</v>
      </c>
      <c r="F12">
        <f>F15/SQRT(F23)</f>
        <v>7.7129419603812988</v>
      </c>
      <c r="H12" s="4" t="s">
        <v>193</v>
      </c>
      <c r="I12" s="4">
        <f>_xlfn.QUARTILE.EXC($A$2:$A$21,1)</f>
        <v>70.5</v>
      </c>
      <c r="J12" s="4" t="s">
        <v>194</v>
      </c>
      <c r="K12" s="4">
        <f>I13-I12</f>
        <v>24.5</v>
      </c>
    </row>
    <row r="13" spans="1:11" x14ac:dyDescent="0.25">
      <c r="A13">
        <v>146</v>
      </c>
      <c r="D13" s="61" t="s">
        <v>182</v>
      </c>
      <c r="E13" s="61">
        <v>95</v>
      </c>
      <c r="F13">
        <f>MEDIAN($A$2:$A$21)</f>
        <v>95</v>
      </c>
      <c r="H13" s="4" t="s">
        <v>195</v>
      </c>
      <c r="I13" s="4">
        <f>_xlfn.QUARTILE.EXC($A$2:$A$21,2)</f>
        <v>95</v>
      </c>
      <c r="J13" s="4" t="s">
        <v>196</v>
      </c>
      <c r="K13" s="4">
        <f>I14-I13</f>
        <v>38</v>
      </c>
    </row>
    <row r="14" spans="1:11" x14ac:dyDescent="0.25">
      <c r="A14">
        <v>134</v>
      </c>
      <c r="D14" s="61" t="s">
        <v>197</v>
      </c>
      <c r="E14" s="61">
        <v>70</v>
      </c>
      <c r="F14">
        <f>_xlfn.MODE.SNGL($A$2:$A$21)</f>
        <v>70</v>
      </c>
      <c r="H14" s="4" t="s">
        <v>198</v>
      </c>
      <c r="I14" s="4">
        <f>_xlfn.QUARTILE.EXC($A$2:$A$21,3)</f>
        <v>133</v>
      </c>
      <c r="J14" s="4" t="s">
        <v>199</v>
      </c>
      <c r="K14" s="4">
        <f>I14-I12</f>
        <v>62.5</v>
      </c>
    </row>
    <row r="15" spans="1:11" x14ac:dyDescent="0.25">
      <c r="A15">
        <v>115</v>
      </c>
      <c r="D15" s="61" t="s">
        <v>200</v>
      </c>
      <c r="E15" s="61">
        <v>34.49332505984615</v>
      </c>
      <c r="F15">
        <f>_xlfn.STDEV.S($A$2:$A$21)</f>
        <v>34.49332505984615</v>
      </c>
      <c r="H15" s="4" t="s">
        <v>201</v>
      </c>
      <c r="I15" s="4">
        <f>MAX($A$2:$A$21)</f>
        <v>170</v>
      </c>
      <c r="J15" s="4" t="s">
        <v>202</v>
      </c>
      <c r="K15" s="4">
        <f>I15-I12</f>
        <v>99.5</v>
      </c>
    </row>
    <row r="16" spans="1:11" x14ac:dyDescent="0.25">
      <c r="A16">
        <v>85</v>
      </c>
      <c r="D16" s="61" t="s">
        <v>203</v>
      </c>
      <c r="E16" s="61">
        <v>1189.7894736842106</v>
      </c>
      <c r="F16">
        <f>_xlfn.VAR.S($A$2:$A$21)</f>
        <v>1189.7894736842106</v>
      </c>
    </row>
    <row r="17" spans="1:8" x14ac:dyDescent="0.25">
      <c r="A17">
        <v>98</v>
      </c>
      <c r="D17" s="61" t="s">
        <v>204</v>
      </c>
      <c r="E17" s="61">
        <v>-0.90821374547437772</v>
      </c>
      <c r="F17">
        <f>KURT($A$2:$A$21)</f>
        <v>-0.90821374547437772</v>
      </c>
      <c r="H17" t="s">
        <v>205</v>
      </c>
    </row>
    <row r="18" spans="1:8" x14ac:dyDescent="0.25">
      <c r="A18">
        <v>72</v>
      </c>
      <c r="D18" s="61" t="s">
        <v>206</v>
      </c>
      <c r="E18" s="61">
        <v>0.29262141263014813</v>
      </c>
      <c r="F18">
        <f>SKEW($A$2:$A$21)</f>
        <v>0.29262141263014813</v>
      </c>
    </row>
    <row r="19" spans="1:8" x14ac:dyDescent="0.25">
      <c r="A19">
        <v>88</v>
      </c>
      <c r="D19" s="61" t="s">
        <v>207</v>
      </c>
      <c r="E19" s="61">
        <v>125</v>
      </c>
      <c r="F19">
        <f>F21-F20</f>
        <v>125</v>
      </c>
    </row>
    <row r="20" spans="1:8" x14ac:dyDescent="0.25">
      <c r="A20">
        <v>92</v>
      </c>
      <c r="D20" s="61" t="s">
        <v>208</v>
      </c>
      <c r="E20" s="61">
        <v>45</v>
      </c>
      <c r="F20">
        <f>MIN($A$2:$A$21)</f>
        <v>45</v>
      </c>
    </row>
    <row r="21" spans="1:8" x14ac:dyDescent="0.25">
      <c r="A21">
        <v>87</v>
      </c>
      <c r="D21" s="61" t="s">
        <v>209</v>
      </c>
      <c r="E21" s="61">
        <v>170</v>
      </c>
      <c r="F21">
        <f>MAX($A$2:$A$21)</f>
        <v>170</v>
      </c>
    </row>
    <row r="22" spans="1:8" x14ac:dyDescent="0.25">
      <c r="D22" s="61" t="s">
        <v>210</v>
      </c>
      <c r="E22" s="61">
        <v>2060</v>
      </c>
      <c r="F22">
        <f>SUM($A$2:$A$21)</f>
        <v>2060</v>
      </c>
    </row>
    <row r="23" spans="1:8" x14ac:dyDescent="0.25">
      <c r="D23" s="61" t="s">
        <v>211</v>
      </c>
      <c r="E23" s="61">
        <v>20</v>
      </c>
      <c r="F23">
        <f>COUNT($A$2:$A$21)</f>
        <v>20</v>
      </c>
    </row>
    <row r="24" spans="1:8" x14ac:dyDescent="0.25">
      <c r="D24" s="61" t="s">
        <v>212</v>
      </c>
      <c r="E24" s="61">
        <v>170</v>
      </c>
      <c r="F24">
        <f>LARGE(A2:A21,1)</f>
        <v>170</v>
      </c>
    </row>
    <row r="25" spans="1:8" x14ac:dyDescent="0.25">
      <c r="D25" s="61" t="s">
        <v>213</v>
      </c>
      <c r="E25" s="61">
        <v>45</v>
      </c>
      <c r="F25">
        <f>SMALL(A2:A21,1)</f>
        <v>45</v>
      </c>
    </row>
    <row r="26" spans="1:8" ht="15.75" thickBot="1" x14ac:dyDescent="0.3">
      <c r="D26" s="62" t="s">
        <v>214</v>
      </c>
      <c r="E26" s="62">
        <v>16.143373053333235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B4" workbookViewId="0">
      <selection activeCell="F11" sqref="F11"/>
    </sheetView>
  </sheetViews>
  <sheetFormatPr defaultRowHeight="15" x14ac:dyDescent="0.25"/>
  <sheetData>
    <row r="1" spans="1:21" ht="18.75" x14ac:dyDescent="0.3">
      <c r="A1" s="70" t="s">
        <v>252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1:21" s="4" customFormat="1" ht="30" customHeight="1" x14ac:dyDescent="0.25">
      <c r="A2" s="4" t="s">
        <v>222</v>
      </c>
      <c r="B2" s="4">
        <v>65</v>
      </c>
      <c r="C2" s="4">
        <v>33</v>
      </c>
      <c r="D2" s="4">
        <v>95</v>
      </c>
      <c r="E2" s="4">
        <v>53</v>
      </c>
      <c r="F2" s="4">
        <v>29</v>
      </c>
      <c r="G2" s="4">
        <v>82</v>
      </c>
      <c r="H2" s="4">
        <v>59</v>
      </c>
      <c r="I2" s="4">
        <v>53</v>
      </c>
      <c r="J2" s="4">
        <v>32</v>
      </c>
      <c r="K2" s="4">
        <v>93</v>
      </c>
      <c r="L2" s="4">
        <v>100</v>
      </c>
      <c r="M2" s="4">
        <v>46</v>
      </c>
      <c r="N2" s="4">
        <v>90</v>
      </c>
      <c r="O2" s="4">
        <v>61</v>
      </c>
      <c r="P2" s="4">
        <v>43</v>
      </c>
      <c r="Q2" s="4">
        <v>40</v>
      </c>
      <c r="R2" s="4">
        <v>69</v>
      </c>
      <c r="S2" s="4">
        <v>63</v>
      </c>
      <c r="T2" s="4">
        <v>50</v>
      </c>
      <c r="U2" s="4">
        <v>92</v>
      </c>
    </row>
    <row r="3" spans="1:21" s="4" customFormat="1" ht="30" customHeight="1" x14ac:dyDescent="0.25">
      <c r="A3" s="4" t="s">
        <v>223</v>
      </c>
      <c r="B3" s="4">
        <v>80</v>
      </c>
      <c r="C3" s="4">
        <v>48</v>
      </c>
      <c r="D3" s="4">
        <v>22</v>
      </c>
      <c r="E3" s="4">
        <v>43</v>
      </c>
      <c r="F3" s="4">
        <v>78</v>
      </c>
      <c r="G3" s="4">
        <v>37</v>
      </c>
      <c r="H3" s="4">
        <v>99</v>
      </c>
      <c r="I3" s="4">
        <v>24</v>
      </c>
      <c r="J3" s="4">
        <v>31</v>
      </c>
      <c r="K3" s="4">
        <v>76</v>
      </c>
      <c r="L3" s="4">
        <v>57</v>
      </c>
      <c r="M3" s="4">
        <v>75</v>
      </c>
      <c r="N3" s="4">
        <v>60</v>
      </c>
      <c r="O3" s="4">
        <v>89</v>
      </c>
      <c r="P3" s="4">
        <v>77</v>
      </c>
      <c r="Q3" s="4">
        <v>91</v>
      </c>
      <c r="R3" s="4">
        <v>22</v>
      </c>
      <c r="S3" s="4">
        <v>32</v>
      </c>
      <c r="T3" s="4">
        <v>39</v>
      </c>
      <c r="U3" s="4">
        <v>53</v>
      </c>
    </row>
    <row r="7" spans="1:21" x14ac:dyDescent="0.25">
      <c r="B7" t="s">
        <v>253</v>
      </c>
      <c r="C7" s="71" t="s">
        <v>254</v>
      </c>
      <c r="D7" s="71"/>
      <c r="E7" t="s">
        <v>222</v>
      </c>
      <c r="F7">
        <f>_xlfn.STDEV.P(B2:U2)</f>
        <v>22.227010595219504</v>
      </c>
    </row>
    <row r="9" spans="1:21" x14ac:dyDescent="0.25">
      <c r="E9" t="s">
        <v>223</v>
      </c>
      <c r="F9">
        <f>_xlfn.STDEV.P(B3:U3)</f>
        <v>24.354209081799393</v>
      </c>
    </row>
    <row r="11" spans="1:21" x14ac:dyDescent="0.25">
      <c r="B11" t="s">
        <v>121</v>
      </c>
      <c r="C11" s="71" t="s">
        <v>255</v>
      </c>
      <c r="D11" s="71"/>
      <c r="E11" s="71"/>
      <c r="F11" t="s">
        <v>222</v>
      </c>
    </row>
    <row r="13" spans="1:21" x14ac:dyDescent="0.25">
      <c r="F13" t="s">
        <v>223</v>
      </c>
    </row>
    <row r="16" spans="1:21" x14ac:dyDescent="0.25">
      <c r="B16" t="s">
        <v>129</v>
      </c>
      <c r="C16" s="71" t="s">
        <v>206</v>
      </c>
      <c r="D16" s="71"/>
      <c r="F16" t="s">
        <v>222</v>
      </c>
      <c r="G16">
        <f>SKEW(B2:U2)</f>
        <v>0.26589500997904458</v>
      </c>
    </row>
    <row r="18" spans="2:7" x14ac:dyDescent="0.25">
      <c r="F18" t="s">
        <v>223</v>
      </c>
      <c r="G18">
        <f>SKEW(B3:U3)</f>
        <v>0.1068553825521672</v>
      </c>
    </row>
    <row r="20" spans="2:7" x14ac:dyDescent="0.25">
      <c r="B20" t="s">
        <v>130</v>
      </c>
      <c r="C20" s="71" t="s">
        <v>204</v>
      </c>
      <c r="D20" s="71"/>
      <c r="F20" t="s">
        <v>222</v>
      </c>
      <c r="G20">
        <f>KURT(B2:U2)</f>
        <v>-1.1743958070741272</v>
      </c>
    </row>
    <row r="22" spans="2:7" x14ac:dyDescent="0.25">
      <c r="F22" t="s">
        <v>223</v>
      </c>
      <c r="G22">
        <f>KURT(B3:U3)</f>
        <v>-1.363084420867116</v>
      </c>
    </row>
    <row r="24" spans="2:7" x14ac:dyDescent="0.25">
      <c r="C24" s="71" t="s">
        <v>256</v>
      </c>
      <c r="D24" s="71"/>
      <c r="G24" t="e">
        <f>in</f>
        <v>#NAME?</v>
      </c>
    </row>
  </sheetData>
  <mergeCells count="6">
    <mergeCell ref="C24:D24"/>
    <mergeCell ref="A1:U1"/>
    <mergeCell ref="C7:D7"/>
    <mergeCell ref="C11:E11"/>
    <mergeCell ref="C16:D16"/>
    <mergeCell ref="C20:D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4" sqref="I4"/>
    </sheetView>
  </sheetViews>
  <sheetFormatPr defaultRowHeight="15" x14ac:dyDescent="0.25"/>
  <cols>
    <col min="4" max="4" width="15.85546875" bestFit="1" customWidth="1"/>
    <col min="7" max="7" width="13.7109375" bestFit="1" customWidth="1"/>
    <col min="8" max="8" width="19" bestFit="1" customWidth="1"/>
    <col min="9" max="9" width="10.7109375" bestFit="1" customWidth="1"/>
    <col min="10" max="10" width="11.42578125" bestFit="1" customWidth="1"/>
  </cols>
  <sheetData>
    <row r="1" spans="1:10" x14ac:dyDescent="0.25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33</v>
      </c>
      <c r="H1" t="s">
        <v>262</v>
      </c>
      <c r="I1" t="s">
        <v>263</v>
      </c>
      <c r="J1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5" x14ac:dyDescent="0.25"/>
  <cols>
    <col min="1" max="1" width="17.7109375" customWidth="1"/>
  </cols>
  <sheetData>
    <row r="1" spans="1:8" ht="36" customHeight="1" x14ac:dyDescent="0.25">
      <c r="A1" s="68" t="s">
        <v>264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42" customHeight="1" x14ac:dyDescent="0.25">
      <c r="A2" s="4" t="s">
        <v>265</v>
      </c>
      <c r="B2" s="4">
        <v>0.22</v>
      </c>
      <c r="C2" s="4">
        <v>0.48</v>
      </c>
      <c r="D2" s="4">
        <v>0.25</v>
      </c>
      <c r="E2" s="4">
        <v>0.05</v>
      </c>
      <c r="F2" s="4">
        <v>0.04</v>
      </c>
      <c r="G2" s="4">
        <v>0.32</v>
      </c>
      <c r="H2" s="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</vt:lpstr>
      <vt:lpstr>3</vt:lpstr>
      <vt:lpstr>4</vt:lpstr>
      <vt:lpstr>5</vt:lpstr>
      <vt:lpstr>6</vt:lpstr>
      <vt:lpstr>7</vt:lpstr>
      <vt:lpstr>8</vt:lpstr>
      <vt:lpstr>Sheet1</vt:lpstr>
      <vt:lpstr>9</vt:lpstr>
      <vt:lpstr>10(Color)</vt:lpstr>
      <vt:lpstr>10(warehouses)</vt:lpstr>
      <vt:lpstr>10(level)</vt:lpstr>
      <vt:lpstr>11</vt:lpstr>
      <vt:lpstr>12</vt:lpstr>
      <vt:lpstr>13</vt:lpstr>
      <vt:lpstr>14</vt:lpstr>
      <vt:lpstr>15</vt:lpstr>
      <vt:lpstr>16</vt:lpstr>
      <vt:lpstr>17 &amp; 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2024-07-06T07:54:39Z</dcterms:created>
  <dcterms:modified xsi:type="dcterms:W3CDTF">2024-08-10T01:58:08Z</dcterms:modified>
</cp:coreProperties>
</file>